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<sst xmlns="http://schemas.openxmlformats.org/spreadsheetml/2006/main" count="86" uniqueCount="33">
  <si>
    <t>Fine Structure Energy Levels for Ca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</si>
  <si>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</si>
  <si>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</si>
  <si>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</si>
  <si>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</si>
  <si>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</si>
  <si>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</si>
  <si>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</si>
  <si>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</si>
  <si>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</si>
  <si>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</si>
  <si>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</si>
  <si>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3s2.3p2</t>
  </si>
  <si>
    <t>3P</t>
  </si>
  <si>
    <t>1D</t>
  </si>
  <si>
    <t>1S</t>
  </si>
  <si>
    <t>3s.3p3</t>
  </si>
  <si>
    <t>5S</t>
  </si>
  <si>
    <t>3D</t>
  </si>
  <si>
    <t>3s2.3p3d</t>
  </si>
  <si>
    <t>3F</t>
  </si>
  <si>
    <t>1P</t>
  </si>
  <si>
    <t>3S</t>
  </si>
  <si>
    <t>1F</t>
  </si>
  <si>
    <t>A-values for fine-structure transitions in Ca VII</t>
  </si>
  <si>
    <t>k</t>
  </si>
  <si>
    <t>WL Vac (A)</t>
  </si>
  <si>
    <t>A (s-1)</t>
  </si>
  <si>
    <t>A2E1(s-1)</t>
  </si>
  <si>
    <t>Effective Collision Strengths for Ca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</si>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</sst>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9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1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14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HYPERLINK("http://141.218.60.56/~jnz1568/getInfo.php?workbook=20_14.xlsx&amp;sheet=E0&amp;row=4&amp;col=10&amp;number=0&amp;sourceID=14","0")</f>
        <v>0</v>
      </c>
    </row>
    <row r="5" spans="1:10">
      <c r="A5" s="3">
        <v>20</v>
      </c>
      <c r="B5" s="3">
        <v>14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HYPERLINK("http://141.218.60.56/~jnz1568/getInfo.php?workbook=20_14.xlsx&amp;sheet=E0&amp;row=5&amp;col=10&amp;number=1624.9&amp;sourceID=14","1624.9")</f>
        <v>1624.9</v>
      </c>
    </row>
    <row r="6" spans="1:10">
      <c r="A6" s="3">
        <v>20</v>
      </c>
      <c r="B6" s="3">
        <v>14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HYPERLINK("http://141.218.60.56/~jnz1568/getInfo.php?workbook=20_14.xlsx&amp;sheet=E0&amp;row=6&amp;col=10&amp;number=4071.4&amp;sourceID=14","4071.4")</f>
        <v>4071.4</v>
      </c>
    </row>
    <row r="7" spans="1:10">
      <c r="A7" s="3">
        <v>20</v>
      </c>
      <c r="B7" s="3">
        <v>14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HYPERLINK("http://141.218.60.56/~jnz1568/getInfo.php?workbook=20_14.xlsx&amp;sheet=E0&amp;row=7&amp;col=10&amp;number=21864&amp;sourceID=14","21864")</f>
        <v>21864</v>
      </c>
    </row>
    <row r="8" spans="1:10">
      <c r="A8" s="3">
        <v>20</v>
      </c>
      <c r="B8" s="3">
        <v>14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HYPERLINK("http://141.218.60.56/~jnz1568/getInfo.php?workbook=20_14.xlsx&amp;sheet=E0&amp;row=8&amp;col=10&amp;number=48981.398&amp;sourceID=14","48981.398")</f>
        <v>48981.398</v>
      </c>
    </row>
    <row r="9" spans="1:10">
      <c r="A9" s="3">
        <v>20</v>
      </c>
      <c r="B9" s="3">
        <v>14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HYPERLINK("http://141.218.60.56/~jnz1568/getInfo.php?workbook=20_14.xlsx&amp;sheet=E0&amp;row=9&amp;col=10&amp;number=0&amp;sourceID=14","0")</f>
        <v>0</v>
      </c>
    </row>
    <row r="10" spans="1:10">
      <c r="A10" s="3">
        <v>20</v>
      </c>
      <c r="B10" s="3">
        <v>14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HYPERLINK("http://141.218.60.56/~jnz1568/getInfo.php?workbook=20_14.xlsx&amp;sheet=E0&amp;row=10&amp;col=10&amp;number=160157.5&amp;sourceID=14","160157.5")</f>
        <v>160157.5</v>
      </c>
    </row>
    <row r="11" spans="1:10">
      <c r="A11" s="3">
        <v>20</v>
      </c>
      <c r="B11" s="3">
        <v>14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HYPERLINK("http://141.218.60.56/~jnz1568/getInfo.php?workbook=20_14.xlsx&amp;sheet=E0&amp;row=11&amp;col=10&amp;number=160220.297&amp;sourceID=14","160220.297")</f>
        <v>160220.297</v>
      </c>
    </row>
    <row r="12" spans="1:10">
      <c r="A12" s="3">
        <v>20</v>
      </c>
      <c r="B12" s="3">
        <v>14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HYPERLINK("http://141.218.60.56/~jnz1568/getInfo.php?workbook=20_14.xlsx&amp;sheet=E0&amp;row=12&amp;col=10&amp;number=160529.203&amp;sourceID=14","160529.203")</f>
        <v>160529.203</v>
      </c>
    </row>
    <row r="13" spans="1:10">
      <c r="A13" s="3">
        <v>20</v>
      </c>
      <c r="B13" s="3">
        <v>14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HYPERLINK("http://141.218.60.56/~jnz1568/getInfo.php?workbook=20_14.xlsx&amp;sheet=E0&amp;row=13&amp;col=10&amp;number=185256.594&amp;sourceID=14","185256.594")</f>
        <v>185256.594</v>
      </c>
    </row>
    <row r="14" spans="1:10">
      <c r="A14" s="3">
        <v>20</v>
      </c>
      <c r="B14" s="3">
        <v>14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HYPERLINK("http://141.218.60.56/~jnz1568/getInfo.php?workbook=20_14.xlsx&amp;sheet=E0&amp;row=14&amp;col=10&amp;number=185392.906&amp;sourceID=14","185392.906")</f>
        <v>185392.906</v>
      </c>
    </row>
    <row r="15" spans="1:10">
      <c r="A15" s="3">
        <v>20</v>
      </c>
      <c r="B15" s="3">
        <v>14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HYPERLINK("http://141.218.60.56/~jnz1568/getInfo.php?workbook=20_14.xlsx&amp;sheet=E0&amp;row=15&amp;col=10&amp;number=185412.203&amp;sourceID=14","185412.203")</f>
        <v>185412.203</v>
      </c>
    </row>
    <row r="16" spans="1:10">
      <c r="A16" s="3">
        <v>20</v>
      </c>
      <c r="B16" s="3">
        <v>14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HYPERLINK("http://141.218.60.56/~jnz1568/getInfo.php?workbook=20_14.xlsx&amp;sheet=E0&amp;row=16&amp;col=10&amp;number=203616.094&amp;sourceID=14","203616.094")</f>
        <v>203616.094</v>
      </c>
    </row>
    <row r="17" spans="1:10">
      <c r="A17" s="3">
        <v>20</v>
      </c>
      <c r="B17" s="3">
        <v>14</v>
      </c>
      <c r="C17" s="3">
        <v>14</v>
      </c>
      <c r="D17" s="3" t="s">
        <v>19</v>
      </c>
      <c r="E17" s="3" t="s">
        <v>20</v>
      </c>
      <c r="F17" s="3">
        <v>3</v>
      </c>
      <c r="G17" s="3">
        <v>3</v>
      </c>
      <c r="H17" s="3">
        <v>1</v>
      </c>
      <c r="I17" s="3">
        <v>2</v>
      </c>
      <c r="J17" s="4" t="str">
        <f>HYPERLINK("http://141.218.60.56/~jnz1568/getInfo.php?workbook=20_14.xlsx&amp;sheet=E0&amp;row=17&amp;col=10&amp;number=0&amp;sourceID=14","0")</f>
        <v>0</v>
      </c>
    </row>
    <row r="18" spans="1:10">
      <c r="A18" s="3">
        <v>20</v>
      </c>
      <c r="B18" s="3">
        <v>14</v>
      </c>
      <c r="C18" s="3">
        <v>15</v>
      </c>
      <c r="D18" s="3" t="s">
        <v>19</v>
      </c>
      <c r="E18" s="3" t="s">
        <v>20</v>
      </c>
      <c r="F18" s="3">
        <v>3</v>
      </c>
      <c r="G18" s="3">
        <v>3</v>
      </c>
      <c r="H18" s="3">
        <v>1</v>
      </c>
      <c r="I18" s="3">
        <v>3</v>
      </c>
      <c r="J18" s="4" t="str">
        <f>HYPERLINK("http://141.218.60.56/~jnz1568/getInfo.php?workbook=20_14.xlsx&amp;sheet=E0&amp;row=18&amp;col=10&amp;number=0&amp;sourceID=14","0")</f>
        <v>0</v>
      </c>
    </row>
    <row r="19" spans="1:10">
      <c r="A19" s="3">
        <v>20</v>
      </c>
      <c r="B19" s="3">
        <v>14</v>
      </c>
      <c r="C19" s="3">
        <v>16</v>
      </c>
      <c r="D19" s="3" t="s">
        <v>19</v>
      </c>
      <c r="E19" s="3" t="s">
        <v>20</v>
      </c>
      <c r="F19" s="3">
        <v>3</v>
      </c>
      <c r="G19" s="3">
        <v>3</v>
      </c>
      <c r="H19" s="3">
        <v>1</v>
      </c>
      <c r="I19" s="3">
        <v>4</v>
      </c>
      <c r="J19" s="4" t="str">
        <f>HYPERLINK("http://141.218.60.56/~jnz1568/getInfo.php?workbook=20_14.xlsx&amp;sheet=E0&amp;row=19&amp;col=10&amp;number=0&amp;sourceID=14","0")</f>
        <v>0</v>
      </c>
    </row>
    <row r="20" spans="1:10">
      <c r="A20" s="3">
        <v>20</v>
      </c>
      <c r="B20" s="3">
        <v>14</v>
      </c>
      <c r="C20" s="3">
        <v>17</v>
      </c>
      <c r="D20" s="3" t="s">
        <v>16</v>
      </c>
      <c r="E20" s="3" t="s">
        <v>21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HYPERLINK("http://141.218.60.56/~jnz1568/getInfo.php?workbook=20_14.xlsx&amp;sheet=E0&amp;row=20&amp;col=10&amp;number=252489.906&amp;sourceID=14","252489.906")</f>
        <v>252489.906</v>
      </c>
    </row>
    <row r="21" spans="1:10">
      <c r="A21" s="3">
        <v>20</v>
      </c>
      <c r="B21" s="3">
        <v>14</v>
      </c>
      <c r="C21" s="3">
        <v>18</v>
      </c>
      <c r="D21" s="3" t="s">
        <v>16</v>
      </c>
      <c r="E21" s="3" t="s">
        <v>22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HYPERLINK("http://141.218.60.56/~jnz1568/getInfo.php?workbook=20_14.xlsx&amp;sheet=E0&amp;row=21&amp;col=10&amp;number=245240.5&amp;sourceID=14","245240.5")</f>
        <v>245240.5</v>
      </c>
    </row>
    <row r="22" spans="1:10">
      <c r="A22" s="3">
        <v>20</v>
      </c>
      <c r="B22" s="3">
        <v>14</v>
      </c>
      <c r="C22" s="3">
        <v>19</v>
      </c>
      <c r="D22" s="3" t="s">
        <v>19</v>
      </c>
      <c r="E22" s="3" t="s">
        <v>13</v>
      </c>
      <c r="F22" s="3">
        <v>3</v>
      </c>
      <c r="G22" s="3">
        <v>1</v>
      </c>
      <c r="H22" s="3">
        <v>1</v>
      </c>
      <c r="I22" s="3">
        <v>0</v>
      </c>
      <c r="J22" s="4" t="str">
        <f>HYPERLINK("http://141.218.60.56/~jnz1568/getInfo.php?workbook=20_14.xlsx&amp;sheet=E0&amp;row=22&amp;col=10&amp;number=289004&amp;sourceID=14","289004")</f>
        <v>289004</v>
      </c>
    </row>
    <row r="23" spans="1:10">
      <c r="A23" s="3">
        <v>20</v>
      </c>
      <c r="B23" s="3">
        <v>14</v>
      </c>
      <c r="C23" s="3">
        <v>20</v>
      </c>
      <c r="D23" s="3" t="s">
        <v>19</v>
      </c>
      <c r="E23" s="3" t="s">
        <v>13</v>
      </c>
      <c r="F23" s="3">
        <v>3</v>
      </c>
      <c r="G23" s="3">
        <v>1</v>
      </c>
      <c r="H23" s="3">
        <v>1</v>
      </c>
      <c r="I23" s="3">
        <v>1</v>
      </c>
      <c r="J23" s="4" t="str">
        <f>HYPERLINK("http://141.218.60.56/~jnz1568/getInfo.php?workbook=20_14.xlsx&amp;sheet=E0&amp;row=23&amp;col=10&amp;number=288160&amp;sourceID=14","288160")</f>
        <v>288160</v>
      </c>
    </row>
    <row r="24" spans="1:10">
      <c r="A24" s="3">
        <v>20</v>
      </c>
      <c r="B24" s="3">
        <v>14</v>
      </c>
      <c r="C24" s="3">
        <v>21</v>
      </c>
      <c r="D24" s="3" t="s">
        <v>19</v>
      </c>
      <c r="E24" s="3" t="s">
        <v>13</v>
      </c>
      <c r="F24" s="3">
        <v>3</v>
      </c>
      <c r="G24" s="3">
        <v>1</v>
      </c>
      <c r="H24" s="3">
        <v>1</v>
      </c>
      <c r="I24" s="3">
        <v>2</v>
      </c>
      <c r="J24" s="4" t="str">
        <f>HYPERLINK("http://141.218.60.56/~jnz1568/getInfo.php?workbook=20_14.xlsx&amp;sheet=E0&amp;row=24&amp;col=10&amp;number=286224&amp;sourceID=14","286224")</f>
        <v>286224</v>
      </c>
    </row>
    <row r="25" spans="1:10">
      <c r="A25" s="3">
        <v>20</v>
      </c>
      <c r="B25" s="3">
        <v>14</v>
      </c>
      <c r="C25" s="3">
        <v>22</v>
      </c>
      <c r="D25" s="3" t="s">
        <v>19</v>
      </c>
      <c r="E25" s="3" t="s">
        <v>14</v>
      </c>
      <c r="F25" s="3">
        <v>1</v>
      </c>
      <c r="G25" s="3">
        <v>2</v>
      </c>
      <c r="H25" s="3">
        <v>0</v>
      </c>
      <c r="I25" s="3">
        <v>2</v>
      </c>
      <c r="J25" s="4" t="str">
        <f>HYPERLINK("http://141.218.60.56/~jnz1568/getInfo.php?workbook=20_14.xlsx&amp;sheet=E0&amp;row=25&amp;col=10&amp;number=0&amp;sourceID=14","0")</f>
        <v>0</v>
      </c>
    </row>
    <row r="26" spans="1:10">
      <c r="A26" s="3">
        <v>20</v>
      </c>
      <c r="B26" s="3">
        <v>14</v>
      </c>
      <c r="C26" s="3">
        <v>23</v>
      </c>
      <c r="D26" s="3" t="s">
        <v>19</v>
      </c>
      <c r="E26" s="3" t="s">
        <v>18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HYPERLINK("http://141.218.60.56/~jnz1568/getInfo.php?workbook=20_14.xlsx&amp;sheet=E0&amp;row=26&amp;col=10&amp;number=295138&amp;sourceID=14","295138")</f>
        <v>295138</v>
      </c>
    </row>
    <row r="27" spans="1:10">
      <c r="A27" s="3">
        <v>20</v>
      </c>
      <c r="B27" s="3">
        <v>14</v>
      </c>
      <c r="C27" s="3">
        <v>24</v>
      </c>
      <c r="D27" s="3" t="s">
        <v>19</v>
      </c>
      <c r="E27" s="3" t="s">
        <v>18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HYPERLINK("http://141.218.60.56/~jnz1568/getInfo.php?workbook=20_14.xlsx&amp;sheet=E0&amp;row=27&amp;col=10&amp;number=295772&amp;sourceID=14","295772")</f>
        <v>295772</v>
      </c>
    </row>
    <row r="28" spans="1:10">
      <c r="A28" s="3">
        <v>20</v>
      </c>
      <c r="B28" s="3">
        <v>14</v>
      </c>
      <c r="C28" s="3">
        <v>25</v>
      </c>
      <c r="D28" s="3" t="s">
        <v>19</v>
      </c>
      <c r="E28" s="3" t="s">
        <v>18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HYPERLINK("http://141.218.60.56/~jnz1568/getInfo.php?workbook=20_14.xlsx&amp;sheet=E0&amp;row=28&amp;col=10&amp;number=296132&amp;sourceID=14","296132")</f>
        <v>296132</v>
      </c>
    </row>
    <row r="29" spans="1:10">
      <c r="A29" s="3">
        <v>20</v>
      </c>
      <c r="B29" s="3">
        <v>14</v>
      </c>
      <c r="C29" s="3">
        <v>26</v>
      </c>
      <c r="D29" s="3" t="s">
        <v>19</v>
      </c>
      <c r="E29" s="3" t="s">
        <v>23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HYPERLINK("http://141.218.60.56/~jnz1568/getInfo.php?workbook=20_14.xlsx&amp;sheet=E0&amp;row=29&amp;col=10&amp;number=324885&amp;sourceID=14","324885")</f>
        <v>324885</v>
      </c>
    </row>
    <row r="30" spans="1:10">
      <c r="A30" s="3">
        <v>20</v>
      </c>
      <c r="B30" s="3">
        <v>14</v>
      </c>
      <c r="C30" s="3">
        <v>27</v>
      </c>
      <c r="D30" s="3" t="s">
        <v>19</v>
      </c>
      <c r="E30" s="3" t="s">
        <v>21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HYPERLINK("http://141.218.60.56/~jnz1568/getInfo.php?workbook=20_14.xlsx&amp;sheet=E0&amp;row=30&amp;col=10&amp;number=333501&amp;sourceID=14","333501")</f>
        <v>333501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26</v>
      </c>
      <c r="F3" s="2" t="s">
        <v>27</v>
      </c>
      <c r="G3" s="2" t="s">
        <v>28</v>
      </c>
    </row>
    <row r="4" spans="1:7">
      <c r="A4" s="3">
        <v>20</v>
      </c>
      <c r="B4" s="3">
        <v>14</v>
      </c>
      <c r="C4" s="3">
        <v>2</v>
      </c>
      <c r="D4" s="3">
        <v>1</v>
      </c>
      <c r="E4" s="3">
        <v>61542.362</v>
      </c>
      <c r="F4" s="4" t="str">
        <f>HYPERLINK("http://141.218.60.56/~jnz1568/getInfo.php?workbook=20_14.xlsx&amp;sheet=A0&amp;row=4&amp;col=6&amp;number=0.07668&amp;sourceID=14","0.07668")</f>
        <v>0.07668</v>
      </c>
      <c r="G4" s="4" t="str">
        <f>HYPERLINK("http://141.218.60.56/~jnz1568/getInfo.php?workbook=20_14.xlsx&amp;sheet=A0&amp;row=4&amp;col=7&amp;number=0&amp;sourceID=14","0")</f>
        <v>0</v>
      </c>
    </row>
    <row r="5" spans="1:7">
      <c r="A5" s="3">
        <v>20</v>
      </c>
      <c r="B5" s="3">
        <v>14</v>
      </c>
      <c r="C5" s="3">
        <v>3</v>
      </c>
      <c r="D5" s="3">
        <v>1</v>
      </c>
      <c r="E5" s="3">
        <v>24561.621</v>
      </c>
      <c r="F5" s="4" t="str">
        <f>HYPERLINK("http://141.218.60.56/~jnz1568/getInfo.php?workbook=20_14.xlsx&amp;sheet=A0&amp;row=5&amp;col=6&amp;number=1.62e-05&amp;sourceID=14","1.62e-05")</f>
        <v>1.62e-05</v>
      </c>
      <c r="G5" s="4" t="str">
        <f>HYPERLINK("http://141.218.60.56/~jnz1568/getInfo.php?workbook=20_14.xlsx&amp;sheet=A0&amp;row=5&amp;col=7&amp;number=0&amp;sourceID=14","0")</f>
        <v>0</v>
      </c>
    </row>
    <row r="6" spans="1:7">
      <c r="A6" s="3">
        <v>20</v>
      </c>
      <c r="B6" s="3">
        <v>14</v>
      </c>
      <c r="C6" s="3">
        <v>4</v>
      </c>
      <c r="D6" s="3">
        <v>1</v>
      </c>
      <c r="E6" s="3">
        <v>4573.737</v>
      </c>
      <c r="F6" s="4" t="str">
        <f>HYPERLINK("http://141.218.60.56/~jnz1568/getInfo.php?workbook=20_14.xlsx&amp;sheet=A0&amp;row=6&amp;col=6&amp;number=0.0002717&amp;sourceID=14","0.0002717")</f>
        <v>0.0002717</v>
      </c>
      <c r="G6" s="4" t="str">
        <f>HYPERLINK("http://141.218.60.56/~jnz1568/getInfo.php?workbook=20_14.xlsx&amp;sheet=A0&amp;row=6&amp;col=7&amp;number=0&amp;sourceID=14","0")</f>
        <v>0</v>
      </c>
    </row>
    <row r="7" spans="1:7">
      <c r="A7" s="3">
        <v>20</v>
      </c>
      <c r="B7" s="3">
        <v>14</v>
      </c>
      <c r="C7" s="3">
        <v>6</v>
      </c>
      <c r="D7" s="3">
        <v>1</v>
      </c>
      <c r="E7" s="3">
        <v>-910.265</v>
      </c>
      <c r="F7" s="4" t="str">
        <f>HYPERLINK("http://141.218.60.56/~jnz1568/getInfo.php?workbook=20_14.xlsx&amp;sheet=A0&amp;row=7&amp;col=6&amp;number=0.05185&amp;sourceID=14","0.05185")</f>
        <v>0.05185</v>
      </c>
      <c r="G7" s="4" t="str">
        <f>HYPERLINK("http://141.218.60.56/~jnz1568/getInfo.php?workbook=20_14.xlsx&amp;sheet=A0&amp;row=7&amp;col=7&amp;number=0&amp;sourceID=14","0")</f>
        <v>0</v>
      </c>
    </row>
    <row r="8" spans="1:7">
      <c r="A8" s="3">
        <v>20</v>
      </c>
      <c r="B8" s="3">
        <v>14</v>
      </c>
      <c r="C8" s="3">
        <v>7</v>
      </c>
      <c r="D8" s="3">
        <v>1</v>
      </c>
      <c r="E8" s="3">
        <v>624.386</v>
      </c>
      <c r="F8" s="4" t="str">
        <f>HYPERLINK("http://141.218.60.56/~jnz1568/getInfo.php?workbook=20_14.xlsx&amp;sheet=A0&amp;row=8&amp;col=6&amp;number=309200000&amp;sourceID=14","309200000")</f>
        <v>309200000</v>
      </c>
      <c r="G8" s="4" t="str">
        <f>HYPERLINK("http://141.218.60.56/~jnz1568/getInfo.php?workbook=20_14.xlsx&amp;sheet=A0&amp;row=8&amp;col=7&amp;number=0&amp;sourceID=14","0")</f>
        <v>0</v>
      </c>
    </row>
    <row r="9" spans="1:7">
      <c r="A9" s="3">
        <v>20</v>
      </c>
      <c r="B9" s="3">
        <v>14</v>
      </c>
      <c r="C9" s="3">
        <v>8</v>
      </c>
      <c r="D9" s="3">
        <v>1</v>
      </c>
      <c r="E9" s="3">
        <v>624.142</v>
      </c>
      <c r="F9" s="4" t="str">
        <f>HYPERLINK("http://141.218.60.56/~jnz1568/getInfo.php?workbook=20_14.xlsx&amp;sheet=A0&amp;row=9&amp;col=6&amp;number=0.4333&amp;sourceID=14","0.4333")</f>
        <v>0.4333</v>
      </c>
      <c r="G9" s="4" t="str">
        <f>HYPERLINK("http://141.218.60.56/~jnz1568/getInfo.php?workbook=20_14.xlsx&amp;sheet=A0&amp;row=9&amp;col=7&amp;number=0&amp;sourceID=14","0")</f>
        <v>0</v>
      </c>
    </row>
    <row r="10" spans="1:7">
      <c r="A10" s="3">
        <v>20</v>
      </c>
      <c r="B10" s="3">
        <v>14</v>
      </c>
      <c r="C10" s="3">
        <v>11</v>
      </c>
      <c r="D10" s="3">
        <v>1</v>
      </c>
      <c r="E10" s="3">
        <v>539.396</v>
      </c>
      <c r="F10" s="4" t="str">
        <f>HYPERLINK("http://141.218.60.56/~jnz1568/getInfo.php?workbook=20_14.xlsx&amp;sheet=A0&amp;row=10&amp;col=6&amp;number=492600000&amp;sourceID=14","492600000")</f>
        <v>492600000</v>
      </c>
      <c r="G10" s="4" t="str">
        <f>HYPERLINK("http://141.218.60.56/~jnz1568/getInfo.php?workbook=20_14.xlsx&amp;sheet=A0&amp;row=10&amp;col=7&amp;number=0&amp;sourceID=14","0")</f>
        <v>0</v>
      </c>
    </row>
    <row r="11" spans="1:7">
      <c r="A11" s="3">
        <v>20</v>
      </c>
      <c r="B11" s="3">
        <v>14</v>
      </c>
      <c r="C11" s="3">
        <v>12</v>
      </c>
      <c r="D11" s="3">
        <v>1</v>
      </c>
      <c r="E11" s="3">
        <v>539.34</v>
      </c>
      <c r="F11" s="4" t="str">
        <f>HYPERLINK("http://141.218.60.56/~jnz1568/getInfo.php?workbook=20_14.xlsx&amp;sheet=A0&amp;row=11&amp;col=6&amp;number=0.73&amp;sourceID=14","0.73")</f>
        <v>0.73</v>
      </c>
      <c r="G11" s="4" t="str">
        <f>HYPERLINK("http://141.218.60.56/~jnz1568/getInfo.php?workbook=20_14.xlsx&amp;sheet=A0&amp;row=11&amp;col=7&amp;number=0&amp;sourceID=14","0")</f>
        <v>0</v>
      </c>
    </row>
    <row r="12" spans="1:7">
      <c r="A12" s="3">
        <v>20</v>
      </c>
      <c r="B12" s="3">
        <v>14</v>
      </c>
      <c r="C12" s="3">
        <v>13</v>
      </c>
      <c r="D12" s="3">
        <v>1</v>
      </c>
      <c r="E12" s="3">
        <v>491.121</v>
      </c>
      <c r="F12" s="4" t="str">
        <f>HYPERLINK("http://141.218.60.56/~jnz1568/getInfo.php?workbook=20_14.xlsx&amp;sheet=A0&amp;row=12&amp;col=6&amp;number=1.097&amp;sourceID=14","1.097")</f>
        <v>1.097</v>
      </c>
      <c r="G12" s="4" t="str">
        <f>HYPERLINK("http://141.218.60.56/~jnz1568/getInfo.php?workbook=20_14.xlsx&amp;sheet=A0&amp;row=12&amp;col=7&amp;number=0&amp;sourceID=14","0")</f>
        <v>0</v>
      </c>
    </row>
    <row r="13" spans="1:7">
      <c r="A13" s="3">
        <v>20</v>
      </c>
      <c r="B13" s="3">
        <v>14</v>
      </c>
      <c r="C13" s="3">
        <v>14</v>
      </c>
      <c r="D13" s="3">
        <v>1</v>
      </c>
      <c r="E13" s="3">
        <v>-397.941</v>
      </c>
      <c r="F13" s="4" t="str">
        <f>HYPERLINK("http://141.218.60.56/~jnz1568/getInfo.php?workbook=20_14.xlsx&amp;sheet=A0&amp;row=13&amp;col=6&amp;number=0.8239&amp;sourceID=14","0.8239")</f>
        <v>0.8239</v>
      </c>
      <c r="G13" s="4" t="str">
        <f>HYPERLINK("http://141.218.60.56/~jnz1568/getInfo.php?workbook=20_14.xlsx&amp;sheet=A0&amp;row=13&amp;col=7&amp;number=0&amp;sourceID=14","0")</f>
        <v>0</v>
      </c>
    </row>
    <row r="14" spans="1:7">
      <c r="A14" s="3">
        <v>20</v>
      </c>
      <c r="B14" s="3">
        <v>14</v>
      </c>
      <c r="C14" s="3">
        <v>17</v>
      </c>
      <c r="D14" s="3">
        <v>1</v>
      </c>
      <c r="E14" s="3">
        <v>396.056</v>
      </c>
      <c r="F14" s="4" t="str">
        <f>HYPERLINK("http://141.218.60.56/~jnz1568/getInfo.php?workbook=20_14.xlsx&amp;sheet=A0&amp;row=14&amp;col=6&amp;number=149100000&amp;sourceID=14","149100000")</f>
        <v>149100000</v>
      </c>
      <c r="G14" s="4" t="str">
        <f>HYPERLINK("http://141.218.60.56/~jnz1568/getInfo.php?workbook=20_14.xlsx&amp;sheet=A0&amp;row=14&amp;col=7&amp;number=0&amp;sourceID=14","0")</f>
        <v>0</v>
      </c>
    </row>
    <row r="15" spans="1:7">
      <c r="A15" s="3">
        <v>20</v>
      </c>
      <c r="B15" s="3">
        <v>14</v>
      </c>
      <c r="C15" s="3">
        <v>18</v>
      </c>
      <c r="D15" s="3">
        <v>1</v>
      </c>
      <c r="E15" s="3">
        <v>407.764</v>
      </c>
      <c r="F15" s="4" t="str">
        <f>HYPERLINK("http://141.218.60.56/~jnz1568/getInfo.php?workbook=20_14.xlsx&amp;sheet=A0&amp;row=15&amp;col=6&amp;number=3486000000&amp;sourceID=14","3486000000")</f>
        <v>3486000000</v>
      </c>
      <c r="G15" s="4" t="str">
        <f>HYPERLINK("http://141.218.60.56/~jnz1568/getInfo.php?workbook=20_14.xlsx&amp;sheet=A0&amp;row=15&amp;col=7&amp;number=0&amp;sourceID=14","0")</f>
        <v>0</v>
      </c>
    </row>
    <row r="16" spans="1:7">
      <c r="A16" s="3">
        <v>20</v>
      </c>
      <c r="B16" s="3">
        <v>14</v>
      </c>
      <c r="C16" s="3">
        <v>20</v>
      </c>
      <c r="D16" s="3">
        <v>1</v>
      </c>
      <c r="E16" s="3">
        <v>347.03</v>
      </c>
      <c r="F16" s="4" t="str">
        <f>HYPERLINK("http://141.218.60.56/~jnz1568/getInfo.php?workbook=20_14.xlsx&amp;sheet=A0&amp;row=16&amp;col=6&amp;number=12580000000&amp;sourceID=14","12580000000")</f>
        <v>12580000000</v>
      </c>
      <c r="G16" s="4" t="str">
        <f>HYPERLINK("http://141.218.60.56/~jnz1568/getInfo.php?workbook=20_14.xlsx&amp;sheet=A0&amp;row=16&amp;col=7&amp;number=0&amp;sourceID=14","0")</f>
        <v>0</v>
      </c>
    </row>
    <row r="17" spans="1:7">
      <c r="A17" s="3">
        <v>20</v>
      </c>
      <c r="B17" s="3">
        <v>14</v>
      </c>
      <c r="C17" s="3">
        <v>21</v>
      </c>
      <c r="D17" s="3">
        <v>1</v>
      </c>
      <c r="E17" s="3">
        <v>349.377</v>
      </c>
      <c r="F17" s="4" t="str">
        <f>HYPERLINK("http://141.218.60.56/~jnz1568/getInfo.php?workbook=20_14.xlsx&amp;sheet=A0&amp;row=17&amp;col=6&amp;number=2.891&amp;sourceID=14","2.891")</f>
        <v>2.891</v>
      </c>
      <c r="G17" s="4" t="str">
        <f>HYPERLINK("http://141.218.60.56/~jnz1568/getInfo.php?workbook=20_14.xlsx&amp;sheet=A0&amp;row=17&amp;col=7&amp;number=0&amp;sourceID=14","0")</f>
        <v>0</v>
      </c>
    </row>
    <row r="18" spans="1:7">
      <c r="A18" s="3">
        <v>20</v>
      </c>
      <c r="B18" s="3">
        <v>14</v>
      </c>
      <c r="C18" s="3">
        <v>22</v>
      </c>
      <c r="D18" s="3">
        <v>1</v>
      </c>
      <c r="E18" s="3">
        <v>-336.916</v>
      </c>
      <c r="F18" s="4" t="str">
        <f>HYPERLINK("http://141.218.60.56/~jnz1568/getInfo.php?workbook=20_14.xlsx&amp;sheet=A0&amp;row=18&amp;col=6&amp;number=0.002074&amp;sourceID=14","0.002074")</f>
        <v>0.002074</v>
      </c>
      <c r="G18" s="4" t="str">
        <f>HYPERLINK("http://141.218.60.56/~jnz1568/getInfo.php?workbook=20_14.xlsx&amp;sheet=A0&amp;row=18&amp;col=7&amp;number=0&amp;sourceID=14","0")</f>
        <v>0</v>
      </c>
    </row>
    <row r="19" spans="1:7">
      <c r="A19" s="3">
        <v>20</v>
      </c>
      <c r="B19" s="3">
        <v>14</v>
      </c>
      <c r="C19" s="3">
        <v>23</v>
      </c>
      <c r="D19" s="3">
        <v>1</v>
      </c>
      <c r="E19" s="3">
        <v>338.825</v>
      </c>
      <c r="F19" s="4" t="str">
        <f>HYPERLINK("http://141.218.60.56/~jnz1568/getInfo.php?workbook=20_14.xlsx&amp;sheet=A0&amp;row=19&amp;col=6&amp;number=17410000000&amp;sourceID=14","17410000000")</f>
        <v>17410000000</v>
      </c>
      <c r="G19" s="4" t="str">
        <f>HYPERLINK("http://141.218.60.56/~jnz1568/getInfo.php?workbook=20_14.xlsx&amp;sheet=A0&amp;row=19&amp;col=7&amp;number=0&amp;sourceID=14","0")</f>
        <v>0</v>
      </c>
    </row>
    <row r="20" spans="1:7">
      <c r="A20" s="3">
        <v>20</v>
      </c>
      <c r="B20" s="3">
        <v>14</v>
      </c>
      <c r="C20" s="3">
        <v>24</v>
      </c>
      <c r="D20" s="3">
        <v>1</v>
      </c>
      <c r="E20" s="3">
        <v>338.099</v>
      </c>
      <c r="F20" s="4" t="str">
        <f>HYPERLINK("http://141.218.60.56/~jnz1568/getInfo.php?workbook=20_14.xlsx&amp;sheet=A0&amp;row=20&amp;col=6&amp;number=6.225&amp;sourceID=14","6.225")</f>
        <v>6.225</v>
      </c>
      <c r="G20" s="4" t="str">
        <f>HYPERLINK("http://141.218.60.56/~jnz1568/getInfo.php?workbook=20_14.xlsx&amp;sheet=A0&amp;row=20&amp;col=7&amp;number=0&amp;sourceID=14","0")</f>
        <v>0</v>
      </c>
    </row>
    <row r="21" spans="1:7">
      <c r="A21" s="3">
        <v>20</v>
      </c>
      <c r="B21" s="3">
        <v>14</v>
      </c>
      <c r="C21" s="3">
        <v>27</v>
      </c>
      <c r="D21" s="3">
        <v>1</v>
      </c>
      <c r="E21" s="3">
        <v>299.85</v>
      </c>
      <c r="F21" s="4" t="str">
        <f>HYPERLINK("http://141.218.60.56/~jnz1568/getInfo.php?workbook=20_14.xlsx&amp;sheet=A0&amp;row=21&amp;col=6&amp;number=40910000&amp;sourceID=14","40910000")</f>
        <v>40910000</v>
      </c>
      <c r="G21" s="4" t="str">
        <f>HYPERLINK("http://141.218.60.56/~jnz1568/getInfo.php?workbook=20_14.xlsx&amp;sheet=A0&amp;row=21&amp;col=7&amp;number=0&amp;sourceID=14","0")</f>
        <v>0</v>
      </c>
    </row>
    <row r="22" spans="1:7">
      <c r="A22" s="3">
        <v>20</v>
      </c>
      <c r="B22" s="3">
        <v>14</v>
      </c>
      <c r="C22" s="3">
        <v>3</v>
      </c>
      <c r="D22" s="3">
        <v>2</v>
      </c>
      <c r="E22" s="3">
        <v>40874.794</v>
      </c>
      <c r="F22" s="4" t="str">
        <f>HYPERLINK("http://141.218.60.56/~jnz1568/getInfo.php?workbook=20_14.xlsx&amp;sheet=A0&amp;row=22&amp;col=6&amp;number=0.1956&amp;sourceID=14","0.1956")</f>
        <v>0.1956</v>
      </c>
      <c r="G22" s="4" t="str">
        <f>HYPERLINK("http://141.218.60.56/~jnz1568/getInfo.php?workbook=20_14.xlsx&amp;sheet=A0&amp;row=22&amp;col=7&amp;number=0&amp;sourceID=14","0")</f>
        <v>0</v>
      </c>
    </row>
    <row r="23" spans="1:7">
      <c r="A23" s="3">
        <v>20</v>
      </c>
      <c r="B23" s="3">
        <v>14</v>
      </c>
      <c r="C23" s="3">
        <v>4</v>
      </c>
      <c r="D23" s="3">
        <v>2</v>
      </c>
      <c r="E23" s="3">
        <v>4940.94</v>
      </c>
      <c r="F23" s="4" t="str">
        <f>HYPERLINK("http://141.218.60.56/~jnz1568/getInfo.php?workbook=20_14.xlsx&amp;sheet=A0&amp;row=23&amp;col=6&amp;number=1.076&amp;sourceID=14","1.076")</f>
        <v>1.076</v>
      </c>
      <c r="G23" s="4" t="str">
        <f>HYPERLINK("http://141.218.60.56/~jnz1568/getInfo.php?workbook=20_14.xlsx&amp;sheet=A0&amp;row=23&amp;col=7&amp;number=0&amp;sourceID=14","0")</f>
        <v>0</v>
      </c>
    </row>
    <row r="24" spans="1:7">
      <c r="A24" s="3">
        <v>20</v>
      </c>
      <c r="B24" s="3">
        <v>14</v>
      </c>
      <c r="C24" s="3">
        <v>5</v>
      </c>
      <c r="D24" s="3">
        <v>2</v>
      </c>
      <c r="E24" s="3">
        <v>2111.646</v>
      </c>
      <c r="F24" s="4" t="str">
        <f>HYPERLINK("http://141.218.60.56/~jnz1568/getInfo.php?workbook=20_14.xlsx&amp;sheet=A0&amp;row=24&amp;col=6&amp;number=34.74&amp;sourceID=14","34.74")</f>
        <v>34.74</v>
      </c>
      <c r="G24" s="4" t="str">
        <f>HYPERLINK("http://141.218.60.56/~jnz1568/getInfo.php?workbook=20_14.xlsx&amp;sheet=A0&amp;row=24&amp;col=7&amp;number=0&amp;sourceID=14","0")</f>
        <v>0</v>
      </c>
    </row>
    <row r="25" spans="1:7">
      <c r="A25" s="3">
        <v>20</v>
      </c>
      <c r="B25" s="3">
        <v>14</v>
      </c>
      <c r="C25" s="3">
        <v>6</v>
      </c>
      <c r="D25" s="3">
        <v>2</v>
      </c>
      <c r="E25" s="3">
        <v>-924.576</v>
      </c>
      <c r="F25" s="4" t="str">
        <f>HYPERLINK("http://141.218.60.56/~jnz1568/getInfo.php?workbook=20_14.xlsx&amp;sheet=A0&amp;row=25&amp;col=6&amp;number=162600&amp;sourceID=14","162600")</f>
        <v>162600</v>
      </c>
      <c r="G25" s="4" t="str">
        <f>HYPERLINK("http://141.218.60.56/~jnz1568/getInfo.php?workbook=20_14.xlsx&amp;sheet=A0&amp;row=25&amp;col=7&amp;number=0&amp;sourceID=14","0")</f>
        <v>0</v>
      </c>
    </row>
    <row r="26" spans="1:7">
      <c r="A26" s="3">
        <v>20</v>
      </c>
      <c r="B26" s="3">
        <v>14</v>
      </c>
      <c r="C26" s="3">
        <v>7</v>
      </c>
      <c r="D26" s="3">
        <v>2</v>
      </c>
      <c r="E26" s="3">
        <v>630.786</v>
      </c>
      <c r="F26" s="4" t="str">
        <f>HYPERLINK("http://141.218.60.56/~jnz1568/getInfo.php?workbook=20_14.xlsx&amp;sheet=A0&amp;row=26&amp;col=6&amp;number=161500000&amp;sourceID=14","161500000")</f>
        <v>161500000</v>
      </c>
      <c r="G26" s="4" t="str">
        <f>HYPERLINK("http://141.218.60.56/~jnz1568/getInfo.php?workbook=20_14.xlsx&amp;sheet=A0&amp;row=26&amp;col=7&amp;number=0&amp;sourceID=14","0")</f>
        <v>0</v>
      </c>
    </row>
    <row r="27" spans="1:7">
      <c r="A27" s="3">
        <v>20</v>
      </c>
      <c r="B27" s="3">
        <v>14</v>
      </c>
      <c r="C27" s="3">
        <v>8</v>
      </c>
      <c r="D27" s="3">
        <v>2</v>
      </c>
      <c r="E27" s="3">
        <v>630.537</v>
      </c>
      <c r="F27" s="4" t="str">
        <f>HYPERLINK("http://141.218.60.56/~jnz1568/getInfo.php?workbook=20_14.xlsx&amp;sheet=A0&amp;row=27&amp;col=6&amp;number=402400000&amp;sourceID=14","402400000")</f>
        <v>402400000</v>
      </c>
      <c r="G27" s="4" t="str">
        <f>HYPERLINK("http://141.218.60.56/~jnz1568/getInfo.php?workbook=20_14.xlsx&amp;sheet=A0&amp;row=27&amp;col=7&amp;number=0&amp;sourceID=14","0")</f>
        <v>0</v>
      </c>
    </row>
    <row r="28" spans="1:7">
      <c r="A28" s="3">
        <v>20</v>
      </c>
      <c r="B28" s="3">
        <v>14</v>
      </c>
      <c r="C28" s="3">
        <v>9</v>
      </c>
      <c r="D28" s="3">
        <v>2</v>
      </c>
      <c r="E28" s="3">
        <v>629.311</v>
      </c>
      <c r="F28" s="4" t="str">
        <f>HYPERLINK("http://141.218.60.56/~jnz1568/getInfo.php?workbook=20_14.xlsx&amp;sheet=A0&amp;row=28&amp;col=6&amp;number=0.4787&amp;sourceID=14","0.4787")</f>
        <v>0.4787</v>
      </c>
      <c r="G28" s="4" t="str">
        <f>HYPERLINK("http://141.218.60.56/~jnz1568/getInfo.php?workbook=20_14.xlsx&amp;sheet=A0&amp;row=28&amp;col=7&amp;number=0&amp;sourceID=14","0")</f>
        <v>0</v>
      </c>
    </row>
    <row r="29" spans="1:7">
      <c r="A29" s="3">
        <v>20</v>
      </c>
      <c r="B29" s="3">
        <v>14</v>
      </c>
      <c r="C29" s="3">
        <v>10</v>
      </c>
      <c r="D29" s="3">
        <v>2</v>
      </c>
      <c r="E29" s="3">
        <v>544.569</v>
      </c>
      <c r="F29" s="4" t="str">
        <f>HYPERLINK("http://141.218.60.56/~jnz1568/getInfo.php?workbook=20_14.xlsx&amp;sheet=A0&amp;row=29&amp;col=6&amp;number=1508000000&amp;sourceID=14","1508000000")</f>
        <v>1508000000</v>
      </c>
      <c r="G29" s="4" t="str">
        <f>HYPERLINK("http://141.218.60.56/~jnz1568/getInfo.php?workbook=20_14.xlsx&amp;sheet=A0&amp;row=29&amp;col=7&amp;number=0&amp;sourceID=14","0")</f>
        <v>0</v>
      </c>
    </row>
    <row r="30" spans="1:7">
      <c r="A30" s="3">
        <v>20</v>
      </c>
      <c r="B30" s="3">
        <v>14</v>
      </c>
      <c r="C30" s="3">
        <v>11</v>
      </c>
      <c r="D30" s="3">
        <v>2</v>
      </c>
      <c r="E30" s="3">
        <v>544.165</v>
      </c>
      <c r="F30" s="4" t="str">
        <f>HYPERLINK("http://141.218.60.56/~jnz1568/getInfo.php?workbook=20_14.xlsx&amp;sheet=A0&amp;row=30&amp;col=6&amp;number=479200000&amp;sourceID=14","479200000")</f>
        <v>479200000</v>
      </c>
      <c r="G30" s="4" t="str">
        <f>HYPERLINK("http://141.218.60.56/~jnz1568/getInfo.php?workbook=20_14.xlsx&amp;sheet=A0&amp;row=30&amp;col=7&amp;number=0&amp;sourceID=14","0")</f>
        <v>0</v>
      </c>
    </row>
    <row r="31" spans="1:7">
      <c r="A31" s="3">
        <v>20</v>
      </c>
      <c r="B31" s="3">
        <v>14</v>
      </c>
      <c r="C31" s="3">
        <v>12</v>
      </c>
      <c r="D31" s="3">
        <v>2</v>
      </c>
      <c r="E31" s="3">
        <v>544.108</v>
      </c>
      <c r="F31" s="4" t="str">
        <f>HYPERLINK("http://141.218.60.56/~jnz1568/getInfo.php?workbook=20_14.xlsx&amp;sheet=A0&amp;row=31&amp;col=6&amp;number=292800000&amp;sourceID=14","292800000")</f>
        <v>292800000</v>
      </c>
      <c r="G31" s="4" t="str">
        <f>HYPERLINK("http://141.218.60.56/~jnz1568/getInfo.php?workbook=20_14.xlsx&amp;sheet=A0&amp;row=31&amp;col=7&amp;number=0&amp;sourceID=14","0")</f>
        <v>0</v>
      </c>
    </row>
    <row r="32" spans="1:7">
      <c r="A32" s="3">
        <v>20</v>
      </c>
      <c r="B32" s="3">
        <v>14</v>
      </c>
      <c r="C32" s="3">
        <v>13</v>
      </c>
      <c r="D32" s="3">
        <v>2</v>
      </c>
      <c r="E32" s="3">
        <v>495.072</v>
      </c>
      <c r="F32" s="4" t="str">
        <f>HYPERLINK("http://141.218.60.56/~jnz1568/getInfo.php?workbook=20_14.xlsx&amp;sheet=A0&amp;row=32&amp;col=6&amp;number=5517000&amp;sourceID=14","5517000")</f>
        <v>5517000</v>
      </c>
      <c r="G32" s="4" t="str">
        <f>HYPERLINK("http://141.218.60.56/~jnz1568/getInfo.php?workbook=20_14.xlsx&amp;sheet=A0&amp;row=32&amp;col=7&amp;number=0&amp;sourceID=14","0")</f>
        <v>0</v>
      </c>
    </row>
    <row r="33" spans="1:7">
      <c r="A33" s="3">
        <v>20</v>
      </c>
      <c r="B33" s="3">
        <v>14</v>
      </c>
      <c r="C33" s="3">
        <v>14</v>
      </c>
      <c r="D33" s="3">
        <v>2</v>
      </c>
      <c r="E33" s="3">
        <v>-400.652</v>
      </c>
      <c r="F33" s="4" t="str">
        <f>HYPERLINK("http://141.218.60.56/~jnz1568/getInfo.php?workbook=20_14.xlsx&amp;sheet=A0&amp;row=33&amp;col=6&amp;number=7806000&amp;sourceID=14","7806000")</f>
        <v>7806000</v>
      </c>
      <c r="G33" s="4" t="str">
        <f>HYPERLINK("http://141.218.60.56/~jnz1568/getInfo.php?workbook=20_14.xlsx&amp;sheet=A0&amp;row=33&amp;col=7&amp;number=0&amp;sourceID=14","0")</f>
        <v>0</v>
      </c>
    </row>
    <row r="34" spans="1:7">
      <c r="A34" s="3">
        <v>20</v>
      </c>
      <c r="B34" s="3">
        <v>14</v>
      </c>
      <c r="C34" s="3">
        <v>15</v>
      </c>
      <c r="D34" s="3">
        <v>2</v>
      </c>
      <c r="E34" s="3">
        <v>-398.216</v>
      </c>
      <c r="F34" s="4" t="str">
        <f>HYPERLINK("http://141.218.60.56/~jnz1568/getInfo.php?workbook=20_14.xlsx&amp;sheet=A0&amp;row=34&amp;col=6&amp;number=1.26&amp;sourceID=14","1.26")</f>
        <v>1.26</v>
      </c>
      <c r="G34" s="4" t="str">
        <f>HYPERLINK("http://141.218.60.56/~jnz1568/getInfo.php?workbook=20_14.xlsx&amp;sheet=A0&amp;row=34&amp;col=7&amp;number=0&amp;sourceID=14","0")</f>
        <v>0</v>
      </c>
    </row>
    <row r="35" spans="1:7">
      <c r="A35" s="3">
        <v>20</v>
      </c>
      <c r="B35" s="3">
        <v>14</v>
      </c>
      <c r="C35" s="3">
        <v>17</v>
      </c>
      <c r="D35" s="3">
        <v>2</v>
      </c>
      <c r="E35" s="3">
        <v>398.622</v>
      </c>
      <c r="F35" s="4" t="str">
        <f>HYPERLINK("http://141.218.60.56/~jnz1568/getInfo.php?workbook=20_14.xlsx&amp;sheet=A0&amp;row=35&amp;col=6&amp;number=738900000&amp;sourceID=14","738900000")</f>
        <v>738900000</v>
      </c>
      <c r="G35" s="4" t="str">
        <f>HYPERLINK("http://141.218.60.56/~jnz1568/getInfo.php?workbook=20_14.xlsx&amp;sheet=A0&amp;row=35&amp;col=7&amp;number=0&amp;sourceID=14","0")</f>
        <v>0</v>
      </c>
    </row>
    <row r="36" spans="1:7">
      <c r="A36" s="3">
        <v>20</v>
      </c>
      <c r="B36" s="3">
        <v>14</v>
      </c>
      <c r="C36" s="3">
        <v>18</v>
      </c>
      <c r="D36" s="3">
        <v>2</v>
      </c>
      <c r="E36" s="3">
        <v>410.483</v>
      </c>
      <c r="F36" s="4" t="str">
        <f>HYPERLINK("http://141.218.60.56/~jnz1568/getInfo.php?workbook=20_14.xlsx&amp;sheet=A0&amp;row=36&amp;col=6&amp;number=9917000000&amp;sourceID=14","9917000000")</f>
        <v>9917000000</v>
      </c>
      <c r="G36" s="4" t="str">
        <f>HYPERLINK("http://141.218.60.56/~jnz1568/getInfo.php?workbook=20_14.xlsx&amp;sheet=A0&amp;row=36&amp;col=7&amp;number=0&amp;sourceID=14","0")</f>
        <v>0</v>
      </c>
    </row>
    <row r="37" spans="1:7">
      <c r="A37" s="3">
        <v>20</v>
      </c>
      <c r="B37" s="3">
        <v>14</v>
      </c>
      <c r="C37" s="3">
        <v>19</v>
      </c>
      <c r="D37" s="3">
        <v>2</v>
      </c>
      <c r="E37" s="3">
        <v>347.973</v>
      </c>
      <c r="F37" s="4" t="str">
        <f>HYPERLINK("http://141.218.60.56/~jnz1568/getInfo.php?workbook=20_14.xlsx&amp;sheet=A0&amp;row=37&amp;col=6&amp;number=25200000000&amp;sourceID=14","25200000000")</f>
        <v>25200000000</v>
      </c>
      <c r="G37" s="4" t="str">
        <f>HYPERLINK("http://141.218.60.56/~jnz1568/getInfo.php?workbook=20_14.xlsx&amp;sheet=A0&amp;row=37&amp;col=7&amp;number=0&amp;sourceID=14","0")</f>
        <v>0</v>
      </c>
    </row>
    <row r="38" spans="1:7">
      <c r="A38" s="3">
        <v>20</v>
      </c>
      <c r="B38" s="3">
        <v>14</v>
      </c>
      <c r="C38" s="3">
        <v>20</v>
      </c>
      <c r="D38" s="3">
        <v>2</v>
      </c>
      <c r="E38" s="3">
        <v>348.998</v>
      </c>
      <c r="F38" s="4" t="str">
        <f>HYPERLINK("http://141.218.60.56/~jnz1568/getInfo.php?workbook=20_14.xlsx&amp;sheet=A0&amp;row=38&amp;col=6&amp;number=3304000000&amp;sourceID=14","3304000000")</f>
        <v>3304000000</v>
      </c>
      <c r="G38" s="4" t="str">
        <f>HYPERLINK("http://141.218.60.56/~jnz1568/getInfo.php?workbook=20_14.xlsx&amp;sheet=A0&amp;row=38&amp;col=7&amp;number=0&amp;sourceID=14","0")</f>
        <v>0</v>
      </c>
    </row>
    <row r="39" spans="1:7">
      <c r="A39" s="3">
        <v>20</v>
      </c>
      <c r="B39" s="3">
        <v>14</v>
      </c>
      <c r="C39" s="3">
        <v>21</v>
      </c>
      <c r="D39" s="3">
        <v>2</v>
      </c>
      <c r="E39" s="3">
        <v>351.372</v>
      </c>
      <c r="F39" s="4" t="str">
        <f>HYPERLINK("http://141.218.60.56/~jnz1568/getInfo.php?workbook=20_14.xlsx&amp;sheet=A0&amp;row=39&amp;col=6&amp;number=9791000000&amp;sourceID=14","9791000000")</f>
        <v>9791000000</v>
      </c>
      <c r="G39" s="4" t="str">
        <f>HYPERLINK("http://141.218.60.56/~jnz1568/getInfo.php?workbook=20_14.xlsx&amp;sheet=A0&amp;row=39&amp;col=7&amp;number=0&amp;sourceID=14","0")</f>
        <v>0</v>
      </c>
    </row>
    <row r="40" spans="1:7">
      <c r="A40" s="3">
        <v>20</v>
      </c>
      <c r="B40" s="3">
        <v>14</v>
      </c>
      <c r="C40" s="3">
        <v>22</v>
      </c>
      <c r="D40" s="3">
        <v>2</v>
      </c>
      <c r="E40" s="3">
        <v>-338.857</v>
      </c>
      <c r="F40" s="4" t="str">
        <f>HYPERLINK("http://141.218.60.56/~jnz1568/getInfo.php?workbook=20_14.xlsx&amp;sheet=A0&amp;row=40&amp;col=6&amp;number=1135000000&amp;sourceID=14","1135000000")</f>
        <v>1135000000</v>
      </c>
      <c r="G40" s="4" t="str">
        <f>HYPERLINK("http://141.218.60.56/~jnz1568/getInfo.php?workbook=20_14.xlsx&amp;sheet=A0&amp;row=40&amp;col=7&amp;number=0&amp;sourceID=14","0")</f>
        <v>0</v>
      </c>
    </row>
    <row r="41" spans="1:7">
      <c r="A41" s="3">
        <v>20</v>
      </c>
      <c r="B41" s="3">
        <v>14</v>
      </c>
      <c r="C41" s="3">
        <v>23</v>
      </c>
      <c r="D41" s="3">
        <v>2</v>
      </c>
      <c r="E41" s="3">
        <v>340.701</v>
      </c>
      <c r="F41" s="4" t="str">
        <f>HYPERLINK("http://141.218.60.56/~jnz1568/getInfo.php?workbook=20_14.xlsx&amp;sheet=A0&amp;row=41&amp;col=6&amp;number=19180000000&amp;sourceID=14","19180000000")</f>
        <v>19180000000</v>
      </c>
      <c r="G41" s="4" t="str">
        <f>HYPERLINK("http://141.218.60.56/~jnz1568/getInfo.php?workbook=20_14.xlsx&amp;sheet=A0&amp;row=41&amp;col=7&amp;number=0&amp;sourceID=14","0")</f>
        <v>0</v>
      </c>
    </row>
    <row r="42" spans="1:7">
      <c r="A42" s="3">
        <v>20</v>
      </c>
      <c r="B42" s="3">
        <v>14</v>
      </c>
      <c r="C42" s="3">
        <v>24</v>
      </c>
      <c r="D42" s="3">
        <v>2</v>
      </c>
      <c r="E42" s="3">
        <v>339.967</v>
      </c>
      <c r="F42" s="4" t="str">
        <f>HYPERLINK("http://141.218.60.56/~jnz1568/getInfo.php?workbook=20_14.xlsx&amp;sheet=A0&amp;row=42&amp;col=6&amp;number=24290000000&amp;sourceID=14","24290000000")</f>
        <v>24290000000</v>
      </c>
      <c r="G42" s="4" t="str">
        <f>HYPERLINK("http://141.218.60.56/~jnz1568/getInfo.php?workbook=20_14.xlsx&amp;sheet=A0&amp;row=42&amp;col=7&amp;number=0&amp;sourceID=14","0")</f>
        <v>0</v>
      </c>
    </row>
    <row r="43" spans="1:7">
      <c r="A43" s="3">
        <v>20</v>
      </c>
      <c r="B43" s="3">
        <v>14</v>
      </c>
      <c r="C43" s="3">
        <v>25</v>
      </c>
      <c r="D43" s="3">
        <v>2</v>
      </c>
      <c r="E43" s="3">
        <v>339.551</v>
      </c>
      <c r="F43" s="4" t="str">
        <f>HYPERLINK("http://141.218.60.56/~jnz1568/getInfo.php?workbook=20_14.xlsx&amp;sheet=A0&amp;row=43&amp;col=6&amp;number=4.62&amp;sourceID=14","4.62")</f>
        <v>4.62</v>
      </c>
      <c r="G43" s="4" t="str">
        <f>HYPERLINK("http://141.218.60.56/~jnz1568/getInfo.php?workbook=20_14.xlsx&amp;sheet=A0&amp;row=43&amp;col=7&amp;number=0&amp;sourceID=14","0")</f>
        <v>0</v>
      </c>
    </row>
    <row r="44" spans="1:7">
      <c r="A44" s="3">
        <v>20</v>
      </c>
      <c r="B44" s="3">
        <v>14</v>
      </c>
      <c r="C44" s="3">
        <v>26</v>
      </c>
      <c r="D44" s="3">
        <v>2</v>
      </c>
      <c r="E44" s="3">
        <v>309.349</v>
      </c>
      <c r="F44" s="4" t="str">
        <f>HYPERLINK("http://141.218.60.56/~jnz1568/getInfo.php?workbook=20_14.xlsx&amp;sheet=A0&amp;row=44&amp;col=6&amp;number=0.02017&amp;sourceID=14","0.02017")</f>
        <v>0.02017</v>
      </c>
      <c r="G44" s="4" t="str">
        <f>HYPERLINK("http://141.218.60.56/~jnz1568/getInfo.php?workbook=20_14.xlsx&amp;sheet=A0&amp;row=44&amp;col=7&amp;number=0&amp;sourceID=14","0")</f>
        <v>0</v>
      </c>
    </row>
    <row r="45" spans="1:7">
      <c r="A45" s="3">
        <v>20</v>
      </c>
      <c r="B45" s="3">
        <v>14</v>
      </c>
      <c r="C45" s="3">
        <v>27</v>
      </c>
      <c r="D45" s="3">
        <v>2</v>
      </c>
      <c r="E45" s="3">
        <v>301.318</v>
      </c>
      <c r="F45" s="4" t="str">
        <f>HYPERLINK("http://141.218.60.56/~jnz1568/getInfo.php?workbook=20_14.xlsx&amp;sheet=A0&amp;row=45&amp;col=6&amp;number=14860000&amp;sourceID=14","14860000")</f>
        <v>14860000</v>
      </c>
      <c r="G45" s="4" t="str">
        <f>HYPERLINK("http://141.218.60.56/~jnz1568/getInfo.php?workbook=20_14.xlsx&amp;sheet=A0&amp;row=45&amp;col=7&amp;number=0&amp;sourceID=14","0")</f>
        <v>0</v>
      </c>
    </row>
    <row r="46" spans="1:7">
      <c r="A46" s="3">
        <v>20</v>
      </c>
      <c r="B46" s="3">
        <v>14</v>
      </c>
      <c r="C46" s="3">
        <v>4</v>
      </c>
      <c r="D46" s="3">
        <v>3</v>
      </c>
      <c r="E46" s="3">
        <v>5620.324</v>
      </c>
      <c r="F46" s="4" t="str">
        <f>HYPERLINK("http://141.218.60.56/~jnz1568/getInfo.php?workbook=20_14.xlsx&amp;sheet=A0&amp;row=46&amp;col=6&amp;number=2.174&amp;sourceID=14","2.174")</f>
        <v>2.174</v>
      </c>
      <c r="G46" s="4" t="str">
        <f>HYPERLINK("http://141.218.60.56/~jnz1568/getInfo.php?workbook=20_14.xlsx&amp;sheet=A0&amp;row=46&amp;col=7&amp;number=0&amp;sourceID=14","0")</f>
        <v>0</v>
      </c>
    </row>
    <row r="47" spans="1:7">
      <c r="A47" s="3">
        <v>20</v>
      </c>
      <c r="B47" s="3">
        <v>14</v>
      </c>
      <c r="C47" s="3">
        <v>5</v>
      </c>
      <c r="D47" s="3">
        <v>3</v>
      </c>
      <c r="E47" s="3">
        <v>2226.68</v>
      </c>
      <c r="F47" s="4" t="str">
        <f>HYPERLINK("http://141.218.60.56/~jnz1568/getInfo.php?workbook=20_14.xlsx&amp;sheet=A0&amp;row=47&amp;col=6&amp;number=0.1876&amp;sourceID=14","0.1876")</f>
        <v>0.1876</v>
      </c>
      <c r="G47" s="4" t="str">
        <f>HYPERLINK("http://141.218.60.56/~jnz1568/getInfo.php?workbook=20_14.xlsx&amp;sheet=A0&amp;row=47&amp;col=7&amp;number=0&amp;sourceID=14","0")</f>
        <v>0</v>
      </c>
    </row>
    <row r="48" spans="1:7">
      <c r="A48" s="3">
        <v>20</v>
      </c>
      <c r="B48" s="3">
        <v>14</v>
      </c>
      <c r="C48" s="3">
        <v>6</v>
      </c>
      <c r="D48" s="3">
        <v>3</v>
      </c>
      <c r="E48" s="3">
        <v>-947.031</v>
      </c>
      <c r="F48" s="4" t="str">
        <f>HYPERLINK("http://141.218.60.56/~jnz1568/getInfo.php?workbook=20_14.xlsx&amp;sheet=A0&amp;row=48&amp;col=6&amp;number=388000&amp;sourceID=14","388000")</f>
        <v>388000</v>
      </c>
      <c r="G48" s="4" t="str">
        <f>HYPERLINK("http://141.218.60.56/~jnz1568/getInfo.php?workbook=20_14.xlsx&amp;sheet=A0&amp;row=48&amp;col=7&amp;number=0&amp;sourceID=14","0")</f>
        <v>0</v>
      </c>
    </row>
    <row r="49" spans="1:7">
      <c r="A49" s="3">
        <v>20</v>
      </c>
      <c r="B49" s="3">
        <v>14</v>
      </c>
      <c r="C49" s="3">
        <v>7</v>
      </c>
      <c r="D49" s="3">
        <v>3</v>
      </c>
      <c r="E49" s="3">
        <v>640.673</v>
      </c>
      <c r="F49" s="4" t="str">
        <f>HYPERLINK("http://141.218.60.56/~jnz1568/getInfo.php?workbook=20_14.xlsx&amp;sheet=A0&amp;row=49&amp;col=6&amp;number=5826000&amp;sourceID=14","5826000")</f>
        <v>5826000</v>
      </c>
      <c r="G49" s="4" t="str">
        <f>HYPERLINK("http://141.218.60.56/~jnz1568/getInfo.php?workbook=20_14.xlsx&amp;sheet=A0&amp;row=49&amp;col=7&amp;number=0&amp;sourceID=14","0")</f>
        <v>0</v>
      </c>
    </row>
    <row r="50" spans="1:7">
      <c r="A50" s="3">
        <v>20</v>
      </c>
      <c r="B50" s="3">
        <v>14</v>
      </c>
      <c r="C50" s="3">
        <v>8</v>
      </c>
      <c r="D50" s="3">
        <v>3</v>
      </c>
      <c r="E50" s="3">
        <v>640.416</v>
      </c>
      <c r="F50" s="4" t="str">
        <f>HYPERLINK("http://141.218.60.56/~jnz1568/getInfo.php?workbook=20_14.xlsx&amp;sheet=A0&amp;row=50&amp;col=6&amp;number=64680000&amp;sourceID=14","64680000")</f>
        <v>64680000</v>
      </c>
      <c r="G50" s="4" t="str">
        <f>HYPERLINK("http://141.218.60.56/~jnz1568/getInfo.php?workbook=20_14.xlsx&amp;sheet=A0&amp;row=50&amp;col=7&amp;number=0&amp;sourceID=14","0")</f>
        <v>0</v>
      </c>
    </row>
    <row r="51" spans="1:7">
      <c r="A51" s="3">
        <v>20</v>
      </c>
      <c r="B51" s="3">
        <v>14</v>
      </c>
      <c r="C51" s="3">
        <v>9</v>
      </c>
      <c r="D51" s="3">
        <v>3</v>
      </c>
      <c r="E51" s="3">
        <v>639.151</v>
      </c>
      <c r="F51" s="4" t="str">
        <f>HYPERLINK("http://141.218.60.56/~jnz1568/getInfo.php?workbook=20_14.xlsx&amp;sheet=A0&amp;row=51&amp;col=6&amp;number=445000000&amp;sourceID=14","445000000")</f>
        <v>445000000</v>
      </c>
      <c r="G51" s="4" t="str">
        <f>HYPERLINK("http://141.218.60.56/~jnz1568/getInfo.php?workbook=20_14.xlsx&amp;sheet=A0&amp;row=51&amp;col=7&amp;number=0&amp;sourceID=14","0")</f>
        <v>0</v>
      </c>
    </row>
    <row r="52" spans="1:7">
      <c r="A52" s="3">
        <v>20</v>
      </c>
      <c r="B52" s="3">
        <v>14</v>
      </c>
      <c r="C52" s="3">
        <v>10</v>
      </c>
      <c r="D52" s="3">
        <v>3</v>
      </c>
      <c r="E52" s="3">
        <v>551.923</v>
      </c>
      <c r="F52" s="4" t="str">
        <f>HYPERLINK("http://141.218.60.56/~jnz1568/getInfo.php?workbook=20_14.xlsx&amp;sheet=A0&amp;row=52&amp;col=6&amp;number=1.83&amp;sourceID=14","1.83")</f>
        <v>1.83</v>
      </c>
      <c r="G52" s="4" t="str">
        <f>HYPERLINK("http://141.218.60.56/~jnz1568/getInfo.php?workbook=20_14.xlsx&amp;sheet=A0&amp;row=52&amp;col=7&amp;number=0&amp;sourceID=14","0")</f>
        <v>0</v>
      </c>
    </row>
    <row r="53" spans="1:7">
      <c r="A53" s="3">
        <v>20</v>
      </c>
      <c r="B53" s="3">
        <v>14</v>
      </c>
      <c r="C53" s="3">
        <v>11</v>
      </c>
      <c r="D53" s="3">
        <v>3</v>
      </c>
      <c r="E53" s="3">
        <v>551.508</v>
      </c>
      <c r="F53" s="4" t="str">
        <f>HYPERLINK("http://141.218.60.56/~jnz1568/getInfo.php?workbook=20_14.xlsx&amp;sheet=A0&amp;row=53&amp;col=6&amp;number=513100000&amp;sourceID=14","513100000")</f>
        <v>513100000</v>
      </c>
      <c r="G53" s="4" t="str">
        <f>HYPERLINK("http://141.218.60.56/~jnz1568/getInfo.php?workbook=20_14.xlsx&amp;sheet=A0&amp;row=53&amp;col=7&amp;number=0&amp;sourceID=14","0")</f>
        <v>0</v>
      </c>
    </row>
    <row r="54" spans="1:7">
      <c r="A54" s="3">
        <v>20</v>
      </c>
      <c r="B54" s="3">
        <v>14</v>
      </c>
      <c r="C54" s="3">
        <v>12</v>
      </c>
      <c r="D54" s="3">
        <v>3</v>
      </c>
      <c r="E54" s="3">
        <v>551.449</v>
      </c>
      <c r="F54" s="4" t="str">
        <f>HYPERLINK("http://141.218.60.56/~jnz1568/getInfo.php?workbook=20_14.xlsx&amp;sheet=A0&amp;row=54&amp;col=6&amp;number=1133000000&amp;sourceID=14","1133000000")</f>
        <v>1133000000</v>
      </c>
      <c r="G54" s="4" t="str">
        <f>HYPERLINK("http://141.218.60.56/~jnz1568/getInfo.php?workbook=20_14.xlsx&amp;sheet=A0&amp;row=54&amp;col=7&amp;number=0&amp;sourceID=14","0")</f>
        <v>0</v>
      </c>
    </row>
    <row r="55" spans="1:7">
      <c r="A55" s="3">
        <v>20</v>
      </c>
      <c r="B55" s="3">
        <v>14</v>
      </c>
      <c r="C55" s="3">
        <v>13</v>
      </c>
      <c r="D55" s="3">
        <v>3</v>
      </c>
      <c r="E55" s="3">
        <v>501.142</v>
      </c>
      <c r="F55" s="4" t="str">
        <f>HYPERLINK("http://141.218.60.56/~jnz1568/getInfo.php?workbook=20_14.xlsx&amp;sheet=A0&amp;row=55&amp;col=6&amp;number=1890000&amp;sourceID=14","1890000")</f>
        <v>1890000</v>
      </c>
      <c r="G55" s="4" t="str">
        <f>HYPERLINK("http://141.218.60.56/~jnz1568/getInfo.php?workbook=20_14.xlsx&amp;sheet=A0&amp;row=55&amp;col=7&amp;number=0&amp;sourceID=14","0")</f>
        <v>0</v>
      </c>
    </row>
    <row r="56" spans="1:7">
      <c r="A56" s="3">
        <v>20</v>
      </c>
      <c r="B56" s="3">
        <v>14</v>
      </c>
      <c r="C56" s="3">
        <v>14</v>
      </c>
      <c r="D56" s="3">
        <v>3</v>
      </c>
      <c r="E56" s="3">
        <v>-404.811</v>
      </c>
      <c r="F56" s="4" t="str">
        <f>HYPERLINK("http://141.218.60.56/~jnz1568/getInfo.php?workbook=20_14.xlsx&amp;sheet=A0&amp;row=56&amp;col=6&amp;number=4102000&amp;sourceID=14","4102000")</f>
        <v>4102000</v>
      </c>
      <c r="G56" s="4" t="str">
        <f>HYPERLINK("http://141.218.60.56/~jnz1568/getInfo.php?workbook=20_14.xlsx&amp;sheet=A0&amp;row=56&amp;col=7&amp;number=0&amp;sourceID=14","0")</f>
        <v>0</v>
      </c>
    </row>
    <row r="57" spans="1:7">
      <c r="A57" s="3">
        <v>20</v>
      </c>
      <c r="B57" s="3">
        <v>14</v>
      </c>
      <c r="C57" s="3">
        <v>15</v>
      </c>
      <c r="D57" s="3">
        <v>3</v>
      </c>
      <c r="E57" s="3">
        <v>-402.324</v>
      </c>
      <c r="F57" s="4" t="str">
        <f>HYPERLINK("http://141.218.60.56/~jnz1568/getInfo.php?workbook=20_14.xlsx&amp;sheet=A0&amp;row=57&amp;col=6&amp;number=17330000&amp;sourceID=14","17330000")</f>
        <v>17330000</v>
      </c>
      <c r="G57" s="4" t="str">
        <f>HYPERLINK("http://141.218.60.56/~jnz1568/getInfo.php?workbook=20_14.xlsx&amp;sheet=A0&amp;row=57&amp;col=7&amp;number=0&amp;sourceID=14","0")</f>
        <v>0</v>
      </c>
    </row>
    <row r="58" spans="1:7">
      <c r="A58" s="3">
        <v>20</v>
      </c>
      <c r="B58" s="3">
        <v>14</v>
      </c>
      <c r="C58" s="3">
        <v>16</v>
      </c>
      <c r="D58" s="3">
        <v>3</v>
      </c>
      <c r="E58" s="3">
        <v>-398.901</v>
      </c>
      <c r="F58" s="4" t="str">
        <f>HYPERLINK("http://141.218.60.56/~jnz1568/getInfo.php?workbook=20_14.xlsx&amp;sheet=A0&amp;row=58&amp;col=6&amp;number=2.623&amp;sourceID=14","2.623")</f>
        <v>2.623</v>
      </c>
      <c r="G58" s="4" t="str">
        <f>HYPERLINK("http://141.218.60.56/~jnz1568/getInfo.php?workbook=20_14.xlsx&amp;sheet=A0&amp;row=58&amp;col=7&amp;number=0&amp;sourceID=14","0")</f>
        <v>0</v>
      </c>
    </row>
    <row r="59" spans="1:7">
      <c r="A59" s="3">
        <v>20</v>
      </c>
      <c r="B59" s="3">
        <v>14</v>
      </c>
      <c r="C59" s="3">
        <v>17</v>
      </c>
      <c r="D59" s="3">
        <v>3</v>
      </c>
      <c r="E59" s="3">
        <v>402.547</v>
      </c>
      <c r="F59" s="4" t="str">
        <f>HYPERLINK("http://141.218.60.56/~jnz1568/getInfo.php?workbook=20_14.xlsx&amp;sheet=A0&amp;row=59&amp;col=6&amp;number=388900000&amp;sourceID=14","388900000")</f>
        <v>388900000</v>
      </c>
      <c r="G59" s="4" t="str">
        <f>HYPERLINK("http://141.218.60.56/~jnz1568/getInfo.php?workbook=20_14.xlsx&amp;sheet=A0&amp;row=59&amp;col=7&amp;number=0&amp;sourceID=14","0")</f>
        <v>0</v>
      </c>
    </row>
    <row r="60" spans="1:7">
      <c r="A60" s="3">
        <v>20</v>
      </c>
      <c r="B60" s="3">
        <v>14</v>
      </c>
      <c r="C60" s="3">
        <v>18</v>
      </c>
      <c r="D60" s="3">
        <v>3</v>
      </c>
      <c r="E60" s="3">
        <v>414.648</v>
      </c>
      <c r="F60" s="4" t="str">
        <f>HYPERLINK("http://141.218.60.56/~jnz1568/getInfo.php?workbook=20_14.xlsx&amp;sheet=A0&amp;row=60&amp;col=6&amp;number=16700000000&amp;sourceID=14","16700000000")</f>
        <v>16700000000</v>
      </c>
      <c r="G60" s="4" t="str">
        <f>HYPERLINK("http://141.218.60.56/~jnz1568/getInfo.php?workbook=20_14.xlsx&amp;sheet=A0&amp;row=60&amp;col=7&amp;number=0&amp;sourceID=14","0")</f>
        <v>0</v>
      </c>
    </row>
    <row r="61" spans="1:7">
      <c r="A61" s="3">
        <v>20</v>
      </c>
      <c r="B61" s="3">
        <v>14</v>
      </c>
      <c r="C61" s="3">
        <v>19</v>
      </c>
      <c r="D61" s="3">
        <v>3</v>
      </c>
      <c r="E61" s="3">
        <v>350.961</v>
      </c>
      <c r="F61" s="4" t="str">
        <f>HYPERLINK("http://141.218.60.56/~jnz1568/getInfo.php?workbook=20_14.xlsx&amp;sheet=A0&amp;row=61&amp;col=6&amp;number=14.96&amp;sourceID=14","14.96")</f>
        <v>14.96</v>
      </c>
      <c r="G61" s="4" t="str">
        <f>HYPERLINK("http://141.218.60.56/~jnz1568/getInfo.php?workbook=20_14.xlsx&amp;sheet=A0&amp;row=61&amp;col=7&amp;number=0&amp;sourceID=14","0")</f>
        <v>0</v>
      </c>
    </row>
    <row r="62" spans="1:7">
      <c r="A62" s="3">
        <v>20</v>
      </c>
      <c r="B62" s="3">
        <v>14</v>
      </c>
      <c r="C62" s="3">
        <v>20</v>
      </c>
      <c r="D62" s="3">
        <v>3</v>
      </c>
      <c r="E62" s="3">
        <v>352.003</v>
      </c>
      <c r="F62" s="4" t="str">
        <f>HYPERLINK("http://141.218.60.56/~jnz1568/getInfo.php?workbook=20_14.xlsx&amp;sheet=A0&amp;row=62&amp;col=6&amp;number=9271000000&amp;sourceID=14","9271000000")</f>
        <v>9271000000</v>
      </c>
      <c r="G62" s="4" t="str">
        <f>HYPERLINK("http://141.218.60.56/~jnz1568/getInfo.php?workbook=20_14.xlsx&amp;sheet=A0&amp;row=62&amp;col=7&amp;number=0&amp;sourceID=14","0")</f>
        <v>0</v>
      </c>
    </row>
    <row r="63" spans="1:7">
      <c r="A63" s="3">
        <v>20</v>
      </c>
      <c r="B63" s="3">
        <v>14</v>
      </c>
      <c r="C63" s="3">
        <v>21</v>
      </c>
      <c r="D63" s="3">
        <v>3</v>
      </c>
      <c r="E63" s="3">
        <v>354.419</v>
      </c>
      <c r="F63" s="4" t="str">
        <f>HYPERLINK("http://141.218.60.56/~jnz1568/getInfo.php?workbook=20_14.xlsx&amp;sheet=A0&amp;row=63&amp;col=6&amp;number=13480000000&amp;sourceID=14","13480000000")</f>
        <v>13480000000</v>
      </c>
      <c r="G63" s="4" t="str">
        <f>HYPERLINK("http://141.218.60.56/~jnz1568/getInfo.php?workbook=20_14.xlsx&amp;sheet=A0&amp;row=63&amp;col=7&amp;number=0&amp;sourceID=14","0")</f>
        <v>0</v>
      </c>
    </row>
    <row r="64" spans="1:7">
      <c r="A64" s="3">
        <v>20</v>
      </c>
      <c r="B64" s="3">
        <v>14</v>
      </c>
      <c r="C64" s="3">
        <v>22</v>
      </c>
      <c r="D64" s="3">
        <v>3</v>
      </c>
      <c r="E64" s="3">
        <v>-341.827</v>
      </c>
      <c r="F64" s="4" t="str">
        <f>HYPERLINK("http://141.218.60.56/~jnz1568/getInfo.php?workbook=20_14.xlsx&amp;sheet=A0&amp;row=64&amp;col=6&amp;number=517900000&amp;sourceID=14","517900000")</f>
        <v>517900000</v>
      </c>
      <c r="G64" s="4" t="str">
        <f>HYPERLINK("http://141.218.60.56/~jnz1568/getInfo.php?workbook=20_14.xlsx&amp;sheet=A0&amp;row=64&amp;col=7&amp;number=0&amp;sourceID=14","0")</f>
        <v>0</v>
      </c>
    </row>
    <row r="65" spans="1:7">
      <c r="A65" s="3">
        <v>20</v>
      </c>
      <c r="B65" s="3">
        <v>14</v>
      </c>
      <c r="C65" s="3">
        <v>23</v>
      </c>
      <c r="D65" s="3">
        <v>3</v>
      </c>
      <c r="E65" s="3">
        <v>343.565</v>
      </c>
      <c r="F65" s="4" t="str">
        <f>HYPERLINK("http://141.218.60.56/~jnz1568/getInfo.php?workbook=20_14.xlsx&amp;sheet=A0&amp;row=65&amp;col=6&amp;number=2331000000&amp;sourceID=14","2331000000")</f>
        <v>2331000000</v>
      </c>
      <c r="G65" s="4" t="str">
        <f>HYPERLINK("http://141.218.60.56/~jnz1568/getInfo.php?workbook=20_14.xlsx&amp;sheet=A0&amp;row=65&amp;col=7&amp;number=0&amp;sourceID=14","0")</f>
        <v>0</v>
      </c>
    </row>
    <row r="66" spans="1:7">
      <c r="A66" s="3">
        <v>20</v>
      </c>
      <c r="B66" s="3">
        <v>14</v>
      </c>
      <c r="C66" s="3">
        <v>24</v>
      </c>
      <c r="D66" s="3">
        <v>3</v>
      </c>
      <c r="E66" s="3">
        <v>342.818</v>
      </c>
      <c r="F66" s="4" t="str">
        <f>HYPERLINK("http://141.218.60.56/~jnz1568/getInfo.php?workbook=20_14.xlsx&amp;sheet=A0&amp;row=66&amp;col=6&amp;number=14220000000&amp;sourceID=14","14220000000")</f>
        <v>14220000000</v>
      </c>
      <c r="G66" s="4" t="str">
        <f>HYPERLINK("http://141.218.60.56/~jnz1568/getInfo.php?workbook=20_14.xlsx&amp;sheet=A0&amp;row=66&amp;col=7&amp;number=0&amp;sourceID=14","0")</f>
        <v>0</v>
      </c>
    </row>
    <row r="67" spans="1:7">
      <c r="A67" s="3">
        <v>20</v>
      </c>
      <c r="B67" s="3">
        <v>14</v>
      </c>
      <c r="C67" s="3">
        <v>25</v>
      </c>
      <c r="D67" s="3">
        <v>3</v>
      </c>
      <c r="E67" s="3">
        <v>342.395</v>
      </c>
      <c r="F67" s="4" t="str">
        <f>HYPERLINK("http://141.218.60.56/~jnz1568/getInfo.php?workbook=20_14.xlsx&amp;sheet=A0&amp;row=67&amp;col=6&amp;number=38230000000&amp;sourceID=14","38230000000")</f>
        <v>38230000000</v>
      </c>
      <c r="G67" s="4" t="str">
        <f>HYPERLINK("http://141.218.60.56/~jnz1568/getInfo.php?workbook=20_14.xlsx&amp;sheet=A0&amp;row=67&amp;col=7&amp;number=0&amp;sourceID=14","0")</f>
        <v>0</v>
      </c>
    </row>
    <row r="68" spans="1:7">
      <c r="A68" s="3">
        <v>20</v>
      </c>
      <c r="B68" s="3">
        <v>14</v>
      </c>
      <c r="C68" s="3">
        <v>26</v>
      </c>
      <c r="D68" s="3">
        <v>3</v>
      </c>
      <c r="E68" s="3">
        <v>311.708</v>
      </c>
      <c r="F68" s="4" t="str">
        <f>HYPERLINK("http://141.218.60.56/~jnz1568/getInfo.php?workbook=20_14.xlsx&amp;sheet=A0&amp;row=68&amp;col=6&amp;number=200000000&amp;sourceID=14","200000000")</f>
        <v>200000000</v>
      </c>
      <c r="G68" s="4" t="str">
        <f>HYPERLINK("http://141.218.60.56/~jnz1568/getInfo.php?workbook=20_14.xlsx&amp;sheet=A0&amp;row=68&amp;col=7&amp;number=0&amp;sourceID=14","0")</f>
        <v>0</v>
      </c>
    </row>
    <row r="69" spans="1:7">
      <c r="A69" s="3">
        <v>20</v>
      </c>
      <c r="B69" s="3">
        <v>14</v>
      </c>
      <c r="C69" s="3">
        <v>27</v>
      </c>
      <c r="D69" s="3">
        <v>3</v>
      </c>
      <c r="E69" s="3">
        <v>303.556</v>
      </c>
      <c r="F69" s="4" t="str">
        <f>HYPERLINK("http://141.218.60.56/~jnz1568/getInfo.php?workbook=20_14.xlsx&amp;sheet=A0&amp;row=69&amp;col=6&amp;number=404200&amp;sourceID=14","404200")</f>
        <v>404200</v>
      </c>
      <c r="G69" s="4" t="str">
        <f>HYPERLINK("http://141.218.60.56/~jnz1568/getInfo.php?workbook=20_14.xlsx&amp;sheet=A0&amp;row=69&amp;col=7&amp;number=0&amp;sourceID=14","0")</f>
        <v>0</v>
      </c>
    </row>
    <row r="70" spans="1:7">
      <c r="A70" s="3">
        <v>20</v>
      </c>
      <c r="B70" s="3">
        <v>14</v>
      </c>
      <c r="C70" s="3">
        <v>5</v>
      </c>
      <c r="D70" s="3">
        <v>4</v>
      </c>
      <c r="E70" s="3">
        <v>3687.676</v>
      </c>
      <c r="F70" s="4" t="str">
        <f>HYPERLINK("http://141.218.60.56/~jnz1568/getInfo.php?workbook=20_14.xlsx&amp;sheet=A0&amp;row=70&amp;col=6&amp;number=4.379&amp;sourceID=14","4.379")</f>
        <v>4.379</v>
      </c>
      <c r="G70" s="4" t="str">
        <f>HYPERLINK("http://141.218.60.56/~jnz1568/getInfo.php?workbook=20_14.xlsx&amp;sheet=A0&amp;row=70&amp;col=7&amp;number=0&amp;sourceID=14","0")</f>
        <v>0</v>
      </c>
    </row>
    <row r="71" spans="1:7">
      <c r="A71" s="3">
        <v>20</v>
      </c>
      <c r="B71" s="3">
        <v>14</v>
      </c>
      <c r="C71" s="3">
        <v>6</v>
      </c>
      <c r="D71" s="3">
        <v>4</v>
      </c>
      <c r="E71" s="3">
        <v>-1170.008</v>
      </c>
      <c r="F71" s="4" t="str">
        <f>HYPERLINK("http://141.218.60.56/~jnz1568/getInfo.php?workbook=20_14.xlsx&amp;sheet=A0&amp;row=71&amp;col=6&amp;number=896.1&amp;sourceID=14","896.1")</f>
        <v>896.1</v>
      </c>
      <c r="G71" s="4" t="str">
        <f>HYPERLINK("http://141.218.60.56/~jnz1568/getInfo.php?workbook=20_14.xlsx&amp;sheet=A0&amp;row=71&amp;col=7&amp;number=0&amp;sourceID=14","0")</f>
        <v>0</v>
      </c>
    </row>
    <row r="72" spans="1:7">
      <c r="A72" s="3">
        <v>20</v>
      </c>
      <c r="B72" s="3">
        <v>14</v>
      </c>
      <c r="C72" s="3">
        <v>7</v>
      </c>
      <c r="D72" s="3">
        <v>4</v>
      </c>
      <c r="E72" s="3">
        <v>723.101</v>
      </c>
      <c r="F72" s="4" t="str">
        <f>HYPERLINK("http://141.218.60.56/~jnz1568/getInfo.php?workbook=20_14.xlsx&amp;sheet=A0&amp;row=72&amp;col=6&amp;number=1432000&amp;sourceID=14","1432000")</f>
        <v>1432000</v>
      </c>
      <c r="G72" s="4" t="str">
        <f>HYPERLINK("http://141.218.60.56/~jnz1568/getInfo.php?workbook=20_14.xlsx&amp;sheet=A0&amp;row=72&amp;col=7&amp;number=0&amp;sourceID=14","0")</f>
        <v>0</v>
      </c>
    </row>
    <row r="73" spans="1:7">
      <c r="A73" s="3">
        <v>20</v>
      </c>
      <c r="B73" s="3">
        <v>14</v>
      </c>
      <c r="C73" s="3">
        <v>8</v>
      </c>
      <c r="D73" s="3">
        <v>4</v>
      </c>
      <c r="E73" s="3">
        <v>722.773</v>
      </c>
      <c r="F73" s="4" t="str">
        <f>HYPERLINK("http://141.218.60.56/~jnz1568/getInfo.php?workbook=20_14.xlsx&amp;sheet=A0&amp;row=73&amp;col=6&amp;number=527800&amp;sourceID=14","527800")</f>
        <v>527800</v>
      </c>
      <c r="G73" s="4" t="str">
        <f>HYPERLINK("http://141.218.60.56/~jnz1568/getInfo.php?workbook=20_14.xlsx&amp;sheet=A0&amp;row=73&amp;col=7&amp;number=0&amp;sourceID=14","0")</f>
        <v>0</v>
      </c>
    </row>
    <row r="74" spans="1:7">
      <c r="A74" s="3">
        <v>20</v>
      </c>
      <c r="B74" s="3">
        <v>14</v>
      </c>
      <c r="C74" s="3">
        <v>9</v>
      </c>
      <c r="D74" s="3">
        <v>4</v>
      </c>
      <c r="E74" s="3">
        <v>721.163</v>
      </c>
      <c r="F74" s="4" t="str">
        <f>HYPERLINK("http://141.218.60.56/~jnz1568/getInfo.php?workbook=20_14.xlsx&amp;sheet=A0&amp;row=74&amp;col=6&amp;number=3322000&amp;sourceID=14","3322000")</f>
        <v>3322000</v>
      </c>
      <c r="G74" s="4" t="str">
        <f>HYPERLINK("http://141.218.60.56/~jnz1568/getInfo.php?workbook=20_14.xlsx&amp;sheet=A0&amp;row=74&amp;col=7&amp;number=0&amp;sourceID=14","0")</f>
        <v>0</v>
      </c>
    </row>
    <row r="75" spans="1:7">
      <c r="A75" s="3">
        <v>20</v>
      </c>
      <c r="B75" s="3">
        <v>14</v>
      </c>
      <c r="C75" s="3">
        <v>10</v>
      </c>
      <c r="D75" s="3">
        <v>4</v>
      </c>
      <c r="E75" s="3">
        <v>612.024</v>
      </c>
      <c r="F75" s="4" t="str">
        <f>HYPERLINK("http://141.218.60.56/~jnz1568/getInfo.php?workbook=20_14.xlsx&amp;sheet=A0&amp;row=75&amp;col=6&amp;number=0.298&amp;sourceID=14","0.298")</f>
        <v>0.298</v>
      </c>
      <c r="G75" s="4" t="str">
        <f>HYPERLINK("http://141.218.60.56/~jnz1568/getInfo.php?workbook=20_14.xlsx&amp;sheet=A0&amp;row=75&amp;col=7&amp;number=0&amp;sourceID=14","0")</f>
        <v>0</v>
      </c>
    </row>
    <row r="76" spans="1:7">
      <c r="A76" s="3">
        <v>20</v>
      </c>
      <c r="B76" s="3">
        <v>14</v>
      </c>
      <c r="C76" s="3">
        <v>11</v>
      </c>
      <c r="D76" s="3">
        <v>4</v>
      </c>
      <c r="E76" s="3">
        <v>611.514</v>
      </c>
      <c r="F76" s="4" t="str">
        <f>HYPERLINK("http://141.218.60.56/~jnz1568/getInfo.php?workbook=20_14.xlsx&amp;sheet=A0&amp;row=76&amp;col=6&amp;number=3653000&amp;sourceID=14","3653000")</f>
        <v>3653000</v>
      </c>
      <c r="G76" s="4" t="str">
        <f>HYPERLINK("http://141.218.60.56/~jnz1568/getInfo.php?workbook=20_14.xlsx&amp;sheet=A0&amp;row=76&amp;col=7&amp;number=0&amp;sourceID=14","0")</f>
        <v>0</v>
      </c>
    </row>
    <row r="77" spans="1:7">
      <c r="A77" s="3">
        <v>20</v>
      </c>
      <c r="B77" s="3">
        <v>14</v>
      </c>
      <c r="C77" s="3">
        <v>12</v>
      </c>
      <c r="D77" s="3">
        <v>4</v>
      </c>
      <c r="E77" s="3">
        <v>611.442</v>
      </c>
      <c r="F77" s="4" t="str">
        <f>HYPERLINK("http://141.218.60.56/~jnz1568/getInfo.php?workbook=20_14.xlsx&amp;sheet=A0&amp;row=77&amp;col=6&amp;number=1086000&amp;sourceID=14","1086000")</f>
        <v>1086000</v>
      </c>
      <c r="G77" s="4" t="str">
        <f>HYPERLINK("http://141.218.60.56/~jnz1568/getInfo.php?workbook=20_14.xlsx&amp;sheet=A0&amp;row=77&amp;col=7&amp;number=0&amp;sourceID=14","0")</f>
        <v>0</v>
      </c>
    </row>
    <row r="78" spans="1:7">
      <c r="A78" s="3">
        <v>20</v>
      </c>
      <c r="B78" s="3">
        <v>14</v>
      </c>
      <c r="C78" s="3">
        <v>13</v>
      </c>
      <c r="D78" s="3">
        <v>4</v>
      </c>
      <c r="E78" s="3">
        <v>550.201</v>
      </c>
      <c r="F78" s="4" t="str">
        <f>HYPERLINK("http://141.218.60.56/~jnz1568/getInfo.php?workbook=20_14.xlsx&amp;sheet=A0&amp;row=78&amp;col=6&amp;number=1825000000&amp;sourceID=14","1825000000")</f>
        <v>1825000000</v>
      </c>
      <c r="G78" s="4" t="str">
        <f>HYPERLINK("http://141.218.60.56/~jnz1568/getInfo.php?workbook=20_14.xlsx&amp;sheet=A0&amp;row=78&amp;col=7&amp;number=0&amp;sourceID=14","0")</f>
        <v>0</v>
      </c>
    </row>
    <row r="79" spans="1:7">
      <c r="A79" s="3">
        <v>20</v>
      </c>
      <c r="B79" s="3">
        <v>14</v>
      </c>
      <c r="C79" s="3">
        <v>14</v>
      </c>
      <c r="D79" s="3">
        <v>4</v>
      </c>
      <c r="E79" s="3">
        <v>-440.713</v>
      </c>
      <c r="F79" s="4" t="str">
        <f>HYPERLINK("http://141.218.60.56/~jnz1568/getInfo.php?workbook=20_14.xlsx&amp;sheet=A0&amp;row=79&amp;col=6&amp;number=19610000&amp;sourceID=14","19610000")</f>
        <v>19610000</v>
      </c>
      <c r="G79" s="4" t="str">
        <f>HYPERLINK("http://141.218.60.56/~jnz1568/getInfo.php?workbook=20_14.xlsx&amp;sheet=A0&amp;row=79&amp;col=7&amp;number=0&amp;sourceID=14","0")</f>
        <v>0</v>
      </c>
    </row>
    <row r="80" spans="1:7">
      <c r="A80" s="3">
        <v>20</v>
      </c>
      <c r="B80" s="3">
        <v>14</v>
      </c>
      <c r="C80" s="3">
        <v>15</v>
      </c>
      <c r="D80" s="3">
        <v>4</v>
      </c>
      <c r="E80" s="3">
        <v>-437.767</v>
      </c>
      <c r="F80" s="4" t="str">
        <f>HYPERLINK("http://141.218.60.56/~jnz1568/getInfo.php?workbook=20_14.xlsx&amp;sheet=A0&amp;row=80&amp;col=6&amp;number=4495000&amp;sourceID=14","4495000")</f>
        <v>4495000</v>
      </c>
      <c r="G80" s="4" t="str">
        <f>HYPERLINK("http://141.218.60.56/~jnz1568/getInfo.php?workbook=20_14.xlsx&amp;sheet=A0&amp;row=80&amp;col=7&amp;number=0&amp;sourceID=14","0")</f>
        <v>0</v>
      </c>
    </row>
    <row r="81" spans="1:7">
      <c r="A81" s="3">
        <v>20</v>
      </c>
      <c r="B81" s="3">
        <v>14</v>
      </c>
      <c r="C81" s="3">
        <v>16</v>
      </c>
      <c r="D81" s="3">
        <v>4</v>
      </c>
      <c r="E81" s="3">
        <v>-433.717</v>
      </c>
      <c r="F81" s="4" t="str">
        <f>HYPERLINK("http://141.218.60.56/~jnz1568/getInfo.php?workbook=20_14.xlsx&amp;sheet=A0&amp;row=81&amp;col=6&amp;number=5.147&amp;sourceID=14","5.147")</f>
        <v>5.147</v>
      </c>
      <c r="G81" s="4" t="str">
        <f>HYPERLINK("http://141.218.60.56/~jnz1568/getInfo.php?workbook=20_14.xlsx&amp;sheet=A0&amp;row=81&amp;col=7&amp;number=0&amp;sourceID=14","0")</f>
        <v>0</v>
      </c>
    </row>
    <row r="82" spans="1:7">
      <c r="A82" s="3">
        <v>20</v>
      </c>
      <c r="B82" s="3">
        <v>14</v>
      </c>
      <c r="C82" s="3">
        <v>17</v>
      </c>
      <c r="D82" s="3">
        <v>4</v>
      </c>
      <c r="E82" s="3">
        <v>433.603</v>
      </c>
      <c r="F82" s="4" t="str">
        <f>HYPERLINK("http://141.218.60.56/~jnz1568/getInfo.php?workbook=20_14.xlsx&amp;sheet=A0&amp;row=82&amp;col=6&amp;number=14700000000&amp;sourceID=14","14700000000")</f>
        <v>14700000000</v>
      </c>
      <c r="G82" s="4" t="str">
        <f>HYPERLINK("http://141.218.60.56/~jnz1568/getInfo.php?workbook=20_14.xlsx&amp;sheet=A0&amp;row=82&amp;col=7&amp;number=0&amp;sourceID=14","0")</f>
        <v>0</v>
      </c>
    </row>
    <row r="83" spans="1:7">
      <c r="A83" s="3">
        <v>20</v>
      </c>
      <c r="B83" s="3">
        <v>14</v>
      </c>
      <c r="C83" s="3">
        <v>18</v>
      </c>
      <c r="D83" s="3">
        <v>4</v>
      </c>
      <c r="E83" s="3">
        <v>447.675</v>
      </c>
      <c r="F83" s="4" t="str">
        <f>HYPERLINK("http://141.218.60.56/~jnz1568/getInfo.php?workbook=20_14.xlsx&amp;sheet=A0&amp;row=83&amp;col=6&amp;number=320200000&amp;sourceID=14","320200000")</f>
        <v>320200000</v>
      </c>
      <c r="G83" s="4" t="str">
        <f>HYPERLINK("http://141.218.60.56/~jnz1568/getInfo.php?workbook=20_14.xlsx&amp;sheet=A0&amp;row=83&amp;col=7&amp;number=0&amp;sourceID=14","0")</f>
        <v>0</v>
      </c>
    </row>
    <row r="84" spans="1:7">
      <c r="A84" s="3">
        <v>20</v>
      </c>
      <c r="B84" s="3">
        <v>14</v>
      </c>
      <c r="C84" s="3">
        <v>19</v>
      </c>
      <c r="D84" s="3">
        <v>4</v>
      </c>
      <c r="E84" s="3">
        <v>374.336</v>
      </c>
      <c r="F84" s="4" t="str">
        <f>HYPERLINK("http://141.218.60.56/~jnz1568/getInfo.php?workbook=20_14.xlsx&amp;sheet=A0&amp;row=84&amp;col=6&amp;number=2.766&amp;sourceID=14","2.766")</f>
        <v>2.766</v>
      </c>
      <c r="G84" s="4" t="str">
        <f>HYPERLINK("http://141.218.60.56/~jnz1568/getInfo.php?workbook=20_14.xlsx&amp;sheet=A0&amp;row=84&amp;col=7&amp;number=0&amp;sourceID=14","0")</f>
        <v>0</v>
      </c>
    </row>
    <row r="85" spans="1:7">
      <c r="A85" s="3">
        <v>20</v>
      </c>
      <c r="B85" s="3">
        <v>14</v>
      </c>
      <c r="C85" s="3">
        <v>20</v>
      </c>
      <c r="D85" s="3">
        <v>4</v>
      </c>
      <c r="E85" s="3">
        <v>375.523</v>
      </c>
      <c r="F85" s="4" t="str">
        <f>HYPERLINK("http://141.218.60.56/~jnz1568/getInfo.php?workbook=20_14.xlsx&amp;sheet=A0&amp;row=85&amp;col=6&amp;number=104900000&amp;sourceID=14","104900000")</f>
        <v>104900000</v>
      </c>
      <c r="G85" s="4" t="str">
        <f>HYPERLINK("http://141.218.60.56/~jnz1568/getInfo.php?workbook=20_14.xlsx&amp;sheet=A0&amp;row=85&amp;col=7&amp;number=0&amp;sourceID=14","0")</f>
        <v>0</v>
      </c>
    </row>
    <row r="86" spans="1:7">
      <c r="A86" s="3">
        <v>20</v>
      </c>
      <c r="B86" s="3">
        <v>14</v>
      </c>
      <c r="C86" s="3">
        <v>21</v>
      </c>
      <c r="D86" s="3">
        <v>4</v>
      </c>
      <c r="E86" s="3">
        <v>378.273</v>
      </c>
      <c r="F86" s="4" t="str">
        <f>HYPERLINK("http://141.218.60.56/~jnz1568/getInfo.php?workbook=20_14.xlsx&amp;sheet=A0&amp;row=86&amp;col=6&amp;number=2262000000&amp;sourceID=14","2262000000")</f>
        <v>2262000000</v>
      </c>
      <c r="G86" s="4" t="str">
        <f>HYPERLINK("http://141.218.60.56/~jnz1568/getInfo.php?workbook=20_14.xlsx&amp;sheet=A0&amp;row=86&amp;col=7&amp;number=0&amp;sourceID=14","0")</f>
        <v>0</v>
      </c>
    </row>
    <row r="87" spans="1:7">
      <c r="A87" s="3">
        <v>20</v>
      </c>
      <c r="B87" s="3">
        <v>14</v>
      </c>
      <c r="C87" s="3">
        <v>22</v>
      </c>
      <c r="D87" s="3">
        <v>4</v>
      </c>
      <c r="E87" s="3">
        <v>-367.078</v>
      </c>
      <c r="F87" s="4" t="str">
        <f>HYPERLINK("http://141.218.60.56/~jnz1568/getInfo.php?workbook=20_14.xlsx&amp;sheet=A0&amp;row=87&amp;col=6&amp;number=31700000000&amp;sourceID=14","31700000000")</f>
        <v>31700000000</v>
      </c>
      <c r="G87" s="4" t="str">
        <f>HYPERLINK("http://141.218.60.56/~jnz1568/getInfo.php?workbook=20_14.xlsx&amp;sheet=A0&amp;row=87&amp;col=7&amp;number=0&amp;sourceID=14","0")</f>
        <v>0</v>
      </c>
    </row>
    <row r="88" spans="1:7">
      <c r="A88" s="3">
        <v>20</v>
      </c>
      <c r="B88" s="3">
        <v>14</v>
      </c>
      <c r="C88" s="3">
        <v>23</v>
      </c>
      <c r="D88" s="3">
        <v>4</v>
      </c>
      <c r="E88" s="3">
        <v>365.934</v>
      </c>
      <c r="F88" s="4" t="str">
        <f>HYPERLINK("http://141.218.60.56/~jnz1568/getInfo.php?workbook=20_14.xlsx&amp;sheet=A0&amp;row=88&amp;col=6&amp;number=28570000&amp;sourceID=14","28570000")</f>
        <v>28570000</v>
      </c>
      <c r="G88" s="4" t="str">
        <f>HYPERLINK("http://141.218.60.56/~jnz1568/getInfo.php?workbook=20_14.xlsx&amp;sheet=A0&amp;row=88&amp;col=7&amp;number=0&amp;sourceID=14","0")</f>
        <v>0</v>
      </c>
    </row>
    <row r="89" spans="1:7">
      <c r="A89" s="3">
        <v>20</v>
      </c>
      <c r="B89" s="3">
        <v>14</v>
      </c>
      <c r="C89" s="3">
        <v>24</v>
      </c>
      <c r="D89" s="3">
        <v>4</v>
      </c>
      <c r="E89" s="3">
        <v>365.087</v>
      </c>
      <c r="F89" s="4" t="str">
        <f>HYPERLINK("http://141.218.60.56/~jnz1568/getInfo.php?workbook=20_14.xlsx&amp;sheet=A0&amp;row=89&amp;col=6&amp;number=70500000&amp;sourceID=14","70500000")</f>
        <v>70500000</v>
      </c>
      <c r="G89" s="4" t="str">
        <f>HYPERLINK("http://141.218.60.56/~jnz1568/getInfo.php?workbook=20_14.xlsx&amp;sheet=A0&amp;row=89&amp;col=7&amp;number=0&amp;sourceID=14","0")</f>
        <v>0</v>
      </c>
    </row>
    <row r="90" spans="1:7">
      <c r="A90" s="3">
        <v>20</v>
      </c>
      <c r="B90" s="3">
        <v>14</v>
      </c>
      <c r="C90" s="3">
        <v>25</v>
      </c>
      <c r="D90" s="3">
        <v>4</v>
      </c>
      <c r="E90" s="3">
        <v>364.608</v>
      </c>
      <c r="F90" s="4" t="str">
        <f>HYPERLINK("http://141.218.60.56/~jnz1568/getInfo.php?workbook=20_14.xlsx&amp;sheet=A0&amp;row=90&amp;col=6&amp;number=129600000&amp;sourceID=14","129600000")</f>
        <v>129600000</v>
      </c>
      <c r="G90" s="4" t="str">
        <f>HYPERLINK("http://141.218.60.56/~jnz1568/getInfo.php?workbook=20_14.xlsx&amp;sheet=A0&amp;row=90&amp;col=7&amp;number=0&amp;sourceID=14","0")</f>
        <v>0</v>
      </c>
    </row>
    <row r="91" spans="1:7">
      <c r="A91" s="3">
        <v>20</v>
      </c>
      <c r="B91" s="3">
        <v>14</v>
      </c>
      <c r="C91" s="3">
        <v>26</v>
      </c>
      <c r="D91" s="3">
        <v>4</v>
      </c>
      <c r="E91" s="3">
        <v>330.011</v>
      </c>
      <c r="F91" s="4" t="str">
        <f>HYPERLINK("http://141.218.60.56/~jnz1568/getInfo.php?workbook=20_14.xlsx&amp;sheet=A0&amp;row=91&amp;col=6&amp;number=41930000000&amp;sourceID=14","41930000000")</f>
        <v>41930000000</v>
      </c>
      <c r="G91" s="4" t="str">
        <f>HYPERLINK("http://141.218.60.56/~jnz1568/getInfo.php?workbook=20_14.xlsx&amp;sheet=A0&amp;row=91&amp;col=7&amp;number=0&amp;sourceID=14","0")</f>
        <v>0</v>
      </c>
    </row>
    <row r="92" spans="1:7">
      <c r="A92" s="3">
        <v>20</v>
      </c>
      <c r="B92" s="3">
        <v>14</v>
      </c>
      <c r="C92" s="3">
        <v>27</v>
      </c>
      <c r="D92" s="3">
        <v>4</v>
      </c>
      <c r="E92" s="3">
        <v>320.887</v>
      </c>
      <c r="F92" s="4" t="str">
        <f>HYPERLINK("http://141.218.60.56/~jnz1568/getInfo.php?workbook=20_14.xlsx&amp;sheet=A0&amp;row=92&amp;col=6&amp;number=39090000&amp;sourceID=14","39090000")</f>
        <v>39090000</v>
      </c>
      <c r="G92" s="4" t="str">
        <f>HYPERLINK("http://141.218.60.56/~jnz1568/getInfo.php?workbook=20_14.xlsx&amp;sheet=A0&amp;row=92&amp;col=7&amp;number=0&amp;sourceID=14","0")</f>
        <v>0</v>
      </c>
    </row>
    <row r="93" spans="1:7">
      <c r="A93" s="3">
        <v>20</v>
      </c>
      <c r="B93" s="3">
        <v>14</v>
      </c>
      <c r="C93" s="3">
        <v>6</v>
      </c>
      <c r="D93" s="3">
        <v>5</v>
      </c>
      <c r="E93" s="3">
        <v>-1693.555</v>
      </c>
      <c r="F93" s="4" t="str">
        <f>HYPERLINK("http://141.218.60.56/~jnz1568/getInfo.php?workbook=20_14.xlsx&amp;sheet=A0&amp;row=93&amp;col=6&amp;number=7.971e-07&amp;sourceID=14","7.971e-07")</f>
        <v>7.971e-07</v>
      </c>
      <c r="G93" s="4" t="str">
        <f>HYPERLINK("http://141.218.60.56/~jnz1568/getInfo.php?workbook=20_14.xlsx&amp;sheet=A0&amp;row=93&amp;col=7&amp;number=0&amp;sourceID=14","0")</f>
        <v>0</v>
      </c>
    </row>
    <row r="94" spans="1:7">
      <c r="A94" s="3">
        <v>20</v>
      </c>
      <c r="B94" s="3">
        <v>14</v>
      </c>
      <c r="C94" s="3">
        <v>7</v>
      </c>
      <c r="D94" s="3">
        <v>5</v>
      </c>
      <c r="E94" s="3">
        <v>899.476</v>
      </c>
      <c r="F94" s="4" t="str">
        <f>HYPERLINK("http://141.218.60.56/~jnz1568/getInfo.php?workbook=20_14.xlsx&amp;sheet=A0&amp;row=94&amp;col=6&amp;number=111500&amp;sourceID=14","111500")</f>
        <v>111500</v>
      </c>
      <c r="G94" s="4" t="str">
        <f>HYPERLINK("http://141.218.60.56/~jnz1568/getInfo.php?workbook=20_14.xlsx&amp;sheet=A0&amp;row=94&amp;col=7&amp;number=0&amp;sourceID=14","0")</f>
        <v>0</v>
      </c>
    </row>
    <row r="95" spans="1:7">
      <c r="A95" s="3">
        <v>20</v>
      </c>
      <c r="B95" s="3">
        <v>14</v>
      </c>
      <c r="C95" s="3">
        <v>8</v>
      </c>
      <c r="D95" s="3">
        <v>5</v>
      </c>
      <c r="E95" s="3">
        <v>898.968</v>
      </c>
      <c r="F95" s="4" t="str">
        <f>HYPERLINK("http://141.218.60.56/~jnz1568/getInfo.php?workbook=20_14.xlsx&amp;sheet=A0&amp;row=95&amp;col=6&amp;number=0.00336&amp;sourceID=14","0.00336")</f>
        <v>0.00336</v>
      </c>
      <c r="G95" s="4" t="str">
        <f>HYPERLINK("http://141.218.60.56/~jnz1568/getInfo.php?workbook=20_14.xlsx&amp;sheet=A0&amp;row=95&amp;col=7&amp;number=0&amp;sourceID=14","0")</f>
        <v>0</v>
      </c>
    </row>
    <row r="96" spans="1:7">
      <c r="A96" s="3">
        <v>20</v>
      </c>
      <c r="B96" s="3">
        <v>14</v>
      </c>
      <c r="C96" s="3">
        <v>11</v>
      </c>
      <c r="D96" s="3">
        <v>5</v>
      </c>
      <c r="E96" s="3">
        <v>733.077</v>
      </c>
      <c r="F96" s="4" t="str">
        <f>HYPERLINK("http://141.218.60.56/~jnz1568/getInfo.php?workbook=20_14.xlsx&amp;sheet=A0&amp;row=96&amp;col=6&amp;number=1354000&amp;sourceID=14","1354000")</f>
        <v>1354000</v>
      </c>
      <c r="G96" s="4" t="str">
        <f>HYPERLINK("http://141.218.60.56/~jnz1568/getInfo.php?workbook=20_14.xlsx&amp;sheet=A0&amp;row=96&amp;col=7&amp;number=0&amp;sourceID=14","0")</f>
        <v>0</v>
      </c>
    </row>
    <row r="97" spans="1:7">
      <c r="A97" s="3">
        <v>20</v>
      </c>
      <c r="B97" s="3">
        <v>14</v>
      </c>
      <c r="C97" s="3">
        <v>12</v>
      </c>
      <c r="D97" s="3">
        <v>5</v>
      </c>
      <c r="E97" s="3">
        <v>732.974</v>
      </c>
      <c r="F97" s="4" t="str">
        <f>HYPERLINK("http://141.218.60.56/~jnz1568/getInfo.php?workbook=20_14.xlsx&amp;sheet=A0&amp;row=97&amp;col=6&amp;number=0.4629&amp;sourceID=14","0.4629")</f>
        <v>0.4629</v>
      </c>
      <c r="G97" s="4" t="str">
        <f>HYPERLINK("http://141.218.60.56/~jnz1568/getInfo.php?workbook=20_14.xlsx&amp;sheet=A0&amp;row=97&amp;col=7&amp;number=0&amp;sourceID=14","0")</f>
        <v>0</v>
      </c>
    </row>
    <row r="98" spans="1:7">
      <c r="A98" s="3">
        <v>20</v>
      </c>
      <c r="B98" s="3">
        <v>14</v>
      </c>
      <c r="C98" s="3">
        <v>13</v>
      </c>
      <c r="D98" s="3">
        <v>5</v>
      </c>
      <c r="E98" s="3">
        <v>646.687</v>
      </c>
      <c r="F98" s="4" t="str">
        <f>HYPERLINK("http://141.218.60.56/~jnz1568/getInfo.php?workbook=20_14.xlsx&amp;sheet=A0&amp;row=98&amp;col=6&amp;number=0.03338&amp;sourceID=14","0.03338")</f>
        <v>0.03338</v>
      </c>
      <c r="G98" s="4" t="str">
        <f>HYPERLINK("http://141.218.60.56/~jnz1568/getInfo.php?workbook=20_14.xlsx&amp;sheet=A0&amp;row=98&amp;col=7&amp;number=0&amp;sourceID=14","0")</f>
        <v>0</v>
      </c>
    </row>
    <row r="99" spans="1:7">
      <c r="A99" s="3">
        <v>20</v>
      </c>
      <c r="B99" s="3">
        <v>14</v>
      </c>
      <c r="C99" s="3">
        <v>14</v>
      </c>
      <c r="D99" s="3">
        <v>5</v>
      </c>
      <c r="E99" s="3">
        <v>-498.796</v>
      </c>
      <c r="F99" s="4" t="str">
        <f>HYPERLINK("http://141.218.60.56/~jnz1568/getInfo.php?workbook=20_14.xlsx&amp;sheet=A0&amp;row=99&amp;col=6&amp;number=0.001406&amp;sourceID=14","0.001406")</f>
        <v>0.001406</v>
      </c>
      <c r="G99" s="4" t="str">
        <f>HYPERLINK("http://141.218.60.56/~jnz1568/getInfo.php?workbook=20_14.xlsx&amp;sheet=A0&amp;row=99&amp;col=7&amp;number=0&amp;sourceID=14","0")</f>
        <v>0</v>
      </c>
    </row>
    <row r="100" spans="1:7">
      <c r="A100" s="3">
        <v>20</v>
      </c>
      <c r="B100" s="3">
        <v>14</v>
      </c>
      <c r="C100" s="3">
        <v>17</v>
      </c>
      <c r="D100" s="3">
        <v>5</v>
      </c>
      <c r="E100" s="3">
        <v>491.381</v>
      </c>
      <c r="F100" s="4" t="str">
        <f>HYPERLINK("http://141.218.60.56/~jnz1568/getInfo.php?workbook=20_14.xlsx&amp;sheet=A0&amp;row=100&amp;col=6&amp;number=1602000000&amp;sourceID=14","1602000000")</f>
        <v>1602000000</v>
      </c>
      <c r="G100" s="4" t="str">
        <f>HYPERLINK("http://141.218.60.56/~jnz1568/getInfo.php?workbook=20_14.xlsx&amp;sheet=A0&amp;row=100&amp;col=7&amp;number=0&amp;sourceID=14","0")</f>
        <v>0</v>
      </c>
    </row>
    <row r="101" spans="1:7">
      <c r="A101" s="3">
        <v>20</v>
      </c>
      <c r="B101" s="3">
        <v>14</v>
      </c>
      <c r="C101" s="3">
        <v>18</v>
      </c>
      <c r="D101" s="3">
        <v>5</v>
      </c>
      <c r="E101" s="3">
        <v>509.531</v>
      </c>
      <c r="F101" s="4" t="str">
        <f>HYPERLINK("http://141.218.60.56/~jnz1568/getInfo.php?workbook=20_14.xlsx&amp;sheet=A0&amp;row=101&amp;col=6&amp;number=50720000&amp;sourceID=14","50720000")</f>
        <v>50720000</v>
      </c>
      <c r="G101" s="4" t="str">
        <f>HYPERLINK("http://141.218.60.56/~jnz1568/getInfo.php?workbook=20_14.xlsx&amp;sheet=A0&amp;row=101&amp;col=7&amp;number=0&amp;sourceID=14","0")</f>
        <v>0</v>
      </c>
    </row>
    <row r="102" spans="1:7">
      <c r="A102" s="3">
        <v>20</v>
      </c>
      <c r="B102" s="3">
        <v>14</v>
      </c>
      <c r="C102" s="3">
        <v>20</v>
      </c>
      <c r="D102" s="3">
        <v>5</v>
      </c>
      <c r="E102" s="3">
        <v>418.098</v>
      </c>
      <c r="F102" s="4" t="str">
        <f>HYPERLINK("http://141.218.60.56/~jnz1568/getInfo.php?workbook=20_14.xlsx&amp;sheet=A0&amp;row=102&amp;col=6&amp;number=5667000&amp;sourceID=14","5667000")</f>
        <v>5667000</v>
      </c>
      <c r="G102" s="4" t="str">
        <f>HYPERLINK("http://141.218.60.56/~jnz1568/getInfo.php?workbook=20_14.xlsx&amp;sheet=A0&amp;row=102&amp;col=7&amp;number=0&amp;sourceID=14","0")</f>
        <v>0</v>
      </c>
    </row>
    <row r="103" spans="1:7">
      <c r="A103" s="3">
        <v>20</v>
      </c>
      <c r="B103" s="3">
        <v>14</v>
      </c>
      <c r="C103" s="3">
        <v>21</v>
      </c>
      <c r="D103" s="3">
        <v>5</v>
      </c>
      <c r="E103" s="3">
        <v>421.51</v>
      </c>
      <c r="F103" s="4" t="str">
        <f>HYPERLINK("http://141.218.60.56/~jnz1568/getInfo.php?workbook=20_14.xlsx&amp;sheet=A0&amp;row=103&amp;col=6&amp;number=1.727&amp;sourceID=14","1.727")</f>
        <v>1.727</v>
      </c>
      <c r="G103" s="4" t="str">
        <f>HYPERLINK("http://141.218.60.56/~jnz1568/getInfo.php?workbook=20_14.xlsx&amp;sheet=A0&amp;row=103&amp;col=7&amp;number=0&amp;sourceID=14","0")</f>
        <v>0</v>
      </c>
    </row>
    <row r="104" spans="1:7">
      <c r="A104" s="3">
        <v>20</v>
      </c>
      <c r="B104" s="3">
        <v>14</v>
      </c>
      <c r="C104" s="3">
        <v>22</v>
      </c>
      <c r="D104" s="3">
        <v>5</v>
      </c>
      <c r="E104" s="3">
        <v>-406.505</v>
      </c>
      <c r="F104" s="4" t="str">
        <f>HYPERLINK("http://141.218.60.56/~jnz1568/getInfo.php?workbook=20_14.xlsx&amp;sheet=A0&amp;row=104&amp;col=6&amp;number=0.313&amp;sourceID=14","0.313")</f>
        <v>0.313</v>
      </c>
      <c r="G104" s="4" t="str">
        <f>HYPERLINK("http://141.218.60.56/~jnz1568/getInfo.php?workbook=20_14.xlsx&amp;sheet=A0&amp;row=104&amp;col=7&amp;number=0&amp;sourceID=14","0")</f>
        <v>0</v>
      </c>
    </row>
    <row r="105" spans="1:7">
      <c r="A105" s="3">
        <v>20</v>
      </c>
      <c r="B105" s="3">
        <v>14</v>
      </c>
      <c r="C105" s="3">
        <v>23</v>
      </c>
      <c r="D105" s="3">
        <v>5</v>
      </c>
      <c r="E105" s="3">
        <v>406.246</v>
      </c>
      <c r="F105" s="4" t="str">
        <f>HYPERLINK("http://141.218.60.56/~jnz1568/getInfo.php?workbook=20_14.xlsx&amp;sheet=A0&amp;row=105&amp;col=6&amp;number=4386000&amp;sourceID=14","4386000")</f>
        <v>4386000</v>
      </c>
      <c r="G105" s="4" t="str">
        <f>HYPERLINK("http://141.218.60.56/~jnz1568/getInfo.php?workbook=20_14.xlsx&amp;sheet=A0&amp;row=105&amp;col=7&amp;number=0&amp;sourceID=14","0")</f>
        <v>0</v>
      </c>
    </row>
    <row r="106" spans="1:7">
      <c r="A106" s="3">
        <v>20</v>
      </c>
      <c r="B106" s="3">
        <v>14</v>
      </c>
      <c r="C106" s="3">
        <v>24</v>
      </c>
      <c r="D106" s="3">
        <v>5</v>
      </c>
      <c r="E106" s="3">
        <v>405.203</v>
      </c>
      <c r="F106" s="4" t="str">
        <f>HYPERLINK("http://141.218.60.56/~jnz1568/getInfo.php?workbook=20_14.xlsx&amp;sheet=A0&amp;row=106&amp;col=6&amp;number=0.008648&amp;sourceID=14","0.008648")</f>
        <v>0.008648</v>
      </c>
      <c r="G106" s="4" t="str">
        <f>HYPERLINK("http://141.218.60.56/~jnz1568/getInfo.php?workbook=20_14.xlsx&amp;sheet=A0&amp;row=106&amp;col=7&amp;number=0&amp;sourceID=14","0")</f>
        <v>0</v>
      </c>
    </row>
    <row r="107" spans="1:7">
      <c r="A107" s="3">
        <v>20</v>
      </c>
      <c r="B107" s="3">
        <v>14</v>
      </c>
      <c r="C107" s="3">
        <v>27</v>
      </c>
      <c r="D107" s="3">
        <v>5</v>
      </c>
      <c r="E107" s="3">
        <v>351.47</v>
      </c>
      <c r="F107" s="4" t="str">
        <f>HYPERLINK("http://141.218.60.56/~jnz1568/getInfo.php?workbook=20_14.xlsx&amp;sheet=A0&amp;row=107&amp;col=6&amp;number=31980000000&amp;sourceID=14","31980000000")</f>
        <v>31980000000</v>
      </c>
      <c r="G107" s="4" t="str">
        <f>HYPERLINK("http://141.218.60.56/~jnz1568/getInfo.php?workbook=20_14.xlsx&amp;sheet=A0&amp;row=107&amp;col=7&amp;number=0&amp;sourceID=14","0")</f>
        <v>0</v>
      </c>
    </row>
    <row r="108" spans="1:7">
      <c r="A108" s="3">
        <v>20</v>
      </c>
      <c r="B108" s="3">
        <v>14</v>
      </c>
      <c r="C108" s="3">
        <v>7</v>
      </c>
      <c r="D108" s="3">
        <v>6</v>
      </c>
      <c r="E108" s="3">
        <v>-2031.84</v>
      </c>
      <c r="F108" s="4" t="str">
        <f>HYPERLINK("http://141.218.60.56/~jnz1568/getInfo.php?workbook=20_14.xlsx&amp;sheet=A0&amp;row=108&amp;col=6&amp;number=0.07352&amp;sourceID=14","0.07352")</f>
        <v>0.07352</v>
      </c>
      <c r="G108" s="4" t="str">
        <f>HYPERLINK("http://141.218.60.56/~jnz1568/getInfo.php?workbook=20_14.xlsx&amp;sheet=A0&amp;row=108&amp;col=7&amp;number=0&amp;sourceID=14","0")</f>
        <v>0</v>
      </c>
    </row>
    <row r="109" spans="1:7">
      <c r="A109" s="3">
        <v>20</v>
      </c>
      <c r="B109" s="3">
        <v>14</v>
      </c>
      <c r="C109" s="3">
        <v>8</v>
      </c>
      <c r="D109" s="3">
        <v>6</v>
      </c>
      <c r="E109" s="3">
        <v>-2029.117</v>
      </c>
      <c r="F109" s="4" t="str">
        <f>HYPERLINK("http://141.218.60.56/~jnz1568/getInfo.php?workbook=20_14.xlsx&amp;sheet=A0&amp;row=109&amp;col=6&amp;number=0.213&amp;sourceID=14","0.213")</f>
        <v>0.213</v>
      </c>
      <c r="G109" s="4" t="str">
        <f>HYPERLINK("http://141.218.60.56/~jnz1568/getInfo.php?workbook=20_14.xlsx&amp;sheet=A0&amp;row=109&amp;col=7&amp;number=0&amp;sourceID=14","0")</f>
        <v>0</v>
      </c>
    </row>
    <row r="110" spans="1:7">
      <c r="A110" s="3">
        <v>20</v>
      </c>
      <c r="B110" s="3">
        <v>14</v>
      </c>
      <c r="C110" s="3">
        <v>9</v>
      </c>
      <c r="D110" s="3">
        <v>6</v>
      </c>
      <c r="E110" s="3">
        <v>-2015.774</v>
      </c>
      <c r="F110" s="4" t="str">
        <f>HYPERLINK("http://141.218.60.56/~jnz1568/getInfo.php?workbook=20_14.xlsx&amp;sheet=A0&amp;row=110&amp;col=6&amp;number=0.04093&amp;sourceID=14","0.04093")</f>
        <v>0.04093</v>
      </c>
      <c r="G110" s="4" t="str">
        <f>HYPERLINK("http://141.218.60.56/~jnz1568/getInfo.php?workbook=20_14.xlsx&amp;sheet=A0&amp;row=110&amp;col=7&amp;number=0&amp;sourceID=14","0")</f>
        <v>0</v>
      </c>
    </row>
    <row r="111" spans="1:7">
      <c r="A111" s="3">
        <v>20</v>
      </c>
      <c r="B111" s="3">
        <v>14</v>
      </c>
      <c r="C111" s="3">
        <v>10</v>
      </c>
      <c r="D111" s="3">
        <v>6</v>
      </c>
      <c r="E111" s="3">
        <v>-1321.883</v>
      </c>
      <c r="F111" s="4" t="str">
        <f>HYPERLINK("http://141.218.60.56/~jnz1568/getInfo.php?workbook=20_14.xlsx&amp;sheet=A0&amp;row=111&amp;col=6&amp;number=0.002717&amp;sourceID=14","0.002717")</f>
        <v>0.002717</v>
      </c>
      <c r="G111" s="4" t="str">
        <f>HYPERLINK("http://141.218.60.56/~jnz1568/getInfo.php?workbook=20_14.xlsx&amp;sheet=A0&amp;row=111&amp;col=7&amp;number=0&amp;sourceID=14","0")</f>
        <v>0</v>
      </c>
    </row>
    <row r="112" spans="1:7">
      <c r="A112" s="3">
        <v>20</v>
      </c>
      <c r="B112" s="3">
        <v>14</v>
      </c>
      <c r="C112" s="3">
        <v>11</v>
      </c>
      <c r="D112" s="3">
        <v>6</v>
      </c>
      <c r="E112" s="3">
        <v>-1321.436</v>
      </c>
      <c r="F112" s="4" t="str">
        <f>HYPERLINK("http://141.218.60.56/~jnz1568/getInfo.php?workbook=20_14.xlsx&amp;sheet=A0&amp;row=112&amp;col=6&amp;number=11.88&amp;sourceID=14","11.88")</f>
        <v>11.88</v>
      </c>
      <c r="G112" s="4" t="str">
        <f>HYPERLINK("http://141.218.60.56/~jnz1568/getInfo.php?workbook=20_14.xlsx&amp;sheet=A0&amp;row=112&amp;col=7&amp;number=0&amp;sourceID=14","0")</f>
        <v>0</v>
      </c>
    </row>
    <row r="113" spans="1:7">
      <c r="A113" s="3">
        <v>20</v>
      </c>
      <c r="B113" s="3">
        <v>14</v>
      </c>
      <c r="C113" s="3">
        <v>12</v>
      </c>
      <c r="D113" s="3">
        <v>6</v>
      </c>
      <c r="E113" s="3">
        <v>-1321.603</v>
      </c>
      <c r="F113" s="4" t="str">
        <f>HYPERLINK("http://141.218.60.56/~jnz1568/getInfo.php?workbook=20_14.xlsx&amp;sheet=A0&amp;row=113&amp;col=6&amp;number=21.09&amp;sourceID=14","21.09")</f>
        <v>21.09</v>
      </c>
      <c r="G113" s="4" t="str">
        <f>HYPERLINK("http://141.218.60.56/~jnz1568/getInfo.php?workbook=20_14.xlsx&amp;sheet=A0&amp;row=113&amp;col=7&amp;number=0&amp;sourceID=14","0")</f>
        <v>0</v>
      </c>
    </row>
    <row r="114" spans="1:7">
      <c r="A114" s="3">
        <v>20</v>
      </c>
      <c r="B114" s="3">
        <v>14</v>
      </c>
      <c r="C114" s="3">
        <v>13</v>
      </c>
      <c r="D114" s="3">
        <v>6</v>
      </c>
      <c r="E114" s="3">
        <v>-1051.981</v>
      </c>
      <c r="F114" s="4" t="str">
        <f>HYPERLINK("http://141.218.60.56/~jnz1568/getInfo.php?workbook=20_14.xlsx&amp;sheet=A0&amp;row=114&amp;col=6&amp;number=0.1221&amp;sourceID=14","0.1221")</f>
        <v>0.1221</v>
      </c>
      <c r="G114" s="4" t="str">
        <f>HYPERLINK("http://141.218.60.56/~jnz1568/getInfo.php?workbook=20_14.xlsx&amp;sheet=A0&amp;row=114&amp;col=7&amp;number=0&amp;sourceID=14","0")</f>
        <v>0</v>
      </c>
    </row>
    <row r="115" spans="1:7">
      <c r="A115" s="3">
        <v>20</v>
      </c>
      <c r="B115" s="3">
        <v>14</v>
      </c>
      <c r="C115" s="3">
        <v>14</v>
      </c>
      <c r="D115" s="3">
        <v>6</v>
      </c>
      <c r="E115" s="3">
        <v>-707.036</v>
      </c>
      <c r="F115" s="4" t="str">
        <f>HYPERLINK("http://141.218.60.56/~jnz1568/getInfo.php?workbook=20_14.xlsx&amp;sheet=A0&amp;row=115&amp;col=6&amp;number=0.01705&amp;sourceID=14","0.01705")</f>
        <v>0.01705</v>
      </c>
      <c r="G115" s="4" t="str">
        <f>HYPERLINK("http://141.218.60.56/~jnz1568/getInfo.php?workbook=20_14.xlsx&amp;sheet=A0&amp;row=115&amp;col=7&amp;number=0&amp;sourceID=14","0")</f>
        <v>0</v>
      </c>
    </row>
    <row r="116" spans="1:7">
      <c r="A116" s="3">
        <v>20</v>
      </c>
      <c r="B116" s="3">
        <v>14</v>
      </c>
      <c r="C116" s="3">
        <v>15</v>
      </c>
      <c r="D116" s="3">
        <v>6</v>
      </c>
      <c r="E116" s="3">
        <v>-699.484</v>
      </c>
      <c r="F116" s="4" t="str">
        <f>HYPERLINK("http://141.218.60.56/~jnz1568/getInfo.php?workbook=20_14.xlsx&amp;sheet=A0&amp;row=116&amp;col=6&amp;number=0.1039&amp;sourceID=14","0.1039")</f>
        <v>0.1039</v>
      </c>
      <c r="G116" s="4" t="str">
        <f>HYPERLINK("http://141.218.60.56/~jnz1568/getInfo.php?workbook=20_14.xlsx&amp;sheet=A0&amp;row=116&amp;col=7&amp;number=0&amp;sourceID=14","0")</f>
        <v>0</v>
      </c>
    </row>
    <row r="117" spans="1:7">
      <c r="A117" s="3">
        <v>20</v>
      </c>
      <c r="B117" s="3">
        <v>14</v>
      </c>
      <c r="C117" s="3">
        <v>16</v>
      </c>
      <c r="D117" s="3">
        <v>6</v>
      </c>
      <c r="E117" s="3">
        <v>-689.201</v>
      </c>
      <c r="F117" s="4" t="str">
        <f>HYPERLINK("http://141.218.60.56/~jnz1568/getInfo.php?workbook=20_14.xlsx&amp;sheet=A0&amp;row=117&amp;col=6&amp;number=0.4051&amp;sourceID=14","0.4051")</f>
        <v>0.4051</v>
      </c>
      <c r="G117" s="4" t="str">
        <f>HYPERLINK("http://141.218.60.56/~jnz1568/getInfo.php?workbook=20_14.xlsx&amp;sheet=A0&amp;row=117&amp;col=7&amp;number=0&amp;sourceID=14","0")</f>
        <v>0</v>
      </c>
    </row>
    <row r="118" spans="1:7">
      <c r="A118" s="3">
        <v>20</v>
      </c>
      <c r="B118" s="3">
        <v>14</v>
      </c>
      <c r="C118" s="3">
        <v>17</v>
      </c>
      <c r="D118" s="3">
        <v>6</v>
      </c>
      <c r="E118" s="3">
        <v>-667.904</v>
      </c>
      <c r="F118" s="4" t="str">
        <f>HYPERLINK("http://141.218.60.56/~jnz1568/getInfo.php?workbook=20_14.xlsx&amp;sheet=A0&amp;row=118&amp;col=6&amp;number=0.001401&amp;sourceID=14","0.001401")</f>
        <v>0.001401</v>
      </c>
      <c r="G118" s="4" t="str">
        <f>HYPERLINK("http://141.218.60.56/~jnz1568/getInfo.php?workbook=20_14.xlsx&amp;sheet=A0&amp;row=118&amp;col=7&amp;number=0&amp;sourceID=14","0")</f>
        <v>0</v>
      </c>
    </row>
    <row r="119" spans="1:7">
      <c r="A119" s="3">
        <v>20</v>
      </c>
      <c r="B119" s="3">
        <v>14</v>
      </c>
      <c r="C119" s="3">
        <v>18</v>
      </c>
      <c r="D119" s="3">
        <v>6</v>
      </c>
      <c r="E119" s="3">
        <v>-709.987</v>
      </c>
      <c r="F119" s="4" t="str">
        <f>HYPERLINK("http://141.218.60.56/~jnz1568/getInfo.php?workbook=20_14.xlsx&amp;sheet=A0&amp;row=119&amp;col=6&amp;number=0.03741&amp;sourceID=14","0.03741")</f>
        <v>0.03741</v>
      </c>
      <c r="G119" s="4" t="str">
        <f>HYPERLINK("http://141.218.60.56/~jnz1568/getInfo.php?workbook=20_14.xlsx&amp;sheet=A0&amp;row=119&amp;col=7&amp;number=0&amp;sourceID=14","0")</f>
        <v>0</v>
      </c>
    </row>
    <row r="120" spans="1:7">
      <c r="A120" s="3">
        <v>20</v>
      </c>
      <c r="B120" s="3">
        <v>14</v>
      </c>
      <c r="C120" s="3">
        <v>19</v>
      </c>
      <c r="D120" s="3">
        <v>6</v>
      </c>
      <c r="E120" s="3">
        <v>-541.857</v>
      </c>
      <c r="F120" s="4" t="str">
        <f>HYPERLINK("http://141.218.60.56/~jnz1568/getInfo.php?workbook=20_14.xlsx&amp;sheet=A0&amp;row=120&amp;col=6&amp;number=0.6065&amp;sourceID=14","0.6065")</f>
        <v>0.6065</v>
      </c>
      <c r="G120" s="4" t="str">
        <f>HYPERLINK("http://141.218.60.56/~jnz1568/getInfo.php?workbook=20_14.xlsx&amp;sheet=A0&amp;row=120&amp;col=7&amp;number=0&amp;sourceID=14","0")</f>
        <v>0</v>
      </c>
    </row>
    <row r="121" spans="1:7">
      <c r="A121" s="3">
        <v>20</v>
      </c>
      <c r="B121" s="3">
        <v>14</v>
      </c>
      <c r="C121" s="3">
        <v>20</v>
      </c>
      <c r="D121" s="3">
        <v>6</v>
      </c>
      <c r="E121" s="3">
        <v>-544.034</v>
      </c>
      <c r="F121" s="4" t="str">
        <f>HYPERLINK("http://141.218.60.56/~jnz1568/getInfo.php?workbook=20_14.xlsx&amp;sheet=A0&amp;row=121&amp;col=6&amp;number=3.921&amp;sourceID=14","3.921")</f>
        <v>3.921</v>
      </c>
      <c r="G121" s="4" t="str">
        <f>HYPERLINK("http://141.218.60.56/~jnz1568/getInfo.php?workbook=20_14.xlsx&amp;sheet=A0&amp;row=121&amp;col=7&amp;number=0&amp;sourceID=14","0")</f>
        <v>0</v>
      </c>
    </row>
    <row r="122" spans="1:7">
      <c r="A122" s="3">
        <v>20</v>
      </c>
      <c r="B122" s="3">
        <v>14</v>
      </c>
      <c r="C122" s="3">
        <v>21</v>
      </c>
      <c r="D122" s="3">
        <v>6</v>
      </c>
      <c r="E122" s="3">
        <v>-548.783</v>
      </c>
      <c r="F122" s="4" t="str">
        <f>HYPERLINK("http://141.218.60.56/~jnz1568/getInfo.php?workbook=20_14.xlsx&amp;sheet=A0&amp;row=122&amp;col=6&amp;number=6.141&amp;sourceID=14","6.141")</f>
        <v>6.141</v>
      </c>
      <c r="G122" s="4" t="str">
        <f>HYPERLINK("http://141.218.60.56/~jnz1568/getInfo.php?workbook=20_14.xlsx&amp;sheet=A0&amp;row=122&amp;col=7&amp;number=0&amp;sourceID=14","0")</f>
        <v>0</v>
      </c>
    </row>
    <row r="123" spans="1:7">
      <c r="A123" s="3">
        <v>20</v>
      </c>
      <c r="B123" s="3">
        <v>14</v>
      </c>
      <c r="C123" s="3">
        <v>22</v>
      </c>
      <c r="D123" s="3">
        <v>6</v>
      </c>
      <c r="E123" s="3">
        <v>-534.896</v>
      </c>
      <c r="F123" s="4" t="str">
        <f>HYPERLINK("http://141.218.60.56/~jnz1568/getInfo.php?workbook=20_14.xlsx&amp;sheet=A0&amp;row=123&amp;col=6&amp;number=0.6662&amp;sourceID=14","0.6662")</f>
        <v>0.6662</v>
      </c>
      <c r="G123" s="4" t="str">
        <f>HYPERLINK("http://141.218.60.56/~jnz1568/getInfo.php?workbook=20_14.xlsx&amp;sheet=A0&amp;row=123&amp;col=7&amp;number=0&amp;sourceID=14","0")</f>
        <v>0</v>
      </c>
    </row>
    <row r="124" spans="1:7">
      <c r="A124" s="3">
        <v>20</v>
      </c>
      <c r="B124" s="3">
        <v>14</v>
      </c>
      <c r="C124" s="3">
        <v>23</v>
      </c>
      <c r="D124" s="3">
        <v>6</v>
      </c>
      <c r="E124" s="3">
        <v>-520.883</v>
      </c>
      <c r="F124" s="4" t="str">
        <f>HYPERLINK("http://141.218.60.56/~jnz1568/getInfo.php?workbook=20_14.xlsx&amp;sheet=A0&amp;row=124&amp;col=6&amp;number=1.162&amp;sourceID=14","1.162")</f>
        <v>1.162</v>
      </c>
      <c r="G124" s="4" t="str">
        <f>HYPERLINK("http://141.218.60.56/~jnz1568/getInfo.php?workbook=20_14.xlsx&amp;sheet=A0&amp;row=124&amp;col=7&amp;number=0&amp;sourceID=14","0")</f>
        <v>0</v>
      </c>
    </row>
    <row r="125" spans="1:7">
      <c r="A125" s="3">
        <v>20</v>
      </c>
      <c r="B125" s="3">
        <v>14</v>
      </c>
      <c r="C125" s="3">
        <v>24</v>
      </c>
      <c r="D125" s="3">
        <v>6</v>
      </c>
      <c r="E125" s="3">
        <v>-519.004</v>
      </c>
      <c r="F125" s="4" t="str">
        <f>HYPERLINK("http://141.218.60.56/~jnz1568/getInfo.php?workbook=20_14.xlsx&amp;sheet=A0&amp;row=125&amp;col=6&amp;number=2.427&amp;sourceID=14","2.427")</f>
        <v>2.427</v>
      </c>
      <c r="G125" s="4" t="str">
        <f>HYPERLINK("http://141.218.60.56/~jnz1568/getInfo.php?workbook=20_14.xlsx&amp;sheet=A0&amp;row=125&amp;col=7&amp;number=0&amp;sourceID=14","0")</f>
        <v>0</v>
      </c>
    </row>
    <row r="126" spans="1:7">
      <c r="A126" s="3">
        <v>20</v>
      </c>
      <c r="B126" s="3">
        <v>14</v>
      </c>
      <c r="C126" s="3">
        <v>25</v>
      </c>
      <c r="D126" s="3">
        <v>6</v>
      </c>
      <c r="E126" s="3">
        <v>-517.759</v>
      </c>
      <c r="F126" s="4" t="str">
        <f>HYPERLINK("http://141.218.60.56/~jnz1568/getInfo.php?workbook=20_14.xlsx&amp;sheet=A0&amp;row=126&amp;col=6&amp;number=2.422&amp;sourceID=14","2.422")</f>
        <v>2.422</v>
      </c>
      <c r="G126" s="4" t="str">
        <f>HYPERLINK("http://141.218.60.56/~jnz1568/getInfo.php?workbook=20_14.xlsx&amp;sheet=A0&amp;row=126&amp;col=7&amp;number=0&amp;sourceID=14","0")</f>
        <v>0</v>
      </c>
    </row>
    <row r="127" spans="1:7">
      <c r="A127" s="3">
        <v>20</v>
      </c>
      <c r="B127" s="3">
        <v>14</v>
      </c>
      <c r="C127" s="3">
        <v>26</v>
      </c>
      <c r="D127" s="3">
        <v>6</v>
      </c>
      <c r="E127" s="3">
        <v>-445.633</v>
      </c>
      <c r="F127" s="4" t="str">
        <f>HYPERLINK("http://141.218.60.56/~jnz1568/getInfo.php?workbook=20_14.xlsx&amp;sheet=A0&amp;row=127&amp;col=6&amp;number=0.001502&amp;sourceID=14","0.001502")</f>
        <v>0.001502</v>
      </c>
      <c r="G127" s="4" t="str">
        <f>HYPERLINK("http://141.218.60.56/~jnz1568/getInfo.php?workbook=20_14.xlsx&amp;sheet=A0&amp;row=127&amp;col=7&amp;number=0&amp;sourceID=14","0")</f>
        <v>0</v>
      </c>
    </row>
    <row r="128" spans="1:7">
      <c r="A128" s="3">
        <v>20</v>
      </c>
      <c r="B128" s="3">
        <v>14</v>
      </c>
      <c r="C128" s="3">
        <v>27</v>
      </c>
      <c r="D128" s="3">
        <v>6</v>
      </c>
      <c r="E128" s="3">
        <v>-431.414</v>
      </c>
      <c r="F128" s="4" t="str">
        <f>HYPERLINK("http://141.218.60.56/~jnz1568/getInfo.php?workbook=20_14.xlsx&amp;sheet=A0&amp;row=128&amp;col=6&amp;number=0.0006679&amp;sourceID=14","0.0006679")</f>
        <v>0.0006679</v>
      </c>
      <c r="G128" s="4" t="str">
        <f>HYPERLINK("http://141.218.60.56/~jnz1568/getInfo.php?workbook=20_14.xlsx&amp;sheet=A0&amp;row=128&amp;col=7&amp;number=0&amp;sourceID=14","0")</f>
        <v>0</v>
      </c>
    </row>
    <row r="129" spans="1:7">
      <c r="A129" s="3">
        <v>20</v>
      </c>
      <c r="B129" s="3">
        <v>14</v>
      </c>
      <c r="C129" s="3">
        <v>8</v>
      </c>
      <c r="D129" s="3">
        <v>7</v>
      </c>
      <c r="E129" s="3">
        <v>1592435.69</v>
      </c>
      <c r="F129" s="4" t="str">
        <f>HYPERLINK("http://141.218.60.56/~jnz1568/getInfo.php?workbook=20_14.xlsx&amp;sheet=A0&amp;row=129&amp;col=6&amp;number=5.989e-06&amp;sourceID=14","5.989e-06")</f>
        <v>5.989e-06</v>
      </c>
      <c r="G129" s="4" t="str">
        <f>HYPERLINK("http://141.218.60.56/~jnz1568/getInfo.php?workbook=20_14.xlsx&amp;sheet=A0&amp;row=129&amp;col=7&amp;number=0&amp;sourceID=14","0")</f>
        <v>0</v>
      </c>
    </row>
    <row r="130" spans="1:7">
      <c r="A130" s="3">
        <v>20</v>
      </c>
      <c r="B130" s="3">
        <v>14</v>
      </c>
      <c r="C130" s="3">
        <v>9</v>
      </c>
      <c r="D130" s="3">
        <v>7</v>
      </c>
      <c r="E130" s="3">
        <v>269032.491</v>
      </c>
      <c r="F130" s="4" t="str">
        <f>HYPERLINK("http://141.218.60.56/~jnz1568/getInfo.php?workbook=20_14.xlsx&amp;sheet=A0&amp;row=130&amp;col=6&amp;number=1.911e-12&amp;sourceID=14","1.911e-12")</f>
        <v>1.911e-12</v>
      </c>
      <c r="G130" s="4" t="str">
        <f>HYPERLINK("http://141.218.60.56/~jnz1568/getInfo.php?workbook=20_14.xlsx&amp;sheet=A0&amp;row=130&amp;col=7&amp;number=0&amp;sourceID=14","0")</f>
        <v>0</v>
      </c>
    </row>
    <row r="131" spans="1:7">
      <c r="A131" s="3">
        <v>20</v>
      </c>
      <c r="B131" s="3">
        <v>14</v>
      </c>
      <c r="C131" s="3">
        <v>10</v>
      </c>
      <c r="D131" s="3">
        <v>7</v>
      </c>
      <c r="E131" s="3">
        <v>3984.215</v>
      </c>
      <c r="F131" s="4" t="str">
        <f>HYPERLINK("http://141.218.60.56/~jnz1568/getInfo.php?workbook=20_14.xlsx&amp;sheet=A0&amp;row=131&amp;col=6&amp;number=3.697&amp;sourceID=14","3.697")</f>
        <v>3.697</v>
      </c>
      <c r="G131" s="4" t="str">
        <f>HYPERLINK("http://141.218.60.56/~jnz1568/getInfo.php?workbook=20_14.xlsx&amp;sheet=A0&amp;row=131&amp;col=7&amp;number=0&amp;sourceID=14","0")</f>
        <v>0</v>
      </c>
    </row>
    <row r="132" spans="1:7">
      <c r="A132" s="3">
        <v>20</v>
      </c>
      <c r="B132" s="3">
        <v>14</v>
      </c>
      <c r="C132" s="3">
        <v>11</v>
      </c>
      <c r="D132" s="3">
        <v>7</v>
      </c>
      <c r="E132" s="3">
        <v>3962.694</v>
      </c>
      <c r="F132" s="4" t="str">
        <f>HYPERLINK("http://141.218.60.56/~jnz1568/getInfo.php?workbook=20_14.xlsx&amp;sheet=A0&amp;row=132&amp;col=6&amp;number=4.73&amp;sourceID=14","4.73")</f>
        <v>4.73</v>
      </c>
      <c r="G132" s="4" t="str">
        <f>HYPERLINK("http://141.218.60.56/~jnz1568/getInfo.php?workbook=20_14.xlsx&amp;sheet=A0&amp;row=132&amp;col=7&amp;number=0&amp;sourceID=14","0")</f>
        <v>0</v>
      </c>
    </row>
    <row r="133" spans="1:7">
      <c r="A133" s="3">
        <v>20</v>
      </c>
      <c r="B133" s="3">
        <v>14</v>
      </c>
      <c r="C133" s="3">
        <v>12</v>
      </c>
      <c r="D133" s="3">
        <v>7</v>
      </c>
      <c r="E133" s="3">
        <v>3959.666</v>
      </c>
      <c r="F133" s="4" t="str">
        <f>HYPERLINK("http://141.218.60.56/~jnz1568/getInfo.php?workbook=20_14.xlsx&amp;sheet=A0&amp;row=133&amp;col=6&amp;number=0.821&amp;sourceID=14","0.821")</f>
        <v>0.821</v>
      </c>
      <c r="G133" s="4" t="str">
        <f>HYPERLINK("http://141.218.60.56/~jnz1568/getInfo.php?workbook=20_14.xlsx&amp;sheet=A0&amp;row=133&amp;col=7&amp;number=0&amp;sourceID=14","0")</f>
        <v>0</v>
      </c>
    </row>
    <row r="134" spans="1:7">
      <c r="A134" s="3">
        <v>20</v>
      </c>
      <c r="B134" s="3">
        <v>14</v>
      </c>
      <c r="C134" s="3">
        <v>13</v>
      </c>
      <c r="D134" s="3">
        <v>7</v>
      </c>
      <c r="E134" s="3">
        <v>2301.045</v>
      </c>
      <c r="F134" s="4" t="str">
        <f>HYPERLINK("http://141.218.60.56/~jnz1568/getInfo.php?workbook=20_14.xlsx&amp;sheet=A0&amp;row=134&amp;col=6&amp;number=0.006629&amp;sourceID=14","0.006629")</f>
        <v>0.006629</v>
      </c>
      <c r="G134" s="4" t="str">
        <f>HYPERLINK("http://141.218.60.56/~jnz1568/getInfo.php?workbook=20_14.xlsx&amp;sheet=A0&amp;row=134&amp;col=7&amp;number=0&amp;sourceID=14","0")</f>
        <v>0</v>
      </c>
    </row>
    <row r="135" spans="1:7">
      <c r="A135" s="3">
        <v>20</v>
      </c>
      <c r="B135" s="3">
        <v>14</v>
      </c>
      <c r="C135" s="3">
        <v>14</v>
      </c>
      <c r="D135" s="3">
        <v>7</v>
      </c>
      <c r="E135" s="3">
        <v>-1084.376</v>
      </c>
      <c r="F135" s="4" t="str">
        <f>HYPERLINK("http://141.218.60.56/~jnz1568/getInfo.php?workbook=20_14.xlsx&amp;sheet=A0&amp;row=135&amp;col=6&amp;number=0.3517&amp;sourceID=14","0.3517")</f>
        <v>0.3517</v>
      </c>
      <c r="G135" s="4" t="str">
        <f>HYPERLINK("http://141.218.60.56/~jnz1568/getInfo.php?workbook=20_14.xlsx&amp;sheet=A0&amp;row=135&amp;col=7&amp;number=0&amp;sourceID=14","0")</f>
        <v>0</v>
      </c>
    </row>
    <row r="136" spans="1:7">
      <c r="A136" s="3">
        <v>20</v>
      </c>
      <c r="B136" s="3">
        <v>14</v>
      </c>
      <c r="C136" s="3">
        <v>15</v>
      </c>
      <c r="D136" s="3">
        <v>7</v>
      </c>
      <c r="E136" s="3">
        <v>-1066.712</v>
      </c>
      <c r="F136" s="4" t="str">
        <f>HYPERLINK("http://141.218.60.56/~jnz1568/getInfo.php?workbook=20_14.xlsx&amp;sheet=A0&amp;row=136&amp;col=6&amp;number=0.5971&amp;sourceID=14","0.5971")</f>
        <v>0.5971</v>
      </c>
      <c r="G136" s="4" t="str">
        <f>HYPERLINK("http://141.218.60.56/~jnz1568/getInfo.php?workbook=20_14.xlsx&amp;sheet=A0&amp;row=136&amp;col=7&amp;number=0&amp;sourceID=14","0")</f>
        <v>0</v>
      </c>
    </row>
    <row r="137" spans="1:7">
      <c r="A137" s="3">
        <v>20</v>
      </c>
      <c r="B137" s="3">
        <v>14</v>
      </c>
      <c r="C137" s="3">
        <v>17</v>
      </c>
      <c r="D137" s="3">
        <v>7</v>
      </c>
      <c r="E137" s="3">
        <v>1083.045</v>
      </c>
      <c r="F137" s="4" t="str">
        <f>HYPERLINK("http://141.218.60.56/~jnz1568/getInfo.php?workbook=20_14.xlsx&amp;sheet=A0&amp;row=137&amp;col=6&amp;number=6.127&amp;sourceID=14","6.127")</f>
        <v>6.127</v>
      </c>
      <c r="G137" s="4" t="str">
        <f>HYPERLINK("http://141.218.60.56/~jnz1568/getInfo.php?workbook=20_14.xlsx&amp;sheet=A0&amp;row=137&amp;col=7&amp;number=0&amp;sourceID=14","0")</f>
        <v>0</v>
      </c>
    </row>
    <row r="138" spans="1:7">
      <c r="A138" s="3">
        <v>20</v>
      </c>
      <c r="B138" s="3">
        <v>14</v>
      </c>
      <c r="C138" s="3">
        <v>18</v>
      </c>
      <c r="D138" s="3">
        <v>7</v>
      </c>
      <c r="E138" s="3">
        <v>1175.325</v>
      </c>
      <c r="F138" s="4" t="str">
        <f>HYPERLINK("http://141.218.60.56/~jnz1568/getInfo.php?workbook=20_14.xlsx&amp;sheet=A0&amp;row=138&amp;col=6&amp;number=4.284&amp;sourceID=14","4.284")</f>
        <v>4.284</v>
      </c>
      <c r="G138" s="4" t="str">
        <f>HYPERLINK("http://141.218.60.56/~jnz1568/getInfo.php?workbook=20_14.xlsx&amp;sheet=A0&amp;row=138&amp;col=7&amp;number=0&amp;sourceID=14","0")</f>
        <v>0</v>
      </c>
    </row>
    <row r="139" spans="1:7">
      <c r="A139" s="3">
        <v>20</v>
      </c>
      <c r="B139" s="3">
        <v>14</v>
      </c>
      <c r="C139" s="3">
        <v>19</v>
      </c>
      <c r="D139" s="3">
        <v>7</v>
      </c>
      <c r="E139" s="3">
        <v>776.119</v>
      </c>
      <c r="F139" s="4" t="str">
        <f>HYPERLINK("http://141.218.60.56/~jnz1568/getInfo.php?workbook=20_14.xlsx&amp;sheet=A0&amp;row=139&amp;col=6&amp;number=0.241&amp;sourceID=14","0.241")</f>
        <v>0.241</v>
      </c>
      <c r="G139" s="4" t="str">
        <f>HYPERLINK("http://141.218.60.56/~jnz1568/getInfo.php?workbook=20_14.xlsx&amp;sheet=A0&amp;row=139&amp;col=7&amp;number=0&amp;sourceID=14","0")</f>
        <v>0</v>
      </c>
    </row>
    <row r="140" spans="1:7">
      <c r="A140" s="3">
        <v>20</v>
      </c>
      <c r="B140" s="3">
        <v>14</v>
      </c>
      <c r="C140" s="3">
        <v>20</v>
      </c>
      <c r="D140" s="3">
        <v>7</v>
      </c>
      <c r="E140" s="3">
        <v>781.236</v>
      </c>
      <c r="F140" s="4" t="str">
        <f>HYPERLINK("http://141.218.60.56/~jnz1568/getInfo.php?workbook=20_14.xlsx&amp;sheet=A0&amp;row=140&amp;col=6&amp;number=34.17&amp;sourceID=14","34.17")</f>
        <v>34.17</v>
      </c>
      <c r="G140" s="4" t="str">
        <f>HYPERLINK("http://141.218.60.56/~jnz1568/getInfo.php?workbook=20_14.xlsx&amp;sheet=A0&amp;row=140&amp;col=7&amp;number=0&amp;sourceID=14","0")</f>
        <v>0</v>
      </c>
    </row>
    <row r="141" spans="1:7">
      <c r="A141" s="3">
        <v>20</v>
      </c>
      <c r="B141" s="3">
        <v>14</v>
      </c>
      <c r="C141" s="3">
        <v>21</v>
      </c>
      <c r="D141" s="3">
        <v>7</v>
      </c>
      <c r="E141" s="3">
        <v>793.234</v>
      </c>
      <c r="F141" s="4" t="str">
        <f>HYPERLINK("http://141.218.60.56/~jnz1568/getInfo.php?workbook=20_14.xlsx&amp;sheet=A0&amp;row=141&amp;col=6&amp;number=3.941&amp;sourceID=14","3.941")</f>
        <v>3.941</v>
      </c>
      <c r="G141" s="4" t="str">
        <f>HYPERLINK("http://141.218.60.56/~jnz1568/getInfo.php?workbook=20_14.xlsx&amp;sheet=A0&amp;row=141&amp;col=7&amp;number=0&amp;sourceID=14","0")</f>
        <v>0</v>
      </c>
    </row>
    <row r="142" spans="1:7">
      <c r="A142" s="3">
        <v>20</v>
      </c>
      <c r="B142" s="3">
        <v>14</v>
      </c>
      <c r="C142" s="3">
        <v>22</v>
      </c>
      <c r="D142" s="3">
        <v>7</v>
      </c>
      <c r="E142" s="3">
        <v>-726.029</v>
      </c>
      <c r="F142" s="4" t="str">
        <f>HYPERLINK("http://141.218.60.56/~jnz1568/getInfo.php?workbook=20_14.xlsx&amp;sheet=A0&amp;row=142&amp;col=6&amp;number=0.06708&amp;sourceID=14","0.06708")</f>
        <v>0.06708</v>
      </c>
      <c r="G142" s="4" t="str">
        <f>HYPERLINK("http://141.218.60.56/~jnz1568/getInfo.php?workbook=20_14.xlsx&amp;sheet=A0&amp;row=142&amp;col=7&amp;number=0&amp;sourceID=14","0")</f>
        <v>0</v>
      </c>
    </row>
    <row r="143" spans="1:7">
      <c r="A143" s="3">
        <v>20</v>
      </c>
      <c r="B143" s="3">
        <v>14</v>
      </c>
      <c r="C143" s="3">
        <v>23</v>
      </c>
      <c r="D143" s="3">
        <v>7</v>
      </c>
      <c r="E143" s="3">
        <v>740.849</v>
      </c>
      <c r="F143" s="4" t="str">
        <f>HYPERLINK("http://141.218.60.56/~jnz1568/getInfo.php?workbook=20_14.xlsx&amp;sheet=A0&amp;row=143&amp;col=6&amp;number=0.156&amp;sourceID=14","0.156")</f>
        <v>0.156</v>
      </c>
      <c r="G143" s="4" t="str">
        <f>HYPERLINK("http://141.218.60.56/~jnz1568/getInfo.php?workbook=20_14.xlsx&amp;sheet=A0&amp;row=143&amp;col=7&amp;number=0&amp;sourceID=14","0")</f>
        <v>0</v>
      </c>
    </row>
    <row r="144" spans="1:7">
      <c r="A144" s="3">
        <v>20</v>
      </c>
      <c r="B144" s="3">
        <v>14</v>
      </c>
      <c r="C144" s="3">
        <v>24</v>
      </c>
      <c r="D144" s="3">
        <v>7</v>
      </c>
      <c r="E144" s="3">
        <v>737.386</v>
      </c>
      <c r="F144" s="4" t="str">
        <f>HYPERLINK("http://141.218.60.56/~jnz1568/getInfo.php?workbook=20_14.xlsx&amp;sheet=A0&amp;row=144&amp;col=6&amp;number=0.576&amp;sourceID=14","0.576")</f>
        <v>0.576</v>
      </c>
      <c r="G144" s="4" t="str">
        <f>HYPERLINK("http://141.218.60.56/~jnz1568/getInfo.php?workbook=20_14.xlsx&amp;sheet=A0&amp;row=144&amp;col=7&amp;number=0&amp;sourceID=14","0")</f>
        <v>0</v>
      </c>
    </row>
    <row r="145" spans="1:7">
      <c r="A145" s="3">
        <v>20</v>
      </c>
      <c r="B145" s="3">
        <v>14</v>
      </c>
      <c r="C145" s="3">
        <v>25</v>
      </c>
      <c r="D145" s="3">
        <v>7</v>
      </c>
      <c r="E145" s="3">
        <v>735.433</v>
      </c>
      <c r="F145" s="4" t="str">
        <f>HYPERLINK("http://141.218.60.56/~jnz1568/getInfo.php?workbook=20_14.xlsx&amp;sheet=A0&amp;row=145&amp;col=6&amp;number=0.229&amp;sourceID=14","0.229")</f>
        <v>0.229</v>
      </c>
      <c r="G145" s="4" t="str">
        <f>HYPERLINK("http://141.218.60.56/~jnz1568/getInfo.php?workbook=20_14.xlsx&amp;sheet=A0&amp;row=145&amp;col=7&amp;number=0&amp;sourceID=14","0")</f>
        <v>0</v>
      </c>
    </row>
    <row r="146" spans="1:7">
      <c r="A146" s="3">
        <v>20</v>
      </c>
      <c r="B146" s="3">
        <v>14</v>
      </c>
      <c r="C146" s="3">
        <v>26</v>
      </c>
      <c r="D146" s="3">
        <v>7</v>
      </c>
      <c r="E146" s="3">
        <v>607.064</v>
      </c>
      <c r="F146" s="4" t="str">
        <f>HYPERLINK("http://141.218.60.56/~jnz1568/getInfo.php?workbook=20_14.xlsx&amp;sheet=A0&amp;row=146&amp;col=6&amp;number=0.7557&amp;sourceID=14","0.7557")</f>
        <v>0.7557</v>
      </c>
      <c r="G146" s="4" t="str">
        <f>HYPERLINK("http://141.218.60.56/~jnz1568/getInfo.php?workbook=20_14.xlsx&amp;sheet=A0&amp;row=146&amp;col=7&amp;number=0&amp;sourceID=14","0")</f>
        <v>0</v>
      </c>
    </row>
    <row r="147" spans="1:7">
      <c r="A147" s="3">
        <v>20</v>
      </c>
      <c r="B147" s="3">
        <v>14</v>
      </c>
      <c r="C147" s="3">
        <v>27</v>
      </c>
      <c r="D147" s="3">
        <v>7</v>
      </c>
      <c r="E147" s="3">
        <v>576.89</v>
      </c>
      <c r="F147" s="4" t="str">
        <f>HYPERLINK("http://141.218.60.56/~jnz1568/getInfo.php?workbook=20_14.xlsx&amp;sheet=A0&amp;row=147&amp;col=6&amp;number=1.501&amp;sourceID=14","1.501")</f>
        <v>1.501</v>
      </c>
      <c r="G147" s="4" t="str">
        <f>HYPERLINK("http://141.218.60.56/~jnz1568/getInfo.php?workbook=20_14.xlsx&amp;sheet=A0&amp;row=147&amp;col=7&amp;number=0&amp;sourceID=14","0")</f>
        <v>0</v>
      </c>
    </row>
    <row r="148" spans="1:7">
      <c r="A148" s="3">
        <v>20</v>
      </c>
      <c r="B148" s="3">
        <v>14</v>
      </c>
      <c r="C148" s="3">
        <v>9</v>
      </c>
      <c r="D148" s="3">
        <v>8</v>
      </c>
      <c r="E148" s="3">
        <v>323723.67</v>
      </c>
      <c r="F148" s="4" t="str">
        <f>HYPERLINK("http://141.218.60.56/~jnz1568/getInfo.php?workbook=20_14.xlsx&amp;sheet=A0&amp;row=148&amp;col=6&amp;number=0.0005259&amp;sourceID=14","0.0005259")</f>
        <v>0.0005259</v>
      </c>
      <c r="G148" s="4" t="str">
        <f>HYPERLINK("http://141.218.60.56/~jnz1568/getInfo.php?workbook=20_14.xlsx&amp;sheet=A0&amp;row=148&amp;col=7&amp;number=0&amp;sourceID=14","0")</f>
        <v>0</v>
      </c>
    </row>
    <row r="149" spans="1:7">
      <c r="A149" s="3">
        <v>20</v>
      </c>
      <c r="B149" s="3">
        <v>14</v>
      </c>
      <c r="C149" s="3">
        <v>10</v>
      </c>
      <c r="D149" s="3">
        <v>8</v>
      </c>
      <c r="E149" s="3">
        <v>3994.208</v>
      </c>
      <c r="F149" s="4" t="str">
        <f>HYPERLINK("http://141.218.60.56/~jnz1568/getInfo.php?workbook=20_14.xlsx&amp;sheet=A0&amp;row=149&amp;col=6&amp;number=2.106&amp;sourceID=14","2.106")</f>
        <v>2.106</v>
      </c>
      <c r="G149" s="4" t="str">
        <f>HYPERLINK("http://141.218.60.56/~jnz1568/getInfo.php?workbook=20_14.xlsx&amp;sheet=A0&amp;row=149&amp;col=7&amp;number=0&amp;sourceID=14","0")</f>
        <v>0</v>
      </c>
    </row>
    <row r="150" spans="1:7">
      <c r="A150" s="3">
        <v>20</v>
      </c>
      <c r="B150" s="3">
        <v>14</v>
      </c>
      <c r="C150" s="3">
        <v>11</v>
      </c>
      <c r="D150" s="3">
        <v>8</v>
      </c>
      <c r="E150" s="3">
        <v>3972.579</v>
      </c>
      <c r="F150" s="4" t="str">
        <f>HYPERLINK("http://141.218.60.56/~jnz1568/getInfo.php?workbook=20_14.xlsx&amp;sheet=A0&amp;row=150&amp;col=6&amp;number=0.1721&amp;sourceID=14","0.1721")</f>
        <v>0.1721</v>
      </c>
      <c r="G150" s="4" t="str">
        <f>HYPERLINK("http://141.218.60.56/~jnz1568/getInfo.php?workbook=20_14.xlsx&amp;sheet=A0&amp;row=150&amp;col=7&amp;number=0&amp;sourceID=14","0")</f>
        <v>0</v>
      </c>
    </row>
    <row r="151" spans="1:7">
      <c r="A151" s="3">
        <v>20</v>
      </c>
      <c r="B151" s="3">
        <v>14</v>
      </c>
      <c r="C151" s="3">
        <v>12</v>
      </c>
      <c r="D151" s="3">
        <v>8</v>
      </c>
      <c r="E151" s="3">
        <v>3969.536</v>
      </c>
      <c r="F151" s="4" t="str">
        <f>HYPERLINK("http://141.218.60.56/~jnz1568/getInfo.php?workbook=20_14.xlsx&amp;sheet=A0&amp;row=151&amp;col=6&amp;number=2.978&amp;sourceID=14","2.978")</f>
        <v>2.978</v>
      </c>
      <c r="G151" s="4" t="str">
        <f>HYPERLINK("http://141.218.60.56/~jnz1568/getInfo.php?workbook=20_14.xlsx&amp;sheet=A0&amp;row=151&amp;col=7&amp;number=0&amp;sourceID=14","0")</f>
        <v>0</v>
      </c>
    </row>
    <row r="152" spans="1:7">
      <c r="A152" s="3">
        <v>20</v>
      </c>
      <c r="B152" s="3">
        <v>14</v>
      </c>
      <c r="C152" s="3">
        <v>13</v>
      </c>
      <c r="D152" s="3">
        <v>8</v>
      </c>
      <c r="E152" s="3">
        <v>2304.375</v>
      </c>
      <c r="F152" s="4" t="str">
        <f>HYPERLINK("http://141.218.60.56/~jnz1568/getInfo.php?workbook=20_14.xlsx&amp;sheet=A0&amp;row=152&amp;col=6&amp;number=0.2335&amp;sourceID=14","0.2335")</f>
        <v>0.2335</v>
      </c>
      <c r="G152" s="4" t="str">
        <f>HYPERLINK("http://141.218.60.56/~jnz1568/getInfo.php?workbook=20_14.xlsx&amp;sheet=A0&amp;row=152&amp;col=7&amp;number=0&amp;sourceID=14","0")</f>
        <v>0</v>
      </c>
    </row>
    <row r="153" spans="1:7">
      <c r="A153" s="3">
        <v>20</v>
      </c>
      <c r="B153" s="3">
        <v>14</v>
      </c>
      <c r="C153" s="3">
        <v>14</v>
      </c>
      <c r="D153" s="3">
        <v>8</v>
      </c>
      <c r="E153" s="3">
        <v>-1085.153</v>
      </c>
      <c r="F153" s="4" t="str">
        <f>HYPERLINK("http://141.218.60.56/~jnz1568/getInfo.php?workbook=20_14.xlsx&amp;sheet=A0&amp;row=153&amp;col=6&amp;number=0.5252&amp;sourceID=14","0.5252")</f>
        <v>0.5252</v>
      </c>
      <c r="G153" s="4" t="str">
        <f>HYPERLINK("http://141.218.60.56/~jnz1568/getInfo.php?workbook=20_14.xlsx&amp;sheet=A0&amp;row=153&amp;col=7&amp;number=0&amp;sourceID=14","0")</f>
        <v>0</v>
      </c>
    </row>
    <row r="154" spans="1:7">
      <c r="A154" s="3">
        <v>20</v>
      </c>
      <c r="B154" s="3">
        <v>14</v>
      </c>
      <c r="C154" s="3">
        <v>15</v>
      </c>
      <c r="D154" s="3">
        <v>8</v>
      </c>
      <c r="E154" s="3">
        <v>-1067.464</v>
      </c>
      <c r="F154" s="4" t="str">
        <f>HYPERLINK("http://141.218.60.56/~jnz1568/getInfo.php?workbook=20_14.xlsx&amp;sheet=A0&amp;row=154&amp;col=6&amp;number=0.07501&amp;sourceID=14","0.07501")</f>
        <v>0.07501</v>
      </c>
      <c r="G154" s="4" t="str">
        <f>HYPERLINK("http://141.218.60.56/~jnz1568/getInfo.php?workbook=20_14.xlsx&amp;sheet=A0&amp;row=154&amp;col=7&amp;number=0&amp;sourceID=14","0")</f>
        <v>0</v>
      </c>
    </row>
    <row r="155" spans="1:7">
      <c r="A155" s="3">
        <v>20</v>
      </c>
      <c r="B155" s="3">
        <v>14</v>
      </c>
      <c r="C155" s="3">
        <v>16</v>
      </c>
      <c r="D155" s="3">
        <v>8</v>
      </c>
      <c r="E155" s="3">
        <v>-1043.7</v>
      </c>
      <c r="F155" s="4" t="str">
        <f>HYPERLINK("http://141.218.60.56/~jnz1568/getInfo.php?workbook=20_14.xlsx&amp;sheet=A0&amp;row=155&amp;col=6&amp;number=1.119&amp;sourceID=14","1.119")</f>
        <v>1.119</v>
      </c>
      <c r="G155" s="4" t="str">
        <f>HYPERLINK("http://141.218.60.56/~jnz1568/getInfo.php?workbook=20_14.xlsx&amp;sheet=A0&amp;row=155&amp;col=7&amp;number=0&amp;sourceID=14","0")</f>
        <v>0</v>
      </c>
    </row>
    <row r="156" spans="1:7">
      <c r="A156" s="3">
        <v>20</v>
      </c>
      <c r="B156" s="3">
        <v>14</v>
      </c>
      <c r="C156" s="3">
        <v>17</v>
      </c>
      <c r="D156" s="3">
        <v>8</v>
      </c>
      <c r="E156" s="3">
        <v>1083.783</v>
      </c>
      <c r="F156" s="4" t="str">
        <f>HYPERLINK("http://141.218.60.56/~jnz1568/getInfo.php?workbook=20_14.xlsx&amp;sheet=A0&amp;row=156&amp;col=6&amp;number=18.19&amp;sourceID=14","18.19")</f>
        <v>18.19</v>
      </c>
      <c r="G156" s="4" t="str">
        <f>HYPERLINK("http://141.218.60.56/~jnz1568/getInfo.php?workbook=20_14.xlsx&amp;sheet=A0&amp;row=156&amp;col=7&amp;number=0&amp;sourceID=14","0")</f>
        <v>0</v>
      </c>
    </row>
    <row r="157" spans="1:7">
      <c r="A157" s="3">
        <v>20</v>
      </c>
      <c r="B157" s="3">
        <v>14</v>
      </c>
      <c r="C157" s="3">
        <v>18</v>
      </c>
      <c r="D157" s="3">
        <v>8</v>
      </c>
      <c r="E157" s="3">
        <v>1176.193</v>
      </c>
      <c r="F157" s="4" t="str">
        <f>HYPERLINK("http://141.218.60.56/~jnz1568/getInfo.php?workbook=20_14.xlsx&amp;sheet=A0&amp;row=157&amp;col=6&amp;number=5.994&amp;sourceID=14","5.994")</f>
        <v>5.994</v>
      </c>
      <c r="G157" s="4" t="str">
        <f>HYPERLINK("http://141.218.60.56/~jnz1568/getInfo.php?workbook=20_14.xlsx&amp;sheet=A0&amp;row=157&amp;col=7&amp;number=0&amp;sourceID=14","0")</f>
        <v>0</v>
      </c>
    </row>
    <row r="158" spans="1:7">
      <c r="A158" s="3">
        <v>20</v>
      </c>
      <c r="B158" s="3">
        <v>14</v>
      </c>
      <c r="C158" s="3">
        <v>19</v>
      </c>
      <c r="D158" s="3">
        <v>8</v>
      </c>
      <c r="E158" s="3">
        <v>776.497</v>
      </c>
      <c r="F158" s="4" t="str">
        <f>HYPERLINK("http://141.218.60.56/~jnz1568/getInfo.php?workbook=20_14.xlsx&amp;sheet=A0&amp;row=158&amp;col=6&amp;number=86.36&amp;sourceID=14","86.36")</f>
        <v>86.36</v>
      </c>
      <c r="G158" s="4" t="str">
        <f>HYPERLINK("http://141.218.60.56/~jnz1568/getInfo.php?workbook=20_14.xlsx&amp;sheet=A0&amp;row=158&amp;col=7&amp;number=0&amp;sourceID=14","0")</f>
        <v>0</v>
      </c>
    </row>
    <row r="159" spans="1:7">
      <c r="A159" s="3">
        <v>20</v>
      </c>
      <c r="B159" s="3">
        <v>14</v>
      </c>
      <c r="C159" s="3">
        <v>20</v>
      </c>
      <c r="D159" s="3">
        <v>8</v>
      </c>
      <c r="E159" s="3">
        <v>781.62</v>
      </c>
      <c r="F159" s="4" t="str">
        <f>HYPERLINK("http://141.218.60.56/~jnz1568/getInfo.php?workbook=20_14.xlsx&amp;sheet=A0&amp;row=159&amp;col=6&amp;number=9.408&amp;sourceID=14","9.408")</f>
        <v>9.408</v>
      </c>
      <c r="G159" s="4" t="str">
        <f>HYPERLINK("http://141.218.60.56/~jnz1568/getInfo.php?workbook=20_14.xlsx&amp;sheet=A0&amp;row=159&amp;col=7&amp;number=0&amp;sourceID=14","0")</f>
        <v>0</v>
      </c>
    </row>
    <row r="160" spans="1:7">
      <c r="A160" s="3">
        <v>20</v>
      </c>
      <c r="B160" s="3">
        <v>14</v>
      </c>
      <c r="C160" s="3">
        <v>21</v>
      </c>
      <c r="D160" s="3">
        <v>8</v>
      </c>
      <c r="E160" s="3">
        <v>793.629</v>
      </c>
      <c r="F160" s="4" t="str">
        <f>HYPERLINK("http://141.218.60.56/~jnz1568/getInfo.php?workbook=20_14.xlsx&amp;sheet=A0&amp;row=160&amp;col=6&amp;number=14.82&amp;sourceID=14","14.82")</f>
        <v>14.82</v>
      </c>
      <c r="G160" s="4" t="str">
        <f>HYPERLINK("http://141.218.60.56/~jnz1568/getInfo.php?workbook=20_14.xlsx&amp;sheet=A0&amp;row=160&amp;col=7&amp;number=0&amp;sourceID=14","0")</f>
        <v>0</v>
      </c>
    </row>
    <row r="161" spans="1:7">
      <c r="A161" s="3">
        <v>20</v>
      </c>
      <c r="B161" s="3">
        <v>14</v>
      </c>
      <c r="C161" s="3">
        <v>22</v>
      </c>
      <c r="D161" s="3">
        <v>8</v>
      </c>
      <c r="E161" s="3">
        <v>-726.377</v>
      </c>
      <c r="F161" s="4" t="str">
        <f>HYPERLINK("http://141.218.60.56/~jnz1568/getInfo.php?workbook=20_14.xlsx&amp;sheet=A0&amp;row=161&amp;col=6&amp;number=4.502&amp;sourceID=14","4.502")</f>
        <v>4.502</v>
      </c>
      <c r="G161" s="4" t="str">
        <f>HYPERLINK("http://141.218.60.56/~jnz1568/getInfo.php?workbook=20_14.xlsx&amp;sheet=A0&amp;row=161&amp;col=7&amp;number=0&amp;sourceID=14","0")</f>
        <v>0</v>
      </c>
    </row>
    <row r="162" spans="1:7">
      <c r="A162" s="3">
        <v>20</v>
      </c>
      <c r="B162" s="3">
        <v>14</v>
      </c>
      <c r="C162" s="3">
        <v>23</v>
      </c>
      <c r="D162" s="3">
        <v>8</v>
      </c>
      <c r="E162" s="3">
        <v>741.194</v>
      </c>
      <c r="F162" s="4" t="str">
        <f>HYPERLINK("http://141.218.60.56/~jnz1568/getInfo.php?workbook=20_14.xlsx&amp;sheet=A0&amp;row=162&amp;col=6&amp;number=1.692&amp;sourceID=14","1.692")</f>
        <v>1.692</v>
      </c>
      <c r="G162" s="4" t="str">
        <f>HYPERLINK("http://141.218.60.56/~jnz1568/getInfo.php?workbook=20_14.xlsx&amp;sheet=A0&amp;row=162&amp;col=7&amp;number=0&amp;sourceID=14","0")</f>
        <v>0</v>
      </c>
    </row>
    <row r="163" spans="1:7">
      <c r="A163" s="3">
        <v>20</v>
      </c>
      <c r="B163" s="3">
        <v>14</v>
      </c>
      <c r="C163" s="3">
        <v>24</v>
      </c>
      <c r="D163" s="3">
        <v>8</v>
      </c>
      <c r="E163" s="3">
        <v>737.727</v>
      </c>
      <c r="F163" s="4" t="str">
        <f>HYPERLINK("http://141.218.60.56/~jnz1568/getInfo.php?workbook=20_14.xlsx&amp;sheet=A0&amp;row=163&amp;col=6&amp;number=0.02101&amp;sourceID=14","0.02101")</f>
        <v>0.02101</v>
      </c>
      <c r="G163" s="4" t="str">
        <f>HYPERLINK("http://141.218.60.56/~jnz1568/getInfo.php?workbook=20_14.xlsx&amp;sheet=A0&amp;row=163&amp;col=7&amp;number=0&amp;sourceID=14","0")</f>
        <v>0</v>
      </c>
    </row>
    <row r="164" spans="1:7">
      <c r="A164" s="3">
        <v>20</v>
      </c>
      <c r="B164" s="3">
        <v>14</v>
      </c>
      <c r="C164" s="3">
        <v>25</v>
      </c>
      <c r="D164" s="3">
        <v>8</v>
      </c>
      <c r="E164" s="3">
        <v>735.773</v>
      </c>
      <c r="F164" s="4" t="str">
        <f>HYPERLINK("http://141.218.60.56/~jnz1568/getInfo.php?workbook=20_14.xlsx&amp;sheet=A0&amp;row=164&amp;col=6&amp;number=1.131&amp;sourceID=14","1.131")</f>
        <v>1.131</v>
      </c>
      <c r="G164" s="4" t="str">
        <f>HYPERLINK("http://141.218.60.56/~jnz1568/getInfo.php?workbook=20_14.xlsx&amp;sheet=A0&amp;row=164&amp;col=7&amp;number=0&amp;sourceID=14","0")</f>
        <v>0</v>
      </c>
    </row>
    <row r="165" spans="1:7">
      <c r="A165" s="3">
        <v>20</v>
      </c>
      <c r="B165" s="3">
        <v>14</v>
      </c>
      <c r="C165" s="3">
        <v>26</v>
      </c>
      <c r="D165" s="3">
        <v>8</v>
      </c>
      <c r="E165" s="3">
        <v>607.296</v>
      </c>
      <c r="F165" s="4" t="str">
        <f>HYPERLINK("http://141.218.60.56/~jnz1568/getInfo.php?workbook=20_14.xlsx&amp;sheet=A0&amp;row=165&amp;col=6&amp;number=0.5286&amp;sourceID=14","0.5286")</f>
        <v>0.5286</v>
      </c>
      <c r="G165" s="4" t="str">
        <f>HYPERLINK("http://141.218.60.56/~jnz1568/getInfo.php?workbook=20_14.xlsx&amp;sheet=A0&amp;row=165&amp;col=7&amp;number=0&amp;sourceID=14","0")</f>
        <v>0</v>
      </c>
    </row>
    <row r="166" spans="1:7">
      <c r="A166" s="3">
        <v>20</v>
      </c>
      <c r="B166" s="3">
        <v>14</v>
      </c>
      <c r="C166" s="3">
        <v>27</v>
      </c>
      <c r="D166" s="3">
        <v>8</v>
      </c>
      <c r="E166" s="3">
        <v>577.099</v>
      </c>
      <c r="F166" s="4" t="str">
        <f>HYPERLINK("http://141.218.60.56/~jnz1568/getInfo.php?workbook=20_14.xlsx&amp;sheet=A0&amp;row=166&amp;col=6&amp;number=0.4418&amp;sourceID=14","0.4418")</f>
        <v>0.4418</v>
      </c>
      <c r="G166" s="4" t="str">
        <f>HYPERLINK("http://141.218.60.56/~jnz1568/getInfo.php?workbook=20_14.xlsx&amp;sheet=A0&amp;row=166&amp;col=7&amp;number=0&amp;sourceID=14","0")</f>
        <v>0</v>
      </c>
    </row>
    <row r="167" spans="1:7">
      <c r="A167" s="3">
        <v>20</v>
      </c>
      <c r="B167" s="3">
        <v>14</v>
      </c>
      <c r="C167" s="3">
        <v>11</v>
      </c>
      <c r="D167" s="3">
        <v>9</v>
      </c>
      <c r="E167" s="3">
        <v>4021.934</v>
      </c>
      <c r="F167" s="4" t="str">
        <f>HYPERLINK("http://141.218.60.56/~jnz1568/getInfo.php?workbook=20_14.xlsx&amp;sheet=A0&amp;row=167&amp;col=6&amp;number=0.972&amp;sourceID=14","0.972")</f>
        <v>0.972</v>
      </c>
      <c r="G167" s="4" t="str">
        <f>HYPERLINK("http://141.218.60.56/~jnz1568/getInfo.php?workbook=20_14.xlsx&amp;sheet=A0&amp;row=167&amp;col=7&amp;number=0&amp;sourceID=14","0")</f>
        <v>0</v>
      </c>
    </row>
    <row r="168" spans="1:7">
      <c r="A168" s="3">
        <v>20</v>
      </c>
      <c r="B168" s="3">
        <v>14</v>
      </c>
      <c r="C168" s="3">
        <v>12</v>
      </c>
      <c r="D168" s="3">
        <v>9</v>
      </c>
      <c r="E168" s="3">
        <v>4018.815</v>
      </c>
      <c r="F168" s="4" t="str">
        <f>HYPERLINK("http://141.218.60.56/~jnz1568/getInfo.php?workbook=20_14.xlsx&amp;sheet=A0&amp;row=168&amp;col=6&amp;number=4.177&amp;sourceID=14","4.177")</f>
        <v>4.177</v>
      </c>
      <c r="G168" s="4" t="str">
        <f>HYPERLINK("http://141.218.60.56/~jnz1568/getInfo.php?workbook=20_14.xlsx&amp;sheet=A0&amp;row=168&amp;col=7&amp;number=0&amp;sourceID=14","0")</f>
        <v>0</v>
      </c>
    </row>
    <row r="169" spans="1:7">
      <c r="A169" s="3">
        <v>20</v>
      </c>
      <c r="B169" s="3">
        <v>14</v>
      </c>
      <c r="C169" s="3">
        <v>13</v>
      </c>
      <c r="D169" s="3">
        <v>9</v>
      </c>
      <c r="E169" s="3">
        <v>2320.896</v>
      </c>
      <c r="F169" s="4" t="str">
        <f>HYPERLINK("http://141.218.60.56/~jnz1568/getInfo.php?workbook=20_14.xlsx&amp;sheet=A0&amp;row=169&amp;col=6&amp;number=0.1612&amp;sourceID=14","0.1612")</f>
        <v>0.1612</v>
      </c>
      <c r="G169" s="4" t="str">
        <f>HYPERLINK("http://141.218.60.56/~jnz1568/getInfo.php?workbook=20_14.xlsx&amp;sheet=A0&amp;row=169&amp;col=7&amp;number=0&amp;sourceID=14","0")</f>
        <v>0</v>
      </c>
    </row>
    <row r="170" spans="1:7">
      <c r="A170" s="3">
        <v>20</v>
      </c>
      <c r="B170" s="3">
        <v>14</v>
      </c>
      <c r="C170" s="3">
        <v>14</v>
      </c>
      <c r="D170" s="3">
        <v>9</v>
      </c>
      <c r="E170" s="3">
        <v>-1089.008</v>
      </c>
      <c r="F170" s="4" t="str">
        <f>HYPERLINK("http://141.218.60.56/~jnz1568/getInfo.php?workbook=20_14.xlsx&amp;sheet=A0&amp;row=170&amp;col=6&amp;number=0.04696&amp;sourceID=14","0.04696")</f>
        <v>0.04696</v>
      </c>
      <c r="G170" s="4" t="str">
        <f>HYPERLINK("http://141.218.60.56/~jnz1568/getInfo.php?workbook=20_14.xlsx&amp;sheet=A0&amp;row=170&amp;col=7&amp;number=0&amp;sourceID=14","0")</f>
        <v>0</v>
      </c>
    </row>
    <row r="171" spans="1:7">
      <c r="A171" s="3">
        <v>20</v>
      </c>
      <c r="B171" s="3">
        <v>14</v>
      </c>
      <c r="C171" s="3">
        <v>15</v>
      </c>
      <c r="D171" s="3">
        <v>9</v>
      </c>
      <c r="E171" s="3">
        <v>-1071.194</v>
      </c>
      <c r="F171" s="4" t="str">
        <f>HYPERLINK("http://141.218.60.56/~jnz1568/getInfo.php?workbook=20_14.xlsx&amp;sheet=A0&amp;row=171&amp;col=6&amp;number=0.445&amp;sourceID=14","0.445")</f>
        <v>0.445</v>
      </c>
      <c r="G171" s="4" t="str">
        <f>HYPERLINK("http://141.218.60.56/~jnz1568/getInfo.php?workbook=20_14.xlsx&amp;sheet=A0&amp;row=171&amp;col=7&amp;number=0&amp;sourceID=14","0")</f>
        <v>0</v>
      </c>
    </row>
    <row r="172" spans="1:7">
      <c r="A172" s="3">
        <v>20</v>
      </c>
      <c r="B172" s="3">
        <v>14</v>
      </c>
      <c r="C172" s="3">
        <v>16</v>
      </c>
      <c r="D172" s="3">
        <v>9</v>
      </c>
      <c r="E172" s="3">
        <v>-1047.266</v>
      </c>
      <c r="F172" s="4" t="str">
        <f>HYPERLINK("http://141.218.60.56/~jnz1568/getInfo.php?workbook=20_14.xlsx&amp;sheet=A0&amp;row=172&amp;col=6&amp;number=1.056&amp;sourceID=14","1.056")</f>
        <v>1.056</v>
      </c>
      <c r="G172" s="4" t="str">
        <f>HYPERLINK("http://141.218.60.56/~jnz1568/getInfo.php?workbook=20_14.xlsx&amp;sheet=A0&amp;row=172&amp;col=7&amp;number=0&amp;sourceID=14","0")</f>
        <v>0</v>
      </c>
    </row>
    <row r="173" spans="1:7">
      <c r="A173" s="3">
        <v>20</v>
      </c>
      <c r="B173" s="3">
        <v>14</v>
      </c>
      <c r="C173" s="3">
        <v>17</v>
      </c>
      <c r="D173" s="3">
        <v>9</v>
      </c>
      <c r="E173" s="3">
        <v>1087.423</v>
      </c>
      <c r="F173" s="4" t="str">
        <f>HYPERLINK("http://141.218.60.56/~jnz1568/getInfo.php?workbook=20_14.xlsx&amp;sheet=A0&amp;row=173&amp;col=6&amp;number=0.4151&amp;sourceID=14","0.4151")</f>
        <v>0.4151</v>
      </c>
      <c r="G173" s="4" t="str">
        <f>HYPERLINK("http://141.218.60.56/~jnz1568/getInfo.php?workbook=20_14.xlsx&amp;sheet=A0&amp;row=173&amp;col=7&amp;number=0&amp;sourceID=14","0")</f>
        <v>0</v>
      </c>
    </row>
    <row r="174" spans="1:7">
      <c r="A174" s="3">
        <v>20</v>
      </c>
      <c r="B174" s="3">
        <v>14</v>
      </c>
      <c r="C174" s="3">
        <v>18</v>
      </c>
      <c r="D174" s="3">
        <v>9</v>
      </c>
      <c r="E174" s="3">
        <v>1180.482</v>
      </c>
      <c r="F174" s="4" t="str">
        <f>HYPERLINK("http://141.218.60.56/~jnz1568/getInfo.php?workbook=20_14.xlsx&amp;sheet=A0&amp;row=174&amp;col=6&amp;number=3.084&amp;sourceID=14","3.084")</f>
        <v>3.084</v>
      </c>
      <c r="G174" s="4" t="str">
        <f>HYPERLINK("http://141.218.60.56/~jnz1568/getInfo.php?workbook=20_14.xlsx&amp;sheet=A0&amp;row=174&amp;col=7&amp;number=0&amp;sourceID=14","0")</f>
        <v>0</v>
      </c>
    </row>
    <row r="175" spans="1:7">
      <c r="A175" s="3">
        <v>20</v>
      </c>
      <c r="B175" s="3">
        <v>14</v>
      </c>
      <c r="C175" s="3">
        <v>20</v>
      </c>
      <c r="D175" s="3">
        <v>9</v>
      </c>
      <c r="E175" s="3">
        <v>783.511</v>
      </c>
      <c r="F175" s="4" t="str">
        <f>HYPERLINK("http://141.218.60.56/~jnz1568/getInfo.php?workbook=20_14.xlsx&amp;sheet=A0&amp;row=175&amp;col=6&amp;number=31.25&amp;sourceID=14","31.25")</f>
        <v>31.25</v>
      </c>
      <c r="G175" s="4" t="str">
        <f>HYPERLINK("http://141.218.60.56/~jnz1568/getInfo.php?workbook=20_14.xlsx&amp;sheet=A0&amp;row=175&amp;col=7&amp;number=0&amp;sourceID=14","0")</f>
        <v>0</v>
      </c>
    </row>
    <row r="176" spans="1:7">
      <c r="A176" s="3">
        <v>20</v>
      </c>
      <c r="B176" s="3">
        <v>14</v>
      </c>
      <c r="C176" s="3">
        <v>21</v>
      </c>
      <c r="D176" s="3">
        <v>9</v>
      </c>
      <c r="E176" s="3">
        <v>795.579</v>
      </c>
      <c r="F176" s="4" t="str">
        <f>HYPERLINK("http://141.218.60.56/~jnz1568/getInfo.php?workbook=20_14.xlsx&amp;sheet=A0&amp;row=176&amp;col=6&amp;number=29.14&amp;sourceID=14","29.14")</f>
        <v>29.14</v>
      </c>
      <c r="G176" s="4" t="str">
        <f>HYPERLINK("http://141.218.60.56/~jnz1568/getInfo.php?workbook=20_14.xlsx&amp;sheet=A0&amp;row=176&amp;col=7&amp;number=0&amp;sourceID=14","0")</f>
        <v>0</v>
      </c>
    </row>
    <row r="177" spans="1:7">
      <c r="A177" s="3">
        <v>20</v>
      </c>
      <c r="B177" s="3">
        <v>14</v>
      </c>
      <c r="C177" s="3">
        <v>22</v>
      </c>
      <c r="D177" s="3">
        <v>9</v>
      </c>
      <c r="E177" s="3">
        <v>-728.102</v>
      </c>
      <c r="F177" s="4" t="str">
        <f>HYPERLINK("http://141.218.60.56/~jnz1568/getInfo.php?workbook=20_14.xlsx&amp;sheet=A0&amp;row=177&amp;col=6&amp;number=9.037&amp;sourceID=14","9.037")</f>
        <v>9.037</v>
      </c>
      <c r="G177" s="4" t="str">
        <f>HYPERLINK("http://141.218.60.56/~jnz1568/getInfo.php?workbook=20_14.xlsx&amp;sheet=A0&amp;row=177&amp;col=7&amp;number=0&amp;sourceID=14","0")</f>
        <v>0</v>
      </c>
    </row>
    <row r="178" spans="1:7">
      <c r="A178" s="3">
        <v>20</v>
      </c>
      <c r="B178" s="3">
        <v>14</v>
      </c>
      <c r="C178" s="3">
        <v>23</v>
      </c>
      <c r="D178" s="3">
        <v>9</v>
      </c>
      <c r="E178" s="3">
        <v>742.895</v>
      </c>
      <c r="F178" s="4" t="str">
        <f>HYPERLINK("http://141.218.60.56/~jnz1568/getInfo.php?workbook=20_14.xlsx&amp;sheet=A0&amp;row=178&amp;col=6&amp;number=1.256&amp;sourceID=14","1.256")</f>
        <v>1.256</v>
      </c>
      <c r="G178" s="4" t="str">
        <f>HYPERLINK("http://141.218.60.56/~jnz1568/getInfo.php?workbook=20_14.xlsx&amp;sheet=A0&amp;row=178&amp;col=7&amp;number=0&amp;sourceID=14","0")</f>
        <v>0</v>
      </c>
    </row>
    <row r="179" spans="1:7">
      <c r="A179" s="3">
        <v>20</v>
      </c>
      <c r="B179" s="3">
        <v>14</v>
      </c>
      <c r="C179" s="3">
        <v>24</v>
      </c>
      <c r="D179" s="3">
        <v>9</v>
      </c>
      <c r="E179" s="3">
        <v>739.412</v>
      </c>
      <c r="F179" s="4" t="str">
        <f>HYPERLINK("http://141.218.60.56/~jnz1568/getInfo.php?workbook=20_14.xlsx&amp;sheet=A0&amp;row=179&amp;col=6&amp;number=2.101&amp;sourceID=14","2.101")</f>
        <v>2.101</v>
      </c>
      <c r="G179" s="4" t="str">
        <f>HYPERLINK("http://141.218.60.56/~jnz1568/getInfo.php?workbook=20_14.xlsx&amp;sheet=A0&amp;row=179&amp;col=7&amp;number=0&amp;sourceID=14","0")</f>
        <v>0</v>
      </c>
    </row>
    <row r="180" spans="1:7">
      <c r="A180" s="3">
        <v>20</v>
      </c>
      <c r="B180" s="3">
        <v>14</v>
      </c>
      <c r="C180" s="3">
        <v>25</v>
      </c>
      <c r="D180" s="3">
        <v>9</v>
      </c>
      <c r="E180" s="3">
        <v>737.449</v>
      </c>
      <c r="F180" s="4" t="str">
        <f>HYPERLINK("http://141.218.60.56/~jnz1568/getInfo.php?workbook=20_14.xlsx&amp;sheet=A0&amp;row=180&amp;col=6&amp;number=0.0006912&amp;sourceID=14","0.0006912")</f>
        <v>0.0006912</v>
      </c>
      <c r="G180" s="4" t="str">
        <f>HYPERLINK("http://141.218.60.56/~jnz1568/getInfo.php?workbook=20_14.xlsx&amp;sheet=A0&amp;row=180&amp;col=7&amp;number=0&amp;sourceID=14","0")</f>
        <v>0</v>
      </c>
    </row>
    <row r="181" spans="1:7">
      <c r="A181" s="3">
        <v>20</v>
      </c>
      <c r="B181" s="3">
        <v>14</v>
      </c>
      <c r="C181" s="3">
        <v>26</v>
      </c>
      <c r="D181" s="3">
        <v>9</v>
      </c>
      <c r="E181" s="3">
        <v>608.437</v>
      </c>
      <c r="F181" s="4" t="str">
        <f>HYPERLINK("http://141.218.60.56/~jnz1568/getInfo.php?workbook=20_14.xlsx&amp;sheet=A0&amp;row=181&amp;col=6&amp;number=1.089&amp;sourceID=14","1.089")</f>
        <v>1.089</v>
      </c>
      <c r="G181" s="4" t="str">
        <f>HYPERLINK("http://141.218.60.56/~jnz1568/getInfo.php?workbook=20_14.xlsx&amp;sheet=A0&amp;row=181&amp;col=7&amp;number=0&amp;sourceID=14","0")</f>
        <v>0</v>
      </c>
    </row>
    <row r="182" spans="1:7">
      <c r="A182" s="3">
        <v>20</v>
      </c>
      <c r="B182" s="3">
        <v>14</v>
      </c>
      <c r="C182" s="3">
        <v>27</v>
      </c>
      <c r="D182" s="3">
        <v>9</v>
      </c>
      <c r="E182" s="3">
        <v>578.13</v>
      </c>
      <c r="F182" s="4" t="str">
        <f>HYPERLINK("http://141.218.60.56/~jnz1568/getInfo.php?workbook=20_14.xlsx&amp;sheet=A0&amp;row=182&amp;col=6&amp;number=0.1583&amp;sourceID=14","0.1583")</f>
        <v>0.1583</v>
      </c>
      <c r="G182" s="4" t="str">
        <f>HYPERLINK("http://141.218.60.56/~jnz1568/getInfo.php?workbook=20_14.xlsx&amp;sheet=A0&amp;row=182&amp;col=7&amp;number=0&amp;sourceID=14","0")</f>
        <v>0</v>
      </c>
    </row>
    <row r="183" spans="1:7">
      <c r="A183" s="3">
        <v>20</v>
      </c>
      <c r="B183" s="3">
        <v>14</v>
      </c>
      <c r="C183" s="3">
        <v>11</v>
      </c>
      <c r="D183" s="3">
        <v>10</v>
      </c>
      <c r="E183" s="3">
        <v>733612.477</v>
      </c>
      <c r="F183" s="4" t="str">
        <f>HYPERLINK("http://141.218.60.56/~jnz1568/getInfo.php?workbook=20_14.xlsx&amp;sheet=A0&amp;row=183&amp;col=6&amp;number=4.531e-05&amp;sourceID=14","4.531e-05")</f>
        <v>4.531e-05</v>
      </c>
      <c r="G183" s="4" t="str">
        <f>HYPERLINK("http://141.218.60.56/~jnz1568/getInfo.php?workbook=20_14.xlsx&amp;sheet=A0&amp;row=183&amp;col=7&amp;number=0&amp;sourceID=14","0")</f>
        <v>0</v>
      </c>
    </row>
    <row r="184" spans="1:7">
      <c r="A184" s="3">
        <v>20</v>
      </c>
      <c r="B184" s="3">
        <v>14</v>
      </c>
      <c r="C184" s="3">
        <v>12</v>
      </c>
      <c r="D184" s="3">
        <v>10</v>
      </c>
      <c r="E184" s="3">
        <v>642637.534</v>
      </c>
      <c r="F184" s="4" t="str">
        <f>HYPERLINK("http://141.218.60.56/~jnz1568/getInfo.php?workbook=20_14.xlsx&amp;sheet=A0&amp;row=184&amp;col=6&amp;number=1.428e-13&amp;sourceID=14","1.428e-13")</f>
        <v>1.428e-13</v>
      </c>
      <c r="G184" s="4" t="str">
        <f>HYPERLINK("http://141.218.60.56/~jnz1568/getInfo.php?workbook=20_14.xlsx&amp;sheet=A0&amp;row=184&amp;col=7&amp;number=0&amp;sourceID=14","0")</f>
        <v>0</v>
      </c>
    </row>
    <row r="185" spans="1:7">
      <c r="A185" s="3">
        <v>20</v>
      </c>
      <c r="B185" s="3">
        <v>14</v>
      </c>
      <c r="C185" s="3">
        <v>13</v>
      </c>
      <c r="D185" s="3">
        <v>10</v>
      </c>
      <c r="E185" s="3">
        <v>5446.781</v>
      </c>
      <c r="F185" s="4" t="str">
        <f>HYPERLINK("http://141.218.60.56/~jnz1568/getInfo.php?workbook=20_14.xlsx&amp;sheet=A0&amp;row=185&amp;col=6&amp;number=2.476e-05&amp;sourceID=14","2.476e-05")</f>
        <v>2.476e-05</v>
      </c>
      <c r="G185" s="4" t="str">
        <f>HYPERLINK("http://141.218.60.56/~jnz1568/getInfo.php?workbook=20_14.xlsx&amp;sheet=A0&amp;row=185&amp;col=7&amp;number=0&amp;sourceID=14","0")</f>
        <v>0</v>
      </c>
    </row>
    <row r="186" spans="1:7">
      <c r="A186" s="3">
        <v>20</v>
      </c>
      <c r="B186" s="3">
        <v>14</v>
      </c>
      <c r="C186" s="3">
        <v>14</v>
      </c>
      <c r="D186" s="3">
        <v>10</v>
      </c>
      <c r="E186" s="3">
        <v>-1520.085</v>
      </c>
      <c r="F186" s="4" t="str">
        <f>HYPERLINK("http://141.218.60.56/~jnz1568/getInfo.php?workbook=20_14.xlsx&amp;sheet=A0&amp;row=186&amp;col=6&amp;number=4.795&amp;sourceID=14","4.795")</f>
        <v>4.795</v>
      </c>
      <c r="G186" s="4" t="str">
        <f>HYPERLINK("http://141.218.60.56/~jnz1568/getInfo.php?workbook=20_14.xlsx&amp;sheet=A0&amp;row=186&amp;col=7&amp;number=0&amp;sourceID=14","0")</f>
        <v>0</v>
      </c>
    </row>
    <row r="187" spans="1:7">
      <c r="A187" s="3">
        <v>20</v>
      </c>
      <c r="B187" s="3">
        <v>14</v>
      </c>
      <c r="C187" s="3">
        <v>17</v>
      </c>
      <c r="D187" s="3">
        <v>10</v>
      </c>
      <c r="E187" s="3">
        <v>1487.361</v>
      </c>
      <c r="F187" s="4" t="str">
        <f>HYPERLINK("http://141.218.60.56/~jnz1568/getInfo.php?workbook=20_14.xlsx&amp;sheet=A0&amp;row=187&amp;col=6&amp;number=0.09086&amp;sourceID=14","0.09086")</f>
        <v>0.09086</v>
      </c>
      <c r="G187" s="4" t="str">
        <f>HYPERLINK("http://141.218.60.56/~jnz1568/getInfo.php?workbook=20_14.xlsx&amp;sheet=A0&amp;row=187&amp;col=7&amp;number=0&amp;sourceID=14","0")</f>
        <v>0</v>
      </c>
    </row>
    <row r="188" spans="1:7">
      <c r="A188" s="3">
        <v>20</v>
      </c>
      <c r="B188" s="3">
        <v>14</v>
      </c>
      <c r="C188" s="3">
        <v>18</v>
      </c>
      <c r="D188" s="3">
        <v>10</v>
      </c>
      <c r="E188" s="3">
        <v>1667.117</v>
      </c>
      <c r="F188" s="4" t="str">
        <f>HYPERLINK("http://141.218.60.56/~jnz1568/getInfo.php?workbook=20_14.xlsx&amp;sheet=A0&amp;row=188&amp;col=6&amp;number=2.043&amp;sourceID=14","2.043")</f>
        <v>2.043</v>
      </c>
      <c r="G188" s="4" t="str">
        <f>HYPERLINK("http://141.218.60.56/~jnz1568/getInfo.php?workbook=20_14.xlsx&amp;sheet=A0&amp;row=188&amp;col=7&amp;number=0&amp;sourceID=14","0")</f>
        <v>0</v>
      </c>
    </row>
    <row r="189" spans="1:7">
      <c r="A189" s="3">
        <v>20</v>
      </c>
      <c r="B189" s="3">
        <v>14</v>
      </c>
      <c r="C189" s="3">
        <v>20</v>
      </c>
      <c r="D189" s="3">
        <v>10</v>
      </c>
      <c r="E189" s="3">
        <v>971.787</v>
      </c>
      <c r="F189" s="4" t="str">
        <f>HYPERLINK("http://141.218.60.56/~jnz1568/getInfo.php?workbook=20_14.xlsx&amp;sheet=A0&amp;row=189&amp;col=6&amp;number=0.05975&amp;sourceID=14","0.05975")</f>
        <v>0.05975</v>
      </c>
      <c r="G189" s="4" t="str">
        <f>HYPERLINK("http://141.218.60.56/~jnz1568/getInfo.php?workbook=20_14.xlsx&amp;sheet=A0&amp;row=189&amp;col=7&amp;number=0&amp;sourceID=14","0")</f>
        <v>0</v>
      </c>
    </row>
    <row r="190" spans="1:7">
      <c r="A190" s="3">
        <v>20</v>
      </c>
      <c r="B190" s="3">
        <v>14</v>
      </c>
      <c r="C190" s="3">
        <v>21</v>
      </c>
      <c r="D190" s="3">
        <v>10</v>
      </c>
      <c r="E190" s="3">
        <v>990.42</v>
      </c>
      <c r="F190" s="4" t="str">
        <f>HYPERLINK("http://141.218.60.56/~jnz1568/getInfo.php?workbook=20_14.xlsx&amp;sheet=A0&amp;row=190&amp;col=6&amp;number=10.53&amp;sourceID=14","10.53")</f>
        <v>10.53</v>
      </c>
      <c r="G190" s="4" t="str">
        <f>HYPERLINK("http://141.218.60.56/~jnz1568/getInfo.php?workbook=20_14.xlsx&amp;sheet=A0&amp;row=190&amp;col=7&amp;number=0&amp;sourceID=14","0")</f>
        <v>0</v>
      </c>
    </row>
    <row r="191" spans="1:7">
      <c r="A191" s="3">
        <v>20</v>
      </c>
      <c r="B191" s="3">
        <v>14</v>
      </c>
      <c r="C191" s="3">
        <v>22</v>
      </c>
      <c r="D191" s="3">
        <v>10</v>
      </c>
      <c r="E191" s="3">
        <v>-898.453</v>
      </c>
      <c r="F191" s="4" t="str">
        <f>HYPERLINK("http://141.218.60.56/~jnz1568/getInfo.php?workbook=20_14.xlsx&amp;sheet=A0&amp;row=191&amp;col=6&amp;number=1.277&amp;sourceID=14","1.277")</f>
        <v>1.277</v>
      </c>
      <c r="G191" s="4" t="str">
        <f>HYPERLINK("http://141.218.60.56/~jnz1568/getInfo.php?workbook=20_14.xlsx&amp;sheet=A0&amp;row=191&amp;col=7&amp;number=0&amp;sourceID=14","0")</f>
        <v>0</v>
      </c>
    </row>
    <row r="192" spans="1:7">
      <c r="A192" s="3">
        <v>20</v>
      </c>
      <c r="B192" s="3">
        <v>14</v>
      </c>
      <c r="C192" s="3">
        <v>23</v>
      </c>
      <c r="D192" s="3">
        <v>10</v>
      </c>
      <c r="E192" s="3">
        <v>910.074</v>
      </c>
      <c r="F192" s="4" t="str">
        <f>HYPERLINK("http://141.218.60.56/~jnz1568/getInfo.php?workbook=20_14.xlsx&amp;sheet=A0&amp;row=192&amp;col=6&amp;number=0.09556&amp;sourceID=14","0.09556")</f>
        <v>0.09556</v>
      </c>
      <c r="G192" s="4" t="str">
        <f>HYPERLINK("http://141.218.60.56/~jnz1568/getInfo.php?workbook=20_14.xlsx&amp;sheet=A0&amp;row=192&amp;col=7&amp;number=0&amp;sourceID=14","0")</f>
        <v>0</v>
      </c>
    </row>
    <row r="193" spans="1:7">
      <c r="A193" s="3">
        <v>20</v>
      </c>
      <c r="B193" s="3">
        <v>14</v>
      </c>
      <c r="C193" s="3">
        <v>24</v>
      </c>
      <c r="D193" s="3">
        <v>10</v>
      </c>
      <c r="E193" s="3">
        <v>904.853</v>
      </c>
      <c r="F193" s="4" t="str">
        <f>HYPERLINK("http://141.218.60.56/~jnz1568/getInfo.php?workbook=20_14.xlsx&amp;sheet=A0&amp;row=193&amp;col=6&amp;number=12.69&amp;sourceID=14","12.69")</f>
        <v>12.69</v>
      </c>
      <c r="G193" s="4" t="str">
        <f>HYPERLINK("http://141.218.60.56/~jnz1568/getInfo.php?workbook=20_14.xlsx&amp;sheet=A0&amp;row=193&amp;col=7&amp;number=0&amp;sourceID=14","0")</f>
        <v>0</v>
      </c>
    </row>
    <row r="194" spans="1:7">
      <c r="A194" s="3">
        <v>20</v>
      </c>
      <c r="B194" s="3">
        <v>14</v>
      </c>
      <c r="C194" s="3">
        <v>27</v>
      </c>
      <c r="D194" s="3">
        <v>10</v>
      </c>
      <c r="E194" s="3">
        <v>674.563</v>
      </c>
      <c r="F194" s="4" t="str">
        <f>HYPERLINK("http://141.218.60.56/~jnz1568/getInfo.php?workbook=20_14.xlsx&amp;sheet=A0&amp;row=194&amp;col=6&amp;number=0.4008&amp;sourceID=14","0.4008")</f>
        <v>0.4008</v>
      </c>
      <c r="G194" s="4" t="str">
        <f>HYPERLINK("http://141.218.60.56/~jnz1568/getInfo.php?workbook=20_14.xlsx&amp;sheet=A0&amp;row=194&amp;col=7&amp;number=0&amp;sourceID=14","0")</f>
        <v>0</v>
      </c>
    </row>
    <row r="195" spans="1:7">
      <c r="A195" s="3">
        <v>20</v>
      </c>
      <c r="B195" s="3">
        <v>14</v>
      </c>
      <c r="C195" s="3">
        <v>13</v>
      </c>
      <c r="D195" s="3">
        <v>11</v>
      </c>
      <c r="E195" s="3">
        <v>5487.524</v>
      </c>
      <c r="F195" s="4" t="str">
        <f>HYPERLINK("http://141.218.60.56/~jnz1568/getInfo.php?workbook=20_14.xlsx&amp;sheet=A0&amp;row=195&amp;col=6&amp;number=0.6235&amp;sourceID=14","0.6235")</f>
        <v>0.6235</v>
      </c>
      <c r="G195" s="4" t="str">
        <f>HYPERLINK("http://141.218.60.56/~jnz1568/getInfo.php?workbook=20_14.xlsx&amp;sheet=A0&amp;row=195&amp;col=7&amp;number=0&amp;sourceID=14","0")</f>
        <v>0</v>
      </c>
    </row>
    <row r="196" spans="1:7">
      <c r="A196" s="3">
        <v>20</v>
      </c>
      <c r="B196" s="3">
        <v>14</v>
      </c>
      <c r="C196" s="3">
        <v>14</v>
      </c>
      <c r="D196" s="3">
        <v>11</v>
      </c>
      <c r="E196" s="3">
        <v>-1520.676</v>
      </c>
      <c r="F196" s="4" t="str">
        <f>HYPERLINK("http://141.218.60.56/~jnz1568/getInfo.php?workbook=20_14.xlsx&amp;sheet=A0&amp;row=196&amp;col=6&amp;number=4.575&amp;sourceID=14","4.575")</f>
        <v>4.575</v>
      </c>
      <c r="G196" s="4" t="str">
        <f>HYPERLINK("http://141.218.60.56/~jnz1568/getInfo.php?workbook=20_14.xlsx&amp;sheet=A0&amp;row=196&amp;col=7&amp;number=0&amp;sourceID=14","0")</f>
        <v>0</v>
      </c>
    </row>
    <row r="197" spans="1:7">
      <c r="A197" s="3">
        <v>20</v>
      </c>
      <c r="B197" s="3">
        <v>14</v>
      </c>
      <c r="C197" s="3">
        <v>15</v>
      </c>
      <c r="D197" s="3">
        <v>11</v>
      </c>
      <c r="E197" s="3">
        <v>-1486.165</v>
      </c>
      <c r="F197" s="4" t="str">
        <f>HYPERLINK("http://141.218.60.56/~jnz1568/getInfo.php?workbook=20_14.xlsx&amp;sheet=A0&amp;row=197&amp;col=6&amp;number=7.644&amp;sourceID=14","7.644")</f>
        <v>7.644</v>
      </c>
      <c r="G197" s="4" t="str">
        <f>HYPERLINK("http://141.218.60.56/~jnz1568/getInfo.php?workbook=20_14.xlsx&amp;sheet=A0&amp;row=197&amp;col=7&amp;number=0&amp;sourceID=14","0")</f>
        <v>0</v>
      </c>
    </row>
    <row r="198" spans="1:7">
      <c r="A198" s="3">
        <v>20</v>
      </c>
      <c r="B198" s="3">
        <v>14</v>
      </c>
      <c r="C198" s="3">
        <v>17</v>
      </c>
      <c r="D198" s="3">
        <v>11</v>
      </c>
      <c r="E198" s="3">
        <v>1490.382</v>
      </c>
      <c r="F198" s="4" t="str">
        <f>HYPERLINK("http://141.218.60.56/~jnz1568/getInfo.php?workbook=20_14.xlsx&amp;sheet=A0&amp;row=198&amp;col=6&amp;number=0.4136&amp;sourceID=14","0.4136")</f>
        <v>0.4136</v>
      </c>
      <c r="G198" s="4" t="str">
        <f>HYPERLINK("http://141.218.60.56/~jnz1568/getInfo.php?workbook=20_14.xlsx&amp;sheet=A0&amp;row=198&amp;col=7&amp;number=0&amp;sourceID=14","0")</f>
        <v>0</v>
      </c>
    </row>
    <row r="199" spans="1:7">
      <c r="A199" s="3">
        <v>20</v>
      </c>
      <c r="B199" s="3">
        <v>14</v>
      </c>
      <c r="C199" s="3">
        <v>18</v>
      </c>
      <c r="D199" s="3">
        <v>11</v>
      </c>
      <c r="E199" s="3">
        <v>1670.914</v>
      </c>
      <c r="F199" s="4" t="str">
        <f>HYPERLINK("http://141.218.60.56/~jnz1568/getInfo.php?workbook=20_14.xlsx&amp;sheet=A0&amp;row=199&amp;col=6&amp;number=1.356&amp;sourceID=14","1.356")</f>
        <v>1.356</v>
      </c>
      <c r="G199" s="4" t="str">
        <f>HYPERLINK("http://141.218.60.56/~jnz1568/getInfo.php?workbook=20_14.xlsx&amp;sheet=A0&amp;row=199&amp;col=7&amp;number=0&amp;sourceID=14","0")</f>
        <v>0</v>
      </c>
    </row>
    <row r="200" spans="1:7">
      <c r="A200" s="3">
        <v>20</v>
      </c>
      <c r="B200" s="3">
        <v>14</v>
      </c>
      <c r="C200" s="3">
        <v>19</v>
      </c>
      <c r="D200" s="3">
        <v>11</v>
      </c>
      <c r="E200" s="3">
        <v>965.149</v>
      </c>
      <c r="F200" s="4" t="str">
        <f>HYPERLINK("http://141.218.60.56/~jnz1568/getInfo.php?workbook=20_14.xlsx&amp;sheet=A0&amp;row=200&amp;col=6&amp;number=0.1972&amp;sourceID=14","0.1972")</f>
        <v>0.1972</v>
      </c>
      <c r="G200" s="4" t="str">
        <f>HYPERLINK("http://141.218.60.56/~jnz1568/getInfo.php?workbook=20_14.xlsx&amp;sheet=A0&amp;row=200&amp;col=7&amp;number=0&amp;sourceID=14","0")</f>
        <v>0</v>
      </c>
    </row>
    <row r="201" spans="1:7">
      <c r="A201" s="3">
        <v>20</v>
      </c>
      <c r="B201" s="3">
        <v>14</v>
      </c>
      <c r="C201" s="3">
        <v>20</v>
      </c>
      <c r="D201" s="3">
        <v>11</v>
      </c>
      <c r="E201" s="3">
        <v>973.076</v>
      </c>
      <c r="F201" s="4" t="str">
        <f>HYPERLINK("http://141.218.60.56/~jnz1568/getInfo.php?workbook=20_14.xlsx&amp;sheet=A0&amp;row=201&amp;col=6&amp;number=15.87&amp;sourceID=14","15.87")</f>
        <v>15.87</v>
      </c>
      <c r="G201" s="4" t="str">
        <f>HYPERLINK("http://141.218.60.56/~jnz1568/getInfo.php?workbook=20_14.xlsx&amp;sheet=A0&amp;row=201&amp;col=7&amp;number=0&amp;sourceID=14","0")</f>
        <v>0</v>
      </c>
    </row>
    <row r="202" spans="1:7">
      <c r="A202" s="3">
        <v>20</v>
      </c>
      <c r="B202" s="3">
        <v>14</v>
      </c>
      <c r="C202" s="3">
        <v>21</v>
      </c>
      <c r="D202" s="3">
        <v>11</v>
      </c>
      <c r="E202" s="3">
        <v>991.759</v>
      </c>
      <c r="F202" s="4" t="str">
        <f>HYPERLINK("http://141.218.60.56/~jnz1568/getInfo.php?workbook=20_14.xlsx&amp;sheet=A0&amp;row=202&amp;col=6&amp;number=19.01&amp;sourceID=14","19.01")</f>
        <v>19.01</v>
      </c>
      <c r="G202" s="4" t="str">
        <f>HYPERLINK("http://141.218.60.56/~jnz1568/getInfo.php?workbook=20_14.xlsx&amp;sheet=A0&amp;row=202&amp;col=7&amp;number=0&amp;sourceID=14","0")</f>
        <v>0</v>
      </c>
    </row>
    <row r="203" spans="1:7">
      <c r="A203" s="3">
        <v>20</v>
      </c>
      <c r="B203" s="3">
        <v>14</v>
      </c>
      <c r="C203" s="3">
        <v>22</v>
      </c>
      <c r="D203" s="3">
        <v>11</v>
      </c>
      <c r="E203" s="3">
        <v>-898.66</v>
      </c>
      <c r="F203" s="4" t="str">
        <f>HYPERLINK("http://141.218.60.56/~jnz1568/getInfo.php?workbook=20_14.xlsx&amp;sheet=A0&amp;row=203&amp;col=6&amp;number=5.428&amp;sourceID=14","5.428")</f>
        <v>5.428</v>
      </c>
      <c r="G203" s="4" t="str">
        <f>HYPERLINK("http://141.218.60.56/~jnz1568/getInfo.php?workbook=20_14.xlsx&amp;sheet=A0&amp;row=203&amp;col=7&amp;number=0&amp;sourceID=14","0")</f>
        <v>0</v>
      </c>
    </row>
    <row r="204" spans="1:7">
      <c r="A204" s="3">
        <v>20</v>
      </c>
      <c r="B204" s="3">
        <v>14</v>
      </c>
      <c r="C204" s="3">
        <v>23</v>
      </c>
      <c r="D204" s="3">
        <v>11</v>
      </c>
      <c r="E204" s="3">
        <v>911.204</v>
      </c>
      <c r="F204" s="4" t="str">
        <f>HYPERLINK("http://141.218.60.56/~jnz1568/getInfo.php?workbook=20_14.xlsx&amp;sheet=A0&amp;row=204&amp;col=6&amp;number=32.66&amp;sourceID=14","32.66")</f>
        <v>32.66</v>
      </c>
      <c r="G204" s="4" t="str">
        <f>HYPERLINK("http://141.218.60.56/~jnz1568/getInfo.php?workbook=20_14.xlsx&amp;sheet=A0&amp;row=204&amp;col=7&amp;number=0&amp;sourceID=14","0")</f>
        <v>0</v>
      </c>
    </row>
    <row r="205" spans="1:7">
      <c r="A205" s="3">
        <v>20</v>
      </c>
      <c r="B205" s="3">
        <v>14</v>
      </c>
      <c r="C205" s="3">
        <v>24</v>
      </c>
      <c r="D205" s="3">
        <v>11</v>
      </c>
      <c r="E205" s="3">
        <v>905.97</v>
      </c>
      <c r="F205" s="4" t="str">
        <f>HYPERLINK("http://141.218.60.56/~jnz1568/getInfo.php?workbook=20_14.xlsx&amp;sheet=A0&amp;row=205&amp;col=6&amp;number=1.781&amp;sourceID=14","1.781")</f>
        <v>1.781</v>
      </c>
      <c r="G205" s="4" t="str">
        <f>HYPERLINK("http://141.218.60.56/~jnz1568/getInfo.php?workbook=20_14.xlsx&amp;sheet=A0&amp;row=205&amp;col=7&amp;number=0&amp;sourceID=14","0")</f>
        <v>0</v>
      </c>
    </row>
    <row r="206" spans="1:7">
      <c r="A206" s="3">
        <v>20</v>
      </c>
      <c r="B206" s="3">
        <v>14</v>
      </c>
      <c r="C206" s="3">
        <v>25</v>
      </c>
      <c r="D206" s="3">
        <v>11</v>
      </c>
      <c r="E206" s="3">
        <v>903.025</v>
      </c>
      <c r="F206" s="4" t="str">
        <f>HYPERLINK("http://141.218.60.56/~jnz1568/getInfo.php?workbook=20_14.xlsx&amp;sheet=A0&amp;row=206&amp;col=6&amp;number=16.74&amp;sourceID=14","16.74")</f>
        <v>16.74</v>
      </c>
      <c r="G206" s="4" t="str">
        <f>HYPERLINK("http://141.218.60.56/~jnz1568/getInfo.php?workbook=20_14.xlsx&amp;sheet=A0&amp;row=206&amp;col=7&amp;number=0&amp;sourceID=14","0")</f>
        <v>0</v>
      </c>
    </row>
    <row r="207" spans="1:7">
      <c r="A207" s="3">
        <v>20</v>
      </c>
      <c r="B207" s="3">
        <v>14</v>
      </c>
      <c r="C207" s="3">
        <v>26</v>
      </c>
      <c r="D207" s="3">
        <v>11</v>
      </c>
      <c r="E207" s="3">
        <v>716.888</v>
      </c>
      <c r="F207" s="4" t="str">
        <f>HYPERLINK("http://141.218.60.56/~jnz1568/getInfo.php?workbook=20_14.xlsx&amp;sheet=A0&amp;row=207&amp;col=6&amp;number=0.3397&amp;sourceID=14","0.3397")</f>
        <v>0.3397</v>
      </c>
      <c r="G207" s="4" t="str">
        <f>HYPERLINK("http://141.218.60.56/~jnz1568/getInfo.php?workbook=20_14.xlsx&amp;sheet=A0&amp;row=207&amp;col=7&amp;number=0&amp;sourceID=14","0")</f>
        <v>0</v>
      </c>
    </row>
    <row r="208" spans="1:7">
      <c r="A208" s="3">
        <v>20</v>
      </c>
      <c r="B208" s="3">
        <v>14</v>
      </c>
      <c r="C208" s="3">
        <v>27</v>
      </c>
      <c r="D208" s="3">
        <v>11</v>
      </c>
      <c r="E208" s="3">
        <v>675.184</v>
      </c>
      <c r="F208" s="4" t="str">
        <f>HYPERLINK("http://141.218.60.56/~jnz1568/getInfo.php?workbook=20_14.xlsx&amp;sheet=A0&amp;row=208&amp;col=6&amp;number=1.438&amp;sourceID=14","1.438")</f>
        <v>1.438</v>
      </c>
      <c r="G208" s="4" t="str">
        <f>HYPERLINK("http://141.218.60.56/~jnz1568/getInfo.php?workbook=20_14.xlsx&amp;sheet=A0&amp;row=208&amp;col=7&amp;number=0&amp;sourceID=14","0")</f>
        <v>0</v>
      </c>
    </row>
    <row r="209" spans="1:7">
      <c r="A209" s="3">
        <v>20</v>
      </c>
      <c r="B209" s="3">
        <v>14</v>
      </c>
      <c r="C209" s="3">
        <v>13</v>
      </c>
      <c r="D209" s="3">
        <v>12</v>
      </c>
      <c r="E209" s="3">
        <v>5493.341</v>
      </c>
      <c r="F209" s="4" t="str">
        <f>HYPERLINK("http://141.218.60.56/~jnz1568/getInfo.php?workbook=20_14.xlsx&amp;sheet=A0&amp;row=209&amp;col=6&amp;number=1.842&amp;sourceID=14","1.842")</f>
        <v>1.842</v>
      </c>
      <c r="G209" s="4" t="str">
        <f>HYPERLINK("http://141.218.60.56/~jnz1568/getInfo.php?workbook=20_14.xlsx&amp;sheet=A0&amp;row=209&amp;col=7&amp;number=0&amp;sourceID=14","0")</f>
        <v>0</v>
      </c>
    </row>
    <row r="210" spans="1:7">
      <c r="A210" s="3">
        <v>20</v>
      </c>
      <c r="B210" s="3">
        <v>14</v>
      </c>
      <c r="C210" s="3">
        <v>14</v>
      </c>
      <c r="D210" s="3">
        <v>12</v>
      </c>
      <c r="E210" s="3">
        <v>-1520.455</v>
      </c>
      <c r="F210" s="4" t="str">
        <f>HYPERLINK("http://141.218.60.56/~jnz1568/getInfo.php?workbook=20_14.xlsx&amp;sheet=A0&amp;row=210&amp;col=6&amp;number=0.5811&amp;sourceID=14","0.5811")</f>
        <v>0.5811</v>
      </c>
      <c r="G210" s="4" t="str">
        <f>HYPERLINK("http://141.218.60.56/~jnz1568/getInfo.php?workbook=20_14.xlsx&amp;sheet=A0&amp;row=210&amp;col=7&amp;number=0&amp;sourceID=14","0")</f>
        <v>0</v>
      </c>
    </row>
    <row r="211" spans="1:7">
      <c r="A211" s="3">
        <v>20</v>
      </c>
      <c r="B211" s="3">
        <v>14</v>
      </c>
      <c r="C211" s="3">
        <v>15</v>
      </c>
      <c r="D211" s="3">
        <v>12</v>
      </c>
      <c r="E211" s="3">
        <v>-1485.955</v>
      </c>
      <c r="F211" s="4" t="str">
        <f>HYPERLINK("http://141.218.60.56/~jnz1568/getInfo.php?workbook=20_14.xlsx&amp;sheet=A0&amp;row=211&amp;col=6&amp;number=3.531&amp;sourceID=14","3.531")</f>
        <v>3.531</v>
      </c>
      <c r="G211" s="4" t="str">
        <f>HYPERLINK("http://141.218.60.56/~jnz1568/getInfo.php?workbook=20_14.xlsx&amp;sheet=A0&amp;row=211&amp;col=7&amp;number=0&amp;sourceID=14","0")</f>
        <v>0</v>
      </c>
    </row>
    <row r="212" spans="1:7">
      <c r="A212" s="3">
        <v>20</v>
      </c>
      <c r="B212" s="3">
        <v>14</v>
      </c>
      <c r="C212" s="3">
        <v>16</v>
      </c>
      <c r="D212" s="3">
        <v>12</v>
      </c>
      <c r="E212" s="3">
        <v>-1440.303</v>
      </c>
      <c r="F212" s="4" t="str">
        <f>HYPERLINK("http://141.218.60.56/~jnz1568/getInfo.php?workbook=20_14.xlsx&amp;sheet=A0&amp;row=212&amp;col=6&amp;number=12.93&amp;sourceID=14","12.93")</f>
        <v>12.93</v>
      </c>
      <c r="G212" s="4" t="str">
        <f>HYPERLINK("http://141.218.60.56/~jnz1568/getInfo.php?workbook=20_14.xlsx&amp;sheet=A0&amp;row=212&amp;col=7&amp;number=0&amp;sourceID=14","0")</f>
        <v>0</v>
      </c>
    </row>
    <row r="213" spans="1:7">
      <c r="A213" s="3">
        <v>20</v>
      </c>
      <c r="B213" s="3">
        <v>14</v>
      </c>
      <c r="C213" s="3">
        <v>17</v>
      </c>
      <c r="D213" s="3">
        <v>12</v>
      </c>
      <c r="E213" s="3">
        <v>1490.811</v>
      </c>
      <c r="F213" s="4" t="str">
        <f>HYPERLINK("http://141.218.60.56/~jnz1568/getInfo.php?workbook=20_14.xlsx&amp;sheet=A0&amp;row=213&amp;col=6&amp;number=1.638&amp;sourceID=14","1.638")</f>
        <v>1.638</v>
      </c>
      <c r="G213" s="4" t="str">
        <f>HYPERLINK("http://141.218.60.56/~jnz1568/getInfo.php?workbook=20_14.xlsx&amp;sheet=A0&amp;row=213&amp;col=7&amp;number=0&amp;sourceID=14","0")</f>
        <v>0</v>
      </c>
    </row>
    <row r="214" spans="1:7">
      <c r="A214" s="3">
        <v>20</v>
      </c>
      <c r="B214" s="3">
        <v>14</v>
      </c>
      <c r="C214" s="3">
        <v>18</v>
      </c>
      <c r="D214" s="3">
        <v>12</v>
      </c>
      <c r="E214" s="3">
        <v>1671.453</v>
      </c>
      <c r="F214" s="4" t="str">
        <f>HYPERLINK("http://141.218.60.56/~jnz1568/getInfo.php?workbook=20_14.xlsx&amp;sheet=A0&amp;row=214&amp;col=6&amp;number=2.349&amp;sourceID=14","2.349")</f>
        <v>2.349</v>
      </c>
      <c r="G214" s="4" t="str">
        <f>HYPERLINK("http://141.218.60.56/~jnz1568/getInfo.php?workbook=20_14.xlsx&amp;sheet=A0&amp;row=214&amp;col=7&amp;number=0&amp;sourceID=14","0")</f>
        <v>0</v>
      </c>
    </row>
    <row r="215" spans="1:7">
      <c r="A215" s="3">
        <v>20</v>
      </c>
      <c r="B215" s="3">
        <v>14</v>
      </c>
      <c r="C215" s="3">
        <v>19</v>
      </c>
      <c r="D215" s="3">
        <v>12</v>
      </c>
      <c r="E215" s="3">
        <v>965.329</v>
      </c>
      <c r="F215" s="4" t="str">
        <f>HYPERLINK("http://141.218.60.56/~jnz1568/getInfo.php?workbook=20_14.xlsx&amp;sheet=A0&amp;row=215&amp;col=6&amp;number=44.04&amp;sourceID=14","44.04")</f>
        <v>44.04</v>
      </c>
      <c r="G215" s="4" t="str">
        <f>HYPERLINK("http://141.218.60.56/~jnz1568/getInfo.php?workbook=20_14.xlsx&amp;sheet=A0&amp;row=215&amp;col=7&amp;number=0&amp;sourceID=14","0")</f>
        <v>0</v>
      </c>
    </row>
    <row r="216" spans="1:7">
      <c r="A216" s="3">
        <v>20</v>
      </c>
      <c r="B216" s="3">
        <v>14</v>
      </c>
      <c r="C216" s="3">
        <v>20</v>
      </c>
      <c r="D216" s="3">
        <v>12</v>
      </c>
      <c r="E216" s="3">
        <v>973.259</v>
      </c>
      <c r="F216" s="4" t="str">
        <f>HYPERLINK("http://141.218.60.56/~jnz1568/getInfo.php?workbook=20_14.xlsx&amp;sheet=A0&amp;row=216&amp;col=6&amp;number=28.56&amp;sourceID=14","28.56")</f>
        <v>28.56</v>
      </c>
      <c r="G216" s="4" t="str">
        <f>HYPERLINK("http://141.218.60.56/~jnz1568/getInfo.php?workbook=20_14.xlsx&amp;sheet=A0&amp;row=216&amp;col=7&amp;number=0&amp;sourceID=14","0")</f>
        <v>0</v>
      </c>
    </row>
    <row r="217" spans="1:7">
      <c r="A217" s="3">
        <v>20</v>
      </c>
      <c r="B217" s="3">
        <v>14</v>
      </c>
      <c r="C217" s="3">
        <v>21</v>
      </c>
      <c r="D217" s="3">
        <v>12</v>
      </c>
      <c r="E217" s="3">
        <v>991.949</v>
      </c>
      <c r="F217" s="4" t="str">
        <f>HYPERLINK("http://141.218.60.56/~jnz1568/getInfo.php?workbook=20_14.xlsx&amp;sheet=A0&amp;row=217&amp;col=6&amp;number=9.339&amp;sourceID=14","9.339")</f>
        <v>9.339</v>
      </c>
      <c r="G217" s="4" t="str">
        <f>HYPERLINK("http://141.218.60.56/~jnz1568/getInfo.php?workbook=20_14.xlsx&amp;sheet=A0&amp;row=217&amp;col=7&amp;number=0&amp;sourceID=14","0")</f>
        <v>0</v>
      </c>
    </row>
    <row r="218" spans="1:7">
      <c r="A218" s="3">
        <v>20</v>
      </c>
      <c r="B218" s="3">
        <v>14</v>
      </c>
      <c r="C218" s="3">
        <v>22</v>
      </c>
      <c r="D218" s="3">
        <v>12</v>
      </c>
      <c r="E218" s="3">
        <v>-898.583</v>
      </c>
      <c r="F218" s="4" t="str">
        <f>HYPERLINK("http://141.218.60.56/~jnz1568/getInfo.php?workbook=20_14.xlsx&amp;sheet=A0&amp;row=218&amp;col=6&amp;number=6.946&amp;sourceID=14","6.946")</f>
        <v>6.946</v>
      </c>
      <c r="G218" s="4" t="str">
        <f>HYPERLINK("http://141.218.60.56/~jnz1568/getInfo.php?workbook=20_14.xlsx&amp;sheet=A0&amp;row=218&amp;col=7&amp;number=0&amp;sourceID=14","0")</f>
        <v>0</v>
      </c>
    </row>
    <row r="219" spans="1:7">
      <c r="A219" s="3">
        <v>20</v>
      </c>
      <c r="B219" s="3">
        <v>14</v>
      </c>
      <c r="C219" s="3">
        <v>23</v>
      </c>
      <c r="D219" s="3">
        <v>12</v>
      </c>
      <c r="E219" s="3">
        <v>911.364</v>
      </c>
      <c r="F219" s="4" t="str">
        <f>HYPERLINK("http://141.218.60.56/~jnz1568/getInfo.php?workbook=20_14.xlsx&amp;sheet=A0&amp;row=219&amp;col=6&amp;number=21.35&amp;sourceID=14","21.35")</f>
        <v>21.35</v>
      </c>
      <c r="G219" s="4" t="str">
        <f>HYPERLINK("http://141.218.60.56/~jnz1568/getInfo.php?workbook=20_14.xlsx&amp;sheet=A0&amp;row=219&amp;col=7&amp;number=0&amp;sourceID=14","0")</f>
        <v>0</v>
      </c>
    </row>
    <row r="220" spans="1:7">
      <c r="A220" s="3">
        <v>20</v>
      </c>
      <c r="B220" s="3">
        <v>14</v>
      </c>
      <c r="C220" s="3">
        <v>24</v>
      </c>
      <c r="D220" s="3">
        <v>12</v>
      </c>
      <c r="E220" s="3">
        <v>906.129</v>
      </c>
      <c r="F220" s="4" t="str">
        <f>HYPERLINK("http://141.218.60.56/~jnz1568/getInfo.php?workbook=20_14.xlsx&amp;sheet=A0&amp;row=220&amp;col=6&amp;number=40.63&amp;sourceID=14","40.63")</f>
        <v>40.63</v>
      </c>
      <c r="G220" s="4" t="str">
        <f>HYPERLINK("http://141.218.60.56/~jnz1568/getInfo.php?workbook=20_14.xlsx&amp;sheet=A0&amp;row=220&amp;col=7&amp;number=0&amp;sourceID=14","0")</f>
        <v>0</v>
      </c>
    </row>
    <row r="221" spans="1:7">
      <c r="A221" s="3">
        <v>20</v>
      </c>
      <c r="B221" s="3">
        <v>14</v>
      </c>
      <c r="C221" s="3">
        <v>25</v>
      </c>
      <c r="D221" s="3">
        <v>12</v>
      </c>
      <c r="E221" s="3">
        <v>903.183</v>
      </c>
      <c r="F221" s="4" t="str">
        <f>HYPERLINK("http://141.218.60.56/~jnz1568/getInfo.php?workbook=20_14.xlsx&amp;sheet=A0&amp;row=221&amp;col=6&amp;number=37.16&amp;sourceID=14","37.16")</f>
        <v>37.16</v>
      </c>
      <c r="G221" s="4" t="str">
        <f>HYPERLINK("http://141.218.60.56/~jnz1568/getInfo.php?workbook=20_14.xlsx&amp;sheet=A0&amp;row=221&amp;col=7&amp;number=0&amp;sourceID=14","0")</f>
        <v>0</v>
      </c>
    </row>
    <row r="222" spans="1:7">
      <c r="A222" s="3">
        <v>20</v>
      </c>
      <c r="B222" s="3">
        <v>14</v>
      </c>
      <c r="C222" s="3">
        <v>26</v>
      </c>
      <c r="D222" s="3">
        <v>12</v>
      </c>
      <c r="E222" s="3">
        <v>716.987</v>
      </c>
      <c r="F222" s="4" t="str">
        <f>HYPERLINK("http://141.218.60.56/~jnz1568/getInfo.php?workbook=20_14.xlsx&amp;sheet=A0&amp;row=222&amp;col=6&amp;number=0.08539&amp;sourceID=14","0.08539")</f>
        <v>0.08539</v>
      </c>
      <c r="G222" s="4" t="str">
        <f>HYPERLINK("http://141.218.60.56/~jnz1568/getInfo.php?workbook=20_14.xlsx&amp;sheet=A0&amp;row=222&amp;col=7&amp;number=0&amp;sourceID=14","0")</f>
        <v>0</v>
      </c>
    </row>
    <row r="223" spans="1:7">
      <c r="A223" s="3">
        <v>20</v>
      </c>
      <c r="B223" s="3">
        <v>14</v>
      </c>
      <c r="C223" s="3">
        <v>27</v>
      </c>
      <c r="D223" s="3">
        <v>12</v>
      </c>
      <c r="E223" s="3">
        <v>675.272</v>
      </c>
      <c r="F223" s="4" t="str">
        <f>HYPERLINK("http://141.218.60.56/~jnz1568/getInfo.php?workbook=20_14.xlsx&amp;sheet=A0&amp;row=223&amp;col=6&amp;number=0.8231&amp;sourceID=14","0.8231")</f>
        <v>0.8231</v>
      </c>
      <c r="G223" s="4" t="str">
        <f>HYPERLINK("http://141.218.60.56/~jnz1568/getInfo.php?workbook=20_14.xlsx&amp;sheet=A0&amp;row=223&amp;col=7&amp;number=0&amp;sourceID=14","0")</f>
        <v>0</v>
      </c>
    </row>
    <row r="224" spans="1:7">
      <c r="A224" s="3">
        <v>20</v>
      </c>
      <c r="B224" s="3">
        <v>14</v>
      </c>
      <c r="C224" s="3">
        <v>14</v>
      </c>
      <c r="D224" s="3">
        <v>13</v>
      </c>
      <c r="E224" s="3">
        <v>-2156.255</v>
      </c>
      <c r="F224" s="4" t="str">
        <f>HYPERLINK("http://141.218.60.56/~jnz1568/getInfo.php?workbook=20_14.xlsx&amp;sheet=A0&amp;row=224&amp;col=6&amp;number=0.771&amp;sourceID=14","0.771")</f>
        <v>0.771</v>
      </c>
      <c r="G224" s="4" t="str">
        <f>HYPERLINK("http://141.218.60.56/~jnz1568/getInfo.php?workbook=20_14.xlsx&amp;sheet=A0&amp;row=224&amp;col=7&amp;number=0&amp;sourceID=14","0")</f>
        <v>0</v>
      </c>
    </row>
    <row r="225" spans="1:7">
      <c r="A225" s="3">
        <v>20</v>
      </c>
      <c r="B225" s="3">
        <v>14</v>
      </c>
      <c r="C225" s="3">
        <v>15</v>
      </c>
      <c r="D225" s="3">
        <v>13</v>
      </c>
      <c r="E225" s="3">
        <v>-2087.52</v>
      </c>
      <c r="F225" s="4" t="str">
        <f>HYPERLINK("http://141.218.60.56/~jnz1568/getInfo.php?workbook=20_14.xlsx&amp;sheet=A0&amp;row=225&amp;col=6&amp;number=1.185&amp;sourceID=14","1.185")</f>
        <v>1.185</v>
      </c>
      <c r="G225" s="4" t="str">
        <f>HYPERLINK("http://141.218.60.56/~jnz1568/getInfo.php?workbook=20_14.xlsx&amp;sheet=A0&amp;row=225&amp;col=7&amp;number=0&amp;sourceID=14","0")</f>
        <v>0</v>
      </c>
    </row>
    <row r="226" spans="1:7">
      <c r="A226" s="3">
        <v>20</v>
      </c>
      <c r="B226" s="3">
        <v>14</v>
      </c>
      <c r="C226" s="3">
        <v>16</v>
      </c>
      <c r="D226" s="3">
        <v>13</v>
      </c>
      <c r="E226" s="3">
        <v>-1998.531</v>
      </c>
      <c r="F226" s="4" t="str">
        <f>HYPERLINK("http://141.218.60.56/~jnz1568/getInfo.php?workbook=20_14.xlsx&amp;sheet=A0&amp;row=226&amp;col=6&amp;number=0.01829&amp;sourceID=14","0.01829")</f>
        <v>0.01829</v>
      </c>
      <c r="G226" s="4" t="str">
        <f>HYPERLINK("http://141.218.60.56/~jnz1568/getInfo.php?workbook=20_14.xlsx&amp;sheet=A0&amp;row=226&amp;col=7&amp;number=0&amp;sourceID=14","0")</f>
        <v>0</v>
      </c>
    </row>
    <row r="227" spans="1:7">
      <c r="A227" s="3">
        <v>20</v>
      </c>
      <c r="B227" s="3">
        <v>14</v>
      </c>
      <c r="C227" s="3">
        <v>17</v>
      </c>
      <c r="D227" s="3">
        <v>13</v>
      </c>
      <c r="E227" s="3">
        <v>2046.089</v>
      </c>
      <c r="F227" s="4" t="str">
        <f>HYPERLINK("http://141.218.60.56/~jnz1568/getInfo.php?workbook=20_14.xlsx&amp;sheet=A0&amp;row=227&amp;col=6&amp;number=36.33&amp;sourceID=14","36.33")</f>
        <v>36.33</v>
      </c>
      <c r="G227" s="4" t="str">
        <f>HYPERLINK("http://141.218.60.56/~jnz1568/getInfo.php?workbook=20_14.xlsx&amp;sheet=A0&amp;row=227&amp;col=7&amp;number=0&amp;sourceID=14","0")</f>
        <v>0</v>
      </c>
    </row>
    <row r="228" spans="1:7">
      <c r="A228" s="3">
        <v>20</v>
      </c>
      <c r="B228" s="3">
        <v>14</v>
      </c>
      <c r="C228" s="3">
        <v>18</v>
      </c>
      <c r="D228" s="3">
        <v>13</v>
      </c>
      <c r="E228" s="3">
        <v>2402.441</v>
      </c>
      <c r="F228" s="4" t="str">
        <f>HYPERLINK("http://141.218.60.56/~jnz1568/getInfo.php?workbook=20_14.xlsx&amp;sheet=A0&amp;row=228&amp;col=6&amp;number=1.055&amp;sourceID=14","1.055")</f>
        <v>1.055</v>
      </c>
      <c r="G228" s="4" t="str">
        <f>HYPERLINK("http://141.218.60.56/~jnz1568/getInfo.php?workbook=20_14.xlsx&amp;sheet=A0&amp;row=228&amp;col=7&amp;number=0&amp;sourceID=14","0")</f>
        <v>0</v>
      </c>
    </row>
    <row r="229" spans="1:7">
      <c r="A229" s="3">
        <v>20</v>
      </c>
      <c r="B229" s="3">
        <v>14</v>
      </c>
      <c r="C229" s="3">
        <v>19</v>
      </c>
      <c r="D229" s="3">
        <v>13</v>
      </c>
      <c r="E229" s="3">
        <v>1171.128</v>
      </c>
      <c r="F229" s="4" t="str">
        <f>HYPERLINK("http://141.218.60.56/~jnz1568/getInfo.php?workbook=20_14.xlsx&amp;sheet=A0&amp;row=229&amp;col=6&amp;number=0.5544&amp;sourceID=14","0.5544")</f>
        <v>0.5544</v>
      </c>
      <c r="G229" s="4" t="str">
        <f>HYPERLINK("http://141.218.60.56/~jnz1568/getInfo.php?workbook=20_14.xlsx&amp;sheet=A0&amp;row=229&amp;col=7&amp;number=0&amp;sourceID=14","0")</f>
        <v>0</v>
      </c>
    </row>
    <row r="230" spans="1:7">
      <c r="A230" s="3">
        <v>20</v>
      </c>
      <c r="B230" s="3">
        <v>14</v>
      </c>
      <c r="C230" s="3">
        <v>20</v>
      </c>
      <c r="D230" s="3">
        <v>13</v>
      </c>
      <c r="E230" s="3">
        <v>1182.82</v>
      </c>
      <c r="F230" s="4" t="str">
        <f>HYPERLINK("http://141.218.60.56/~jnz1568/getInfo.php?workbook=20_14.xlsx&amp;sheet=A0&amp;row=230&amp;col=6&amp;number=0.3833&amp;sourceID=14","0.3833")</f>
        <v>0.3833</v>
      </c>
      <c r="G230" s="4" t="str">
        <f>HYPERLINK("http://141.218.60.56/~jnz1568/getInfo.php?workbook=20_14.xlsx&amp;sheet=A0&amp;row=230&amp;col=7&amp;number=0&amp;sourceID=14","0")</f>
        <v>0</v>
      </c>
    </row>
    <row r="231" spans="1:7">
      <c r="A231" s="3">
        <v>20</v>
      </c>
      <c r="B231" s="3">
        <v>14</v>
      </c>
      <c r="C231" s="3">
        <v>21</v>
      </c>
      <c r="D231" s="3">
        <v>13</v>
      </c>
      <c r="E231" s="3">
        <v>1210.54</v>
      </c>
      <c r="F231" s="4" t="str">
        <f>HYPERLINK("http://141.218.60.56/~jnz1568/getInfo.php?workbook=20_14.xlsx&amp;sheet=A0&amp;row=231&amp;col=6&amp;number=1.584&amp;sourceID=14","1.584")</f>
        <v>1.584</v>
      </c>
      <c r="G231" s="4" t="str">
        <f>HYPERLINK("http://141.218.60.56/~jnz1568/getInfo.php?workbook=20_14.xlsx&amp;sheet=A0&amp;row=231&amp;col=7&amp;number=0&amp;sourceID=14","0")</f>
        <v>0</v>
      </c>
    </row>
    <row r="232" spans="1:7">
      <c r="A232" s="3">
        <v>20</v>
      </c>
      <c r="B232" s="3">
        <v>14</v>
      </c>
      <c r="C232" s="3">
        <v>22</v>
      </c>
      <c r="D232" s="3">
        <v>13</v>
      </c>
      <c r="E232" s="3">
        <v>-1088.219</v>
      </c>
      <c r="F232" s="4" t="str">
        <f>HYPERLINK("http://141.218.60.56/~jnz1568/getInfo.php?workbook=20_14.xlsx&amp;sheet=A0&amp;row=232&amp;col=6&amp;number=11.92&amp;sourceID=14","11.92")</f>
        <v>11.92</v>
      </c>
      <c r="G232" s="4" t="str">
        <f>HYPERLINK("http://141.218.60.56/~jnz1568/getInfo.php?workbook=20_14.xlsx&amp;sheet=A0&amp;row=232&amp;col=7&amp;number=0&amp;sourceID=14","0")</f>
        <v>0</v>
      </c>
    </row>
    <row r="233" spans="1:7">
      <c r="A233" s="3">
        <v>20</v>
      </c>
      <c r="B233" s="3">
        <v>14</v>
      </c>
      <c r="C233" s="3">
        <v>23</v>
      </c>
      <c r="D233" s="3">
        <v>13</v>
      </c>
      <c r="E233" s="3">
        <v>1092.637</v>
      </c>
      <c r="F233" s="4" t="str">
        <f>HYPERLINK("http://141.218.60.56/~jnz1568/getInfo.php?workbook=20_14.xlsx&amp;sheet=A0&amp;row=233&amp;col=6&amp;number=0.4125&amp;sourceID=14","0.4125")</f>
        <v>0.4125</v>
      </c>
      <c r="G233" s="4" t="str">
        <f>HYPERLINK("http://141.218.60.56/~jnz1568/getInfo.php?workbook=20_14.xlsx&amp;sheet=A0&amp;row=233&amp;col=7&amp;number=0&amp;sourceID=14","0")</f>
        <v>0</v>
      </c>
    </row>
    <row r="234" spans="1:7">
      <c r="A234" s="3">
        <v>20</v>
      </c>
      <c r="B234" s="3">
        <v>14</v>
      </c>
      <c r="C234" s="3">
        <v>24</v>
      </c>
      <c r="D234" s="3">
        <v>13</v>
      </c>
      <c r="E234" s="3">
        <v>1085.12</v>
      </c>
      <c r="F234" s="4" t="str">
        <f>HYPERLINK("http://141.218.60.56/~jnz1568/getInfo.php?workbook=20_14.xlsx&amp;sheet=A0&amp;row=234&amp;col=6&amp;number=0.2597&amp;sourceID=14","0.2597")</f>
        <v>0.2597</v>
      </c>
      <c r="G234" s="4" t="str">
        <f>HYPERLINK("http://141.218.60.56/~jnz1568/getInfo.php?workbook=20_14.xlsx&amp;sheet=A0&amp;row=234&amp;col=7&amp;number=0&amp;sourceID=14","0")</f>
        <v>0</v>
      </c>
    </row>
    <row r="235" spans="1:7">
      <c r="A235" s="3">
        <v>20</v>
      </c>
      <c r="B235" s="3">
        <v>14</v>
      </c>
      <c r="C235" s="3">
        <v>25</v>
      </c>
      <c r="D235" s="3">
        <v>13</v>
      </c>
      <c r="E235" s="3">
        <v>1080.897</v>
      </c>
      <c r="F235" s="4" t="str">
        <f>HYPERLINK("http://141.218.60.56/~jnz1568/getInfo.php?workbook=20_14.xlsx&amp;sheet=A0&amp;row=235&amp;col=6&amp;number=0.2652&amp;sourceID=14","0.2652")</f>
        <v>0.2652</v>
      </c>
      <c r="G235" s="4" t="str">
        <f>HYPERLINK("http://141.218.60.56/~jnz1568/getInfo.php?workbook=20_14.xlsx&amp;sheet=A0&amp;row=235&amp;col=7&amp;number=0&amp;sourceID=14","0")</f>
        <v>0</v>
      </c>
    </row>
    <row r="236" spans="1:7">
      <c r="A236" s="3">
        <v>20</v>
      </c>
      <c r="B236" s="3">
        <v>14</v>
      </c>
      <c r="C236" s="3">
        <v>26</v>
      </c>
      <c r="D236" s="3">
        <v>13</v>
      </c>
      <c r="E236" s="3">
        <v>824.615</v>
      </c>
      <c r="F236" s="4" t="str">
        <f>HYPERLINK("http://141.218.60.56/~jnz1568/getInfo.php?workbook=20_14.xlsx&amp;sheet=A0&amp;row=236&amp;col=6&amp;number=8.488&amp;sourceID=14","8.488")</f>
        <v>8.488</v>
      </c>
      <c r="G236" s="4" t="str">
        <f>HYPERLINK("http://141.218.60.56/~jnz1568/getInfo.php?workbook=20_14.xlsx&amp;sheet=A0&amp;row=236&amp;col=7&amp;number=0&amp;sourceID=14","0")</f>
        <v>0</v>
      </c>
    </row>
    <row r="237" spans="1:7">
      <c r="A237" s="3">
        <v>20</v>
      </c>
      <c r="B237" s="3">
        <v>14</v>
      </c>
      <c r="C237" s="3">
        <v>27</v>
      </c>
      <c r="D237" s="3">
        <v>13</v>
      </c>
      <c r="E237" s="3">
        <v>769.914</v>
      </c>
      <c r="F237" s="4" t="str">
        <f>HYPERLINK("http://141.218.60.56/~jnz1568/getInfo.php?workbook=20_14.xlsx&amp;sheet=A0&amp;row=237&amp;col=6&amp;number=82.67&amp;sourceID=14","82.67")</f>
        <v>82.67</v>
      </c>
      <c r="G237" s="4" t="str">
        <f>HYPERLINK("http://141.218.60.56/~jnz1568/getInfo.php?workbook=20_14.xlsx&amp;sheet=A0&amp;row=237&amp;col=7&amp;number=0&amp;sourceID=14","0")</f>
        <v>0</v>
      </c>
    </row>
    <row r="238" spans="1:7">
      <c r="A238" s="3">
        <v>20</v>
      </c>
      <c r="B238" s="3">
        <v>14</v>
      </c>
      <c r="C238" s="3">
        <v>15</v>
      </c>
      <c r="D238" s="3">
        <v>14</v>
      </c>
      <c r="E238" s="3">
        <v>-65485.996</v>
      </c>
      <c r="F238" s="4" t="str">
        <f>HYPERLINK("http://141.218.60.56/~jnz1568/getInfo.php?workbook=20_14.xlsx&amp;sheet=A0&amp;row=238&amp;col=6&amp;number=0.09134&amp;sourceID=14","0.09134")</f>
        <v>0.09134</v>
      </c>
      <c r="G238" s="4" t="str">
        <f>HYPERLINK("http://141.218.60.56/~jnz1568/getInfo.php?workbook=20_14.xlsx&amp;sheet=A0&amp;row=238&amp;col=7&amp;number=0&amp;sourceID=14","0")</f>
        <v>0</v>
      </c>
    </row>
    <row r="239" spans="1:7">
      <c r="A239" s="3">
        <v>20</v>
      </c>
      <c r="B239" s="3">
        <v>14</v>
      </c>
      <c r="C239" s="3">
        <v>16</v>
      </c>
      <c r="D239" s="3">
        <v>14</v>
      </c>
      <c r="E239" s="3">
        <v>-27321.988</v>
      </c>
      <c r="F239" s="4" t="str">
        <f>HYPERLINK("http://141.218.60.56/~jnz1568/getInfo.php?workbook=20_14.xlsx&amp;sheet=A0&amp;row=239&amp;col=6&amp;number=5.775e-07&amp;sourceID=14","5.775e-07")</f>
        <v>5.775e-07</v>
      </c>
      <c r="G239" s="4" t="str">
        <f>HYPERLINK("http://141.218.60.56/~jnz1568/getInfo.php?workbook=20_14.xlsx&amp;sheet=A0&amp;row=239&amp;col=7&amp;number=0&amp;sourceID=14","0")</f>
        <v>0</v>
      </c>
    </row>
    <row r="240" spans="1:7">
      <c r="A240" s="3">
        <v>20</v>
      </c>
      <c r="B240" s="3">
        <v>14</v>
      </c>
      <c r="C240" s="3">
        <v>17</v>
      </c>
      <c r="D240" s="3">
        <v>14</v>
      </c>
      <c r="E240" s="3">
        <v>-12067.456</v>
      </c>
      <c r="F240" s="4" t="str">
        <f>HYPERLINK("http://141.218.60.56/~jnz1568/getInfo.php?workbook=20_14.xlsx&amp;sheet=A0&amp;row=240&amp;col=6&amp;number=4.159e-06&amp;sourceID=14","4.159e-06")</f>
        <v>4.159e-06</v>
      </c>
      <c r="G240" s="4" t="str">
        <f>HYPERLINK("http://141.218.60.56/~jnz1568/getInfo.php?workbook=20_14.xlsx&amp;sheet=A0&amp;row=240&amp;col=7&amp;number=0&amp;sourceID=14","0")</f>
        <v>0</v>
      </c>
    </row>
    <row r="241" spans="1:7">
      <c r="A241" s="3">
        <v>20</v>
      </c>
      <c r="B241" s="3">
        <v>14</v>
      </c>
      <c r="C241" s="3">
        <v>19</v>
      </c>
      <c r="D241" s="3">
        <v>14</v>
      </c>
      <c r="E241" s="3">
        <v>-2319.384</v>
      </c>
      <c r="F241" s="4" t="str">
        <f>HYPERLINK("http://141.218.60.56/~jnz1568/getInfo.php?workbook=20_14.xlsx&amp;sheet=A0&amp;row=241&amp;col=6&amp;number=10.33&amp;sourceID=14","10.33")</f>
        <v>10.33</v>
      </c>
      <c r="G241" s="4" t="str">
        <f>HYPERLINK("http://141.218.60.56/~jnz1568/getInfo.php?workbook=20_14.xlsx&amp;sheet=A0&amp;row=241&amp;col=7&amp;number=0&amp;sourceID=14","0")</f>
        <v>0</v>
      </c>
    </row>
    <row r="242" spans="1:7">
      <c r="A242" s="3">
        <v>20</v>
      </c>
      <c r="B242" s="3">
        <v>14</v>
      </c>
      <c r="C242" s="3">
        <v>20</v>
      </c>
      <c r="D242" s="3">
        <v>14</v>
      </c>
      <c r="E242" s="3">
        <v>-2359.791</v>
      </c>
      <c r="F242" s="4" t="str">
        <f>HYPERLINK("http://141.218.60.56/~jnz1568/getInfo.php?workbook=20_14.xlsx&amp;sheet=A0&amp;row=242&amp;col=6&amp;number=3.108&amp;sourceID=14","3.108")</f>
        <v>3.108</v>
      </c>
      <c r="G242" s="4" t="str">
        <f>HYPERLINK("http://141.218.60.56/~jnz1568/getInfo.php?workbook=20_14.xlsx&amp;sheet=A0&amp;row=242&amp;col=7&amp;number=0&amp;sourceID=14","0")</f>
        <v>0</v>
      </c>
    </row>
    <row r="243" spans="1:7">
      <c r="A243" s="3">
        <v>20</v>
      </c>
      <c r="B243" s="3">
        <v>14</v>
      </c>
      <c r="C243" s="3">
        <v>21</v>
      </c>
      <c r="D243" s="3">
        <v>14</v>
      </c>
      <c r="E243" s="3">
        <v>-2451.828</v>
      </c>
      <c r="F243" s="4" t="str">
        <f>HYPERLINK("http://141.218.60.56/~jnz1568/getInfo.php?workbook=20_14.xlsx&amp;sheet=A0&amp;row=243&amp;col=6&amp;number=0.2181&amp;sourceID=14","0.2181")</f>
        <v>0.2181</v>
      </c>
      <c r="G243" s="4" t="str">
        <f>HYPERLINK("http://141.218.60.56/~jnz1568/getInfo.php?workbook=20_14.xlsx&amp;sheet=A0&amp;row=243&amp;col=7&amp;number=0&amp;sourceID=14","0")</f>
        <v>0</v>
      </c>
    </row>
    <row r="244" spans="1:7">
      <c r="A244" s="3">
        <v>20</v>
      </c>
      <c r="B244" s="3">
        <v>14</v>
      </c>
      <c r="C244" s="3">
        <v>22</v>
      </c>
      <c r="D244" s="3">
        <v>14</v>
      </c>
      <c r="E244" s="3">
        <v>-2197.001</v>
      </c>
      <c r="F244" s="4" t="str">
        <f>HYPERLINK("http://141.218.60.56/~jnz1568/getInfo.php?workbook=20_14.xlsx&amp;sheet=A0&amp;row=244&amp;col=6&amp;number=0.9657&amp;sourceID=14","0.9657")</f>
        <v>0.9657</v>
      </c>
      <c r="G244" s="4" t="str">
        <f>HYPERLINK("http://141.218.60.56/~jnz1568/getInfo.php?workbook=20_14.xlsx&amp;sheet=A0&amp;row=244&amp;col=7&amp;number=0&amp;sourceID=14","0")</f>
        <v>0</v>
      </c>
    </row>
    <row r="245" spans="1:7">
      <c r="A245" s="3">
        <v>20</v>
      </c>
      <c r="B245" s="3">
        <v>14</v>
      </c>
      <c r="C245" s="3">
        <v>23</v>
      </c>
      <c r="D245" s="3">
        <v>14</v>
      </c>
      <c r="E245" s="3">
        <v>-1978.391</v>
      </c>
      <c r="F245" s="4" t="str">
        <f>HYPERLINK("http://141.218.60.56/~jnz1568/getInfo.php?workbook=20_14.xlsx&amp;sheet=A0&amp;row=245&amp;col=6&amp;number=3.101&amp;sourceID=14","3.101")</f>
        <v>3.101</v>
      </c>
      <c r="G245" s="4" t="str">
        <f>HYPERLINK("http://141.218.60.56/~jnz1568/getInfo.php?workbook=20_14.xlsx&amp;sheet=A0&amp;row=245&amp;col=7&amp;number=0&amp;sourceID=14","0")</f>
        <v>0</v>
      </c>
    </row>
    <row r="246" spans="1:7">
      <c r="A246" s="3">
        <v>20</v>
      </c>
      <c r="B246" s="3">
        <v>14</v>
      </c>
      <c r="C246" s="3">
        <v>24</v>
      </c>
      <c r="D246" s="3">
        <v>14</v>
      </c>
      <c r="E246" s="3">
        <v>-1951.547</v>
      </c>
      <c r="F246" s="4" t="str">
        <f>HYPERLINK("http://141.218.60.56/~jnz1568/getInfo.php?workbook=20_14.xlsx&amp;sheet=A0&amp;row=246&amp;col=6&amp;number=2.499&amp;sourceID=14","2.499")</f>
        <v>2.499</v>
      </c>
      <c r="G246" s="4" t="str">
        <f>HYPERLINK("http://141.218.60.56/~jnz1568/getInfo.php?workbook=20_14.xlsx&amp;sheet=A0&amp;row=246&amp;col=7&amp;number=0&amp;sourceID=14","0")</f>
        <v>0</v>
      </c>
    </row>
    <row r="247" spans="1:7">
      <c r="A247" s="3">
        <v>20</v>
      </c>
      <c r="B247" s="3">
        <v>14</v>
      </c>
      <c r="C247" s="3">
        <v>25</v>
      </c>
      <c r="D247" s="3">
        <v>14</v>
      </c>
      <c r="E247" s="3">
        <v>-1934.065</v>
      </c>
      <c r="F247" s="4" t="str">
        <f>HYPERLINK("http://141.218.60.56/~jnz1568/getInfo.php?workbook=20_14.xlsx&amp;sheet=A0&amp;row=247&amp;col=6&amp;number=0.2878&amp;sourceID=14","0.2878")</f>
        <v>0.2878</v>
      </c>
      <c r="G247" s="4" t="str">
        <f>HYPERLINK("http://141.218.60.56/~jnz1568/getInfo.php?workbook=20_14.xlsx&amp;sheet=A0&amp;row=247&amp;col=7&amp;number=0&amp;sourceID=14","0")</f>
        <v>0</v>
      </c>
    </row>
    <row r="248" spans="1:7">
      <c r="A248" s="3">
        <v>20</v>
      </c>
      <c r="B248" s="3">
        <v>14</v>
      </c>
      <c r="C248" s="3">
        <v>26</v>
      </c>
      <c r="D248" s="3">
        <v>14</v>
      </c>
      <c r="E248" s="3">
        <v>-1205.338</v>
      </c>
      <c r="F248" s="4" t="str">
        <f>HYPERLINK("http://141.218.60.56/~jnz1568/getInfo.php?workbook=20_14.xlsx&amp;sheet=A0&amp;row=248&amp;col=6&amp;number=4.511&amp;sourceID=14","4.511")</f>
        <v>4.511</v>
      </c>
      <c r="G248" s="4" t="str">
        <f>HYPERLINK("http://141.218.60.56/~jnz1568/getInfo.php?workbook=20_14.xlsx&amp;sheet=A0&amp;row=248&amp;col=7&amp;number=0&amp;sourceID=14","0")</f>
        <v>0</v>
      </c>
    </row>
    <row r="249" spans="1:7">
      <c r="A249" s="3">
        <v>20</v>
      </c>
      <c r="B249" s="3">
        <v>14</v>
      </c>
      <c r="C249" s="3">
        <v>27</v>
      </c>
      <c r="D249" s="3">
        <v>14</v>
      </c>
      <c r="E249" s="3">
        <v>-1106.682</v>
      </c>
      <c r="F249" s="4" t="str">
        <f>HYPERLINK("http://141.218.60.56/~jnz1568/getInfo.php?workbook=20_14.xlsx&amp;sheet=A0&amp;row=249&amp;col=6&amp;number=0.1349&amp;sourceID=14","0.1349")</f>
        <v>0.1349</v>
      </c>
      <c r="G249" s="4" t="str">
        <f>HYPERLINK("http://141.218.60.56/~jnz1568/getInfo.php?workbook=20_14.xlsx&amp;sheet=A0&amp;row=249&amp;col=7&amp;number=0&amp;sourceID=14","0")</f>
        <v>0</v>
      </c>
    </row>
    <row r="250" spans="1:7">
      <c r="A250" s="3">
        <v>20</v>
      </c>
      <c r="B250" s="3">
        <v>14</v>
      </c>
      <c r="C250" s="3">
        <v>16</v>
      </c>
      <c r="D250" s="3">
        <v>15</v>
      </c>
      <c r="E250" s="3">
        <v>-46882.066</v>
      </c>
      <c r="F250" s="4" t="str">
        <f>HYPERLINK("http://141.218.60.56/~jnz1568/getInfo.php?workbook=20_14.xlsx&amp;sheet=A0&amp;row=250&amp;col=6&amp;number=0.1961&amp;sourceID=14","0.1961")</f>
        <v>0.1961</v>
      </c>
      <c r="G250" s="4" t="str">
        <f>HYPERLINK("http://141.218.60.56/~jnz1568/getInfo.php?workbook=20_14.xlsx&amp;sheet=A0&amp;row=250&amp;col=7&amp;number=0&amp;sourceID=14","0")</f>
        <v>0</v>
      </c>
    </row>
    <row r="251" spans="1:7">
      <c r="A251" s="3">
        <v>20</v>
      </c>
      <c r="B251" s="3">
        <v>14</v>
      </c>
      <c r="C251" s="3">
        <v>17</v>
      </c>
      <c r="D251" s="3">
        <v>15</v>
      </c>
      <c r="E251" s="3">
        <v>-14793.542</v>
      </c>
      <c r="F251" s="4" t="str">
        <f>HYPERLINK("http://141.218.60.56/~jnz1568/getInfo.php?workbook=20_14.xlsx&amp;sheet=A0&amp;row=251&amp;col=6&amp;number=5.723e-09&amp;sourceID=14","5.723e-09")</f>
        <v>5.723e-09</v>
      </c>
      <c r="G251" s="4" t="str">
        <f>HYPERLINK("http://141.218.60.56/~jnz1568/getInfo.php?workbook=20_14.xlsx&amp;sheet=A0&amp;row=251&amp;col=7&amp;number=0&amp;sourceID=14","0")</f>
        <v>0</v>
      </c>
    </row>
    <row r="252" spans="1:7">
      <c r="A252" s="3">
        <v>20</v>
      </c>
      <c r="B252" s="3">
        <v>14</v>
      </c>
      <c r="C252" s="3">
        <v>20</v>
      </c>
      <c r="D252" s="3">
        <v>15</v>
      </c>
      <c r="E252" s="3">
        <v>-2448.005</v>
      </c>
      <c r="F252" s="4" t="str">
        <f>HYPERLINK("http://141.218.60.56/~jnz1568/getInfo.php?workbook=20_14.xlsx&amp;sheet=A0&amp;row=252&amp;col=6&amp;number=5.299&amp;sourceID=14","5.299")</f>
        <v>5.299</v>
      </c>
      <c r="G252" s="4" t="str">
        <f>HYPERLINK("http://141.218.60.56/~jnz1568/getInfo.php?workbook=20_14.xlsx&amp;sheet=A0&amp;row=252&amp;col=7&amp;number=0&amp;sourceID=14","0")</f>
        <v>0</v>
      </c>
    </row>
    <row r="253" spans="1:7">
      <c r="A253" s="3">
        <v>20</v>
      </c>
      <c r="B253" s="3">
        <v>14</v>
      </c>
      <c r="C253" s="3">
        <v>21</v>
      </c>
      <c r="D253" s="3">
        <v>15</v>
      </c>
      <c r="E253" s="3">
        <v>-2547.196</v>
      </c>
      <c r="F253" s="4" t="str">
        <f>HYPERLINK("http://141.218.60.56/~jnz1568/getInfo.php?workbook=20_14.xlsx&amp;sheet=A0&amp;row=253&amp;col=6&amp;number=1.294&amp;sourceID=14","1.294")</f>
        <v>1.294</v>
      </c>
      <c r="G253" s="4" t="str">
        <f>HYPERLINK("http://141.218.60.56/~jnz1568/getInfo.php?workbook=20_14.xlsx&amp;sheet=A0&amp;row=253&amp;col=7&amp;number=0&amp;sourceID=14","0")</f>
        <v>0</v>
      </c>
    </row>
    <row r="254" spans="1:7">
      <c r="A254" s="3">
        <v>20</v>
      </c>
      <c r="B254" s="3">
        <v>14</v>
      </c>
      <c r="C254" s="3">
        <v>22</v>
      </c>
      <c r="D254" s="3">
        <v>15</v>
      </c>
      <c r="E254" s="3">
        <v>-2273.267</v>
      </c>
      <c r="F254" s="4" t="str">
        <f>HYPERLINK("http://141.218.60.56/~jnz1568/getInfo.php?workbook=20_14.xlsx&amp;sheet=A0&amp;row=254&amp;col=6&amp;number=1.854&amp;sourceID=14","1.854")</f>
        <v>1.854</v>
      </c>
      <c r="G254" s="4" t="str">
        <f>HYPERLINK("http://141.218.60.56/~jnz1568/getInfo.php?workbook=20_14.xlsx&amp;sheet=A0&amp;row=254&amp;col=7&amp;number=0&amp;sourceID=14","0")</f>
        <v>0</v>
      </c>
    </row>
    <row r="255" spans="1:7">
      <c r="A255" s="3">
        <v>20</v>
      </c>
      <c r="B255" s="3">
        <v>14</v>
      </c>
      <c r="C255" s="3">
        <v>23</v>
      </c>
      <c r="D255" s="3">
        <v>15</v>
      </c>
      <c r="E255" s="3">
        <v>-2040.022</v>
      </c>
      <c r="F255" s="4" t="str">
        <f>HYPERLINK("http://141.218.60.56/~jnz1568/getInfo.php?workbook=20_14.xlsx&amp;sheet=A0&amp;row=255&amp;col=6&amp;number=0.01784&amp;sourceID=14","0.01784")</f>
        <v>0.01784</v>
      </c>
      <c r="G255" s="4" t="str">
        <f>HYPERLINK("http://141.218.60.56/~jnz1568/getInfo.php?workbook=20_14.xlsx&amp;sheet=A0&amp;row=255&amp;col=7&amp;number=0&amp;sourceID=14","0")</f>
        <v>0</v>
      </c>
    </row>
    <row r="256" spans="1:7">
      <c r="A256" s="3">
        <v>20</v>
      </c>
      <c r="B256" s="3">
        <v>14</v>
      </c>
      <c r="C256" s="3">
        <v>24</v>
      </c>
      <c r="D256" s="3">
        <v>15</v>
      </c>
      <c r="E256" s="3">
        <v>-2011.491</v>
      </c>
      <c r="F256" s="4" t="str">
        <f>HYPERLINK("http://141.218.60.56/~jnz1568/getInfo.php?workbook=20_14.xlsx&amp;sheet=A0&amp;row=256&amp;col=6&amp;number=0.7111&amp;sourceID=14","0.7111")</f>
        <v>0.7111</v>
      </c>
      <c r="G256" s="4" t="str">
        <f>HYPERLINK("http://141.218.60.56/~jnz1568/getInfo.php?workbook=20_14.xlsx&amp;sheet=A0&amp;row=256&amp;col=7&amp;number=0&amp;sourceID=14","0")</f>
        <v>0</v>
      </c>
    </row>
    <row r="257" spans="1:7">
      <c r="A257" s="3">
        <v>20</v>
      </c>
      <c r="B257" s="3">
        <v>14</v>
      </c>
      <c r="C257" s="3">
        <v>25</v>
      </c>
      <c r="D257" s="3">
        <v>15</v>
      </c>
      <c r="E257" s="3">
        <v>-1992.924</v>
      </c>
      <c r="F257" s="4" t="str">
        <f>HYPERLINK("http://141.218.60.56/~jnz1568/getInfo.php?workbook=20_14.xlsx&amp;sheet=A0&amp;row=257&amp;col=6&amp;number=1.67&amp;sourceID=14","1.67")</f>
        <v>1.67</v>
      </c>
      <c r="G257" s="4" t="str">
        <f>HYPERLINK("http://141.218.60.56/~jnz1568/getInfo.php?workbook=20_14.xlsx&amp;sheet=A0&amp;row=257&amp;col=7&amp;number=0&amp;sourceID=14","0")</f>
        <v>0</v>
      </c>
    </row>
    <row r="258" spans="1:7">
      <c r="A258" s="3">
        <v>20</v>
      </c>
      <c r="B258" s="3">
        <v>14</v>
      </c>
      <c r="C258" s="3">
        <v>26</v>
      </c>
      <c r="D258" s="3">
        <v>15</v>
      </c>
      <c r="E258" s="3">
        <v>-1227.939</v>
      </c>
      <c r="F258" s="4" t="str">
        <f>HYPERLINK("http://141.218.60.56/~jnz1568/getInfo.php?workbook=20_14.xlsx&amp;sheet=A0&amp;row=258&amp;col=6&amp;number=0.5225&amp;sourceID=14","0.5225")</f>
        <v>0.5225</v>
      </c>
      <c r="G258" s="4" t="str">
        <f>HYPERLINK("http://141.218.60.56/~jnz1568/getInfo.php?workbook=20_14.xlsx&amp;sheet=A0&amp;row=258&amp;col=7&amp;number=0&amp;sourceID=14","0")</f>
        <v>0</v>
      </c>
    </row>
    <row r="259" spans="1:7">
      <c r="A259" s="3">
        <v>20</v>
      </c>
      <c r="B259" s="3">
        <v>14</v>
      </c>
      <c r="C259" s="3">
        <v>27</v>
      </c>
      <c r="D259" s="3">
        <v>15</v>
      </c>
      <c r="E259" s="3">
        <v>-1125.706</v>
      </c>
      <c r="F259" s="4" t="str">
        <f>HYPERLINK("http://141.218.60.56/~jnz1568/getInfo.php?workbook=20_14.xlsx&amp;sheet=A0&amp;row=259&amp;col=6&amp;number=0.8108&amp;sourceID=14","0.8108")</f>
        <v>0.8108</v>
      </c>
      <c r="G259" s="4" t="str">
        <f>HYPERLINK("http://141.218.60.56/~jnz1568/getInfo.php?workbook=20_14.xlsx&amp;sheet=A0&amp;row=259&amp;col=7&amp;number=0&amp;sourceID=14","0")</f>
        <v>0</v>
      </c>
    </row>
    <row r="260" spans="1:7">
      <c r="A260" s="3">
        <v>20</v>
      </c>
      <c r="B260" s="3">
        <v>14</v>
      </c>
      <c r="C260" s="3">
        <v>21</v>
      </c>
      <c r="D260" s="3">
        <v>16</v>
      </c>
      <c r="E260" s="3">
        <v>-2693.542</v>
      </c>
      <c r="F260" s="4" t="str">
        <f>HYPERLINK("http://141.218.60.56/~jnz1568/getInfo.php?workbook=20_14.xlsx&amp;sheet=A0&amp;row=260&amp;col=6&amp;number=3.545&amp;sourceID=14","3.545")</f>
        <v>3.545</v>
      </c>
      <c r="G260" s="4" t="str">
        <f>HYPERLINK("http://141.218.60.56/~jnz1568/getInfo.php?workbook=20_14.xlsx&amp;sheet=A0&amp;row=260&amp;col=7&amp;number=0&amp;sourceID=14","0")</f>
        <v>0</v>
      </c>
    </row>
    <row r="261" spans="1:7">
      <c r="A261" s="3">
        <v>20</v>
      </c>
      <c r="B261" s="3">
        <v>14</v>
      </c>
      <c r="C261" s="3">
        <v>22</v>
      </c>
      <c r="D261" s="3">
        <v>16</v>
      </c>
      <c r="E261" s="3">
        <v>-2389.113</v>
      </c>
      <c r="F261" s="4" t="str">
        <f>HYPERLINK("http://141.218.60.56/~jnz1568/getInfo.php?workbook=20_14.xlsx&amp;sheet=A0&amp;row=261&amp;col=6&amp;number=0.7288&amp;sourceID=14","0.7288")</f>
        <v>0.7288</v>
      </c>
      <c r="G261" s="4" t="str">
        <f>HYPERLINK("http://141.218.60.56/~jnz1568/getInfo.php?workbook=20_14.xlsx&amp;sheet=A0&amp;row=261&amp;col=7&amp;number=0&amp;sourceID=14","0")</f>
        <v>0</v>
      </c>
    </row>
    <row r="262" spans="1:7">
      <c r="A262" s="3">
        <v>20</v>
      </c>
      <c r="B262" s="3">
        <v>14</v>
      </c>
      <c r="C262" s="3">
        <v>24</v>
      </c>
      <c r="D262" s="3">
        <v>16</v>
      </c>
      <c r="E262" s="3">
        <v>-2101.664</v>
      </c>
      <c r="F262" s="4" t="str">
        <f>HYPERLINK("http://141.218.60.56/~jnz1568/getInfo.php?workbook=20_14.xlsx&amp;sheet=A0&amp;row=262&amp;col=6&amp;number=0.08183&amp;sourceID=14","0.08183")</f>
        <v>0.08183</v>
      </c>
      <c r="G262" s="4" t="str">
        <f>HYPERLINK("http://141.218.60.56/~jnz1568/getInfo.php?workbook=20_14.xlsx&amp;sheet=A0&amp;row=262&amp;col=7&amp;number=0&amp;sourceID=14","0")</f>
        <v>0</v>
      </c>
    </row>
    <row r="263" spans="1:7">
      <c r="A263" s="3">
        <v>20</v>
      </c>
      <c r="B263" s="3">
        <v>14</v>
      </c>
      <c r="C263" s="3">
        <v>25</v>
      </c>
      <c r="D263" s="3">
        <v>16</v>
      </c>
      <c r="E263" s="3">
        <v>-2081.404</v>
      </c>
      <c r="F263" s="4" t="str">
        <f>HYPERLINK("http://141.218.60.56/~jnz1568/getInfo.php?workbook=20_14.xlsx&amp;sheet=A0&amp;row=263&amp;col=6&amp;number=2.063&amp;sourceID=14","2.063")</f>
        <v>2.063</v>
      </c>
      <c r="G263" s="4" t="str">
        <f>HYPERLINK("http://141.218.60.56/~jnz1568/getInfo.php?workbook=20_14.xlsx&amp;sheet=A0&amp;row=263&amp;col=7&amp;number=0&amp;sourceID=14","0")</f>
        <v>0</v>
      </c>
    </row>
    <row r="264" spans="1:7">
      <c r="A264" s="3">
        <v>20</v>
      </c>
      <c r="B264" s="3">
        <v>14</v>
      </c>
      <c r="C264" s="3">
        <v>26</v>
      </c>
      <c r="D264" s="3">
        <v>16</v>
      </c>
      <c r="E264" s="3">
        <v>-1260.967</v>
      </c>
      <c r="F264" s="4" t="str">
        <f>HYPERLINK("http://141.218.60.56/~jnz1568/getInfo.php?workbook=20_14.xlsx&amp;sheet=A0&amp;row=264&amp;col=6&amp;number=3.78&amp;sourceID=14","3.78")</f>
        <v>3.78</v>
      </c>
      <c r="G264" s="4" t="str">
        <f>HYPERLINK("http://141.218.60.56/~jnz1568/getInfo.php?workbook=20_14.xlsx&amp;sheet=A0&amp;row=264&amp;col=7&amp;number=0&amp;sourceID=14","0")</f>
        <v>0</v>
      </c>
    </row>
    <row r="265" spans="1:7">
      <c r="A265" s="3">
        <v>20</v>
      </c>
      <c r="B265" s="3">
        <v>14</v>
      </c>
      <c r="C265" s="3">
        <v>19</v>
      </c>
      <c r="D265" s="3">
        <v>17</v>
      </c>
      <c r="E265" s="3">
        <v>2738.674</v>
      </c>
      <c r="F265" s="4" t="str">
        <f>HYPERLINK("http://141.218.60.56/~jnz1568/getInfo.php?workbook=20_14.xlsx&amp;sheet=A0&amp;row=265&amp;col=6&amp;number=0.5077&amp;sourceID=14","0.5077")</f>
        <v>0.5077</v>
      </c>
      <c r="G265" s="4" t="str">
        <f>HYPERLINK("http://141.218.60.56/~jnz1568/getInfo.php?workbook=20_14.xlsx&amp;sheet=A0&amp;row=265&amp;col=7&amp;number=0&amp;sourceID=14","0")</f>
        <v>0</v>
      </c>
    </row>
    <row r="266" spans="1:7">
      <c r="A266" s="3">
        <v>20</v>
      </c>
      <c r="B266" s="3">
        <v>14</v>
      </c>
      <c r="C266" s="3">
        <v>20</v>
      </c>
      <c r="D266" s="3">
        <v>17</v>
      </c>
      <c r="E266" s="3">
        <v>2803.474</v>
      </c>
      <c r="F266" s="4" t="str">
        <f>HYPERLINK("http://141.218.60.56/~jnz1568/getInfo.php?workbook=20_14.xlsx&amp;sheet=A0&amp;row=266&amp;col=6&amp;number=0.04225&amp;sourceID=14","0.04225")</f>
        <v>0.04225</v>
      </c>
      <c r="G266" s="4" t="str">
        <f>HYPERLINK("http://141.218.60.56/~jnz1568/getInfo.php?workbook=20_14.xlsx&amp;sheet=A0&amp;row=266&amp;col=7&amp;number=0&amp;sourceID=14","0")</f>
        <v>0</v>
      </c>
    </row>
    <row r="267" spans="1:7">
      <c r="A267" s="3">
        <v>20</v>
      </c>
      <c r="B267" s="3">
        <v>14</v>
      </c>
      <c r="C267" s="3">
        <v>21</v>
      </c>
      <c r="D267" s="3">
        <v>17</v>
      </c>
      <c r="E267" s="3">
        <v>2964.365</v>
      </c>
      <c r="F267" s="4" t="str">
        <f>HYPERLINK("http://141.218.60.56/~jnz1568/getInfo.php?workbook=20_14.xlsx&amp;sheet=A0&amp;row=267&amp;col=6&amp;number=0.2379&amp;sourceID=14","0.2379")</f>
        <v>0.2379</v>
      </c>
      <c r="G267" s="4" t="str">
        <f>HYPERLINK("http://141.218.60.56/~jnz1568/getInfo.php?workbook=20_14.xlsx&amp;sheet=A0&amp;row=267&amp;col=7&amp;number=0&amp;sourceID=14","0")</f>
        <v>0</v>
      </c>
    </row>
    <row r="268" spans="1:7">
      <c r="A268" s="3">
        <v>20</v>
      </c>
      <c r="B268" s="3">
        <v>14</v>
      </c>
      <c r="C268" s="3">
        <v>22</v>
      </c>
      <c r="D268" s="3">
        <v>17</v>
      </c>
      <c r="E268" s="3">
        <v>-2686.017</v>
      </c>
      <c r="F268" s="4" t="str">
        <f>HYPERLINK("http://141.218.60.56/~jnz1568/getInfo.php?workbook=20_14.xlsx&amp;sheet=A0&amp;row=268&amp;col=6&amp;number=2.346&amp;sourceID=14","2.346")</f>
        <v>2.346</v>
      </c>
      <c r="G268" s="4" t="str">
        <f>HYPERLINK("http://141.218.60.56/~jnz1568/getInfo.php?workbook=20_14.xlsx&amp;sheet=A0&amp;row=268&amp;col=7&amp;number=0&amp;sourceID=14","0")</f>
        <v>0</v>
      </c>
    </row>
    <row r="269" spans="1:7">
      <c r="A269" s="3">
        <v>20</v>
      </c>
      <c r="B269" s="3">
        <v>14</v>
      </c>
      <c r="C269" s="3">
        <v>23</v>
      </c>
      <c r="D269" s="3">
        <v>17</v>
      </c>
      <c r="E269" s="3">
        <v>2344.775</v>
      </c>
      <c r="F269" s="4" t="str">
        <f>HYPERLINK("http://141.218.60.56/~jnz1568/getInfo.php?workbook=20_14.xlsx&amp;sheet=A0&amp;row=269&amp;col=6&amp;number=0.01423&amp;sourceID=14","0.01423")</f>
        <v>0.01423</v>
      </c>
      <c r="G269" s="4" t="str">
        <f>HYPERLINK("http://141.218.60.56/~jnz1568/getInfo.php?workbook=20_14.xlsx&amp;sheet=A0&amp;row=269&amp;col=7&amp;number=0&amp;sourceID=14","0")</f>
        <v>0</v>
      </c>
    </row>
    <row r="270" spans="1:7">
      <c r="A270" s="3">
        <v>20</v>
      </c>
      <c r="B270" s="3">
        <v>14</v>
      </c>
      <c r="C270" s="3">
        <v>24</v>
      </c>
      <c r="D270" s="3">
        <v>17</v>
      </c>
      <c r="E270" s="3">
        <v>2310.428</v>
      </c>
      <c r="F270" s="4" t="str">
        <f>HYPERLINK("http://141.218.60.56/~jnz1568/getInfo.php?workbook=20_14.xlsx&amp;sheet=A0&amp;row=270&amp;col=6&amp;number=0.08873&amp;sourceID=14","0.08873")</f>
        <v>0.08873</v>
      </c>
      <c r="G270" s="4" t="str">
        <f>HYPERLINK("http://141.218.60.56/~jnz1568/getInfo.php?workbook=20_14.xlsx&amp;sheet=A0&amp;row=270&amp;col=7&amp;number=0&amp;sourceID=14","0")</f>
        <v>0</v>
      </c>
    </row>
    <row r="271" spans="1:7">
      <c r="A271" s="3">
        <v>20</v>
      </c>
      <c r="B271" s="3">
        <v>14</v>
      </c>
      <c r="C271" s="3">
        <v>25</v>
      </c>
      <c r="D271" s="3">
        <v>17</v>
      </c>
      <c r="E271" s="3">
        <v>2291.37</v>
      </c>
      <c r="F271" s="4" t="str">
        <f>HYPERLINK("http://141.218.60.56/~jnz1568/getInfo.php?workbook=20_14.xlsx&amp;sheet=A0&amp;row=271&amp;col=6&amp;number=0.01311&amp;sourceID=14","0.01311")</f>
        <v>0.01311</v>
      </c>
      <c r="G271" s="4" t="str">
        <f>HYPERLINK("http://141.218.60.56/~jnz1568/getInfo.php?workbook=20_14.xlsx&amp;sheet=A0&amp;row=271&amp;col=7&amp;number=0&amp;sourceID=14","0")</f>
        <v>0</v>
      </c>
    </row>
    <row r="272" spans="1:7">
      <c r="A272" s="3">
        <v>20</v>
      </c>
      <c r="B272" s="3">
        <v>14</v>
      </c>
      <c r="C272" s="3">
        <v>26</v>
      </c>
      <c r="D272" s="3">
        <v>17</v>
      </c>
      <c r="E272" s="3">
        <v>1381.312</v>
      </c>
      <c r="F272" s="4" t="str">
        <f>HYPERLINK("http://141.218.60.56/~jnz1568/getInfo.php?workbook=20_14.xlsx&amp;sheet=A0&amp;row=272&amp;col=6&amp;number=17.72&amp;sourceID=14","17.72")</f>
        <v>17.72</v>
      </c>
      <c r="G272" s="4" t="str">
        <f>HYPERLINK("http://141.218.60.56/~jnz1568/getInfo.php?workbook=20_14.xlsx&amp;sheet=A0&amp;row=272&amp;col=7&amp;number=0&amp;sourceID=14","0")</f>
        <v>0</v>
      </c>
    </row>
    <row r="273" spans="1:7">
      <c r="A273" s="3">
        <v>20</v>
      </c>
      <c r="B273" s="3">
        <v>14</v>
      </c>
      <c r="C273" s="3">
        <v>27</v>
      </c>
      <c r="D273" s="3">
        <v>17</v>
      </c>
      <c r="E273" s="3">
        <v>1234.401</v>
      </c>
      <c r="F273" s="4" t="str">
        <f>HYPERLINK("http://141.218.60.56/~jnz1568/getInfo.php?workbook=20_14.xlsx&amp;sheet=A0&amp;row=273&amp;col=6&amp;number=52.65&amp;sourceID=14","52.65")</f>
        <v>52.65</v>
      </c>
      <c r="G273" s="4" t="str">
        <f>HYPERLINK("http://141.218.60.56/~jnz1568/getInfo.php?workbook=20_14.xlsx&amp;sheet=A0&amp;row=273&amp;col=7&amp;number=0&amp;sourceID=14","0")</f>
        <v>0</v>
      </c>
    </row>
    <row r="274" spans="1:7">
      <c r="A274" s="3">
        <v>20</v>
      </c>
      <c r="B274" s="3">
        <v>14</v>
      </c>
      <c r="C274" s="3">
        <v>19</v>
      </c>
      <c r="D274" s="3">
        <v>18</v>
      </c>
      <c r="E274" s="3">
        <v>2285.013</v>
      </c>
      <c r="F274" s="4" t="str">
        <f>HYPERLINK("http://141.218.60.56/~jnz1568/getInfo.php?workbook=20_14.xlsx&amp;sheet=A0&amp;row=274&amp;col=6&amp;number=0.3961&amp;sourceID=14","0.3961")</f>
        <v>0.3961</v>
      </c>
      <c r="G274" s="4" t="str">
        <f>HYPERLINK("http://141.218.60.56/~jnz1568/getInfo.php?workbook=20_14.xlsx&amp;sheet=A0&amp;row=274&amp;col=7&amp;number=0&amp;sourceID=14","0")</f>
        <v>0</v>
      </c>
    </row>
    <row r="275" spans="1:7">
      <c r="A275" s="3">
        <v>20</v>
      </c>
      <c r="B275" s="3">
        <v>14</v>
      </c>
      <c r="C275" s="3">
        <v>20</v>
      </c>
      <c r="D275" s="3">
        <v>18</v>
      </c>
      <c r="E275" s="3">
        <v>2329.948</v>
      </c>
      <c r="F275" s="4" t="str">
        <f>HYPERLINK("http://141.218.60.56/~jnz1568/getInfo.php?workbook=20_14.xlsx&amp;sheet=A0&amp;row=275&amp;col=6&amp;number=0.258&amp;sourceID=14","0.258")</f>
        <v>0.258</v>
      </c>
      <c r="G275" s="4" t="str">
        <f>HYPERLINK("http://141.218.60.56/~jnz1568/getInfo.php?workbook=20_14.xlsx&amp;sheet=A0&amp;row=275&amp;col=7&amp;number=0&amp;sourceID=14","0")</f>
        <v>0</v>
      </c>
    </row>
    <row r="276" spans="1:7">
      <c r="A276" s="3">
        <v>20</v>
      </c>
      <c r="B276" s="3">
        <v>14</v>
      </c>
      <c r="C276" s="3">
        <v>21</v>
      </c>
      <c r="D276" s="3">
        <v>18</v>
      </c>
      <c r="E276" s="3">
        <v>2440.011</v>
      </c>
      <c r="F276" s="4" t="str">
        <f>HYPERLINK("http://141.218.60.56/~jnz1568/getInfo.php?workbook=20_14.xlsx&amp;sheet=A0&amp;row=276&amp;col=6&amp;number=0.1269&amp;sourceID=14","0.1269")</f>
        <v>0.1269</v>
      </c>
      <c r="G276" s="4" t="str">
        <f>HYPERLINK("http://141.218.60.56/~jnz1568/getInfo.php?workbook=20_14.xlsx&amp;sheet=A0&amp;row=276&amp;col=7&amp;number=0&amp;sourceID=14","0")</f>
        <v>0</v>
      </c>
    </row>
    <row r="277" spans="1:7">
      <c r="A277" s="3">
        <v>20</v>
      </c>
      <c r="B277" s="3">
        <v>14</v>
      </c>
      <c r="C277" s="3">
        <v>22</v>
      </c>
      <c r="D277" s="3">
        <v>18</v>
      </c>
      <c r="E277" s="3">
        <v>-2168.988</v>
      </c>
      <c r="F277" s="4" t="str">
        <f>HYPERLINK("http://141.218.60.56/~jnz1568/getInfo.php?workbook=20_14.xlsx&amp;sheet=A0&amp;row=277&amp;col=6&amp;number=0.4719&amp;sourceID=14","0.4719")</f>
        <v>0.4719</v>
      </c>
      <c r="G277" s="4" t="str">
        <f>HYPERLINK("http://141.218.60.56/~jnz1568/getInfo.php?workbook=20_14.xlsx&amp;sheet=A0&amp;row=277&amp;col=7&amp;number=0&amp;sourceID=14","0")</f>
        <v>0</v>
      </c>
    </row>
    <row r="278" spans="1:7">
      <c r="A278" s="3">
        <v>20</v>
      </c>
      <c r="B278" s="3">
        <v>14</v>
      </c>
      <c r="C278" s="3">
        <v>23</v>
      </c>
      <c r="D278" s="3">
        <v>18</v>
      </c>
      <c r="E278" s="3">
        <v>2004.112</v>
      </c>
      <c r="F278" s="4" t="str">
        <f>HYPERLINK("http://141.218.60.56/~jnz1568/getInfo.php?workbook=20_14.xlsx&amp;sheet=A0&amp;row=278&amp;col=6&amp;number=0.07391&amp;sourceID=14","0.07391")</f>
        <v>0.07391</v>
      </c>
      <c r="G278" s="4" t="str">
        <f>HYPERLINK("http://141.218.60.56/~jnz1568/getInfo.php?workbook=20_14.xlsx&amp;sheet=A0&amp;row=278&amp;col=7&amp;number=0&amp;sourceID=14","0")</f>
        <v>0</v>
      </c>
    </row>
    <row r="279" spans="1:7">
      <c r="A279" s="3">
        <v>20</v>
      </c>
      <c r="B279" s="3">
        <v>14</v>
      </c>
      <c r="C279" s="3">
        <v>24</v>
      </c>
      <c r="D279" s="3">
        <v>18</v>
      </c>
      <c r="E279" s="3">
        <v>1978.967</v>
      </c>
      <c r="F279" s="4" t="str">
        <f>HYPERLINK("http://141.218.60.56/~jnz1568/getInfo.php?workbook=20_14.xlsx&amp;sheet=A0&amp;row=279&amp;col=6&amp;number=0.06599&amp;sourceID=14","0.06599")</f>
        <v>0.06599</v>
      </c>
      <c r="G279" s="4" t="str">
        <f>HYPERLINK("http://141.218.60.56/~jnz1568/getInfo.php?workbook=20_14.xlsx&amp;sheet=A0&amp;row=279&amp;col=7&amp;number=0&amp;sourceID=14","0")</f>
        <v>0</v>
      </c>
    </row>
    <row r="280" spans="1:7">
      <c r="A280" s="3">
        <v>20</v>
      </c>
      <c r="B280" s="3">
        <v>14</v>
      </c>
      <c r="C280" s="3">
        <v>25</v>
      </c>
      <c r="D280" s="3">
        <v>18</v>
      </c>
      <c r="E280" s="3">
        <v>1964.968</v>
      </c>
      <c r="F280" s="4" t="str">
        <f>HYPERLINK("http://141.218.60.56/~jnz1568/getInfo.php?workbook=20_14.xlsx&amp;sheet=A0&amp;row=280&amp;col=6&amp;number=0.08138&amp;sourceID=14","0.08138")</f>
        <v>0.08138</v>
      </c>
      <c r="G280" s="4" t="str">
        <f>HYPERLINK("http://141.218.60.56/~jnz1568/getInfo.php?workbook=20_14.xlsx&amp;sheet=A0&amp;row=280&amp;col=7&amp;number=0&amp;sourceID=14","0")</f>
        <v>0</v>
      </c>
    </row>
    <row r="281" spans="1:7">
      <c r="A281" s="3">
        <v>20</v>
      </c>
      <c r="B281" s="3">
        <v>14</v>
      </c>
      <c r="C281" s="3">
        <v>26</v>
      </c>
      <c r="D281" s="3">
        <v>18</v>
      </c>
      <c r="E281" s="3">
        <v>1255.582</v>
      </c>
      <c r="F281" s="4" t="str">
        <f>HYPERLINK("http://141.218.60.56/~jnz1568/getInfo.php?workbook=20_14.xlsx&amp;sheet=A0&amp;row=281&amp;col=6&amp;number=1.658&amp;sourceID=14","1.658")</f>
        <v>1.658</v>
      </c>
      <c r="G281" s="4" t="str">
        <f>HYPERLINK("http://141.218.60.56/~jnz1568/getInfo.php?workbook=20_14.xlsx&amp;sheet=A0&amp;row=281&amp;col=7&amp;number=0&amp;sourceID=14","0")</f>
        <v>0</v>
      </c>
    </row>
    <row r="282" spans="1:7">
      <c r="A282" s="3">
        <v>20</v>
      </c>
      <c r="B282" s="3">
        <v>14</v>
      </c>
      <c r="C282" s="3">
        <v>27</v>
      </c>
      <c r="D282" s="3">
        <v>18</v>
      </c>
      <c r="E282" s="3">
        <v>1133.012</v>
      </c>
      <c r="F282" s="4" t="str">
        <f>HYPERLINK("http://141.218.60.56/~jnz1568/getInfo.php?workbook=20_14.xlsx&amp;sheet=A0&amp;row=282&amp;col=6&amp;number=7.049&amp;sourceID=14","7.049")</f>
        <v>7.049</v>
      </c>
      <c r="G282" s="4" t="str">
        <f>HYPERLINK("http://141.218.60.56/~jnz1568/getInfo.php?workbook=20_14.xlsx&amp;sheet=A0&amp;row=282&amp;col=7&amp;number=0&amp;sourceID=14","0")</f>
        <v>0</v>
      </c>
    </row>
    <row r="283" spans="1:7">
      <c r="A283" s="3">
        <v>20</v>
      </c>
      <c r="B283" s="3">
        <v>14</v>
      </c>
      <c r="C283" s="3">
        <v>22</v>
      </c>
      <c r="D283" s="3">
        <v>19</v>
      </c>
      <c r="E283" s="3">
        <v>-41636.926</v>
      </c>
      <c r="F283" s="4" t="str">
        <f>HYPERLINK("http://141.218.60.56/~jnz1568/getInfo.php?workbook=20_14.xlsx&amp;sheet=A0&amp;row=283&amp;col=6&amp;number=7.056e-09&amp;sourceID=14","7.056e-09")</f>
        <v>7.056e-09</v>
      </c>
      <c r="G283" s="4" t="str">
        <f>HYPERLINK("http://141.218.60.56/~jnz1568/getInfo.php?workbook=20_14.xlsx&amp;sheet=A0&amp;row=283&amp;col=7&amp;number=0&amp;sourceID=14","0")</f>
        <v>0</v>
      </c>
    </row>
    <row r="284" spans="1:7">
      <c r="A284" s="3">
        <v>20</v>
      </c>
      <c r="B284" s="3">
        <v>14</v>
      </c>
      <c r="C284" s="3">
        <v>23</v>
      </c>
      <c r="D284" s="3">
        <v>19</v>
      </c>
      <c r="E284" s="3">
        <v>16302.606</v>
      </c>
      <c r="F284" s="4" t="str">
        <f>HYPERLINK("http://141.218.60.56/~jnz1568/getInfo.php?workbook=20_14.xlsx&amp;sheet=A0&amp;row=284&amp;col=6&amp;number=0.1003&amp;sourceID=14","0.1003")</f>
        <v>0.1003</v>
      </c>
      <c r="G284" s="4" t="str">
        <f>HYPERLINK("http://141.218.60.56/~jnz1568/getInfo.php?workbook=20_14.xlsx&amp;sheet=A0&amp;row=284&amp;col=7&amp;number=0&amp;sourceID=14","0")</f>
        <v>0</v>
      </c>
    </row>
    <row r="285" spans="1:7">
      <c r="A285" s="3">
        <v>20</v>
      </c>
      <c r="B285" s="3">
        <v>14</v>
      </c>
      <c r="C285" s="3">
        <v>24</v>
      </c>
      <c r="D285" s="3">
        <v>19</v>
      </c>
      <c r="E285" s="3">
        <v>14775.441</v>
      </c>
      <c r="F285" s="4" t="str">
        <f>HYPERLINK("http://141.218.60.56/~jnz1568/getInfo.php?workbook=20_14.xlsx&amp;sheet=A0&amp;row=285&amp;col=6&amp;number=0.0003413&amp;sourceID=14","0.0003413")</f>
        <v>0.0003413</v>
      </c>
      <c r="G285" s="4" t="str">
        <f>HYPERLINK("http://141.218.60.56/~jnz1568/getInfo.php?workbook=20_14.xlsx&amp;sheet=A0&amp;row=285&amp;col=7&amp;number=0&amp;sourceID=14","0")</f>
        <v>0</v>
      </c>
    </row>
    <row r="286" spans="1:7">
      <c r="A286" s="3">
        <v>20</v>
      </c>
      <c r="B286" s="3">
        <v>14</v>
      </c>
      <c r="C286" s="3">
        <v>27</v>
      </c>
      <c r="D286" s="3">
        <v>19</v>
      </c>
      <c r="E286" s="3">
        <v>2247.347</v>
      </c>
      <c r="F286" s="4" t="str">
        <f>HYPERLINK("http://141.218.60.56/~jnz1568/getInfo.php?workbook=20_14.xlsx&amp;sheet=A0&amp;row=286&amp;col=6&amp;number=0.6265&amp;sourceID=14","0.6265")</f>
        <v>0.6265</v>
      </c>
      <c r="G286" s="4" t="str">
        <f>HYPERLINK("http://141.218.60.56/~jnz1568/getInfo.php?workbook=20_14.xlsx&amp;sheet=A0&amp;row=286&amp;col=7&amp;number=0&amp;sourceID=14","0")</f>
        <v>0</v>
      </c>
    </row>
    <row r="287" spans="1:7">
      <c r="A287" s="3">
        <v>20</v>
      </c>
      <c r="B287" s="3">
        <v>14</v>
      </c>
      <c r="C287" s="3">
        <v>22</v>
      </c>
      <c r="D287" s="3">
        <v>20</v>
      </c>
      <c r="E287" s="3">
        <v>-31847.51</v>
      </c>
      <c r="F287" s="4" t="str">
        <f>HYPERLINK("http://141.218.60.56/~jnz1568/getInfo.php?workbook=20_14.xlsx&amp;sheet=A0&amp;row=287&amp;col=6&amp;number=0.04427&amp;sourceID=14","0.04427")</f>
        <v>0.04427</v>
      </c>
      <c r="G287" s="4" t="str">
        <f>HYPERLINK("http://141.218.60.56/~jnz1568/getInfo.php?workbook=20_14.xlsx&amp;sheet=A0&amp;row=287&amp;col=7&amp;number=0&amp;sourceID=14","0")</f>
        <v>0</v>
      </c>
    </row>
    <row r="288" spans="1:7">
      <c r="A288" s="3">
        <v>20</v>
      </c>
      <c r="B288" s="3">
        <v>14</v>
      </c>
      <c r="C288" s="3">
        <v>23</v>
      </c>
      <c r="D288" s="3">
        <v>20</v>
      </c>
      <c r="E288" s="3">
        <v>14330.78</v>
      </c>
      <c r="F288" s="4" t="str">
        <f>HYPERLINK("http://141.218.60.56/~jnz1568/getInfo.php?workbook=20_14.xlsx&amp;sheet=A0&amp;row=288&amp;col=6&amp;number=0.4299&amp;sourceID=14","0.4299")</f>
        <v>0.4299</v>
      </c>
      <c r="G288" s="4" t="str">
        <f>HYPERLINK("http://141.218.60.56/~jnz1568/getInfo.php?workbook=20_14.xlsx&amp;sheet=A0&amp;row=288&amp;col=7&amp;number=0&amp;sourceID=14","0")</f>
        <v>0</v>
      </c>
    </row>
    <row r="289" spans="1:7">
      <c r="A289" s="3">
        <v>20</v>
      </c>
      <c r="B289" s="3">
        <v>14</v>
      </c>
      <c r="C289" s="3">
        <v>24</v>
      </c>
      <c r="D289" s="3">
        <v>20</v>
      </c>
      <c r="E289" s="3">
        <v>13137.176</v>
      </c>
      <c r="F289" s="4" t="str">
        <f>HYPERLINK("http://141.218.60.56/~jnz1568/getInfo.php?workbook=20_14.xlsx&amp;sheet=A0&amp;row=289&amp;col=6&amp;number=0.0117&amp;sourceID=14","0.0117")</f>
        <v>0.0117</v>
      </c>
      <c r="G289" s="4" t="str">
        <f>HYPERLINK("http://141.218.60.56/~jnz1568/getInfo.php?workbook=20_14.xlsx&amp;sheet=A0&amp;row=289&amp;col=7&amp;number=0&amp;sourceID=14","0")</f>
        <v>0</v>
      </c>
    </row>
    <row r="290" spans="1:7">
      <c r="A290" s="3">
        <v>20</v>
      </c>
      <c r="B290" s="3">
        <v>14</v>
      </c>
      <c r="C290" s="3">
        <v>25</v>
      </c>
      <c r="D290" s="3">
        <v>20</v>
      </c>
      <c r="E290" s="3">
        <v>12543.927</v>
      </c>
      <c r="F290" s="4" t="str">
        <f>HYPERLINK("http://141.218.60.56/~jnz1568/getInfo.php?workbook=20_14.xlsx&amp;sheet=A0&amp;row=290&amp;col=6&amp;number=0.0007063&amp;sourceID=14","0.0007063")</f>
        <v>0.0007063</v>
      </c>
      <c r="G290" s="4" t="str">
        <f>HYPERLINK("http://141.218.60.56/~jnz1568/getInfo.php?workbook=20_14.xlsx&amp;sheet=A0&amp;row=290&amp;col=7&amp;number=0&amp;sourceID=14","0")</f>
        <v>0</v>
      </c>
    </row>
    <row r="291" spans="1:7">
      <c r="A291" s="3">
        <v>20</v>
      </c>
      <c r="B291" s="3">
        <v>14</v>
      </c>
      <c r="C291" s="3">
        <v>26</v>
      </c>
      <c r="D291" s="3">
        <v>20</v>
      </c>
      <c r="E291" s="3">
        <v>2722.946</v>
      </c>
      <c r="F291" s="4" t="str">
        <f>HYPERLINK("http://141.218.60.56/~jnz1568/getInfo.php?workbook=20_14.xlsx&amp;sheet=A0&amp;row=291&amp;col=6&amp;number=0.0004753&amp;sourceID=14","0.0004753")</f>
        <v>0.0004753</v>
      </c>
      <c r="G291" s="4" t="str">
        <f>HYPERLINK("http://141.218.60.56/~jnz1568/getInfo.php?workbook=20_14.xlsx&amp;sheet=A0&amp;row=291&amp;col=7&amp;number=0&amp;sourceID=14","0")</f>
        <v>0</v>
      </c>
    </row>
    <row r="292" spans="1:7">
      <c r="A292" s="3">
        <v>20</v>
      </c>
      <c r="B292" s="3">
        <v>14</v>
      </c>
      <c r="C292" s="3">
        <v>27</v>
      </c>
      <c r="D292" s="3">
        <v>20</v>
      </c>
      <c r="E292" s="3">
        <v>2205.513</v>
      </c>
      <c r="F292" s="4" t="str">
        <f>HYPERLINK("http://141.218.60.56/~jnz1568/getInfo.php?workbook=20_14.xlsx&amp;sheet=A0&amp;row=292&amp;col=6&amp;number=0.195&amp;sourceID=14","0.195")</f>
        <v>0.195</v>
      </c>
      <c r="G292" s="4" t="str">
        <f>HYPERLINK("http://141.218.60.56/~jnz1568/getInfo.php?workbook=20_14.xlsx&amp;sheet=A0&amp;row=292&amp;col=7&amp;number=0&amp;sourceID=14","0")</f>
        <v>0</v>
      </c>
    </row>
    <row r="293" spans="1:7">
      <c r="A293" s="3">
        <v>20</v>
      </c>
      <c r="B293" s="3">
        <v>14</v>
      </c>
      <c r="C293" s="3">
        <v>22</v>
      </c>
      <c r="D293" s="3">
        <v>21</v>
      </c>
      <c r="E293" s="3">
        <v>-21138.477</v>
      </c>
      <c r="F293" s="4" t="str">
        <f>HYPERLINK("http://141.218.60.56/~jnz1568/getInfo.php?workbook=20_14.xlsx&amp;sheet=A0&amp;row=293&amp;col=6&amp;number=0.3907&amp;sourceID=14","0.3907")</f>
        <v>0.3907</v>
      </c>
      <c r="G293" s="4" t="str">
        <f>HYPERLINK("http://141.218.60.56/~jnz1568/getInfo.php?workbook=20_14.xlsx&amp;sheet=A0&amp;row=293&amp;col=7&amp;number=0&amp;sourceID=14","0")</f>
        <v>0</v>
      </c>
    </row>
    <row r="294" spans="1:7">
      <c r="A294" s="3">
        <v>20</v>
      </c>
      <c r="B294" s="3">
        <v>14</v>
      </c>
      <c r="C294" s="3">
        <v>23</v>
      </c>
      <c r="D294" s="3">
        <v>21</v>
      </c>
      <c r="E294" s="3">
        <v>11218.329</v>
      </c>
      <c r="F294" s="4" t="str">
        <f>HYPERLINK("http://141.218.60.56/~jnz1568/getInfo.php?workbook=20_14.xlsx&amp;sheet=A0&amp;row=294&amp;col=6&amp;number=0.06651&amp;sourceID=14","0.06651")</f>
        <v>0.06651</v>
      </c>
      <c r="G294" s="4" t="str">
        <f>HYPERLINK("http://141.218.60.56/~jnz1568/getInfo.php?workbook=20_14.xlsx&amp;sheet=A0&amp;row=294&amp;col=7&amp;number=0&amp;sourceID=14","0")</f>
        <v>0</v>
      </c>
    </row>
    <row r="295" spans="1:7">
      <c r="A295" s="3">
        <v>20</v>
      </c>
      <c r="B295" s="3">
        <v>14</v>
      </c>
      <c r="C295" s="3">
        <v>24</v>
      </c>
      <c r="D295" s="3">
        <v>21</v>
      </c>
      <c r="E295" s="3">
        <v>10473.417</v>
      </c>
      <c r="F295" s="4" t="str">
        <f>HYPERLINK("http://141.218.60.56/~jnz1568/getInfo.php?workbook=20_14.xlsx&amp;sheet=A0&amp;row=295&amp;col=6&amp;number=0.351&amp;sourceID=14","0.351")</f>
        <v>0.351</v>
      </c>
      <c r="G295" s="4" t="str">
        <f>HYPERLINK("http://141.218.60.56/~jnz1568/getInfo.php?workbook=20_14.xlsx&amp;sheet=A0&amp;row=295&amp;col=7&amp;number=0&amp;sourceID=14","0")</f>
        <v>0</v>
      </c>
    </row>
    <row r="296" spans="1:7">
      <c r="A296" s="3">
        <v>20</v>
      </c>
      <c r="B296" s="3">
        <v>14</v>
      </c>
      <c r="C296" s="3">
        <v>25</v>
      </c>
      <c r="D296" s="3">
        <v>21</v>
      </c>
      <c r="E296" s="3">
        <v>10092.873</v>
      </c>
      <c r="F296" s="4" t="str">
        <f>HYPERLINK("http://141.218.60.56/~jnz1568/getInfo.php?workbook=20_14.xlsx&amp;sheet=A0&amp;row=296&amp;col=6&amp;number=0.4394&amp;sourceID=14","0.4394")</f>
        <v>0.4394</v>
      </c>
      <c r="G296" s="4" t="str">
        <f>HYPERLINK("http://141.218.60.56/~jnz1568/getInfo.php?workbook=20_14.xlsx&amp;sheet=A0&amp;row=296&amp;col=7&amp;number=0&amp;sourceID=14","0")</f>
        <v>0</v>
      </c>
    </row>
    <row r="297" spans="1:7">
      <c r="A297" s="3">
        <v>20</v>
      </c>
      <c r="B297" s="3">
        <v>14</v>
      </c>
      <c r="C297" s="3">
        <v>26</v>
      </c>
      <c r="D297" s="3">
        <v>21</v>
      </c>
      <c r="E297" s="3">
        <v>2586.591</v>
      </c>
      <c r="F297" s="4" t="str">
        <f>HYPERLINK("http://141.218.60.56/~jnz1568/getInfo.php?workbook=20_14.xlsx&amp;sheet=A0&amp;row=297&amp;col=6&amp;number=0.07349&amp;sourceID=14","0.07349")</f>
        <v>0.07349</v>
      </c>
      <c r="G297" s="4" t="str">
        <f>HYPERLINK("http://141.218.60.56/~jnz1568/getInfo.php?workbook=20_14.xlsx&amp;sheet=A0&amp;row=297&amp;col=7&amp;number=0&amp;sourceID=14","0")</f>
        <v>0</v>
      </c>
    </row>
    <row r="298" spans="1:7">
      <c r="A298" s="3">
        <v>20</v>
      </c>
      <c r="B298" s="3">
        <v>14</v>
      </c>
      <c r="C298" s="3">
        <v>27</v>
      </c>
      <c r="D298" s="3">
        <v>21</v>
      </c>
      <c r="E298" s="3">
        <v>2115.197</v>
      </c>
      <c r="F298" s="4" t="str">
        <f>HYPERLINK("http://141.218.60.56/~jnz1568/getInfo.php?workbook=20_14.xlsx&amp;sheet=A0&amp;row=298&amp;col=6&amp;number=3.773&amp;sourceID=14","3.773")</f>
        <v>3.773</v>
      </c>
      <c r="G298" s="4" t="str">
        <f>HYPERLINK("http://141.218.60.56/~jnz1568/getInfo.php?workbook=20_14.xlsx&amp;sheet=A0&amp;row=298&amp;col=7&amp;number=0&amp;sourceID=14","0")</f>
        <v>0</v>
      </c>
    </row>
    <row r="299" spans="1:7">
      <c r="A299" s="3">
        <v>20</v>
      </c>
      <c r="B299" s="3">
        <v>14</v>
      </c>
      <c r="C299" s="3">
        <v>23</v>
      </c>
      <c r="D299" s="3">
        <v>22</v>
      </c>
      <c r="E299" s="3">
        <v>-19882.606</v>
      </c>
      <c r="F299" s="4" t="str">
        <f>HYPERLINK("http://141.218.60.56/~jnz1568/getInfo.php?workbook=20_14.xlsx&amp;sheet=A0&amp;row=299&amp;col=6&amp;number=2.202e-05&amp;sourceID=14","2.202e-05")</f>
        <v>2.202e-05</v>
      </c>
      <c r="G299" s="4" t="str">
        <f>HYPERLINK("http://141.218.60.56/~jnz1568/getInfo.php?workbook=20_14.xlsx&amp;sheet=A0&amp;row=299&amp;col=7&amp;number=0&amp;sourceID=14","0")</f>
        <v>0</v>
      </c>
    </row>
    <row r="300" spans="1:7">
      <c r="A300" s="3">
        <v>20</v>
      </c>
      <c r="B300" s="3">
        <v>14</v>
      </c>
      <c r="C300" s="3">
        <v>24</v>
      </c>
      <c r="D300" s="3">
        <v>22</v>
      </c>
      <c r="E300" s="3">
        <v>-17467.854</v>
      </c>
      <c r="F300" s="4" t="str">
        <f>HYPERLINK("http://141.218.60.56/~jnz1568/getInfo.php?workbook=20_14.xlsx&amp;sheet=A0&amp;row=300&amp;col=6&amp;number=0.01185&amp;sourceID=14","0.01185")</f>
        <v>0.01185</v>
      </c>
      <c r="G300" s="4" t="str">
        <f>HYPERLINK("http://141.218.60.56/~jnz1568/getInfo.php?workbook=20_14.xlsx&amp;sheet=A0&amp;row=300&amp;col=7&amp;number=0&amp;sourceID=14","0")</f>
        <v>0</v>
      </c>
    </row>
    <row r="301" spans="1:7">
      <c r="A301" s="3">
        <v>20</v>
      </c>
      <c r="B301" s="3">
        <v>14</v>
      </c>
      <c r="C301" s="3">
        <v>25</v>
      </c>
      <c r="D301" s="3">
        <v>22</v>
      </c>
      <c r="E301" s="3">
        <v>-16160.422</v>
      </c>
      <c r="F301" s="4" t="str">
        <f>HYPERLINK("http://141.218.60.56/~jnz1568/getInfo.php?workbook=20_14.xlsx&amp;sheet=A0&amp;row=301&amp;col=6&amp;number=0.007001&amp;sourceID=14","0.007001")</f>
        <v>0.007001</v>
      </c>
      <c r="G301" s="4" t="str">
        <f>HYPERLINK("http://141.218.60.56/~jnz1568/getInfo.php?workbook=20_14.xlsx&amp;sheet=A0&amp;row=301&amp;col=7&amp;number=0&amp;sourceID=14","0")</f>
        <v>0</v>
      </c>
    </row>
    <row r="302" spans="1:7">
      <c r="A302" s="3">
        <v>20</v>
      </c>
      <c r="B302" s="3">
        <v>14</v>
      </c>
      <c r="C302" s="3">
        <v>26</v>
      </c>
      <c r="D302" s="3">
        <v>22</v>
      </c>
      <c r="E302" s="3">
        <v>-2670.392</v>
      </c>
      <c r="F302" s="4" t="str">
        <f>HYPERLINK("http://141.218.60.56/~jnz1568/getInfo.php?workbook=20_14.xlsx&amp;sheet=A0&amp;row=302&amp;col=6&amp;number=0.1017&amp;sourceID=14","0.1017")</f>
        <v>0.1017</v>
      </c>
      <c r="G302" s="4" t="str">
        <f>HYPERLINK("http://141.218.60.56/~jnz1568/getInfo.php?workbook=20_14.xlsx&amp;sheet=A0&amp;row=302&amp;col=7&amp;number=0&amp;sourceID=14","0")</f>
        <v>0</v>
      </c>
    </row>
    <row r="303" spans="1:7">
      <c r="A303" s="3">
        <v>20</v>
      </c>
      <c r="B303" s="3">
        <v>14</v>
      </c>
      <c r="C303" s="3">
        <v>27</v>
      </c>
      <c r="D303" s="3">
        <v>22</v>
      </c>
      <c r="E303" s="3">
        <v>-2229.974</v>
      </c>
      <c r="F303" s="4" t="str">
        <f>HYPERLINK("http://141.218.60.56/~jnz1568/getInfo.php?workbook=20_14.xlsx&amp;sheet=A0&amp;row=303&amp;col=6&amp;number=14.88&amp;sourceID=14","14.88")</f>
        <v>14.88</v>
      </c>
      <c r="G303" s="4" t="str">
        <f>HYPERLINK("http://141.218.60.56/~jnz1568/getInfo.php?workbook=20_14.xlsx&amp;sheet=A0&amp;row=303&amp;col=7&amp;number=0&amp;sourceID=14","0")</f>
        <v>0</v>
      </c>
    </row>
    <row r="304" spans="1:7">
      <c r="A304" s="3">
        <v>20</v>
      </c>
      <c r="B304" s="3">
        <v>14</v>
      </c>
      <c r="C304" s="3">
        <v>24</v>
      </c>
      <c r="D304" s="3">
        <v>23</v>
      </c>
      <c r="E304" s="3">
        <v>157728.997</v>
      </c>
      <c r="F304" s="4" t="str">
        <f>HYPERLINK("http://141.218.60.56/~jnz1568/getInfo.php?workbook=20_14.xlsx&amp;sheet=A0&amp;row=304&amp;col=6&amp;number=0.006092&amp;sourceID=14","0.006092")</f>
        <v>0.006092</v>
      </c>
      <c r="G304" s="4" t="str">
        <f>HYPERLINK("http://141.218.60.56/~jnz1568/getInfo.php?workbook=20_14.xlsx&amp;sheet=A0&amp;row=304&amp;col=7&amp;number=0&amp;sourceID=14","0")</f>
        <v>0</v>
      </c>
    </row>
    <row r="305" spans="1:7">
      <c r="A305" s="3">
        <v>20</v>
      </c>
      <c r="B305" s="3">
        <v>14</v>
      </c>
      <c r="C305" s="3">
        <v>25</v>
      </c>
      <c r="D305" s="3">
        <v>23</v>
      </c>
      <c r="E305" s="3">
        <v>100603.807</v>
      </c>
      <c r="F305" s="4" t="str">
        <f>HYPERLINK("http://141.218.60.56/~jnz1568/getInfo.php?workbook=20_14.xlsx&amp;sheet=A0&amp;row=305&amp;col=6&amp;number=2.506e-10&amp;sourceID=14","2.506e-10")</f>
        <v>2.506e-10</v>
      </c>
      <c r="G305" s="4" t="str">
        <f>HYPERLINK("http://141.218.60.56/~jnz1568/getInfo.php?workbook=20_14.xlsx&amp;sheet=A0&amp;row=305&amp;col=7&amp;number=0&amp;sourceID=14","0")</f>
        <v>0</v>
      </c>
    </row>
    <row r="306" spans="1:7">
      <c r="A306" s="3">
        <v>20</v>
      </c>
      <c r="B306" s="3">
        <v>14</v>
      </c>
      <c r="C306" s="3">
        <v>26</v>
      </c>
      <c r="D306" s="3">
        <v>23</v>
      </c>
      <c r="E306" s="3">
        <v>3361.69</v>
      </c>
      <c r="F306" s="4" t="str">
        <f>HYPERLINK("http://141.218.60.56/~jnz1568/getInfo.php?workbook=20_14.xlsx&amp;sheet=A0&amp;row=306&amp;col=6&amp;number=0.002749&amp;sourceID=14","0.002749")</f>
        <v>0.002749</v>
      </c>
      <c r="G306" s="4" t="str">
        <f>HYPERLINK("http://141.218.60.56/~jnz1568/getInfo.php?workbook=20_14.xlsx&amp;sheet=A0&amp;row=306&amp;col=7&amp;number=0&amp;sourceID=14","0")</f>
        <v>0</v>
      </c>
    </row>
    <row r="307" spans="1:7">
      <c r="A307" s="3">
        <v>20</v>
      </c>
      <c r="B307" s="3">
        <v>14</v>
      </c>
      <c r="C307" s="3">
        <v>27</v>
      </c>
      <c r="D307" s="3">
        <v>23</v>
      </c>
      <c r="E307" s="3">
        <v>2606.683</v>
      </c>
      <c r="F307" s="4" t="str">
        <f>HYPERLINK("http://141.218.60.56/~jnz1568/getInfo.php?workbook=20_14.xlsx&amp;sheet=A0&amp;row=307&amp;col=6&amp;number=1.809&amp;sourceID=14","1.809")</f>
        <v>1.809</v>
      </c>
      <c r="G307" s="4" t="str">
        <f>HYPERLINK("http://141.218.60.56/~jnz1568/getInfo.php?workbook=20_14.xlsx&amp;sheet=A0&amp;row=307&amp;col=7&amp;number=0&amp;sourceID=14","0")</f>
        <v>0</v>
      </c>
    </row>
    <row r="308" spans="1:7">
      <c r="A308" s="3">
        <v>20</v>
      </c>
      <c r="B308" s="3">
        <v>14</v>
      </c>
      <c r="C308" s="3">
        <v>25</v>
      </c>
      <c r="D308" s="3">
        <v>24</v>
      </c>
      <c r="E308" s="3">
        <v>277778.289</v>
      </c>
      <c r="F308" s="4" t="str">
        <f>HYPERLINK("http://141.218.60.56/~jnz1568/getInfo.php?workbook=20_14.xlsx&amp;sheet=A0&amp;row=308&amp;col=6&amp;number=0.0008157&amp;sourceID=14","0.0008157")</f>
        <v>0.0008157</v>
      </c>
      <c r="G308" s="4" t="str">
        <f>HYPERLINK("http://141.218.60.56/~jnz1568/getInfo.php?workbook=20_14.xlsx&amp;sheet=A0&amp;row=308&amp;col=7&amp;number=0&amp;sourceID=14","0")</f>
        <v>0</v>
      </c>
    </row>
    <row r="309" spans="1:7">
      <c r="A309" s="3">
        <v>20</v>
      </c>
      <c r="B309" s="3">
        <v>14</v>
      </c>
      <c r="C309" s="3">
        <v>26</v>
      </c>
      <c r="D309" s="3">
        <v>24</v>
      </c>
      <c r="E309" s="3">
        <v>3434.898</v>
      </c>
      <c r="F309" s="4" t="str">
        <f>HYPERLINK("http://141.218.60.56/~jnz1568/getInfo.php?workbook=20_14.xlsx&amp;sheet=A0&amp;row=309&amp;col=6&amp;number=0.5142&amp;sourceID=14","0.5142")</f>
        <v>0.5142</v>
      </c>
      <c r="G309" s="4" t="str">
        <f>HYPERLINK("http://141.218.60.56/~jnz1568/getInfo.php?workbook=20_14.xlsx&amp;sheet=A0&amp;row=309&amp;col=7&amp;number=0&amp;sourceID=14","0")</f>
        <v>0</v>
      </c>
    </row>
    <row r="310" spans="1:7">
      <c r="A310" s="3">
        <v>20</v>
      </c>
      <c r="B310" s="3">
        <v>14</v>
      </c>
      <c r="C310" s="3">
        <v>27</v>
      </c>
      <c r="D310" s="3">
        <v>24</v>
      </c>
      <c r="E310" s="3">
        <v>2650.486</v>
      </c>
      <c r="F310" s="4" t="str">
        <f>HYPERLINK("http://141.218.60.56/~jnz1568/getInfo.php?workbook=20_14.xlsx&amp;sheet=A0&amp;row=310&amp;col=6&amp;number=4.052&amp;sourceID=14","4.052")</f>
        <v>4.052</v>
      </c>
      <c r="G310" s="4" t="str">
        <f>HYPERLINK("http://141.218.60.56/~jnz1568/getInfo.php?workbook=20_14.xlsx&amp;sheet=A0&amp;row=310&amp;col=7&amp;number=0&amp;sourceID=14","0")</f>
        <v>0</v>
      </c>
    </row>
    <row r="311" spans="1:7">
      <c r="A311" s="3">
        <v>20</v>
      </c>
      <c r="B311" s="3">
        <v>14</v>
      </c>
      <c r="C311" s="3">
        <v>26</v>
      </c>
      <c r="D311" s="3">
        <v>25</v>
      </c>
      <c r="E311" s="3">
        <v>3477.904</v>
      </c>
      <c r="F311" s="4" t="str">
        <f>HYPERLINK("http://141.218.60.56/~jnz1568/getInfo.php?workbook=20_14.xlsx&amp;sheet=A0&amp;row=311&amp;col=6&amp;number=1.037&amp;sourceID=14","1.037")</f>
        <v>1.037</v>
      </c>
      <c r="G311" s="4" t="str">
        <f>HYPERLINK("http://141.218.60.56/~jnz1568/getInfo.php?workbook=20_14.xlsx&amp;sheet=A0&amp;row=311&amp;col=7&amp;number=0&amp;sourceID=14","0")</f>
        <v>0</v>
      </c>
    </row>
    <row r="312" spans="1:7">
      <c r="A312" s="3">
        <v>20</v>
      </c>
      <c r="B312" s="3">
        <v>14</v>
      </c>
      <c r="C312" s="3">
        <v>27</v>
      </c>
      <c r="D312" s="3">
        <v>25</v>
      </c>
      <c r="E312" s="3">
        <v>2676.02</v>
      </c>
      <c r="F312" s="4" t="str">
        <f>HYPERLINK("http://141.218.60.56/~jnz1568/getInfo.php?workbook=20_14.xlsx&amp;sheet=A0&amp;row=312&amp;col=6&amp;number=0.003207&amp;sourceID=14","0.003207")</f>
        <v>0.003207</v>
      </c>
      <c r="G312" s="4" t="str">
        <f>HYPERLINK("http://141.218.60.56/~jnz1568/getInfo.php?workbook=20_14.xlsx&amp;sheet=A0&amp;row=312&amp;col=7&amp;number=0&amp;sourceID=14","0")</f>
        <v>0</v>
      </c>
    </row>
    <row r="313" spans="1:7">
      <c r="A313" s="3">
        <v>20</v>
      </c>
      <c r="B313" s="3">
        <v>14</v>
      </c>
      <c r="C313" s="3">
        <v>27</v>
      </c>
      <c r="D313" s="3">
        <v>26</v>
      </c>
      <c r="E313" s="3">
        <v>11606.335</v>
      </c>
      <c r="F313" s="4" t="str">
        <f>HYPERLINK("http://141.218.60.56/~jnz1568/getInfo.php?workbook=20_14.xlsx&amp;sheet=A0&amp;row=313&amp;col=6&amp;number=0.005813&amp;sourceID=14","0.005813")</f>
        <v>0.005813</v>
      </c>
      <c r="G313" s="4" t="str">
        <f>HYPERLINK("http://141.218.60.56/~jnz1568/getInfo.php?workbook=20_14.xlsx&amp;sheet=A0&amp;row=313&amp;col=7&amp;number=0&amp;sourceID=14","0")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25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20</v>
      </c>
      <c r="B4" s="3">
        <v>14</v>
      </c>
      <c r="C4" s="3">
        <v>1</v>
      </c>
      <c r="D4" s="3">
        <v>2</v>
      </c>
      <c r="E4" s="3">
        <v>1</v>
      </c>
      <c r="F4" s="4" t="str">
        <f>HYPERLINK("http://141.218.60.56/~jnz1568/getInfo.php?workbook=20_14.xlsx&amp;sheet=U0&amp;row=4&amp;col=6&amp;number=3&amp;sourceID=14","3")</f>
        <v>3</v>
      </c>
      <c r="G4" s="4" t="str">
        <f>HYPERLINK("http://141.218.60.56/~jnz1568/getInfo.php?workbook=20_14.xlsx&amp;sheet=U0&amp;row=4&amp;col=7&amp;number=0.105&amp;sourceID=14","0.105")</f>
        <v>0.105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HYPERLINK("http://141.218.60.56/~jnz1568/getInfo.php?workbook=20_14.xlsx&amp;sheet=U0&amp;row=5&amp;col=6&amp;number=3.1&amp;sourceID=14","3.1")</f>
        <v>3.1</v>
      </c>
      <c r="G5" s="4" t="str">
        <f>HYPERLINK("http://141.218.60.56/~jnz1568/getInfo.php?workbook=20_14.xlsx&amp;sheet=U0&amp;row=5&amp;col=7&amp;number=0.105&amp;sourceID=14","0.105")</f>
        <v>0.105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HYPERLINK("http://141.218.60.56/~jnz1568/getInfo.php?workbook=20_14.xlsx&amp;sheet=U0&amp;row=6&amp;col=6&amp;number=3.2&amp;sourceID=14","3.2")</f>
        <v>3.2</v>
      </c>
      <c r="G6" s="4" t="str">
        <f>HYPERLINK("http://141.218.60.56/~jnz1568/getInfo.php?workbook=20_14.xlsx&amp;sheet=U0&amp;row=6&amp;col=7&amp;number=0.105&amp;sourceID=14","0.105")</f>
        <v>0.105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HYPERLINK("http://141.218.60.56/~jnz1568/getInfo.php?workbook=20_14.xlsx&amp;sheet=U0&amp;row=7&amp;col=6&amp;number=3.3&amp;sourceID=14","3.3")</f>
        <v>3.3</v>
      </c>
      <c r="G7" s="4" t="str">
        <f>HYPERLINK("http://141.218.60.56/~jnz1568/getInfo.php?workbook=20_14.xlsx&amp;sheet=U0&amp;row=7&amp;col=7&amp;number=0.105&amp;sourceID=14","0.105")</f>
        <v>0.105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HYPERLINK("http://141.218.60.56/~jnz1568/getInfo.php?workbook=20_14.xlsx&amp;sheet=U0&amp;row=8&amp;col=6&amp;number=3.4&amp;sourceID=14","3.4")</f>
        <v>3.4</v>
      </c>
      <c r="G8" s="4" t="str">
        <f>HYPERLINK("http://141.218.60.56/~jnz1568/getInfo.php?workbook=20_14.xlsx&amp;sheet=U0&amp;row=8&amp;col=7&amp;number=0.105&amp;sourceID=14","0.105")</f>
        <v>0.105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HYPERLINK("http://141.218.60.56/~jnz1568/getInfo.php?workbook=20_14.xlsx&amp;sheet=U0&amp;row=9&amp;col=6&amp;number=3.5&amp;sourceID=14","3.5")</f>
        <v>3.5</v>
      </c>
      <c r="G9" s="4" t="str">
        <f>HYPERLINK("http://141.218.60.56/~jnz1568/getInfo.php?workbook=20_14.xlsx&amp;sheet=U0&amp;row=9&amp;col=7&amp;number=0.105&amp;sourceID=14","0.105")</f>
        <v>0.105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HYPERLINK("http://141.218.60.56/~jnz1568/getInfo.php?workbook=20_14.xlsx&amp;sheet=U0&amp;row=10&amp;col=6&amp;number=3.6&amp;sourceID=14","3.6")</f>
        <v>3.6</v>
      </c>
      <c r="G10" s="4" t="str">
        <f>HYPERLINK("http://141.218.60.56/~jnz1568/getInfo.php?workbook=20_14.xlsx&amp;sheet=U0&amp;row=10&amp;col=7&amp;number=0.105&amp;sourceID=14","0.105")</f>
        <v>0.105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HYPERLINK("http://141.218.60.56/~jnz1568/getInfo.php?workbook=20_14.xlsx&amp;sheet=U0&amp;row=11&amp;col=6&amp;number=3.7&amp;sourceID=14","3.7")</f>
        <v>3.7</v>
      </c>
      <c r="G11" s="4" t="str">
        <f>HYPERLINK("http://141.218.60.56/~jnz1568/getInfo.php?workbook=20_14.xlsx&amp;sheet=U0&amp;row=11&amp;col=7&amp;number=0.105&amp;sourceID=14","0.105")</f>
        <v>0.105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HYPERLINK("http://141.218.60.56/~jnz1568/getInfo.php?workbook=20_14.xlsx&amp;sheet=U0&amp;row=12&amp;col=6&amp;number=3.8&amp;sourceID=14","3.8")</f>
        <v>3.8</v>
      </c>
      <c r="G12" s="4" t="str">
        <f>HYPERLINK("http://141.218.60.56/~jnz1568/getInfo.php?workbook=20_14.xlsx&amp;sheet=U0&amp;row=12&amp;col=7&amp;number=0.105&amp;sourceID=14","0.105")</f>
        <v>0.105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HYPERLINK("http://141.218.60.56/~jnz1568/getInfo.php?workbook=20_14.xlsx&amp;sheet=U0&amp;row=13&amp;col=6&amp;number=3.9&amp;sourceID=14","3.9")</f>
        <v>3.9</v>
      </c>
      <c r="G13" s="4" t="str">
        <f>HYPERLINK("http://141.218.60.56/~jnz1568/getInfo.php?workbook=20_14.xlsx&amp;sheet=U0&amp;row=13&amp;col=7&amp;number=0.105&amp;sourceID=14","0.105")</f>
        <v>0.105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HYPERLINK("http://141.218.60.56/~jnz1568/getInfo.php?workbook=20_14.xlsx&amp;sheet=U0&amp;row=14&amp;col=6&amp;number=4&amp;sourceID=14","4")</f>
        <v>4</v>
      </c>
      <c r="G14" s="4" t="str">
        <f>HYPERLINK("http://141.218.60.56/~jnz1568/getInfo.php?workbook=20_14.xlsx&amp;sheet=U0&amp;row=14&amp;col=7&amp;number=0.105&amp;sourceID=14","0.105")</f>
        <v>0.105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HYPERLINK("http://141.218.60.56/~jnz1568/getInfo.php?workbook=20_14.xlsx&amp;sheet=U0&amp;row=15&amp;col=6&amp;number=4.1&amp;sourceID=14","4.1")</f>
        <v>4.1</v>
      </c>
      <c r="G15" s="4" t="str">
        <f>HYPERLINK("http://141.218.60.56/~jnz1568/getInfo.php?workbook=20_14.xlsx&amp;sheet=U0&amp;row=15&amp;col=7&amp;number=0.105&amp;sourceID=14","0.105")</f>
        <v>0.105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HYPERLINK("http://141.218.60.56/~jnz1568/getInfo.php?workbook=20_14.xlsx&amp;sheet=U0&amp;row=16&amp;col=6&amp;number=4.2&amp;sourceID=14","4.2")</f>
        <v>4.2</v>
      </c>
      <c r="G16" s="4" t="str">
        <f>HYPERLINK("http://141.218.60.56/~jnz1568/getInfo.php?workbook=20_14.xlsx&amp;sheet=U0&amp;row=16&amp;col=7&amp;number=0.104&amp;sourceID=14","0.104")</f>
        <v>0.104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HYPERLINK("http://141.218.60.56/~jnz1568/getInfo.php?workbook=20_14.xlsx&amp;sheet=U0&amp;row=17&amp;col=6&amp;number=4.3&amp;sourceID=14","4.3")</f>
        <v>4.3</v>
      </c>
      <c r="G17" s="4" t="str">
        <f>HYPERLINK("http://141.218.60.56/~jnz1568/getInfo.php?workbook=20_14.xlsx&amp;sheet=U0&amp;row=17&amp;col=7&amp;number=0.104&amp;sourceID=14","0.104")</f>
        <v>0.104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HYPERLINK("http://141.218.60.56/~jnz1568/getInfo.php?workbook=20_14.xlsx&amp;sheet=U0&amp;row=18&amp;col=6&amp;number=4.4&amp;sourceID=14","4.4")</f>
        <v>4.4</v>
      </c>
      <c r="G18" s="4" t="str">
        <f>HYPERLINK("http://141.218.60.56/~jnz1568/getInfo.php?workbook=20_14.xlsx&amp;sheet=U0&amp;row=18&amp;col=7&amp;number=0.104&amp;sourceID=14","0.104")</f>
        <v>0.104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HYPERLINK("http://141.218.60.56/~jnz1568/getInfo.php?workbook=20_14.xlsx&amp;sheet=U0&amp;row=19&amp;col=6&amp;number=4.5&amp;sourceID=14","4.5")</f>
        <v>4.5</v>
      </c>
      <c r="G19" s="4" t="str">
        <f>HYPERLINK("http://141.218.60.56/~jnz1568/getInfo.php?workbook=20_14.xlsx&amp;sheet=U0&amp;row=19&amp;col=7&amp;number=0.104&amp;sourceID=14","0.104")</f>
        <v>0.104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HYPERLINK("http://141.218.60.56/~jnz1568/getInfo.php?workbook=20_14.xlsx&amp;sheet=U0&amp;row=20&amp;col=6&amp;number=4.6&amp;sourceID=14","4.6")</f>
        <v>4.6</v>
      </c>
      <c r="G20" s="4" t="str">
        <f>HYPERLINK("http://141.218.60.56/~jnz1568/getInfo.php?workbook=20_14.xlsx&amp;sheet=U0&amp;row=20&amp;col=7&amp;number=0.103&amp;sourceID=14","0.103")</f>
        <v>0.103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HYPERLINK("http://141.218.60.56/~jnz1568/getInfo.php?workbook=20_14.xlsx&amp;sheet=U0&amp;row=21&amp;col=6&amp;number=4.7&amp;sourceID=14","4.7")</f>
        <v>4.7</v>
      </c>
      <c r="G21" s="4" t="str">
        <f>HYPERLINK("http://141.218.60.56/~jnz1568/getInfo.php?workbook=20_14.xlsx&amp;sheet=U0&amp;row=21&amp;col=7&amp;number=0.103&amp;sourceID=14","0.103")</f>
        <v>0.103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HYPERLINK("http://141.218.60.56/~jnz1568/getInfo.php?workbook=20_14.xlsx&amp;sheet=U0&amp;row=22&amp;col=6&amp;number=4.8&amp;sourceID=14","4.8")</f>
        <v>4.8</v>
      </c>
      <c r="G22" s="4" t="str">
        <f>HYPERLINK("http://141.218.60.56/~jnz1568/getInfo.php?workbook=20_14.xlsx&amp;sheet=U0&amp;row=22&amp;col=7&amp;number=0.102&amp;sourceID=14","0.102")</f>
        <v>0.102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HYPERLINK("http://141.218.60.56/~jnz1568/getInfo.php?workbook=20_14.xlsx&amp;sheet=U0&amp;row=23&amp;col=6&amp;number=4.9&amp;sourceID=14","4.9")</f>
        <v>4.9</v>
      </c>
      <c r="G23" s="4" t="str">
        <f>HYPERLINK("http://141.218.60.56/~jnz1568/getInfo.php?workbook=20_14.xlsx&amp;sheet=U0&amp;row=23&amp;col=7&amp;number=0.101&amp;sourceID=14","0.101")</f>
        <v>0.101</v>
      </c>
    </row>
    <row r="24" spans="1:7">
      <c r="A24" s="3">
        <v>20</v>
      </c>
      <c r="B24" s="3">
        <v>14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HYPERLINK("http://141.218.60.56/~jnz1568/getInfo.php?workbook=20_14.xlsx&amp;sheet=U0&amp;row=24&amp;col=6&amp;number=3&amp;sourceID=14","3")</f>
        <v>3</v>
      </c>
      <c r="G24" s="4" t="str">
        <f>HYPERLINK("http://141.218.60.56/~jnz1568/getInfo.php?workbook=20_14.xlsx&amp;sheet=U0&amp;row=24&amp;col=7&amp;number=0.21&amp;sourceID=14","0.21")</f>
        <v>0.21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HYPERLINK("http://141.218.60.56/~jnz1568/getInfo.php?workbook=20_14.xlsx&amp;sheet=U0&amp;row=25&amp;col=6&amp;number=3.1&amp;sourceID=14","3.1")</f>
        <v>3.1</v>
      </c>
      <c r="G25" s="4" t="str">
        <f>HYPERLINK("http://141.218.60.56/~jnz1568/getInfo.php?workbook=20_14.xlsx&amp;sheet=U0&amp;row=25&amp;col=7&amp;number=0.21&amp;sourceID=14","0.21")</f>
        <v>0.21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HYPERLINK("http://141.218.60.56/~jnz1568/getInfo.php?workbook=20_14.xlsx&amp;sheet=U0&amp;row=26&amp;col=6&amp;number=3.2&amp;sourceID=14","3.2")</f>
        <v>3.2</v>
      </c>
      <c r="G26" s="4" t="str">
        <f>HYPERLINK("http://141.218.60.56/~jnz1568/getInfo.php?workbook=20_14.xlsx&amp;sheet=U0&amp;row=26&amp;col=7&amp;number=0.21&amp;sourceID=14","0.21")</f>
        <v>0.21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HYPERLINK("http://141.218.60.56/~jnz1568/getInfo.php?workbook=20_14.xlsx&amp;sheet=U0&amp;row=27&amp;col=6&amp;number=3.3&amp;sourceID=14","3.3")</f>
        <v>3.3</v>
      </c>
      <c r="G27" s="4" t="str">
        <f>HYPERLINK("http://141.218.60.56/~jnz1568/getInfo.php?workbook=20_14.xlsx&amp;sheet=U0&amp;row=27&amp;col=7&amp;number=0.21&amp;sourceID=14","0.21")</f>
        <v>0.21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HYPERLINK("http://141.218.60.56/~jnz1568/getInfo.php?workbook=20_14.xlsx&amp;sheet=U0&amp;row=28&amp;col=6&amp;number=3.4&amp;sourceID=14","3.4")</f>
        <v>3.4</v>
      </c>
      <c r="G28" s="4" t="str">
        <f>HYPERLINK("http://141.218.60.56/~jnz1568/getInfo.php?workbook=20_14.xlsx&amp;sheet=U0&amp;row=28&amp;col=7&amp;number=0.21&amp;sourceID=14","0.21")</f>
        <v>0.21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HYPERLINK("http://141.218.60.56/~jnz1568/getInfo.php?workbook=20_14.xlsx&amp;sheet=U0&amp;row=29&amp;col=6&amp;number=3.5&amp;sourceID=14","3.5")</f>
        <v>3.5</v>
      </c>
      <c r="G29" s="4" t="str">
        <f>HYPERLINK("http://141.218.60.56/~jnz1568/getInfo.php?workbook=20_14.xlsx&amp;sheet=U0&amp;row=29&amp;col=7&amp;number=0.21&amp;sourceID=14","0.21")</f>
        <v>0.21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HYPERLINK("http://141.218.60.56/~jnz1568/getInfo.php?workbook=20_14.xlsx&amp;sheet=U0&amp;row=30&amp;col=6&amp;number=3.6&amp;sourceID=14","3.6")</f>
        <v>3.6</v>
      </c>
      <c r="G30" s="4" t="str">
        <f>HYPERLINK("http://141.218.60.56/~jnz1568/getInfo.php?workbook=20_14.xlsx&amp;sheet=U0&amp;row=30&amp;col=7&amp;number=0.21&amp;sourceID=14","0.21")</f>
        <v>0.21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HYPERLINK("http://141.218.60.56/~jnz1568/getInfo.php?workbook=20_14.xlsx&amp;sheet=U0&amp;row=31&amp;col=6&amp;number=3.7&amp;sourceID=14","3.7")</f>
        <v>3.7</v>
      </c>
      <c r="G31" s="4" t="str">
        <f>HYPERLINK("http://141.218.60.56/~jnz1568/getInfo.php?workbook=20_14.xlsx&amp;sheet=U0&amp;row=31&amp;col=7&amp;number=0.21&amp;sourceID=14","0.21")</f>
        <v>0.21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HYPERLINK("http://141.218.60.56/~jnz1568/getInfo.php?workbook=20_14.xlsx&amp;sheet=U0&amp;row=32&amp;col=6&amp;number=3.8&amp;sourceID=14","3.8")</f>
        <v>3.8</v>
      </c>
      <c r="G32" s="4" t="str">
        <f>HYPERLINK("http://141.218.60.56/~jnz1568/getInfo.php?workbook=20_14.xlsx&amp;sheet=U0&amp;row=32&amp;col=7&amp;number=0.21&amp;sourceID=14","0.21")</f>
        <v>0.21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HYPERLINK("http://141.218.60.56/~jnz1568/getInfo.php?workbook=20_14.xlsx&amp;sheet=U0&amp;row=33&amp;col=6&amp;number=3.9&amp;sourceID=14","3.9")</f>
        <v>3.9</v>
      </c>
      <c r="G33" s="4" t="str">
        <f>HYPERLINK("http://141.218.60.56/~jnz1568/getInfo.php?workbook=20_14.xlsx&amp;sheet=U0&amp;row=33&amp;col=7&amp;number=0.21&amp;sourceID=14","0.21")</f>
        <v>0.21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HYPERLINK("http://141.218.60.56/~jnz1568/getInfo.php?workbook=20_14.xlsx&amp;sheet=U0&amp;row=34&amp;col=6&amp;number=4&amp;sourceID=14","4")</f>
        <v>4</v>
      </c>
      <c r="G34" s="4" t="str">
        <f>HYPERLINK("http://141.218.60.56/~jnz1568/getInfo.php?workbook=20_14.xlsx&amp;sheet=U0&amp;row=34&amp;col=7&amp;number=0.21&amp;sourceID=14","0.21")</f>
        <v>0.21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HYPERLINK("http://141.218.60.56/~jnz1568/getInfo.php?workbook=20_14.xlsx&amp;sheet=U0&amp;row=35&amp;col=6&amp;number=4.1&amp;sourceID=14","4.1")</f>
        <v>4.1</v>
      </c>
      <c r="G35" s="4" t="str">
        <f>HYPERLINK("http://141.218.60.56/~jnz1568/getInfo.php?workbook=20_14.xlsx&amp;sheet=U0&amp;row=35&amp;col=7&amp;number=0.21&amp;sourceID=14","0.21")</f>
        <v>0.21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HYPERLINK("http://141.218.60.56/~jnz1568/getInfo.php?workbook=20_14.xlsx&amp;sheet=U0&amp;row=36&amp;col=6&amp;number=4.2&amp;sourceID=14","4.2")</f>
        <v>4.2</v>
      </c>
      <c r="G36" s="4" t="str">
        <f>HYPERLINK("http://141.218.60.56/~jnz1568/getInfo.php?workbook=20_14.xlsx&amp;sheet=U0&amp;row=36&amp;col=7&amp;number=0.21&amp;sourceID=14","0.21")</f>
        <v>0.21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HYPERLINK("http://141.218.60.56/~jnz1568/getInfo.php?workbook=20_14.xlsx&amp;sheet=U0&amp;row=37&amp;col=6&amp;number=4.3&amp;sourceID=14","4.3")</f>
        <v>4.3</v>
      </c>
      <c r="G37" s="4" t="str">
        <f>HYPERLINK("http://141.218.60.56/~jnz1568/getInfo.php?workbook=20_14.xlsx&amp;sheet=U0&amp;row=37&amp;col=7&amp;number=0.21&amp;sourceID=14","0.21")</f>
        <v>0.21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HYPERLINK("http://141.218.60.56/~jnz1568/getInfo.php?workbook=20_14.xlsx&amp;sheet=U0&amp;row=38&amp;col=6&amp;number=4.4&amp;sourceID=14","4.4")</f>
        <v>4.4</v>
      </c>
      <c r="G38" s="4" t="str">
        <f>HYPERLINK("http://141.218.60.56/~jnz1568/getInfo.php?workbook=20_14.xlsx&amp;sheet=U0&amp;row=38&amp;col=7&amp;number=0.21&amp;sourceID=14","0.21")</f>
        <v>0.21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HYPERLINK("http://141.218.60.56/~jnz1568/getInfo.php?workbook=20_14.xlsx&amp;sheet=U0&amp;row=39&amp;col=6&amp;number=4.5&amp;sourceID=14","4.5")</f>
        <v>4.5</v>
      </c>
      <c r="G39" s="4" t="str">
        <f>HYPERLINK("http://141.218.60.56/~jnz1568/getInfo.php?workbook=20_14.xlsx&amp;sheet=U0&amp;row=39&amp;col=7&amp;number=0.21&amp;sourceID=14","0.21")</f>
        <v>0.21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HYPERLINK("http://141.218.60.56/~jnz1568/getInfo.php?workbook=20_14.xlsx&amp;sheet=U0&amp;row=40&amp;col=6&amp;number=4.6&amp;sourceID=14","4.6")</f>
        <v>4.6</v>
      </c>
      <c r="G40" s="4" t="str">
        <f>HYPERLINK("http://141.218.60.56/~jnz1568/getInfo.php?workbook=20_14.xlsx&amp;sheet=U0&amp;row=40&amp;col=7&amp;number=0.21&amp;sourceID=14","0.21")</f>
        <v>0.21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HYPERLINK("http://141.218.60.56/~jnz1568/getInfo.php?workbook=20_14.xlsx&amp;sheet=U0&amp;row=41&amp;col=6&amp;number=4.7&amp;sourceID=14","4.7")</f>
        <v>4.7</v>
      </c>
      <c r="G41" s="4" t="str">
        <f>HYPERLINK("http://141.218.60.56/~jnz1568/getInfo.php?workbook=20_14.xlsx&amp;sheet=U0&amp;row=41&amp;col=7&amp;number=0.21&amp;sourceID=14","0.21")</f>
        <v>0.21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HYPERLINK("http://141.218.60.56/~jnz1568/getInfo.php?workbook=20_14.xlsx&amp;sheet=U0&amp;row=42&amp;col=6&amp;number=4.8&amp;sourceID=14","4.8")</f>
        <v>4.8</v>
      </c>
      <c r="G42" s="4" t="str">
        <f>HYPERLINK("http://141.218.60.56/~jnz1568/getInfo.php?workbook=20_14.xlsx&amp;sheet=U0&amp;row=42&amp;col=7&amp;number=0.21&amp;sourceID=14","0.21")</f>
        <v>0.21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HYPERLINK("http://141.218.60.56/~jnz1568/getInfo.php?workbook=20_14.xlsx&amp;sheet=U0&amp;row=43&amp;col=6&amp;number=4.9&amp;sourceID=14","4.9")</f>
        <v>4.9</v>
      </c>
      <c r="G43" s="4" t="str">
        <f>HYPERLINK("http://141.218.60.56/~jnz1568/getInfo.php?workbook=20_14.xlsx&amp;sheet=U0&amp;row=43&amp;col=7&amp;number=0.21&amp;sourceID=14","0.21")</f>
        <v>0.21</v>
      </c>
    </row>
    <row r="44" spans="1:7">
      <c r="A44" s="3">
        <v>20</v>
      </c>
      <c r="B44" s="3">
        <v>14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HYPERLINK("http://141.218.60.56/~jnz1568/getInfo.php?workbook=20_14.xlsx&amp;sheet=U0&amp;row=44&amp;col=6&amp;number=3&amp;sourceID=14","3")</f>
        <v>3</v>
      </c>
      <c r="G44" s="4" t="str">
        <f>HYPERLINK("http://141.218.60.56/~jnz1568/getInfo.php?workbook=20_14.xlsx&amp;sheet=U0&amp;row=44&amp;col=7&amp;number=0.0409&amp;sourceID=14","0.0409")</f>
        <v>0.0409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HYPERLINK("http://141.218.60.56/~jnz1568/getInfo.php?workbook=20_14.xlsx&amp;sheet=U0&amp;row=45&amp;col=6&amp;number=3.1&amp;sourceID=14","3.1")</f>
        <v>3.1</v>
      </c>
      <c r="G45" s="4" t="str">
        <f>HYPERLINK("http://141.218.60.56/~jnz1568/getInfo.php?workbook=20_14.xlsx&amp;sheet=U0&amp;row=45&amp;col=7&amp;number=0.0409&amp;sourceID=14","0.0409")</f>
        <v>0.0409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HYPERLINK("http://141.218.60.56/~jnz1568/getInfo.php?workbook=20_14.xlsx&amp;sheet=U0&amp;row=46&amp;col=6&amp;number=3.2&amp;sourceID=14","3.2")</f>
        <v>3.2</v>
      </c>
      <c r="G46" s="4" t="str">
        <f>HYPERLINK("http://141.218.60.56/~jnz1568/getInfo.php?workbook=20_14.xlsx&amp;sheet=U0&amp;row=46&amp;col=7&amp;number=0.0409&amp;sourceID=14","0.0409")</f>
        <v>0.0409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HYPERLINK("http://141.218.60.56/~jnz1568/getInfo.php?workbook=20_14.xlsx&amp;sheet=U0&amp;row=47&amp;col=6&amp;number=3.3&amp;sourceID=14","3.3")</f>
        <v>3.3</v>
      </c>
      <c r="G47" s="4" t="str">
        <f>HYPERLINK("http://141.218.60.56/~jnz1568/getInfo.php?workbook=20_14.xlsx&amp;sheet=U0&amp;row=47&amp;col=7&amp;number=0.0409&amp;sourceID=14","0.0409")</f>
        <v>0.0409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HYPERLINK("http://141.218.60.56/~jnz1568/getInfo.php?workbook=20_14.xlsx&amp;sheet=U0&amp;row=48&amp;col=6&amp;number=3.4&amp;sourceID=14","3.4")</f>
        <v>3.4</v>
      </c>
      <c r="G48" s="4" t="str">
        <f>HYPERLINK("http://141.218.60.56/~jnz1568/getInfo.php?workbook=20_14.xlsx&amp;sheet=U0&amp;row=48&amp;col=7&amp;number=0.0408&amp;sourceID=14","0.0408")</f>
        <v>0.0408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HYPERLINK("http://141.218.60.56/~jnz1568/getInfo.php?workbook=20_14.xlsx&amp;sheet=U0&amp;row=49&amp;col=6&amp;number=3.5&amp;sourceID=14","3.5")</f>
        <v>3.5</v>
      </c>
      <c r="G49" s="4" t="str">
        <f>HYPERLINK("http://141.218.60.56/~jnz1568/getInfo.php?workbook=20_14.xlsx&amp;sheet=U0&amp;row=49&amp;col=7&amp;number=0.0408&amp;sourceID=14","0.0408")</f>
        <v>0.0408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HYPERLINK("http://141.218.60.56/~jnz1568/getInfo.php?workbook=20_14.xlsx&amp;sheet=U0&amp;row=50&amp;col=6&amp;number=3.6&amp;sourceID=14","3.6")</f>
        <v>3.6</v>
      </c>
      <c r="G50" s="4" t="str">
        <f>HYPERLINK("http://141.218.60.56/~jnz1568/getInfo.php?workbook=20_14.xlsx&amp;sheet=U0&amp;row=50&amp;col=7&amp;number=0.0408&amp;sourceID=14","0.0408")</f>
        <v>0.0408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HYPERLINK("http://141.218.60.56/~jnz1568/getInfo.php?workbook=20_14.xlsx&amp;sheet=U0&amp;row=51&amp;col=6&amp;number=3.7&amp;sourceID=14","3.7")</f>
        <v>3.7</v>
      </c>
      <c r="G51" s="4" t="str">
        <f>HYPERLINK("http://141.218.60.56/~jnz1568/getInfo.php?workbook=20_14.xlsx&amp;sheet=U0&amp;row=51&amp;col=7&amp;number=0.0408&amp;sourceID=14","0.0408")</f>
        <v>0.0408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HYPERLINK("http://141.218.60.56/~jnz1568/getInfo.php?workbook=20_14.xlsx&amp;sheet=U0&amp;row=52&amp;col=6&amp;number=3.8&amp;sourceID=14","3.8")</f>
        <v>3.8</v>
      </c>
      <c r="G52" s="4" t="str">
        <f>HYPERLINK("http://141.218.60.56/~jnz1568/getInfo.php?workbook=20_14.xlsx&amp;sheet=U0&amp;row=52&amp;col=7&amp;number=0.0408&amp;sourceID=14","0.0408")</f>
        <v>0.0408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HYPERLINK("http://141.218.60.56/~jnz1568/getInfo.php?workbook=20_14.xlsx&amp;sheet=U0&amp;row=53&amp;col=6&amp;number=3.9&amp;sourceID=14","3.9")</f>
        <v>3.9</v>
      </c>
      <c r="G53" s="4" t="str">
        <f>HYPERLINK("http://141.218.60.56/~jnz1568/getInfo.php?workbook=20_14.xlsx&amp;sheet=U0&amp;row=53&amp;col=7&amp;number=0.0407&amp;sourceID=14","0.0407")</f>
        <v>0.0407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HYPERLINK("http://141.218.60.56/~jnz1568/getInfo.php?workbook=20_14.xlsx&amp;sheet=U0&amp;row=54&amp;col=6&amp;number=4&amp;sourceID=14","4")</f>
        <v>4</v>
      </c>
      <c r="G54" s="4" t="str">
        <f>HYPERLINK("http://141.218.60.56/~jnz1568/getInfo.php?workbook=20_14.xlsx&amp;sheet=U0&amp;row=54&amp;col=7&amp;number=0.0407&amp;sourceID=14","0.0407")</f>
        <v>0.0407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HYPERLINK("http://141.218.60.56/~jnz1568/getInfo.php?workbook=20_14.xlsx&amp;sheet=U0&amp;row=55&amp;col=6&amp;number=4.1&amp;sourceID=14","4.1")</f>
        <v>4.1</v>
      </c>
      <c r="G55" s="4" t="str">
        <f>HYPERLINK("http://141.218.60.56/~jnz1568/getInfo.php?workbook=20_14.xlsx&amp;sheet=U0&amp;row=55&amp;col=7&amp;number=0.0406&amp;sourceID=14","0.0406")</f>
        <v>0.0406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HYPERLINK("http://141.218.60.56/~jnz1568/getInfo.php?workbook=20_14.xlsx&amp;sheet=U0&amp;row=56&amp;col=6&amp;number=4.2&amp;sourceID=14","4.2")</f>
        <v>4.2</v>
      </c>
      <c r="G56" s="4" t="str">
        <f>HYPERLINK("http://141.218.60.56/~jnz1568/getInfo.php?workbook=20_14.xlsx&amp;sheet=U0&amp;row=56&amp;col=7&amp;number=0.0406&amp;sourceID=14","0.0406")</f>
        <v>0.0406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HYPERLINK("http://141.218.60.56/~jnz1568/getInfo.php?workbook=20_14.xlsx&amp;sheet=U0&amp;row=57&amp;col=6&amp;number=4.3&amp;sourceID=14","4.3")</f>
        <v>4.3</v>
      </c>
      <c r="G57" s="4" t="str">
        <f>HYPERLINK("http://141.218.60.56/~jnz1568/getInfo.php?workbook=20_14.xlsx&amp;sheet=U0&amp;row=57&amp;col=7&amp;number=0.0405&amp;sourceID=14","0.0405")</f>
        <v>0.0405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HYPERLINK("http://141.218.60.56/~jnz1568/getInfo.php?workbook=20_14.xlsx&amp;sheet=U0&amp;row=58&amp;col=6&amp;number=4.4&amp;sourceID=14","4.4")</f>
        <v>4.4</v>
      </c>
      <c r="G58" s="4" t="str">
        <f>HYPERLINK("http://141.218.60.56/~jnz1568/getInfo.php?workbook=20_14.xlsx&amp;sheet=U0&amp;row=58&amp;col=7&amp;number=0.0404&amp;sourceID=14","0.0404")</f>
        <v>0.0404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HYPERLINK("http://141.218.60.56/~jnz1568/getInfo.php?workbook=20_14.xlsx&amp;sheet=U0&amp;row=59&amp;col=6&amp;number=4.5&amp;sourceID=14","4.5")</f>
        <v>4.5</v>
      </c>
      <c r="G59" s="4" t="str">
        <f>HYPERLINK("http://141.218.60.56/~jnz1568/getInfo.php?workbook=20_14.xlsx&amp;sheet=U0&amp;row=59&amp;col=7&amp;number=0.0402&amp;sourceID=14","0.0402")</f>
        <v>0.0402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HYPERLINK("http://141.218.60.56/~jnz1568/getInfo.php?workbook=20_14.xlsx&amp;sheet=U0&amp;row=60&amp;col=6&amp;number=4.6&amp;sourceID=14","4.6")</f>
        <v>4.6</v>
      </c>
      <c r="G60" s="4" t="str">
        <f>HYPERLINK("http://141.218.60.56/~jnz1568/getInfo.php?workbook=20_14.xlsx&amp;sheet=U0&amp;row=60&amp;col=7&amp;number=0.0401&amp;sourceID=14","0.0401")</f>
        <v>0.0401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HYPERLINK("http://141.218.60.56/~jnz1568/getInfo.php?workbook=20_14.xlsx&amp;sheet=U0&amp;row=61&amp;col=6&amp;number=4.7&amp;sourceID=14","4.7")</f>
        <v>4.7</v>
      </c>
      <c r="G61" s="4" t="str">
        <f>HYPERLINK("http://141.218.60.56/~jnz1568/getInfo.php?workbook=20_14.xlsx&amp;sheet=U0&amp;row=61&amp;col=7&amp;number=0.0398&amp;sourceID=14","0.0398")</f>
        <v>0.0398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HYPERLINK("http://141.218.60.56/~jnz1568/getInfo.php?workbook=20_14.xlsx&amp;sheet=U0&amp;row=62&amp;col=6&amp;number=4.8&amp;sourceID=14","4.8")</f>
        <v>4.8</v>
      </c>
      <c r="G62" s="4" t="str">
        <f>HYPERLINK("http://141.218.60.56/~jnz1568/getInfo.php?workbook=20_14.xlsx&amp;sheet=U0&amp;row=62&amp;col=7&amp;number=0.0396&amp;sourceID=14","0.0396")</f>
        <v>0.0396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HYPERLINK("http://141.218.60.56/~jnz1568/getInfo.php?workbook=20_14.xlsx&amp;sheet=U0&amp;row=63&amp;col=6&amp;number=4.9&amp;sourceID=14","4.9")</f>
        <v>4.9</v>
      </c>
      <c r="G63" s="4" t="str">
        <f>HYPERLINK("http://141.218.60.56/~jnz1568/getInfo.php?workbook=20_14.xlsx&amp;sheet=U0&amp;row=63&amp;col=7&amp;number=0.0392&amp;sourceID=14","0.0392")</f>
        <v>0.0392</v>
      </c>
    </row>
    <row r="64" spans="1:7">
      <c r="A64" s="3">
        <v>20</v>
      </c>
      <c r="B64" s="3">
        <v>14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HYPERLINK("http://141.218.60.56/~jnz1568/getInfo.php?workbook=20_14.xlsx&amp;sheet=U0&amp;row=64&amp;col=6&amp;number=3&amp;sourceID=14","3")</f>
        <v>3</v>
      </c>
      <c r="G64" s="4" t="str">
        <f>HYPERLINK("http://141.218.60.56/~jnz1568/getInfo.php?workbook=20_14.xlsx&amp;sheet=U0&amp;row=64&amp;col=7&amp;number=0.00368&amp;sourceID=14","0.00368")</f>
        <v>0.00368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HYPERLINK("http://141.218.60.56/~jnz1568/getInfo.php?workbook=20_14.xlsx&amp;sheet=U0&amp;row=65&amp;col=6&amp;number=3.1&amp;sourceID=14","3.1")</f>
        <v>3.1</v>
      </c>
      <c r="G65" s="4" t="str">
        <f>HYPERLINK("http://141.218.60.56/~jnz1568/getInfo.php?workbook=20_14.xlsx&amp;sheet=U0&amp;row=65&amp;col=7&amp;number=0.00368&amp;sourceID=14","0.00368")</f>
        <v>0.00368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HYPERLINK("http://141.218.60.56/~jnz1568/getInfo.php?workbook=20_14.xlsx&amp;sheet=U0&amp;row=66&amp;col=6&amp;number=3.2&amp;sourceID=14","3.2")</f>
        <v>3.2</v>
      </c>
      <c r="G66" s="4" t="str">
        <f>HYPERLINK("http://141.218.60.56/~jnz1568/getInfo.php?workbook=20_14.xlsx&amp;sheet=U0&amp;row=66&amp;col=7&amp;number=0.00368&amp;sourceID=14","0.00368")</f>
        <v>0.00368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HYPERLINK("http://141.218.60.56/~jnz1568/getInfo.php?workbook=20_14.xlsx&amp;sheet=U0&amp;row=67&amp;col=6&amp;number=3.3&amp;sourceID=14","3.3")</f>
        <v>3.3</v>
      </c>
      <c r="G67" s="4" t="str">
        <f>HYPERLINK("http://141.218.60.56/~jnz1568/getInfo.php?workbook=20_14.xlsx&amp;sheet=U0&amp;row=67&amp;col=7&amp;number=0.00368&amp;sourceID=14","0.00368")</f>
        <v>0.00368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HYPERLINK("http://141.218.60.56/~jnz1568/getInfo.php?workbook=20_14.xlsx&amp;sheet=U0&amp;row=68&amp;col=6&amp;number=3.4&amp;sourceID=14","3.4")</f>
        <v>3.4</v>
      </c>
      <c r="G68" s="4" t="str">
        <f>HYPERLINK("http://141.218.60.56/~jnz1568/getInfo.php?workbook=20_14.xlsx&amp;sheet=U0&amp;row=68&amp;col=7&amp;number=0.00368&amp;sourceID=14","0.00368")</f>
        <v>0.00368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HYPERLINK("http://141.218.60.56/~jnz1568/getInfo.php?workbook=20_14.xlsx&amp;sheet=U0&amp;row=69&amp;col=6&amp;number=3.5&amp;sourceID=14","3.5")</f>
        <v>3.5</v>
      </c>
      <c r="G69" s="4" t="str">
        <f>HYPERLINK("http://141.218.60.56/~jnz1568/getInfo.php?workbook=20_14.xlsx&amp;sheet=U0&amp;row=69&amp;col=7&amp;number=0.00368&amp;sourceID=14","0.00368")</f>
        <v>0.00368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HYPERLINK("http://141.218.60.56/~jnz1568/getInfo.php?workbook=20_14.xlsx&amp;sheet=U0&amp;row=70&amp;col=6&amp;number=3.6&amp;sourceID=14","3.6")</f>
        <v>3.6</v>
      </c>
      <c r="G70" s="4" t="str">
        <f>HYPERLINK("http://141.218.60.56/~jnz1568/getInfo.php?workbook=20_14.xlsx&amp;sheet=U0&amp;row=70&amp;col=7&amp;number=0.00368&amp;sourceID=14","0.00368")</f>
        <v>0.00368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HYPERLINK("http://141.218.60.56/~jnz1568/getInfo.php?workbook=20_14.xlsx&amp;sheet=U0&amp;row=71&amp;col=6&amp;number=3.7&amp;sourceID=14","3.7")</f>
        <v>3.7</v>
      </c>
      <c r="G71" s="4" t="str">
        <f>HYPERLINK("http://141.218.60.56/~jnz1568/getInfo.php?workbook=20_14.xlsx&amp;sheet=U0&amp;row=71&amp;col=7&amp;number=0.00368&amp;sourceID=14","0.00368")</f>
        <v>0.00368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HYPERLINK("http://141.218.60.56/~jnz1568/getInfo.php?workbook=20_14.xlsx&amp;sheet=U0&amp;row=72&amp;col=6&amp;number=3.8&amp;sourceID=14","3.8")</f>
        <v>3.8</v>
      </c>
      <c r="G72" s="4" t="str">
        <f>HYPERLINK("http://141.218.60.56/~jnz1568/getInfo.php?workbook=20_14.xlsx&amp;sheet=U0&amp;row=72&amp;col=7&amp;number=0.00367&amp;sourceID=14","0.00367")</f>
        <v>0.00367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HYPERLINK("http://141.218.60.56/~jnz1568/getInfo.php?workbook=20_14.xlsx&amp;sheet=U0&amp;row=73&amp;col=6&amp;number=3.9&amp;sourceID=14","3.9")</f>
        <v>3.9</v>
      </c>
      <c r="G73" s="4" t="str">
        <f>HYPERLINK("http://141.218.60.56/~jnz1568/getInfo.php?workbook=20_14.xlsx&amp;sheet=U0&amp;row=73&amp;col=7&amp;number=0.00367&amp;sourceID=14","0.00367")</f>
        <v>0.00367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HYPERLINK("http://141.218.60.56/~jnz1568/getInfo.php?workbook=20_14.xlsx&amp;sheet=U0&amp;row=74&amp;col=6&amp;number=4&amp;sourceID=14","4")</f>
        <v>4</v>
      </c>
      <c r="G74" s="4" t="str">
        <f>HYPERLINK("http://141.218.60.56/~jnz1568/getInfo.php?workbook=20_14.xlsx&amp;sheet=U0&amp;row=74&amp;col=7&amp;number=0.00366&amp;sourceID=14","0.00366")</f>
        <v>0.00366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HYPERLINK("http://141.218.60.56/~jnz1568/getInfo.php?workbook=20_14.xlsx&amp;sheet=U0&amp;row=75&amp;col=6&amp;number=4.1&amp;sourceID=14","4.1")</f>
        <v>4.1</v>
      </c>
      <c r="G75" s="4" t="str">
        <f>HYPERLINK("http://141.218.60.56/~jnz1568/getInfo.php?workbook=20_14.xlsx&amp;sheet=U0&amp;row=75&amp;col=7&amp;number=0.00366&amp;sourceID=14","0.00366")</f>
        <v>0.00366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HYPERLINK("http://141.218.60.56/~jnz1568/getInfo.php?workbook=20_14.xlsx&amp;sheet=U0&amp;row=76&amp;col=6&amp;number=4.2&amp;sourceID=14","4.2")</f>
        <v>4.2</v>
      </c>
      <c r="G76" s="4" t="str">
        <f>HYPERLINK("http://141.218.60.56/~jnz1568/getInfo.php?workbook=20_14.xlsx&amp;sheet=U0&amp;row=76&amp;col=7&amp;number=0.00365&amp;sourceID=14","0.00365")</f>
        <v>0.00365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HYPERLINK("http://141.218.60.56/~jnz1568/getInfo.php?workbook=20_14.xlsx&amp;sheet=U0&amp;row=77&amp;col=6&amp;number=4.3&amp;sourceID=14","4.3")</f>
        <v>4.3</v>
      </c>
      <c r="G77" s="4" t="str">
        <f>HYPERLINK("http://141.218.60.56/~jnz1568/getInfo.php?workbook=20_14.xlsx&amp;sheet=U0&amp;row=77&amp;col=7&amp;number=0.00364&amp;sourceID=14","0.00364")</f>
        <v>0.00364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HYPERLINK("http://141.218.60.56/~jnz1568/getInfo.php?workbook=20_14.xlsx&amp;sheet=U0&amp;row=78&amp;col=6&amp;number=4.4&amp;sourceID=14","4.4")</f>
        <v>4.4</v>
      </c>
      <c r="G78" s="4" t="str">
        <f>HYPERLINK("http://141.218.60.56/~jnz1568/getInfo.php?workbook=20_14.xlsx&amp;sheet=U0&amp;row=78&amp;col=7&amp;number=0.00363&amp;sourceID=14","0.00363")</f>
        <v>0.00363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HYPERLINK("http://141.218.60.56/~jnz1568/getInfo.php?workbook=20_14.xlsx&amp;sheet=U0&amp;row=79&amp;col=6&amp;number=4.5&amp;sourceID=14","4.5")</f>
        <v>4.5</v>
      </c>
      <c r="G79" s="4" t="str">
        <f>HYPERLINK("http://141.218.60.56/~jnz1568/getInfo.php?workbook=20_14.xlsx&amp;sheet=U0&amp;row=79&amp;col=7&amp;number=0.00361&amp;sourceID=14","0.00361")</f>
        <v>0.00361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HYPERLINK("http://141.218.60.56/~jnz1568/getInfo.php?workbook=20_14.xlsx&amp;sheet=U0&amp;row=80&amp;col=6&amp;number=4.6&amp;sourceID=14","4.6")</f>
        <v>4.6</v>
      </c>
      <c r="G80" s="4" t="str">
        <f>HYPERLINK("http://141.218.60.56/~jnz1568/getInfo.php?workbook=20_14.xlsx&amp;sheet=U0&amp;row=80&amp;col=7&amp;number=0.0036&amp;sourceID=14","0.0036")</f>
        <v>0.0036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HYPERLINK("http://141.218.60.56/~jnz1568/getInfo.php?workbook=20_14.xlsx&amp;sheet=U0&amp;row=81&amp;col=6&amp;number=4.7&amp;sourceID=14","4.7")</f>
        <v>4.7</v>
      </c>
      <c r="G81" s="4" t="str">
        <f>HYPERLINK("http://141.218.60.56/~jnz1568/getInfo.php?workbook=20_14.xlsx&amp;sheet=U0&amp;row=81&amp;col=7&amp;number=0.00357&amp;sourceID=14","0.00357")</f>
        <v>0.00357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HYPERLINK("http://141.218.60.56/~jnz1568/getInfo.php?workbook=20_14.xlsx&amp;sheet=U0&amp;row=82&amp;col=6&amp;number=4.8&amp;sourceID=14","4.8")</f>
        <v>4.8</v>
      </c>
      <c r="G82" s="4" t="str">
        <f>HYPERLINK("http://141.218.60.56/~jnz1568/getInfo.php?workbook=20_14.xlsx&amp;sheet=U0&amp;row=82&amp;col=7&amp;number=0.00354&amp;sourceID=14","0.00354")</f>
        <v>0.00354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HYPERLINK("http://141.218.60.56/~jnz1568/getInfo.php?workbook=20_14.xlsx&amp;sheet=U0&amp;row=83&amp;col=6&amp;number=4.9&amp;sourceID=14","4.9")</f>
        <v>4.9</v>
      </c>
      <c r="G83" s="4" t="str">
        <f>HYPERLINK("http://141.218.60.56/~jnz1568/getInfo.php?workbook=20_14.xlsx&amp;sheet=U0&amp;row=83&amp;col=7&amp;number=0.00351&amp;sourceID=14","0.00351")</f>
        <v>0.00351</v>
      </c>
    </row>
    <row r="84" spans="1:7">
      <c r="A84" s="3">
        <v>20</v>
      </c>
      <c r="B84" s="3">
        <v>14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HYPERLINK("http://141.218.60.56/~jnz1568/getInfo.php?workbook=20_14.xlsx&amp;sheet=U0&amp;row=84&amp;col=6&amp;number=3&amp;sourceID=14","3")</f>
        <v>3</v>
      </c>
      <c r="G84" s="4" t="str">
        <f>HYPERLINK("http://141.218.60.56/~jnz1568/getInfo.php?workbook=20_14.xlsx&amp;sheet=U0&amp;row=84&amp;col=7&amp;number=0.00698&amp;sourceID=14","0.00698")</f>
        <v>0.00698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HYPERLINK("http://141.218.60.56/~jnz1568/getInfo.php?workbook=20_14.xlsx&amp;sheet=U0&amp;row=85&amp;col=6&amp;number=3.1&amp;sourceID=14","3.1")</f>
        <v>3.1</v>
      </c>
      <c r="G85" s="4" t="str">
        <f>HYPERLINK("http://141.218.60.56/~jnz1568/getInfo.php?workbook=20_14.xlsx&amp;sheet=U0&amp;row=85&amp;col=7&amp;number=0.00706&amp;sourceID=14","0.00706")</f>
        <v>0.00706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HYPERLINK("http://141.218.60.56/~jnz1568/getInfo.php?workbook=20_14.xlsx&amp;sheet=U0&amp;row=86&amp;col=6&amp;number=3.2&amp;sourceID=14","3.2")</f>
        <v>3.2</v>
      </c>
      <c r="G86" s="4" t="str">
        <f>HYPERLINK("http://141.218.60.56/~jnz1568/getInfo.php?workbook=20_14.xlsx&amp;sheet=U0&amp;row=86&amp;col=7&amp;number=0.00715&amp;sourceID=14","0.00715")</f>
        <v>0.00715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HYPERLINK("http://141.218.60.56/~jnz1568/getInfo.php?workbook=20_14.xlsx&amp;sheet=U0&amp;row=87&amp;col=6&amp;number=3.3&amp;sourceID=14","3.3")</f>
        <v>3.3</v>
      </c>
      <c r="G87" s="4" t="str">
        <f>HYPERLINK("http://141.218.60.56/~jnz1568/getInfo.php?workbook=20_14.xlsx&amp;sheet=U0&amp;row=87&amp;col=7&amp;number=0.00727&amp;sourceID=14","0.00727")</f>
        <v>0.00727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HYPERLINK("http://141.218.60.56/~jnz1568/getInfo.php?workbook=20_14.xlsx&amp;sheet=U0&amp;row=88&amp;col=6&amp;number=3.4&amp;sourceID=14","3.4")</f>
        <v>3.4</v>
      </c>
      <c r="G88" s="4" t="str">
        <f>HYPERLINK("http://141.218.60.56/~jnz1568/getInfo.php?workbook=20_14.xlsx&amp;sheet=U0&amp;row=88&amp;col=7&amp;number=0.00741&amp;sourceID=14","0.00741")</f>
        <v>0.00741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HYPERLINK("http://141.218.60.56/~jnz1568/getInfo.php?workbook=20_14.xlsx&amp;sheet=U0&amp;row=89&amp;col=6&amp;number=3.5&amp;sourceID=14","3.5")</f>
        <v>3.5</v>
      </c>
      <c r="G89" s="4" t="str">
        <f>HYPERLINK("http://141.218.60.56/~jnz1568/getInfo.php?workbook=20_14.xlsx&amp;sheet=U0&amp;row=89&amp;col=7&amp;number=0.00759&amp;sourceID=14","0.00759")</f>
        <v>0.00759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HYPERLINK("http://141.218.60.56/~jnz1568/getInfo.php?workbook=20_14.xlsx&amp;sheet=U0&amp;row=90&amp;col=6&amp;number=3.6&amp;sourceID=14","3.6")</f>
        <v>3.6</v>
      </c>
      <c r="G90" s="4" t="str">
        <f>HYPERLINK("http://141.218.60.56/~jnz1568/getInfo.php?workbook=20_14.xlsx&amp;sheet=U0&amp;row=90&amp;col=7&amp;number=0.00782&amp;sourceID=14","0.00782")</f>
        <v>0.00782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HYPERLINK("http://141.218.60.56/~jnz1568/getInfo.php?workbook=20_14.xlsx&amp;sheet=U0&amp;row=91&amp;col=6&amp;number=3.7&amp;sourceID=14","3.7")</f>
        <v>3.7</v>
      </c>
      <c r="G91" s="4" t="str">
        <f>HYPERLINK("http://141.218.60.56/~jnz1568/getInfo.php?workbook=20_14.xlsx&amp;sheet=U0&amp;row=91&amp;col=7&amp;number=0.0081&amp;sourceID=14","0.0081")</f>
        <v>0.0081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HYPERLINK("http://141.218.60.56/~jnz1568/getInfo.php?workbook=20_14.xlsx&amp;sheet=U0&amp;row=92&amp;col=6&amp;number=3.8&amp;sourceID=14","3.8")</f>
        <v>3.8</v>
      </c>
      <c r="G92" s="4" t="str">
        <f>HYPERLINK("http://141.218.60.56/~jnz1568/getInfo.php?workbook=20_14.xlsx&amp;sheet=U0&amp;row=92&amp;col=7&amp;number=0.00844&amp;sourceID=14","0.00844")</f>
        <v>0.00844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HYPERLINK("http://141.218.60.56/~jnz1568/getInfo.php?workbook=20_14.xlsx&amp;sheet=U0&amp;row=93&amp;col=6&amp;number=3.9&amp;sourceID=14","3.9")</f>
        <v>3.9</v>
      </c>
      <c r="G93" s="4" t="str">
        <f>HYPERLINK("http://141.218.60.56/~jnz1568/getInfo.php?workbook=20_14.xlsx&amp;sheet=U0&amp;row=93&amp;col=7&amp;number=0.00887&amp;sourceID=14","0.00887")</f>
        <v>0.00887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HYPERLINK("http://141.218.60.56/~jnz1568/getInfo.php?workbook=20_14.xlsx&amp;sheet=U0&amp;row=94&amp;col=6&amp;number=4&amp;sourceID=14","4")</f>
        <v>4</v>
      </c>
      <c r="G94" s="4" t="str">
        <f>HYPERLINK("http://141.218.60.56/~jnz1568/getInfo.php?workbook=20_14.xlsx&amp;sheet=U0&amp;row=94&amp;col=7&amp;number=0.00939&amp;sourceID=14","0.00939")</f>
        <v>0.00939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HYPERLINK("http://141.218.60.56/~jnz1568/getInfo.php?workbook=20_14.xlsx&amp;sheet=U0&amp;row=95&amp;col=6&amp;number=4.1&amp;sourceID=14","4.1")</f>
        <v>4.1</v>
      </c>
      <c r="G95" s="4" t="str">
        <f>HYPERLINK("http://141.218.60.56/~jnz1568/getInfo.php?workbook=20_14.xlsx&amp;sheet=U0&amp;row=95&amp;col=7&amp;number=0.01&amp;sourceID=14","0.01")</f>
        <v>0.01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HYPERLINK("http://141.218.60.56/~jnz1568/getInfo.php?workbook=20_14.xlsx&amp;sheet=U0&amp;row=96&amp;col=6&amp;number=4.2&amp;sourceID=14","4.2")</f>
        <v>4.2</v>
      </c>
      <c r="G96" s="4" t="str">
        <f>HYPERLINK("http://141.218.60.56/~jnz1568/getInfo.php?workbook=20_14.xlsx&amp;sheet=U0&amp;row=96&amp;col=7&amp;number=0.0108&amp;sourceID=14","0.0108")</f>
        <v>0.0108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HYPERLINK("http://141.218.60.56/~jnz1568/getInfo.php?workbook=20_14.xlsx&amp;sheet=U0&amp;row=97&amp;col=6&amp;number=4.3&amp;sourceID=14","4.3")</f>
        <v>4.3</v>
      </c>
      <c r="G97" s="4" t="str">
        <f>HYPERLINK("http://141.218.60.56/~jnz1568/getInfo.php?workbook=20_14.xlsx&amp;sheet=U0&amp;row=97&amp;col=7&amp;number=0.0117&amp;sourceID=14","0.0117")</f>
        <v>0.0117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HYPERLINK("http://141.218.60.56/~jnz1568/getInfo.php?workbook=20_14.xlsx&amp;sheet=U0&amp;row=98&amp;col=6&amp;number=4.4&amp;sourceID=14","4.4")</f>
        <v>4.4</v>
      </c>
      <c r="G98" s="4" t="str">
        <f>HYPERLINK("http://141.218.60.56/~jnz1568/getInfo.php?workbook=20_14.xlsx&amp;sheet=U0&amp;row=98&amp;col=7&amp;number=0.0128&amp;sourceID=14","0.0128")</f>
        <v>0.0128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HYPERLINK("http://141.218.60.56/~jnz1568/getInfo.php?workbook=20_14.xlsx&amp;sheet=U0&amp;row=99&amp;col=6&amp;number=4.5&amp;sourceID=14","4.5")</f>
        <v>4.5</v>
      </c>
      <c r="G99" s="4" t="str">
        <f>HYPERLINK("http://141.218.60.56/~jnz1568/getInfo.php?workbook=20_14.xlsx&amp;sheet=U0&amp;row=99&amp;col=7&amp;number=0.014&amp;sourceID=14","0.014")</f>
        <v>0.014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HYPERLINK("http://141.218.60.56/~jnz1568/getInfo.php?workbook=20_14.xlsx&amp;sheet=U0&amp;row=100&amp;col=6&amp;number=4.6&amp;sourceID=14","4.6")</f>
        <v>4.6</v>
      </c>
      <c r="G100" s="4" t="str">
        <f>HYPERLINK("http://141.218.60.56/~jnz1568/getInfo.php?workbook=20_14.xlsx&amp;sheet=U0&amp;row=100&amp;col=7&amp;number=0.0154&amp;sourceID=14","0.0154")</f>
        <v>0.0154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HYPERLINK("http://141.218.60.56/~jnz1568/getInfo.php?workbook=20_14.xlsx&amp;sheet=U0&amp;row=101&amp;col=6&amp;number=4.7&amp;sourceID=14","4.7")</f>
        <v>4.7</v>
      </c>
      <c r="G101" s="4" t="str">
        <f>HYPERLINK("http://141.218.60.56/~jnz1568/getInfo.php?workbook=20_14.xlsx&amp;sheet=U0&amp;row=101&amp;col=7&amp;number=0.017&amp;sourceID=14","0.017")</f>
        <v>0.017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HYPERLINK("http://141.218.60.56/~jnz1568/getInfo.php?workbook=20_14.xlsx&amp;sheet=U0&amp;row=102&amp;col=6&amp;number=4.8&amp;sourceID=14","4.8")</f>
        <v>4.8</v>
      </c>
      <c r="G102" s="4" t="str">
        <f>HYPERLINK("http://141.218.60.56/~jnz1568/getInfo.php?workbook=20_14.xlsx&amp;sheet=U0&amp;row=102&amp;col=7&amp;number=0.0186&amp;sourceID=14","0.0186")</f>
        <v>0.0186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HYPERLINK("http://141.218.60.56/~jnz1568/getInfo.php?workbook=20_14.xlsx&amp;sheet=U0&amp;row=103&amp;col=6&amp;number=4.9&amp;sourceID=14","4.9")</f>
        <v>4.9</v>
      </c>
      <c r="G103" s="4" t="str">
        <f>HYPERLINK("http://141.218.60.56/~jnz1568/getInfo.php?workbook=20_14.xlsx&amp;sheet=U0&amp;row=103&amp;col=7&amp;number=0.0204&amp;sourceID=14","0.0204")</f>
        <v>0.0204</v>
      </c>
    </row>
    <row r="104" spans="1:7">
      <c r="A104" s="3">
        <v>20</v>
      </c>
      <c r="B104" s="3">
        <v>14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HYPERLINK("http://141.218.60.56/~jnz1568/getInfo.php?workbook=20_14.xlsx&amp;sheet=U0&amp;row=104&amp;col=6&amp;number=3&amp;sourceID=14","3")</f>
        <v>3</v>
      </c>
      <c r="G104" s="4" t="str">
        <f>HYPERLINK("http://141.218.60.56/~jnz1568/getInfo.php?workbook=20_14.xlsx&amp;sheet=U0&amp;row=104&amp;col=7&amp;number=0.288&amp;sourceID=14","0.288")</f>
        <v>0.288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HYPERLINK("http://141.218.60.56/~jnz1568/getInfo.php?workbook=20_14.xlsx&amp;sheet=U0&amp;row=105&amp;col=6&amp;number=3.1&amp;sourceID=14","3.1")</f>
        <v>3.1</v>
      </c>
      <c r="G105" s="4" t="str">
        <f>HYPERLINK("http://141.218.60.56/~jnz1568/getInfo.php?workbook=20_14.xlsx&amp;sheet=U0&amp;row=105&amp;col=7&amp;number=0.288&amp;sourceID=14","0.288")</f>
        <v>0.288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HYPERLINK("http://141.218.60.56/~jnz1568/getInfo.php?workbook=20_14.xlsx&amp;sheet=U0&amp;row=106&amp;col=6&amp;number=3.2&amp;sourceID=14","3.2")</f>
        <v>3.2</v>
      </c>
      <c r="G106" s="4" t="str">
        <f>HYPERLINK("http://141.218.60.56/~jnz1568/getInfo.php?workbook=20_14.xlsx&amp;sheet=U0&amp;row=106&amp;col=7&amp;number=0.288&amp;sourceID=14","0.288")</f>
        <v>0.288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HYPERLINK("http://141.218.60.56/~jnz1568/getInfo.php?workbook=20_14.xlsx&amp;sheet=U0&amp;row=107&amp;col=6&amp;number=3.3&amp;sourceID=14","3.3")</f>
        <v>3.3</v>
      </c>
      <c r="G107" s="4" t="str">
        <f>HYPERLINK("http://141.218.60.56/~jnz1568/getInfo.php?workbook=20_14.xlsx&amp;sheet=U0&amp;row=107&amp;col=7&amp;number=0.288&amp;sourceID=14","0.288")</f>
        <v>0.288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HYPERLINK("http://141.218.60.56/~jnz1568/getInfo.php?workbook=20_14.xlsx&amp;sheet=U0&amp;row=108&amp;col=6&amp;number=3.4&amp;sourceID=14","3.4")</f>
        <v>3.4</v>
      </c>
      <c r="G108" s="4" t="str">
        <f>HYPERLINK("http://141.218.60.56/~jnz1568/getInfo.php?workbook=20_14.xlsx&amp;sheet=U0&amp;row=108&amp;col=7&amp;number=0.289&amp;sourceID=14","0.289")</f>
        <v>0.289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HYPERLINK("http://141.218.60.56/~jnz1568/getInfo.php?workbook=20_14.xlsx&amp;sheet=U0&amp;row=109&amp;col=6&amp;number=3.5&amp;sourceID=14","3.5")</f>
        <v>3.5</v>
      </c>
      <c r="G109" s="4" t="str">
        <f>HYPERLINK("http://141.218.60.56/~jnz1568/getInfo.php?workbook=20_14.xlsx&amp;sheet=U0&amp;row=109&amp;col=7&amp;number=0.289&amp;sourceID=14","0.289")</f>
        <v>0.289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HYPERLINK("http://141.218.60.56/~jnz1568/getInfo.php?workbook=20_14.xlsx&amp;sheet=U0&amp;row=110&amp;col=6&amp;number=3.6&amp;sourceID=14","3.6")</f>
        <v>3.6</v>
      </c>
      <c r="G110" s="4" t="str">
        <f>HYPERLINK("http://141.218.60.56/~jnz1568/getInfo.php?workbook=20_14.xlsx&amp;sheet=U0&amp;row=110&amp;col=7&amp;number=0.289&amp;sourceID=14","0.289")</f>
        <v>0.289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HYPERLINK("http://141.218.60.56/~jnz1568/getInfo.php?workbook=20_14.xlsx&amp;sheet=U0&amp;row=111&amp;col=6&amp;number=3.7&amp;sourceID=14","3.7")</f>
        <v>3.7</v>
      </c>
      <c r="G111" s="4" t="str">
        <f>HYPERLINK("http://141.218.60.56/~jnz1568/getInfo.php?workbook=20_14.xlsx&amp;sheet=U0&amp;row=111&amp;col=7&amp;number=0.289&amp;sourceID=14","0.289")</f>
        <v>0.289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HYPERLINK("http://141.218.60.56/~jnz1568/getInfo.php?workbook=20_14.xlsx&amp;sheet=U0&amp;row=112&amp;col=6&amp;number=3.8&amp;sourceID=14","3.8")</f>
        <v>3.8</v>
      </c>
      <c r="G112" s="4" t="str">
        <f>HYPERLINK("http://141.218.60.56/~jnz1568/getInfo.php?workbook=20_14.xlsx&amp;sheet=U0&amp;row=112&amp;col=7&amp;number=0.29&amp;sourceID=14","0.29")</f>
        <v>0.29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HYPERLINK("http://141.218.60.56/~jnz1568/getInfo.php?workbook=20_14.xlsx&amp;sheet=U0&amp;row=113&amp;col=6&amp;number=3.9&amp;sourceID=14","3.9")</f>
        <v>3.9</v>
      </c>
      <c r="G113" s="4" t="str">
        <f>HYPERLINK("http://141.218.60.56/~jnz1568/getInfo.php?workbook=20_14.xlsx&amp;sheet=U0&amp;row=113&amp;col=7&amp;number=0.29&amp;sourceID=14","0.29")</f>
        <v>0.29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HYPERLINK("http://141.218.60.56/~jnz1568/getInfo.php?workbook=20_14.xlsx&amp;sheet=U0&amp;row=114&amp;col=6&amp;number=4&amp;sourceID=14","4")</f>
        <v>4</v>
      </c>
      <c r="G114" s="4" t="str">
        <f>HYPERLINK("http://141.218.60.56/~jnz1568/getInfo.php?workbook=20_14.xlsx&amp;sheet=U0&amp;row=114&amp;col=7&amp;number=0.291&amp;sourceID=14","0.291")</f>
        <v>0.291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HYPERLINK("http://141.218.60.56/~jnz1568/getInfo.php?workbook=20_14.xlsx&amp;sheet=U0&amp;row=115&amp;col=6&amp;number=4.1&amp;sourceID=14","4.1")</f>
        <v>4.1</v>
      </c>
      <c r="G115" s="4" t="str">
        <f>HYPERLINK("http://141.218.60.56/~jnz1568/getInfo.php?workbook=20_14.xlsx&amp;sheet=U0&amp;row=115&amp;col=7&amp;number=0.292&amp;sourceID=14","0.292")</f>
        <v>0.292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HYPERLINK("http://141.218.60.56/~jnz1568/getInfo.php?workbook=20_14.xlsx&amp;sheet=U0&amp;row=116&amp;col=6&amp;number=4.2&amp;sourceID=14","4.2")</f>
        <v>4.2</v>
      </c>
      <c r="G116" s="4" t="str">
        <f>HYPERLINK("http://141.218.60.56/~jnz1568/getInfo.php?workbook=20_14.xlsx&amp;sheet=U0&amp;row=116&amp;col=7&amp;number=0.292&amp;sourceID=14","0.292")</f>
        <v>0.292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HYPERLINK("http://141.218.60.56/~jnz1568/getInfo.php?workbook=20_14.xlsx&amp;sheet=U0&amp;row=117&amp;col=6&amp;number=4.3&amp;sourceID=14","4.3")</f>
        <v>4.3</v>
      </c>
      <c r="G117" s="4" t="str">
        <f>HYPERLINK("http://141.218.60.56/~jnz1568/getInfo.php?workbook=20_14.xlsx&amp;sheet=U0&amp;row=117&amp;col=7&amp;number=0.294&amp;sourceID=14","0.294")</f>
        <v>0.294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HYPERLINK("http://141.218.60.56/~jnz1568/getInfo.php?workbook=20_14.xlsx&amp;sheet=U0&amp;row=118&amp;col=6&amp;number=4.4&amp;sourceID=14","4.4")</f>
        <v>4.4</v>
      </c>
      <c r="G118" s="4" t="str">
        <f>HYPERLINK("http://141.218.60.56/~jnz1568/getInfo.php?workbook=20_14.xlsx&amp;sheet=U0&amp;row=118&amp;col=7&amp;number=0.295&amp;sourceID=14","0.295")</f>
        <v>0.295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HYPERLINK("http://141.218.60.56/~jnz1568/getInfo.php?workbook=20_14.xlsx&amp;sheet=U0&amp;row=119&amp;col=6&amp;number=4.5&amp;sourceID=14","4.5")</f>
        <v>4.5</v>
      </c>
      <c r="G119" s="4" t="str">
        <f>HYPERLINK("http://141.218.60.56/~jnz1568/getInfo.php?workbook=20_14.xlsx&amp;sheet=U0&amp;row=119&amp;col=7&amp;number=0.297&amp;sourceID=14","0.297")</f>
        <v>0.297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HYPERLINK("http://141.218.60.56/~jnz1568/getInfo.php?workbook=20_14.xlsx&amp;sheet=U0&amp;row=120&amp;col=6&amp;number=4.6&amp;sourceID=14","4.6")</f>
        <v>4.6</v>
      </c>
      <c r="G120" s="4" t="str">
        <f>HYPERLINK("http://141.218.60.56/~jnz1568/getInfo.php?workbook=20_14.xlsx&amp;sheet=U0&amp;row=120&amp;col=7&amp;number=0.299&amp;sourceID=14","0.299")</f>
        <v>0.299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HYPERLINK("http://141.218.60.56/~jnz1568/getInfo.php?workbook=20_14.xlsx&amp;sheet=U0&amp;row=121&amp;col=6&amp;number=4.7&amp;sourceID=14","4.7")</f>
        <v>4.7</v>
      </c>
      <c r="G121" s="4" t="str">
        <f>HYPERLINK("http://141.218.60.56/~jnz1568/getInfo.php?workbook=20_14.xlsx&amp;sheet=U0&amp;row=121&amp;col=7&amp;number=0.302&amp;sourceID=14","0.302")</f>
        <v>0.302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HYPERLINK("http://141.218.60.56/~jnz1568/getInfo.php?workbook=20_14.xlsx&amp;sheet=U0&amp;row=122&amp;col=6&amp;number=4.8&amp;sourceID=14","4.8")</f>
        <v>4.8</v>
      </c>
      <c r="G122" s="4" t="str">
        <f>HYPERLINK("http://141.218.60.56/~jnz1568/getInfo.php?workbook=20_14.xlsx&amp;sheet=U0&amp;row=122&amp;col=7&amp;number=0.305&amp;sourceID=14","0.305")</f>
        <v>0.305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HYPERLINK("http://141.218.60.56/~jnz1568/getInfo.php?workbook=20_14.xlsx&amp;sheet=U0&amp;row=123&amp;col=6&amp;number=4.9&amp;sourceID=14","4.9")</f>
        <v>4.9</v>
      </c>
      <c r="G123" s="4" t="str">
        <f>HYPERLINK("http://141.218.60.56/~jnz1568/getInfo.php?workbook=20_14.xlsx&amp;sheet=U0&amp;row=123&amp;col=7&amp;number=0.309&amp;sourceID=14","0.309")</f>
        <v>0.309</v>
      </c>
    </row>
    <row r="124" spans="1:7">
      <c r="A124" s="3">
        <v>20</v>
      </c>
      <c r="B124" s="3">
        <v>14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HYPERLINK("http://141.218.60.56/~jnz1568/getInfo.php?workbook=20_14.xlsx&amp;sheet=U0&amp;row=124&amp;col=6&amp;number=3&amp;sourceID=14","3")</f>
        <v>3</v>
      </c>
      <c r="G124" s="4" t="str">
        <f>HYPERLINK("http://141.218.60.56/~jnz1568/getInfo.php?workbook=20_14.xlsx&amp;sheet=U0&amp;row=124&amp;col=7&amp;number=0.0358&amp;sourceID=14","0.0358")</f>
        <v>0.0358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HYPERLINK("http://141.218.60.56/~jnz1568/getInfo.php?workbook=20_14.xlsx&amp;sheet=U0&amp;row=125&amp;col=6&amp;number=3.1&amp;sourceID=14","3.1")</f>
        <v>3.1</v>
      </c>
      <c r="G125" s="4" t="str">
        <f>HYPERLINK("http://141.218.60.56/~jnz1568/getInfo.php?workbook=20_14.xlsx&amp;sheet=U0&amp;row=125&amp;col=7&amp;number=0.0358&amp;sourceID=14","0.0358")</f>
        <v>0.0358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HYPERLINK("http://141.218.60.56/~jnz1568/getInfo.php?workbook=20_14.xlsx&amp;sheet=U0&amp;row=126&amp;col=6&amp;number=3.2&amp;sourceID=14","3.2")</f>
        <v>3.2</v>
      </c>
      <c r="G126" s="4" t="str">
        <f>HYPERLINK("http://141.218.60.56/~jnz1568/getInfo.php?workbook=20_14.xlsx&amp;sheet=U0&amp;row=126&amp;col=7&amp;number=0.0358&amp;sourceID=14","0.0358")</f>
        <v>0.0358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HYPERLINK("http://141.218.60.56/~jnz1568/getInfo.php?workbook=20_14.xlsx&amp;sheet=U0&amp;row=127&amp;col=6&amp;number=3.3&amp;sourceID=14","3.3")</f>
        <v>3.3</v>
      </c>
      <c r="G127" s="4" t="str">
        <f>HYPERLINK("http://141.218.60.56/~jnz1568/getInfo.php?workbook=20_14.xlsx&amp;sheet=U0&amp;row=127&amp;col=7&amp;number=0.0358&amp;sourceID=14","0.0358")</f>
        <v>0.0358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HYPERLINK("http://141.218.60.56/~jnz1568/getInfo.php?workbook=20_14.xlsx&amp;sheet=U0&amp;row=128&amp;col=6&amp;number=3.4&amp;sourceID=14","3.4")</f>
        <v>3.4</v>
      </c>
      <c r="G128" s="4" t="str">
        <f>HYPERLINK("http://141.218.60.56/~jnz1568/getInfo.php?workbook=20_14.xlsx&amp;sheet=U0&amp;row=128&amp;col=7&amp;number=0.0358&amp;sourceID=14","0.0358")</f>
        <v>0.0358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HYPERLINK("http://141.218.60.56/~jnz1568/getInfo.php?workbook=20_14.xlsx&amp;sheet=U0&amp;row=129&amp;col=6&amp;number=3.5&amp;sourceID=14","3.5")</f>
        <v>3.5</v>
      </c>
      <c r="G129" s="4" t="str">
        <f>HYPERLINK("http://141.218.60.56/~jnz1568/getInfo.php?workbook=20_14.xlsx&amp;sheet=U0&amp;row=129&amp;col=7&amp;number=0.0358&amp;sourceID=14","0.0358")</f>
        <v>0.0358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HYPERLINK("http://141.218.60.56/~jnz1568/getInfo.php?workbook=20_14.xlsx&amp;sheet=U0&amp;row=130&amp;col=6&amp;number=3.6&amp;sourceID=14","3.6")</f>
        <v>3.6</v>
      </c>
      <c r="G130" s="4" t="str">
        <f>HYPERLINK("http://141.218.60.56/~jnz1568/getInfo.php?workbook=20_14.xlsx&amp;sheet=U0&amp;row=130&amp;col=7&amp;number=0.0357&amp;sourceID=14","0.0357")</f>
        <v>0.0357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HYPERLINK("http://141.218.60.56/~jnz1568/getInfo.php?workbook=20_14.xlsx&amp;sheet=U0&amp;row=131&amp;col=6&amp;number=3.7&amp;sourceID=14","3.7")</f>
        <v>3.7</v>
      </c>
      <c r="G131" s="4" t="str">
        <f>HYPERLINK("http://141.218.60.56/~jnz1568/getInfo.php?workbook=20_14.xlsx&amp;sheet=U0&amp;row=131&amp;col=7&amp;number=0.0357&amp;sourceID=14","0.0357")</f>
        <v>0.0357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HYPERLINK("http://141.218.60.56/~jnz1568/getInfo.php?workbook=20_14.xlsx&amp;sheet=U0&amp;row=132&amp;col=6&amp;number=3.8&amp;sourceID=14","3.8")</f>
        <v>3.8</v>
      </c>
      <c r="G132" s="4" t="str">
        <f>HYPERLINK("http://141.218.60.56/~jnz1568/getInfo.php?workbook=20_14.xlsx&amp;sheet=U0&amp;row=132&amp;col=7&amp;number=0.0357&amp;sourceID=14","0.0357")</f>
        <v>0.0357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HYPERLINK("http://141.218.60.56/~jnz1568/getInfo.php?workbook=20_14.xlsx&amp;sheet=U0&amp;row=133&amp;col=6&amp;number=3.9&amp;sourceID=14","3.9")</f>
        <v>3.9</v>
      </c>
      <c r="G133" s="4" t="str">
        <f>HYPERLINK("http://141.218.60.56/~jnz1568/getInfo.php?workbook=20_14.xlsx&amp;sheet=U0&amp;row=133&amp;col=7&amp;number=0.0357&amp;sourceID=14","0.0357")</f>
        <v>0.0357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HYPERLINK("http://141.218.60.56/~jnz1568/getInfo.php?workbook=20_14.xlsx&amp;sheet=U0&amp;row=134&amp;col=6&amp;number=4&amp;sourceID=14","4")</f>
        <v>4</v>
      </c>
      <c r="G134" s="4" t="str">
        <f>HYPERLINK("http://141.218.60.56/~jnz1568/getInfo.php?workbook=20_14.xlsx&amp;sheet=U0&amp;row=134&amp;col=7&amp;number=0.0356&amp;sourceID=14","0.0356")</f>
        <v>0.0356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HYPERLINK("http://141.218.60.56/~jnz1568/getInfo.php?workbook=20_14.xlsx&amp;sheet=U0&amp;row=135&amp;col=6&amp;number=4.1&amp;sourceID=14","4.1")</f>
        <v>4.1</v>
      </c>
      <c r="G135" s="4" t="str">
        <f>HYPERLINK("http://141.218.60.56/~jnz1568/getInfo.php?workbook=20_14.xlsx&amp;sheet=U0&amp;row=135&amp;col=7&amp;number=0.0356&amp;sourceID=14","0.0356")</f>
        <v>0.0356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HYPERLINK("http://141.218.60.56/~jnz1568/getInfo.php?workbook=20_14.xlsx&amp;sheet=U0&amp;row=136&amp;col=6&amp;number=4.2&amp;sourceID=14","4.2")</f>
        <v>4.2</v>
      </c>
      <c r="G136" s="4" t="str">
        <f>HYPERLINK("http://141.218.60.56/~jnz1568/getInfo.php?workbook=20_14.xlsx&amp;sheet=U0&amp;row=136&amp;col=7&amp;number=0.0355&amp;sourceID=14","0.0355")</f>
        <v>0.0355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HYPERLINK("http://141.218.60.56/~jnz1568/getInfo.php?workbook=20_14.xlsx&amp;sheet=U0&amp;row=137&amp;col=6&amp;number=4.3&amp;sourceID=14","4.3")</f>
        <v>4.3</v>
      </c>
      <c r="G137" s="4" t="str">
        <f>HYPERLINK("http://141.218.60.56/~jnz1568/getInfo.php?workbook=20_14.xlsx&amp;sheet=U0&amp;row=137&amp;col=7&amp;number=0.0354&amp;sourceID=14","0.0354")</f>
        <v>0.0354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HYPERLINK("http://141.218.60.56/~jnz1568/getInfo.php?workbook=20_14.xlsx&amp;sheet=U0&amp;row=138&amp;col=6&amp;number=4.4&amp;sourceID=14","4.4")</f>
        <v>4.4</v>
      </c>
      <c r="G138" s="4" t="str">
        <f>HYPERLINK("http://141.218.60.56/~jnz1568/getInfo.php?workbook=20_14.xlsx&amp;sheet=U0&amp;row=138&amp;col=7&amp;number=0.0353&amp;sourceID=14","0.0353")</f>
        <v>0.0353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HYPERLINK("http://141.218.60.56/~jnz1568/getInfo.php?workbook=20_14.xlsx&amp;sheet=U0&amp;row=139&amp;col=6&amp;number=4.5&amp;sourceID=14","4.5")</f>
        <v>4.5</v>
      </c>
      <c r="G139" s="4" t="str">
        <f>HYPERLINK("http://141.218.60.56/~jnz1568/getInfo.php?workbook=20_14.xlsx&amp;sheet=U0&amp;row=139&amp;col=7&amp;number=0.0352&amp;sourceID=14","0.0352")</f>
        <v>0.0352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HYPERLINK("http://141.218.60.56/~jnz1568/getInfo.php?workbook=20_14.xlsx&amp;sheet=U0&amp;row=140&amp;col=6&amp;number=4.6&amp;sourceID=14","4.6")</f>
        <v>4.6</v>
      </c>
      <c r="G140" s="4" t="str">
        <f>HYPERLINK("http://141.218.60.56/~jnz1568/getInfo.php?workbook=20_14.xlsx&amp;sheet=U0&amp;row=140&amp;col=7&amp;number=0.0351&amp;sourceID=14","0.0351")</f>
        <v>0.0351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HYPERLINK("http://141.218.60.56/~jnz1568/getInfo.php?workbook=20_14.xlsx&amp;sheet=U0&amp;row=141&amp;col=6&amp;number=4.7&amp;sourceID=14","4.7")</f>
        <v>4.7</v>
      </c>
      <c r="G141" s="4" t="str">
        <f>HYPERLINK("http://141.218.60.56/~jnz1568/getInfo.php?workbook=20_14.xlsx&amp;sheet=U0&amp;row=141&amp;col=7&amp;number=0.0349&amp;sourceID=14","0.0349")</f>
        <v>0.0349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HYPERLINK("http://141.218.60.56/~jnz1568/getInfo.php?workbook=20_14.xlsx&amp;sheet=U0&amp;row=142&amp;col=6&amp;number=4.8&amp;sourceID=14","4.8")</f>
        <v>4.8</v>
      </c>
      <c r="G142" s="4" t="str">
        <f>HYPERLINK("http://141.218.60.56/~jnz1568/getInfo.php?workbook=20_14.xlsx&amp;sheet=U0&amp;row=142&amp;col=7&amp;number=0.0346&amp;sourceID=14","0.0346")</f>
        <v>0.0346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HYPERLINK("http://141.218.60.56/~jnz1568/getInfo.php?workbook=20_14.xlsx&amp;sheet=U0&amp;row=143&amp;col=6&amp;number=4.9&amp;sourceID=14","4.9")</f>
        <v>4.9</v>
      </c>
      <c r="G143" s="4" t="str">
        <f>HYPERLINK("http://141.218.60.56/~jnz1568/getInfo.php?workbook=20_14.xlsx&amp;sheet=U0&amp;row=143&amp;col=7&amp;number=0.0344&amp;sourceID=14","0.0344")</f>
        <v>0.0344</v>
      </c>
    </row>
    <row r="144" spans="1:7">
      <c r="A144" s="3">
        <v>20</v>
      </c>
      <c r="B144" s="3">
        <v>14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HYPERLINK("http://141.218.60.56/~jnz1568/getInfo.php?workbook=20_14.xlsx&amp;sheet=U0&amp;row=144&amp;col=6&amp;number=3&amp;sourceID=14","3")</f>
        <v>3</v>
      </c>
      <c r="G144" s="4" t="str">
        <f>HYPERLINK("http://141.218.60.56/~jnz1568/getInfo.php?workbook=20_14.xlsx&amp;sheet=U0&amp;row=144&amp;col=7&amp;number=0.00401&amp;sourceID=14","0.00401")</f>
        <v>0.00401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HYPERLINK("http://141.218.60.56/~jnz1568/getInfo.php?workbook=20_14.xlsx&amp;sheet=U0&amp;row=145&amp;col=6&amp;number=3.1&amp;sourceID=14","3.1")</f>
        <v>3.1</v>
      </c>
      <c r="G145" s="4" t="str">
        <f>HYPERLINK("http://141.218.60.56/~jnz1568/getInfo.php?workbook=20_14.xlsx&amp;sheet=U0&amp;row=145&amp;col=7&amp;number=0.00401&amp;sourceID=14","0.00401")</f>
        <v>0.00401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HYPERLINK("http://141.218.60.56/~jnz1568/getInfo.php?workbook=20_14.xlsx&amp;sheet=U0&amp;row=146&amp;col=6&amp;number=3.2&amp;sourceID=14","3.2")</f>
        <v>3.2</v>
      </c>
      <c r="G146" s="4" t="str">
        <f>HYPERLINK("http://141.218.60.56/~jnz1568/getInfo.php?workbook=20_14.xlsx&amp;sheet=U0&amp;row=146&amp;col=7&amp;number=0.00401&amp;sourceID=14","0.00401")</f>
        <v>0.00401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HYPERLINK("http://141.218.60.56/~jnz1568/getInfo.php?workbook=20_14.xlsx&amp;sheet=U0&amp;row=147&amp;col=6&amp;number=3.3&amp;sourceID=14","3.3")</f>
        <v>3.3</v>
      </c>
      <c r="G147" s="4" t="str">
        <f>HYPERLINK("http://141.218.60.56/~jnz1568/getInfo.php?workbook=20_14.xlsx&amp;sheet=U0&amp;row=147&amp;col=7&amp;number=0.00401&amp;sourceID=14","0.00401")</f>
        <v>0.00401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HYPERLINK("http://141.218.60.56/~jnz1568/getInfo.php?workbook=20_14.xlsx&amp;sheet=U0&amp;row=148&amp;col=6&amp;number=3.4&amp;sourceID=14","3.4")</f>
        <v>3.4</v>
      </c>
      <c r="G148" s="4" t="str">
        <f>HYPERLINK("http://141.218.60.56/~jnz1568/getInfo.php?workbook=20_14.xlsx&amp;sheet=U0&amp;row=148&amp;col=7&amp;number=0.00401&amp;sourceID=14","0.00401")</f>
        <v>0.00401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HYPERLINK("http://141.218.60.56/~jnz1568/getInfo.php?workbook=20_14.xlsx&amp;sheet=U0&amp;row=149&amp;col=6&amp;number=3.5&amp;sourceID=14","3.5")</f>
        <v>3.5</v>
      </c>
      <c r="G149" s="4" t="str">
        <f>HYPERLINK("http://141.218.60.56/~jnz1568/getInfo.php?workbook=20_14.xlsx&amp;sheet=U0&amp;row=149&amp;col=7&amp;number=0.00401&amp;sourceID=14","0.00401")</f>
        <v>0.00401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HYPERLINK("http://141.218.60.56/~jnz1568/getInfo.php?workbook=20_14.xlsx&amp;sheet=U0&amp;row=150&amp;col=6&amp;number=3.6&amp;sourceID=14","3.6")</f>
        <v>3.6</v>
      </c>
      <c r="G150" s="4" t="str">
        <f>HYPERLINK("http://141.218.60.56/~jnz1568/getInfo.php?workbook=20_14.xlsx&amp;sheet=U0&amp;row=150&amp;col=7&amp;number=0.00401&amp;sourceID=14","0.00401")</f>
        <v>0.00401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HYPERLINK("http://141.218.60.56/~jnz1568/getInfo.php?workbook=20_14.xlsx&amp;sheet=U0&amp;row=151&amp;col=6&amp;number=3.7&amp;sourceID=14","3.7")</f>
        <v>3.7</v>
      </c>
      <c r="G151" s="4" t="str">
        <f>HYPERLINK("http://141.218.60.56/~jnz1568/getInfo.php?workbook=20_14.xlsx&amp;sheet=U0&amp;row=151&amp;col=7&amp;number=0.00401&amp;sourceID=14","0.00401")</f>
        <v>0.00401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HYPERLINK("http://141.218.60.56/~jnz1568/getInfo.php?workbook=20_14.xlsx&amp;sheet=U0&amp;row=152&amp;col=6&amp;number=3.8&amp;sourceID=14","3.8")</f>
        <v>3.8</v>
      </c>
      <c r="G152" s="4" t="str">
        <f>HYPERLINK("http://141.218.60.56/~jnz1568/getInfo.php?workbook=20_14.xlsx&amp;sheet=U0&amp;row=152&amp;col=7&amp;number=0.00401&amp;sourceID=14","0.00401")</f>
        <v>0.00401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HYPERLINK("http://141.218.60.56/~jnz1568/getInfo.php?workbook=20_14.xlsx&amp;sheet=U0&amp;row=153&amp;col=6&amp;number=3.9&amp;sourceID=14","3.9")</f>
        <v>3.9</v>
      </c>
      <c r="G153" s="4" t="str">
        <f>HYPERLINK("http://141.218.60.56/~jnz1568/getInfo.php?workbook=20_14.xlsx&amp;sheet=U0&amp;row=153&amp;col=7&amp;number=0.00401&amp;sourceID=14","0.00401")</f>
        <v>0.00401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HYPERLINK("http://141.218.60.56/~jnz1568/getInfo.php?workbook=20_14.xlsx&amp;sheet=U0&amp;row=154&amp;col=6&amp;number=4&amp;sourceID=14","4")</f>
        <v>4</v>
      </c>
      <c r="G154" s="4" t="str">
        <f>HYPERLINK("http://141.218.60.56/~jnz1568/getInfo.php?workbook=20_14.xlsx&amp;sheet=U0&amp;row=154&amp;col=7&amp;number=0.00401&amp;sourceID=14","0.00401")</f>
        <v>0.00401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HYPERLINK("http://141.218.60.56/~jnz1568/getInfo.php?workbook=20_14.xlsx&amp;sheet=U0&amp;row=155&amp;col=6&amp;number=4.1&amp;sourceID=14","4.1")</f>
        <v>4.1</v>
      </c>
      <c r="G155" s="4" t="str">
        <f>HYPERLINK("http://141.218.60.56/~jnz1568/getInfo.php?workbook=20_14.xlsx&amp;sheet=U0&amp;row=155&amp;col=7&amp;number=0.004&amp;sourceID=14","0.004")</f>
        <v>0.004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HYPERLINK("http://141.218.60.56/~jnz1568/getInfo.php?workbook=20_14.xlsx&amp;sheet=U0&amp;row=156&amp;col=6&amp;number=4.2&amp;sourceID=14","4.2")</f>
        <v>4.2</v>
      </c>
      <c r="G156" s="4" t="str">
        <f>HYPERLINK("http://141.218.60.56/~jnz1568/getInfo.php?workbook=20_14.xlsx&amp;sheet=U0&amp;row=156&amp;col=7&amp;number=0.004&amp;sourceID=14","0.004")</f>
        <v>0.004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HYPERLINK("http://141.218.60.56/~jnz1568/getInfo.php?workbook=20_14.xlsx&amp;sheet=U0&amp;row=157&amp;col=6&amp;number=4.3&amp;sourceID=14","4.3")</f>
        <v>4.3</v>
      </c>
      <c r="G157" s="4" t="str">
        <f>HYPERLINK("http://141.218.60.56/~jnz1568/getInfo.php?workbook=20_14.xlsx&amp;sheet=U0&amp;row=157&amp;col=7&amp;number=0.004&amp;sourceID=14","0.004")</f>
        <v>0.004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HYPERLINK("http://141.218.60.56/~jnz1568/getInfo.php?workbook=20_14.xlsx&amp;sheet=U0&amp;row=158&amp;col=6&amp;number=4.4&amp;sourceID=14","4.4")</f>
        <v>4.4</v>
      </c>
      <c r="G158" s="4" t="str">
        <f>HYPERLINK("http://141.218.60.56/~jnz1568/getInfo.php?workbook=20_14.xlsx&amp;sheet=U0&amp;row=158&amp;col=7&amp;number=0.004&amp;sourceID=14","0.004")</f>
        <v>0.004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HYPERLINK("http://141.218.60.56/~jnz1568/getInfo.php?workbook=20_14.xlsx&amp;sheet=U0&amp;row=159&amp;col=6&amp;number=4.5&amp;sourceID=14","4.5")</f>
        <v>4.5</v>
      </c>
      <c r="G159" s="4" t="str">
        <f>HYPERLINK("http://141.218.60.56/~jnz1568/getInfo.php?workbook=20_14.xlsx&amp;sheet=U0&amp;row=159&amp;col=7&amp;number=0.004&amp;sourceID=14","0.004")</f>
        <v>0.004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HYPERLINK("http://141.218.60.56/~jnz1568/getInfo.php?workbook=20_14.xlsx&amp;sheet=U0&amp;row=160&amp;col=6&amp;number=4.6&amp;sourceID=14","4.6")</f>
        <v>4.6</v>
      </c>
      <c r="G160" s="4" t="str">
        <f>HYPERLINK("http://141.218.60.56/~jnz1568/getInfo.php?workbook=20_14.xlsx&amp;sheet=U0&amp;row=160&amp;col=7&amp;number=0.004&amp;sourceID=14","0.004")</f>
        <v>0.004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HYPERLINK("http://141.218.60.56/~jnz1568/getInfo.php?workbook=20_14.xlsx&amp;sheet=U0&amp;row=161&amp;col=6&amp;number=4.7&amp;sourceID=14","4.7")</f>
        <v>4.7</v>
      </c>
      <c r="G161" s="4" t="str">
        <f>HYPERLINK("http://141.218.60.56/~jnz1568/getInfo.php?workbook=20_14.xlsx&amp;sheet=U0&amp;row=161&amp;col=7&amp;number=0.00399&amp;sourceID=14","0.00399")</f>
        <v>0.00399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HYPERLINK("http://141.218.60.56/~jnz1568/getInfo.php?workbook=20_14.xlsx&amp;sheet=U0&amp;row=162&amp;col=6&amp;number=4.8&amp;sourceID=14","4.8")</f>
        <v>4.8</v>
      </c>
      <c r="G162" s="4" t="str">
        <f>HYPERLINK("http://141.218.60.56/~jnz1568/getInfo.php?workbook=20_14.xlsx&amp;sheet=U0&amp;row=162&amp;col=7&amp;number=0.00399&amp;sourceID=14","0.00399")</f>
        <v>0.00399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HYPERLINK("http://141.218.60.56/~jnz1568/getInfo.php?workbook=20_14.xlsx&amp;sheet=U0&amp;row=163&amp;col=6&amp;number=4.9&amp;sourceID=14","4.9")</f>
        <v>4.9</v>
      </c>
      <c r="G163" s="4" t="str">
        <f>HYPERLINK("http://141.218.60.56/~jnz1568/getInfo.php?workbook=20_14.xlsx&amp;sheet=U0&amp;row=163&amp;col=7&amp;number=0.00398&amp;sourceID=14","0.00398")</f>
        <v>0.00398</v>
      </c>
    </row>
    <row r="164" spans="1:7">
      <c r="A164" s="3">
        <v>20</v>
      </c>
      <c r="B164" s="3">
        <v>14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HYPERLINK("http://141.218.60.56/~jnz1568/getInfo.php?workbook=20_14.xlsx&amp;sheet=U0&amp;row=164&amp;col=6&amp;number=3&amp;sourceID=14","3")</f>
        <v>3</v>
      </c>
      <c r="G164" s="4" t="str">
        <f>HYPERLINK("http://141.218.60.56/~jnz1568/getInfo.php?workbook=20_14.xlsx&amp;sheet=U0&amp;row=164&amp;col=7&amp;number=0.00387&amp;sourceID=14","0.00387")</f>
        <v>0.00387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HYPERLINK("http://141.218.60.56/~jnz1568/getInfo.php?workbook=20_14.xlsx&amp;sheet=U0&amp;row=165&amp;col=6&amp;number=3.1&amp;sourceID=14","3.1")</f>
        <v>3.1</v>
      </c>
      <c r="G165" s="4" t="str">
        <f>HYPERLINK("http://141.218.60.56/~jnz1568/getInfo.php?workbook=20_14.xlsx&amp;sheet=U0&amp;row=165&amp;col=7&amp;number=0.00387&amp;sourceID=14","0.00387")</f>
        <v>0.00387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HYPERLINK("http://141.218.60.56/~jnz1568/getInfo.php?workbook=20_14.xlsx&amp;sheet=U0&amp;row=166&amp;col=6&amp;number=3.2&amp;sourceID=14","3.2")</f>
        <v>3.2</v>
      </c>
      <c r="G166" s="4" t="str">
        <f>HYPERLINK("http://141.218.60.56/~jnz1568/getInfo.php?workbook=20_14.xlsx&amp;sheet=U0&amp;row=166&amp;col=7&amp;number=0.00387&amp;sourceID=14","0.00387")</f>
        <v>0.00387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HYPERLINK("http://141.218.60.56/~jnz1568/getInfo.php?workbook=20_14.xlsx&amp;sheet=U0&amp;row=167&amp;col=6&amp;number=3.3&amp;sourceID=14","3.3")</f>
        <v>3.3</v>
      </c>
      <c r="G167" s="4" t="str">
        <f>HYPERLINK("http://141.218.60.56/~jnz1568/getInfo.php?workbook=20_14.xlsx&amp;sheet=U0&amp;row=167&amp;col=7&amp;number=0.00387&amp;sourceID=14","0.00387")</f>
        <v>0.00387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HYPERLINK("http://141.218.60.56/~jnz1568/getInfo.php?workbook=20_14.xlsx&amp;sheet=U0&amp;row=168&amp;col=6&amp;number=3.4&amp;sourceID=14","3.4")</f>
        <v>3.4</v>
      </c>
      <c r="G168" s="4" t="str">
        <f>HYPERLINK("http://141.218.60.56/~jnz1568/getInfo.php?workbook=20_14.xlsx&amp;sheet=U0&amp;row=168&amp;col=7&amp;number=0.00387&amp;sourceID=14","0.00387")</f>
        <v>0.00387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HYPERLINK("http://141.218.60.56/~jnz1568/getInfo.php?workbook=20_14.xlsx&amp;sheet=U0&amp;row=169&amp;col=6&amp;number=3.5&amp;sourceID=14","3.5")</f>
        <v>3.5</v>
      </c>
      <c r="G169" s="4" t="str">
        <f>HYPERLINK("http://141.218.60.56/~jnz1568/getInfo.php?workbook=20_14.xlsx&amp;sheet=U0&amp;row=169&amp;col=7&amp;number=0.00387&amp;sourceID=14","0.00387")</f>
        <v>0.00387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HYPERLINK("http://141.218.60.56/~jnz1568/getInfo.php?workbook=20_14.xlsx&amp;sheet=U0&amp;row=170&amp;col=6&amp;number=3.6&amp;sourceID=14","3.6")</f>
        <v>3.6</v>
      </c>
      <c r="G170" s="4" t="str">
        <f>HYPERLINK("http://141.218.60.56/~jnz1568/getInfo.php?workbook=20_14.xlsx&amp;sheet=U0&amp;row=170&amp;col=7&amp;number=0.00386&amp;sourceID=14","0.00386")</f>
        <v>0.00386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HYPERLINK("http://141.218.60.56/~jnz1568/getInfo.php?workbook=20_14.xlsx&amp;sheet=U0&amp;row=171&amp;col=6&amp;number=3.7&amp;sourceID=14","3.7")</f>
        <v>3.7</v>
      </c>
      <c r="G171" s="4" t="str">
        <f>HYPERLINK("http://141.218.60.56/~jnz1568/getInfo.php?workbook=20_14.xlsx&amp;sheet=U0&amp;row=171&amp;col=7&amp;number=0.00386&amp;sourceID=14","0.00386")</f>
        <v>0.00386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HYPERLINK("http://141.218.60.56/~jnz1568/getInfo.php?workbook=20_14.xlsx&amp;sheet=U0&amp;row=172&amp;col=6&amp;number=3.8&amp;sourceID=14","3.8")</f>
        <v>3.8</v>
      </c>
      <c r="G172" s="4" t="str">
        <f>HYPERLINK("http://141.218.60.56/~jnz1568/getInfo.php?workbook=20_14.xlsx&amp;sheet=U0&amp;row=172&amp;col=7&amp;number=0.00386&amp;sourceID=14","0.00386")</f>
        <v>0.00386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HYPERLINK("http://141.218.60.56/~jnz1568/getInfo.php?workbook=20_14.xlsx&amp;sheet=U0&amp;row=173&amp;col=6&amp;number=3.9&amp;sourceID=14","3.9")</f>
        <v>3.9</v>
      </c>
      <c r="G173" s="4" t="str">
        <f>HYPERLINK("http://141.218.60.56/~jnz1568/getInfo.php?workbook=20_14.xlsx&amp;sheet=U0&amp;row=173&amp;col=7&amp;number=0.00386&amp;sourceID=14","0.00386")</f>
        <v>0.00386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HYPERLINK("http://141.218.60.56/~jnz1568/getInfo.php?workbook=20_14.xlsx&amp;sheet=U0&amp;row=174&amp;col=6&amp;number=4&amp;sourceID=14","4")</f>
        <v>4</v>
      </c>
      <c r="G174" s="4" t="str">
        <f>HYPERLINK("http://141.218.60.56/~jnz1568/getInfo.php?workbook=20_14.xlsx&amp;sheet=U0&amp;row=174&amp;col=7&amp;number=0.00385&amp;sourceID=14","0.00385")</f>
        <v>0.00385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HYPERLINK("http://141.218.60.56/~jnz1568/getInfo.php?workbook=20_14.xlsx&amp;sheet=U0&amp;row=175&amp;col=6&amp;number=4.1&amp;sourceID=14","4.1")</f>
        <v>4.1</v>
      </c>
      <c r="G175" s="4" t="str">
        <f>HYPERLINK("http://141.218.60.56/~jnz1568/getInfo.php?workbook=20_14.xlsx&amp;sheet=U0&amp;row=175&amp;col=7&amp;number=0.00385&amp;sourceID=14","0.00385")</f>
        <v>0.00385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HYPERLINK("http://141.218.60.56/~jnz1568/getInfo.php?workbook=20_14.xlsx&amp;sheet=U0&amp;row=176&amp;col=6&amp;number=4.2&amp;sourceID=14","4.2")</f>
        <v>4.2</v>
      </c>
      <c r="G176" s="4" t="str">
        <f>HYPERLINK("http://141.218.60.56/~jnz1568/getInfo.php?workbook=20_14.xlsx&amp;sheet=U0&amp;row=176&amp;col=7&amp;number=0.00384&amp;sourceID=14","0.00384")</f>
        <v>0.00384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HYPERLINK("http://141.218.60.56/~jnz1568/getInfo.php?workbook=20_14.xlsx&amp;sheet=U0&amp;row=177&amp;col=6&amp;number=4.3&amp;sourceID=14","4.3")</f>
        <v>4.3</v>
      </c>
      <c r="G177" s="4" t="str">
        <f>HYPERLINK("http://141.218.60.56/~jnz1568/getInfo.php?workbook=20_14.xlsx&amp;sheet=U0&amp;row=177&amp;col=7&amp;number=0.00383&amp;sourceID=14","0.00383")</f>
        <v>0.00383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HYPERLINK("http://141.218.60.56/~jnz1568/getInfo.php?workbook=20_14.xlsx&amp;sheet=U0&amp;row=178&amp;col=6&amp;number=4.4&amp;sourceID=14","4.4")</f>
        <v>4.4</v>
      </c>
      <c r="G178" s="4" t="str">
        <f>HYPERLINK("http://141.218.60.56/~jnz1568/getInfo.php?workbook=20_14.xlsx&amp;sheet=U0&amp;row=178&amp;col=7&amp;number=0.00382&amp;sourceID=14","0.00382")</f>
        <v>0.00382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HYPERLINK("http://141.218.60.56/~jnz1568/getInfo.php?workbook=20_14.xlsx&amp;sheet=U0&amp;row=179&amp;col=6&amp;number=4.5&amp;sourceID=14","4.5")</f>
        <v>4.5</v>
      </c>
      <c r="G179" s="4" t="str">
        <f>HYPERLINK("http://141.218.60.56/~jnz1568/getInfo.php?workbook=20_14.xlsx&amp;sheet=U0&amp;row=179&amp;col=7&amp;number=0.00381&amp;sourceID=14","0.00381")</f>
        <v>0.00381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HYPERLINK("http://141.218.60.56/~jnz1568/getInfo.php?workbook=20_14.xlsx&amp;sheet=U0&amp;row=180&amp;col=6&amp;number=4.6&amp;sourceID=14","4.6")</f>
        <v>4.6</v>
      </c>
      <c r="G180" s="4" t="str">
        <f>HYPERLINK("http://141.218.60.56/~jnz1568/getInfo.php?workbook=20_14.xlsx&amp;sheet=U0&amp;row=180&amp;col=7&amp;number=0.00379&amp;sourceID=14","0.00379")</f>
        <v>0.00379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HYPERLINK("http://141.218.60.56/~jnz1568/getInfo.php?workbook=20_14.xlsx&amp;sheet=U0&amp;row=181&amp;col=6&amp;number=4.7&amp;sourceID=14","4.7")</f>
        <v>4.7</v>
      </c>
      <c r="G181" s="4" t="str">
        <f>HYPERLINK("http://141.218.60.56/~jnz1568/getInfo.php?workbook=20_14.xlsx&amp;sheet=U0&amp;row=181&amp;col=7&amp;number=0.00377&amp;sourceID=14","0.00377")</f>
        <v>0.00377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HYPERLINK("http://141.218.60.56/~jnz1568/getInfo.php?workbook=20_14.xlsx&amp;sheet=U0&amp;row=182&amp;col=6&amp;number=4.8&amp;sourceID=14","4.8")</f>
        <v>4.8</v>
      </c>
      <c r="G182" s="4" t="str">
        <f>HYPERLINK("http://141.218.60.56/~jnz1568/getInfo.php?workbook=20_14.xlsx&amp;sheet=U0&amp;row=182&amp;col=7&amp;number=0.00375&amp;sourceID=14","0.00375")</f>
        <v>0.00375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HYPERLINK("http://141.218.60.56/~jnz1568/getInfo.php?workbook=20_14.xlsx&amp;sheet=U0&amp;row=183&amp;col=6&amp;number=4.9&amp;sourceID=14","4.9")</f>
        <v>4.9</v>
      </c>
      <c r="G183" s="4" t="str">
        <f>HYPERLINK("http://141.218.60.56/~jnz1568/getInfo.php?workbook=20_14.xlsx&amp;sheet=U0&amp;row=183&amp;col=7&amp;number=0.00371&amp;sourceID=14","0.00371")</f>
        <v>0.00371</v>
      </c>
    </row>
    <row r="184" spans="1:7">
      <c r="A184" s="3">
        <v>20</v>
      </c>
      <c r="B184" s="3">
        <v>14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HYPERLINK("http://141.218.60.56/~jnz1568/getInfo.php?workbook=20_14.xlsx&amp;sheet=U0&amp;row=184&amp;col=6&amp;number=3&amp;sourceID=14","3")</f>
        <v>3</v>
      </c>
      <c r="G184" s="4" t="str">
        <f>HYPERLINK("http://141.218.60.56/~jnz1568/getInfo.php?workbook=20_14.xlsx&amp;sheet=U0&amp;row=184&amp;col=7&amp;number=0.449&amp;sourceID=14","0.449")</f>
        <v>0.449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HYPERLINK("http://141.218.60.56/~jnz1568/getInfo.php?workbook=20_14.xlsx&amp;sheet=U0&amp;row=185&amp;col=6&amp;number=3.1&amp;sourceID=14","3.1")</f>
        <v>3.1</v>
      </c>
      <c r="G185" s="4" t="str">
        <f>HYPERLINK("http://141.218.60.56/~jnz1568/getInfo.php?workbook=20_14.xlsx&amp;sheet=U0&amp;row=185&amp;col=7&amp;number=0.449&amp;sourceID=14","0.449")</f>
        <v>0.449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HYPERLINK("http://141.218.60.56/~jnz1568/getInfo.php?workbook=20_14.xlsx&amp;sheet=U0&amp;row=186&amp;col=6&amp;number=3.2&amp;sourceID=14","3.2")</f>
        <v>3.2</v>
      </c>
      <c r="G186" s="4" t="str">
        <f>HYPERLINK("http://141.218.60.56/~jnz1568/getInfo.php?workbook=20_14.xlsx&amp;sheet=U0&amp;row=186&amp;col=7&amp;number=0.449&amp;sourceID=14","0.449")</f>
        <v>0.449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HYPERLINK("http://141.218.60.56/~jnz1568/getInfo.php?workbook=20_14.xlsx&amp;sheet=U0&amp;row=187&amp;col=6&amp;number=3.3&amp;sourceID=14","3.3")</f>
        <v>3.3</v>
      </c>
      <c r="G187" s="4" t="str">
        <f>HYPERLINK("http://141.218.60.56/~jnz1568/getInfo.php?workbook=20_14.xlsx&amp;sheet=U0&amp;row=187&amp;col=7&amp;number=0.449&amp;sourceID=14","0.449")</f>
        <v>0.449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HYPERLINK("http://141.218.60.56/~jnz1568/getInfo.php?workbook=20_14.xlsx&amp;sheet=U0&amp;row=188&amp;col=6&amp;number=3.4&amp;sourceID=14","3.4")</f>
        <v>3.4</v>
      </c>
      <c r="G188" s="4" t="str">
        <f>HYPERLINK("http://141.218.60.56/~jnz1568/getInfo.php?workbook=20_14.xlsx&amp;sheet=U0&amp;row=188&amp;col=7&amp;number=0.449&amp;sourceID=14","0.449")</f>
        <v>0.449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HYPERLINK("http://141.218.60.56/~jnz1568/getInfo.php?workbook=20_14.xlsx&amp;sheet=U0&amp;row=189&amp;col=6&amp;number=3.5&amp;sourceID=14","3.5")</f>
        <v>3.5</v>
      </c>
      <c r="G189" s="4" t="str">
        <f>HYPERLINK("http://141.218.60.56/~jnz1568/getInfo.php?workbook=20_14.xlsx&amp;sheet=U0&amp;row=189&amp;col=7&amp;number=0.449&amp;sourceID=14","0.449")</f>
        <v>0.449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HYPERLINK("http://141.218.60.56/~jnz1568/getInfo.php?workbook=20_14.xlsx&amp;sheet=U0&amp;row=190&amp;col=6&amp;number=3.6&amp;sourceID=14","3.6")</f>
        <v>3.6</v>
      </c>
      <c r="G190" s="4" t="str">
        <f>HYPERLINK("http://141.218.60.56/~jnz1568/getInfo.php?workbook=20_14.xlsx&amp;sheet=U0&amp;row=190&amp;col=7&amp;number=0.45&amp;sourceID=14","0.45")</f>
        <v>0.45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HYPERLINK("http://141.218.60.56/~jnz1568/getInfo.php?workbook=20_14.xlsx&amp;sheet=U0&amp;row=191&amp;col=6&amp;number=3.7&amp;sourceID=14","3.7")</f>
        <v>3.7</v>
      </c>
      <c r="G191" s="4" t="str">
        <f>HYPERLINK("http://141.218.60.56/~jnz1568/getInfo.php?workbook=20_14.xlsx&amp;sheet=U0&amp;row=191&amp;col=7&amp;number=0.45&amp;sourceID=14","0.45")</f>
        <v>0.45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HYPERLINK("http://141.218.60.56/~jnz1568/getInfo.php?workbook=20_14.xlsx&amp;sheet=U0&amp;row=192&amp;col=6&amp;number=3.8&amp;sourceID=14","3.8")</f>
        <v>3.8</v>
      </c>
      <c r="G192" s="4" t="str">
        <f>HYPERLINK("http://141.218.60.56/~jnz1568/getInfo.php?workbook=20_14.xlsx&amp;sheet=U0&amp;row=192&amp;col=7&amp;number=0.451&amp;sourceID=14","0.451")</f>
        <v>0.451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HYPERLINK("http://141.218.60.56/~jnz1568/getInfo.php?workbook=20_14.xlsx&amp;sheet=U0&amp;row=193&amp;col=6&amp;number=3.9&amp;sourceID=14","3.9")</f>
        <v>3.9</v>
      </c>
      <c r="G193" s="4" t="str">
        <f>HYPERLINK("http://141.218.60.56/~jnz1568/getInfo.php?workbook=20_14.xlsx&amp;sheet=U0&amp;row=193&amp;col=7&amp;number=0.452&amp;sourceID=14","0.452")</f>
        <v>0.452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HYPERLINK("http://141.218.60.56/~jnz1568/getInfo.php?workbook=20_14.xlsx&amp;sheet=U0&amp;row=194&amp;col=6&amp;number=4&amp;sourceID=14","4")</f>
        <v>4</v>
      </c>
      <c r="G194" s="4" t="str">
        <f>HYPERLINK("http://141.218.60.56/~jnz1568/getInfo.php?workbook=20_14.xlsx&amp;sheet=U0&amp;row=194&amp;col=7&amp;number=0.452&amp;sourceID=14","0.452")</f>
        <v>0.452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HYPERLINK("http://141.218.60.56/~jnz1568/getInfo.php?workbook=20_14.xlsx&amp;sheet=U0&amp;row=195&amp;col=6&amp;number=4.1&amp;sourceID=14","4.1")</f>
        <v>4.1</v>
      </c>
      <c r="G195" s="4" t="str">
        <f>HYPERLINK("http://141.218.60.56/~jnz1568/getInfo.php?workbook=20_14.xlsx&amp;sheet=U0&amp;row=195&amp;col=7&amp;number=0.454&amp;sourceID=14","0.454")</f>
        <v>0.454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HYPERLINK("http://141.218.60.56/~jnz1568/getInfo.php?workbook=20_14.xlsx&amp;sheet=U0&amp;row=196&amp;col=6&amp;number=4.2&amp;sourceID=14","4.2")</f>
        <v>4.2</v>
      </c>
      <c r="G196" s="4" t="str">
        <f>HYPERLINK("http://141.218.60.56/~jnz1568/getInfo.php?workbook=20_14.xlsx&amp;sheet=U0&amp;row=196&amp;col=7&amp;number=0.455&amp;sourceID=14","0.455")</f>
        <v>0.455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HYPERLINK("http://141.218.60.56/~jnz1568/getInfo.php?workbook=20_14.xlsx&amp;sheet=U0&amp;row=197&amp;col=6&amp;number=4.3&amp;sourceID=14","4.3")</f>
        <v>4.3</v>
      </c>
      <c r="G197" s="4" t="str">
        <f>HYPERLINK("http://141.218.60.56/~jnz1568/getInfo.php?workbook=20_14.xlsx&amp;sheet=U0&amp;row=197&amp;col=7&amp;number=0.457&amp;sourceID=14","0.457")</f>
        <v>0.457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HYPERLINK("http://141.218.60.56/~jnz1568/getInfo.php?workbook=20_14.xlsx&amp;sheet=U0&amp;row=198&amp;col=6&amp;number=4.4&amp;sourceID=14","4.4")</f>
        <v>4.4</v>
      </c>
      <c r="G198" s="4" t="str">
        <f>HYPERLINK("http://141.218.60.56/~jnz1568/getInfo.php?workbook=20_14.xlsx&amp;sheet=U0&amp;row=198&amp;col=7&amp;number=0.459&amp;sourceID=14","0.459")</f>
        <v>0.459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HYPERLINK("http://141.218.60.56/~jnz1568/getInfo.php?workbook=20_14.xlsx&amp;sheet=U0&amp;row=199&amp;col=6&amp;number=4.5&amp;sourceID=14","4.5")</f>
        <v>4.5</v>
      </c>
      <c r="G199" s="4" t="str">
        <f>HYPERLINK("http://141.218.60.56/~jnz1568/getInfo.php?workbook=20_14.xlsx&amp;sheet=U0&amp;row=199&amp;col=7&amp;number=0.461&amp;sourceID=14","0.461")</f>
        <v>0.461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HYPERLINK("http://141.218.60.56/~jnz1568/getInfo.php?workbook=20_14.xlsx&amp;sheet=U0&amp;row=200&amp;col=6&amp;number=4.6&amp;sourceID=14","4.6")</f>
        <v>4.6</v>
      </c>
      <c r="G200" s="4" t="str">
        <f>HYPERLINK("http://141.218.60.56/~jnz1568/getInfo.php?workbook=20_14.xlsx&amp;sheet=U0&amp;row=200&amp;col=7&amp;number=0.465&amp;sourceID=14","0.465")</f>
        <v>0.465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HYPERLINK("http://141.218.60.56/~jnz1568/getInfo.php?workbook=20_14.xlsx&amp;sheet=U0&amp;row=201&amp;col=6&amp;number=4.7&amp;sourceID=14","4.7")</f>
        <v>4.7</v>
      </c>
      <c r="G201" s="4" t="str">
        <f>HYPERLINK("http://141.218.60.56/~jnz1568/getInfo.php?workbook=20_14.xlsx&amp;sheet=U0&amp;row=201&amp;col=7&amp;number=0.469&amp;sourceID=14","0.469")</f>
        <v>0.469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HYPERLINK("http://141.218.60.56/~jnz1568/getInfo.php?workbook=20_14.xlsx&amp;sheet=U0&amp;row=202&amp;col=6&amp;number=4.8&amp;sourceID=14","4.8")</f>
        <v>4.8</v>
      </c>
      <c r="G202" s="4" t="str">
        <f>HYPERLINK("http://141.218.60.56/~jnz1568/getInfo.php?workbook=20_14.xlsx&amp;sheet=U0&amp;row=202&amp;col=7&amp;number=0.474&amp;sourceID=14","0.474")</f>
        <v>0.474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HYPERLINK("http://141.218.60.56/~jnz1568/getInfo.php?workbook=20_14.xlsx&amp;sheet=U0&amp;row=203&amp;col=6&amp;number=4.9&amp;sourceID=14","4.9")</f>
        <v>4.9</v>
      </c>
      <c r="G203" s="4" t="str">
        <f>HYPERLINK("http://141.218.60.56/~jnz1568/getInfo.php?workbook=20_14.xlsx&amp;sheet=U0&amp;row=203&amp;col=7&amp;number=0.48&amp;sourceID=14","0.48")</f>
        <v>0.48</v>
      </c>
    </row>
    <row r="204" spans="1:7">
      <c r="A204" s="3">
        <v>20</v>
      </c>
      <c r="B204" s="3">
        <v>14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HYPERLINK("http://141.218.60.56/~jnz1568/getInfo.php?workbook=20_14.xlsx&amp;sheet=U0&amp;row=204&amp;col=6&amp;number=3&amp;sourceID=14","3")</f>
        <v>3</v>
      </c>
      <c r="G204" s="4" t="str">
        <f>HYPERLINK("http://141.218.60.56/~jnz1568/getInfo.php?workbook=20_14.xlsx&amp;sheet=U0&amp;row=204&amp;col=7&amp;number=0.0122&amp;sourceID=14","0.0122")</f>
        <v>0.0122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HYPERLINK("http://141.218.60.56/~jnz1568/getInfo.php?workbook=20_14.xlsx&amp;sheet=U0&amp;row=205&amp;col=6&amp;number=3.1&amp;sourceID=14","3.1")</f>
        <v>3.1</v>
      </c>
      <c r="G205" s="4" t="str">
        <f>HYPERLINK("http://141.218.60.56/~jnz1568/getInfo.php?workbook=20_14.xlsx&amp;sheet=U0&amp;row=205&amp;col=7&amp;number=0.0122&amp;sourceID=14","0.0122")</f>
        <v>0.0122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HYPERLINK("http://141.218.60.56/~jnz1568/getInfo.php?workbook=20_14.xlsx&amp;sheet=U0&amp;row=206&amp;col=6&amp;number=3.2&amp;sourceID=14","3.2")</f>
        <v>3.2</v>
      </c>
      <c r="G206" s="4" t="str">
        <f>HYPERLINK("http://141.218.60.56/~jnz1568/getInfo.php?workbook=20_14.xlsx&amp;sheet=U0&amp;row=206&amp;col=7&amp;number=0.0122&amp;sourceID=14","0.0122")</f>
        <v>0.0122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HYPERLINK("http://141.218.60.56/~jnz1568/getInfo.php?workbook=20_14.xlsx&amp;sheet=U0&amp;row=207&amp;col=6&amp;number=3.3&amp;sourceID=14","3.3")</f>
        <v>3.3</v>
      </c>
      <c r="G207" s="4" t="str">
        <f>HYPERLINK("http://141.218.60.56/~jnz1568/getInfo.php?workbook=20_14.xlsx&amp;sheet=U0&amp;row=207&amp;col=7&amp;number=0.0122&amp;sourceID=14","0.0122")</f>
        <v>0.0122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HYPERLINK("http://141.218.60.56/~jnz1568/getInfo.php?workbook=20_14.xlsx&amp;sheet=U0&amp;row=208&amp;col=6&amp;number=3.4&amp;sourceID=14","3.4")</f>
        <v>3.4</v>
      </c>
      <c r="G208" s="4" t="str">
        <f>HYPERLINK("http://141.218.60.56/~jnz1568/getInfo.php?workbook=20_14.xlsx&amp;sheet=U0&amp;row=208&amp;col=7&amp;number=0.0122&amp;sourceID=14","0.0122")</f>
        <v>0.0122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HYPERLINK("http://141.218.60.56/~jnz1568/getInfo.php?workbook=20_14.xlsx&amp;sheet=U0&amp;row=209&amp;col=6&amp;number=3.5&amp;sourceID=14","3.5")</f>
        <v>3.5</v>
      </c>
      <c r="G209" s="4" t="str">
        <f>HYPERLINK("http://141.218.60.56/~jnz1568/getInfo.php?workbook=20_14.xlsx&amp;sheet=U0&amp;row=209&amp;col=7&amp;number=0.0122&amp;sourceID=14","0.0122")</f>
        <v>0.0122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HYPERLINK("http://141.218.60.56/~jnz1568/getInfo.php?workbook=20_14.xlsx&amp;sheet=U0&amp;row=210&amp;col=6&amp;number=3.6&amp;sourceID=14","3.6")</f>
        <v>3.6</v>
      </c>
      <c r="G210" s="4" t="str">
        <f>HYPERLINK("http://141.218.60.56/~jnz1568/getInfo.php?workbook=20_14.xlsx&amp;sheet=U0&amp;row=210&amp;col=7&amp;number=0.0122&amp;sourceID=14","0.0122")</f>
        <v>0.0122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HYPERLINK("http://141.218.60.56/~jnz1568/getInfo.php?workbook=20_14.xlsx&amp;sheet=U0&amp;row=211&amp;col=6&amp;number=3.7&amp;sourceID=14","3.7")</f>
        <v>3.7</v>
      </c>
      <c r="G211" s="4" t="str">
        <f>HYPERLINK("http://141.218.60.56/~jnz1568/getInfo.php?workbook=20_14.xlsx&amp;sheet=U0&amp;row=211&amp;col=7&amp;number=0.0122&amp;sourceID=14","0.0122")</f>
        <v>0.0122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HYPERLINK("http://141.218.60.56/~jnz1568/getInfo.php?workbook=20_14.xlsx&amp;sheet=U0&amp;row=212&amp;col=6&amp;number=3.8&amp;sourceID=14","3.8")</f>
        <v>3.8</v>
      </c>
      <c r="G212" s="4" t="str">
        <f>HYPERLINK("http://141.218.60.56/~jnz1568/getInfo.php?workbook=20_14.xlsx&amp;sheet=U0&amp;row=212&amp;col=7&amp;number=0.0122&amp;sourceID=14","0.0122")</f>
        <v>0.0122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HYPERLINK("http://141.218.60.56/~jnz1568/getInfo.php?workbook=20_14.xlsx&amp;sheet=U0&amp;row=213&amp;col=6&amp;number=3.9&amp;sourceID=14","3.9")</f>
        <v>3.9</v>
      </c>
      <c r="G213" s="4" t="str">
        <f>HYPERLINK("http://141.218.60.56/~jnz1568/getInfo.php?workbook=20_14.xlsx&amp;sheet=U0&amp;row=213&amp;col=7&amp;number=0.0122&amp;sourceID=14","0.0122")</f>
        <v>0.0122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HYPERLINK("http://141.218.60.56/~jnz1568/getInfo.php?workbook=20_14.xlsx&amp;sheet=U0&amp;row=214&amp;col=6&amp;number=4&amp;sourceID=14","4")</f>
        <v>4</v>
      </c>
      <c r="G214" s="4" t="str">
        <f>HYPERLINK("http://141.218.60.56/~jnz1568/getInfo.php?workbook=20_14.xlsx&amp;sheet=U0&amp;row=214&amp;col=7&amp;number=0.0122&amp;sourceID=14","0.0122")</f>
        <v>0.0122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HYPERLINK("http://141.218.60.56/~jnz1568/getInfo.php?workbook=20_14.xlsx&amp;sheet=U0&amp;row=215&amp;col=6&amp;number=4.1&amp;sourceID=14","4.1")</f>
        <v>4.1</v>
      </c>
      <c r="G215" s="4" t="str">
        <f>HYPERLINK("http://141.218.60.56/~jnz1568/getInfo.php?workbook=20_14.xlsx&amp;sheet=U0&amp;row=215&amp;col=7&amp;number=0.0122&amp;sourceID=14","0.0122")</f>
        <v>0.0122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HYPERLINK("http://141.218.60.56/~jnz1568/getInfo.php?workbook=20_14.xlsx&amp;sheet=U0&amp;row=216&amp;col=6&amp;number=4.2&amp;sourceID=14","4.2")</f>
        <v>4.2</v>
      </c>
      <c r="G216" s="4" t="str">
        <f>HYPERLINK("http://141.218.60.56/~jnz1568/getInfo.php?workbook=20_14.xlsx&amp;sheet=U0&amp;row=216&amp;col=7&amp;number=0.0121&amp;sourceID=14","0.0121")</f>
        <v>0.0121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HYPERLINK("http://141.218.60.56/~jnz1568/getInfo.php?workbook=20_14.xlsx&amp;sheet=U0&amp;row=217&amp;col=6&amp;number=4.3&amp;sourceID=14","4.3")</f>
        <v>4.3</v>
      </c>
      <c r="G217" s="4" t="str">
        <f>HYPERLINK("http://141.218.60.56/~jnz1568/getInfo.php?workbook=20_14.xlsx&amp;sheet=U0&amp;row=217&amp;col=7&amp;number=0.0121&amp;sourceID=14","0.0121")</f>
        <v>0.0121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HYPERLINK("http://141.218.60.56/~jnz1568/getInfo.php?workbook=20_14.xlsx&amp;sheet=U0&amp;row=218&amp;col=6&amp;number=4.4&amp;sourceID=14","4.4")</f>
        <v>4.4</v>
      </c>
      <c r="G218" s="4" t="str">
        <f>HYPERLINK("http://141.218.60.56/~jnz1568/getInfo.php?workbook=20_14.xlsx&amp;sheet=U0&amp;row=218&amp;col=7&amp;number=0.0121&amp;sourceID=14","0.0121")</f>
        <v>0.0121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HYPERLINK("http://141.218.60.56/~jnz1568/getInfo.php?workbook=20_14.xlsx&amp;sheet=U0&amp;row=219&amp;col=6&amp;number=4.5&amp;sourceID=14","4.5")</f>
        <v>4.5</v>
      </c>
      <c r="G219" s="4" t="str">
        <f>HYPERLINK("http://141.218.60.56/~jnz1568/getInfo.php?workbook=20_14.xlsx&amp;sheet=U0&amp;row=219&amp;col=7&amp;number=0.012&amp;sourceID=14","0.012")</f>
        <v>0.012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HYPERLINK("http://141.218.60.56/~jnz1568/getInfo.php?workbook=20_14.xlsx&amp;sheet=U0&amp;row=220&amp;col=6&amp;number=4.6&amp;sourceID=14","4.6")</f>
        <v>4.6</v>
      </c>
      <c r="G220" s="4" t="str">
        <f>HYPERLINK("http://141.218.60.56/~jnz1568/getInfo.php?workbook=20_14.xlsx&amp;sheet=U0&amp;row=220&amp;col=7&amp;number=0.012&amp;sourceID=14","0.012")</f>
        <v>0.012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HYPERLINK("http://141.218.60.56/~jnz1568/getInfo.php?workbook=20_14.xlsx&amp;sheet=U0&amp;row=221&amp;col=6&amp;number=4.7&amp;sourceID=14","4.7")</f>
        <v>4.7</v>
      </c>
      <c r="G221" s="4" t="str">
        <f>HYPERLINK("http://141.218.60.56/~jnz1568/getInfo.php?workbook=20_14.xlsx&amp;sheet=U0&amp;row=221&amp;col=7&amp;number=0.0119&amp;sourceID=14","0.0119")</f>
        <v>0.0119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HYPERLINK("http://141.218.60.56/~jnz1568/getInfo.php?workbook=20_14.xlsx&amp;sheet=U0&amp;row=222&amp;col=6&amp;number=4.8&amp;sourceID=14","4.8")</f>
        <v>4.8</v>
      </c>
      <c r="G222" s="4" t="str">
        <f>HYPERLINK("http://141.218.60.56/~jnz1568/getInfo.php?workbook=20_14.xlsx&amp;sheet=U0&amp;row=222&amp;col=7&amp;number=0.0119&amp;sourceID=14","0.0119")</f>
        <v>0.0119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HYPERLINK("http://141.218.60.56/~jnz1568/getInfo.php?workbook=20_14.xlsx&amp;sheet=U0&amp;row=223&amp;col=6&amp;number=4.9&amp;sourceID=14","4.9")</f>
        <v>4.9</v>
      </c>
      <c r="G223" s="4" t="str">
        <f>HYPERLINK("http://141.218.60.56/~jnz1568/getInfo.php?workbook=20_14.xlsx&amp;sheet=U0&amp;row=223&amp;col=7&amp;number=0.0118&amp;sourceID=14","0.0118")</f>
        <v>0.0118</v>
      </c>
    </row>
    <row r="224" spans="1:7">
      <c r="A224" s="3">
        <v>20</v>
      </c>
      <c r="B224" s="3">
        <v>14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HYPERLINK("http://141.218.60.56/~jnz1568/getInfo.php?workbook=20_14.xlsx&amp;sheet=U0&amp;row=224&amp;col=6&amp;number=3&amp;sourceID=14","3")</f>
        <v>3</v>
      </c>
      <c r="G224" s="4" t="str">
        <f>HYPERLINK("http://141.218.60.56/~jnz1568/getInfo.php?workbook=20_14.xlsx&amp;sheet=U0&amp;row=224&amp;col=7&amp;number=0.0343&amp;sourceID=14","0.0343")</f>
        <v>0.0343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HYPERLINK("http://141.218.60.56/~jnz1568/getInfo.php?workbook=20_14.xlsx&amp;sheet=U0&amp;row=225&amp;col=6&amp;number=3.1&amp;sourceID=14","3.1")</f>
        <v>3.1</v>
      </c>
      <c r="G225" s="4" t="str">
        <f>HYPERLINK("http://141.218.60.56/~jnz1568/getInfo.php?workbook=20_14.xlsx&amp;sheet=U0&amp;row=225&amp;col=7&amp;number=0.0343&amp;sourceID=14","0.0343")</f>
        <v>0.0343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HYPERLINK("http://141.218.60.56/~jnz1568/getInfo.php?workbook=20_14.xlsx&amp;sheet=U0&amp;row=226&amp;col=6&amp;number=3.2&amp;sourceID=14","3.2")</f>
        <v>3.2</v>
      </c>
      <c r="G226" s="4" t="str">
        <f>HYPERLINK("http://141.218.60.56/~jnz1568/getInfo.php?workbook=20_14.xlsx&amp;sheet=U0&amp;row=226&amp;col=7&amp;number=0.0343&amp;sourceID=14","0.0343")</f>
        <v>0.0343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HYPERLINK("http://141.218.60.56/~jnz1568/getInfo.php?workbook=20_14.xlsx&amp;sheet=U0&amp;row=227&amp;col=6&amp;number=3.3&amp;sourceID=14","3.3")</f>
        <v>3.3</v>
      </c>
      <c r="G227" s="4" t="str">
        <f>HYPERLINK("http://141.218.60.56/~jnz1568/getInfo.php?workbook=20_14.xlsx&amp;sheet=U0&amp;row=227&amp;col=7&amp;number=0.0343&amp;sourceID=14","0.0343")</f>
        <v>0.0343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HYPERLINK("http://141.218.60.56/~jnz1568/getInfo.php?workbook=20_14.xlsx&amp;sheet=U0&amp;row=228&amp;col=6&amp;number=3.4&amp;sourceID=14","3.4")</f>
        <v>3.4</v>
      </c>
      <c r="G228" s="4" t="str">
        <f>HYPERLINK("http://141.218.60.56/~jnz1568/getInfo.php?workbook=20_14.xlsx&amp;sheet=U0&amp;row=228&amp;col=7&amp;number=0.0343&amp;sourceID=14","0.0343")</f>
        <v>0.0343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HYPERLINK("http://141.218.60.56/~jnz1568/getInfo.php?workbook=20_14.xlsx&amp;sheet=U0&amp;row=229&amp;col=6&amp;number=3.5&amp;sourceID=14","3.5")</f>
        <v>3.5</v>
      </c>
      <c r="G229" s="4" t="str">
        <f>HYPERLINK("http://141.218.60.56/~jnz1568/getInfo.php?workbook=20_14.xlsx&amp;sheet=U0&amp;row=229&amp;col=7&amp;number=0.0343&amp;sourceID=14","0.0343")</f>
        <v>0.0343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HYPERLINK("http://141.218.60.56/~jnz1568/getInfo.php?workbook=20_14.xlsx&amp;sheet=U0&amp;row=230&amp;col=6&amp;number=3.6&amp;sourceID=14","3.6")</f>
        <v>3.6</v>
      </c>
      <c r="G230" s="4" t="str">
        <f>HYPERLINK("http://141.218.60.56/~jnz1568/getInfo.php?workbook=20_14.xlsx&amp;sheet=U0&amp;row=230&amp;col=7&amp;number=0.0343&amp;sourceID=14","0.0343")</f>
        <v>0.0343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HYPERLINK("http://141.218.60.56/~jnz1568/getInfo.php?workbook=20_14.xlsx&amp;sheet=U0&amp;row=231&amp;col=6&amp;number=3.7&amp;sourceID=14","3.7")</f>
        <v>3.7</v>
      </c>
      <c r="G231" s="4" t="str">
        <f>HYPERLINK("http://141.218.60.56/~jnz1568/getInfo.php?workbook=20_14.xlsx&amp;sheet=U0&amp;row=231&amp;col=7&amp;number=0.0342&amp;sourceID=14","0.0342")</f>
        <v>0.0342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HYPERLINK("http://141.218.60.56/~jnz1568/getInfo.php?workbook=20_14.xlsx&amp;sheet=U0&amp;row=232&amp;col=6&amp;number=3.8&amp;sourceID=14","3.8")</f>
        <v>3.8</v>
      </c>
      <c r="G232" s="4" t="str">
        <f>HYPERLINK("http://141.218.60.56/~jnz1568/getInfo.php?workbook=20_14.xlsx&amp;sheet=U0&amp;row=232&amp;col=7&amp;number=0.0342&amp;sourceID=14","0.0342")</f>
        <v>0.0342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HYPERLINK("http://141.218.60.56/~jnz1568/getInfo.php?workbook=20_14.xlsx&amp;sheet=U0&amp;row=233&amp;col=6&amp;number=3.9&amp;sourceID=14","3.9")</f>
        <v>3.9</v>
      </c>
      <c r="G233" s="4" t="str">
        <f>HYPERLINK("http://141.218.60.56/~jnz1568/getInfo.php?workbook=20_14.xlsx&amp;sheet=U0&amp;row=233&amp;col=7&amp;number=0.0342&amp;sourceID=14","0.0342")</f>
        <v>0.0342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HYPERLINK("http://141.218.60.56/~jnz1568/getInfo.php?workbook=20_14.xlsx&amp;sheet=U0&amp;row=234&amp;col=6&amp;number=4&amp;sourceID=14","4")</f>
        <v>4</v>
      </c>
      <c r="G234" s="4" t="str">
        <f>HYPERLINK("http://141.218.60.56/~jnz1568/getInfo.php?workbook=20_14.xlsx&amp;sheet=U0&amp;row=234&amp;col=7&amp;number=0.0341&amp;sourceID=14","0.0341")</f>
        <v>0.0341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HYPERLINK("http://141.218.60.56/~jnz1568/getInfo.php?workbook=20_14.xlsx&amp;sheet=U0&amp;row=235&amp;col=6&amp;number=4.1&amp;sourceID=14","4.1")</f>
        <v>4.1</v>
      </c>
      <c r="G235" s="4" t="str">
        <f>HYPERLINK("http://141.218.60.56/~jnz1568/getInfo.php?workbook=20_14.xlsx&amp;sheet=U0&amp;row=235&amp;col=7&amp;number=0.0341&amp;sourceID=14","0.0341")</f>
        <v>0.0341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HYPERLINK("http://141.218.60.56/~jnz1568/getInfo.php?workbook=20_14.xlsx&amp;sheet=U0&amp;row=236&amp;col=6&amp;number=4.2&amp;sourceID=14","4.2")</f>
        <v>4.2</v>
      </c>
      <c r="G236" s="4" t="str">
        <f>HYPERLINK("http://141.218.60.56/~jnz1568/getInfo.php?workbook=20_14.xlsx&amp;sheet=U0&amp;row=236&amp;col=7&amp;number=0.034&amp;sourceID=14","0.034")</f>
        <v>0.034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HYPERLINK("http://141.218.60.56/~jnz1568/getInfo.php?workbook=20_14.xlsx&amp;sheet=U0&amp;row=237&amp;col=6&amp;number=4.3&amp;sourceID=14","4.3")</f>
        <v>4.3</v>
      </c>
      <c r="G237" s="4" t="str">
        <f>HYPERLINK("http://141.218.60.56/~jnz1568/getInfo.php?workbook=20_14.xlsx&amp;sheet=U0&amp;row=237&amp;col=7&amp;number=0.034&amp;sourceID=14","0.034")</f>
        <v>0.034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HYPERLINK("http://141.218.60.56/~jnz1568/getInfo.php?workbook=20_14.xlsx&amp;sheet=U0&amp;row=238&amp;col=6&amp;number=4.4&amp;sourceID=14","4.4")</f>
        <v>4.4</v>
      </c>
      <c r="G238" s="4" t="str">
        <f>HYPERLINK("http://141.218.60.56/~jnz1568/getInfo.php?workbook=20_14.xlsx&amp;sheet=U0&amp;row=238&amp;col=7&amp;number=0.0338&amp;sourceID=14","0.0338")</f>
        <v>0.0338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HYPERLINK("http://141.218.60.56/~jnz1568/getInfo.php?workbook=20_14.xlsx&amp;sheet=U0&amp;row=239&amp;col=6&amp;number=4.5&amp;sourceID=14","4.5")</f>
        <v>4.5</v>
      </c>
      <c r="G239" s="4" t="str">
        <f>HYPERLINK("http://141.218.60.56/~jnz1568/getInfo.php?workbook=20_14.xlsx&amp;sheet=U0&amp;row=239&amp;col=7&amp;number=0.0337&amp;sourceID=14","0.0337")</f>
        <v>0.0337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HYPERLINK("http://141.218.60.56/~jnz1568/getInfo.php?workbook=20_14.xlsx&amp;sheet=U0&amp;row=240&amp;col=6&amp;number=4.6&amp;sourceID=14","4.6")</f>
        <v>4.6</v>
      </c>
      <c r="G240" s="4" t="str">
        <f>HYPERLINK("http://141.218.60.56/~jnz1568/getInfo.php?workbook=20_14.xlsx&amp;sheet=U0&amp;row=240&amp;col=7&amp;number=0.0336&amp;sourceID=14","0.0336")</f>
        <v>0.0336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HYPERLINK("http://141.218.60.56/~jnz1568/getInfo.php?workbook=20_14.xlsx&amp;sheet=U0&amp;row=241&amp;col=6&amp;number=4.7&amp;sourceID=14","4.7")</f>
        <v>4.7</v>
      </c>
      <c r="G241" s="4" t="str">
        <f>HYPERLINK("http://141.218.60.56/~jnz1568/getInfo.php?workbook=20_14.xlsx&amp;sheet=U0&amp;row=241&amp;col=7&amp;number=0.0334&amp;sourceID=14","0.0334")</f>
        <v>0.0334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HYPERLINK("http://141.218.60.56/~jnz1568/getInfo.php?workbook=20_14.xlsx&amp;sheet=U0&amp;row=242&amp;col=6&amp;number=4.8&amp;sourceID=14","4.8")</f>
        <v>4.8</v>
      </c>
      <c r="G242" s="4" t="str">
        <f>HYPERLINK("http://141.218.60.56/~jnz1568/getInfo.php?workbook=20_14.xlsx&amp;sheet=U0&amp;row=242&amp;col=7&amp;number=0.0331&amp;sourceID=14","0.0331")</f>
        <v>0.0331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HYPERLINK("http://141.218.60.56/~jnz1568/getInfo.php?workbook=20_14.xlsx&amp;sheet=U0&amp;row=243&amp;col=6&amp;number=4.9&amp;sourceID=14","4.9")</f>
        <v>4.9</v>
      </c>
      <c r="G243" s="4" t="str">
        <f>HYPERLINK("http://141.218.60.56/~jnz1568/getInfo.php?workbook=20_14.xlsx&amp;sheet=U0&amp;row=243&amp;col=7&amp;number=0.0328&amp;sourceID=14","0.0328")</f>
        <v>0.0328</v>
      </c>
    </row>
    <row r="244" spans="1:7">
      <c r="A244" s="3">
        <v>20</v>
      </c>
      <c r="B244" s="3">
        <v>14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HYPERLINK("http://141.218.60.56/~jnz1568/getInfo.php?workbook=20_14.xlsx&amp;sheet=U0&amp;row=244&amp;col=6&amp;number=3&amp;sourceID=14","3")</f>
        <v>3</v>
      </c>
      <c r="G244" s="4" t="str">
        <f>HYPERLINK("http://141.218.60.56/~jnz1568/getInfo.php?workbook=20_14.xlsx&amp;sheet=U0&amp;row=244&amp;col=7&amp;number=0.0306&amp;sourceID=14","0.0306")</f>
        <v>0.0306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HYPERLINK("http://141.218.60.56/~jnz1568/getInfo.php?workbook=20_14.xlsx&amp;sheet=U0&amp;row=245&amp;col=6&amp;number=3.1&amp;sourceID=14","3.1")</f>
        <v>3.1</v>
      </c>
      <c r="G245" s="4" t="str">
        <f>HYPERLINK("http://141.218.60.56/~jnz1568/getInfo.php?workbook=20_14.xlsx&amp;sheet=U0&amp;row=245&amp;col=7&amp;number=0.0306&amp;sourceID=14","0.0306")</f>
        <v>0.0306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HYPERLINK("http://141.218.60.56/~jnz1568/getInfo.php?workbook=20_14.xlsx&amp;sheet=U0&amp;row=246&amp;col=6&amp;number=3.2&amp;sourceID=14","3.2")</f>
        <v>3.2</v>
      </c>
      <c r="G246" s="4" t="str">
        <f>HYPERLINK("http://141.218.60.56/~jnz1568/getInfo.php?workbook=20_14.xlsx&amp;sheet=U0&amp;row=246&amp;col=7&amp;number=0.0306&amp;sourceID=14","0.0306")</f>
        <v>0.0306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HYPERLINK("http://141.218.60.56/~jnz1568/getInfo.php?workbook=20_14.xlsx&amp;sheet=U0&amp;row=247&amp;col=6&amp;number=3.3&amp;sourceID=14","3.3")</f>
        <v>3.3</v>
      </c>
      <c r="G247" s="4" t="str">
        <f>HYPERLINK("http://141.218.60.56/~jnz1568/getInfo.php?workbook=20_14.xlsx&amp;sheet=U0&amp;row=247&amp;col=7&amp;number=0.0306&amp;sourceID=14","0.0306")</f>
        <v>0.0306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HYPERLINK("http://141.218.60.56/~jnz1568/getInfo.php?workbook=20_14.xlsx&amp;sheet=U0&amp;row=248&amp;col=6&amp;number=3.4&amp;sourceID=14","3.4")</f>
        <v>3.4</v>
      </c>
      <c r="G248" s="4" t="str">
        <f>HYPERLINK("http://141.218.60.56/~jnz1568/getInfo.php?workbook=20_14.xlsx&amp;sheet=U0&amp;row=248&amp;col=7&amp;number=0.0306&amp;sourceID=14","0.0306")</f>
        <v>0.0306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HYPERLINK("http://141.218.60.56/~jnz1568/getInfo.php?workbook=20_14.xlsx&amp;sheet=U0&amp;row=249&amp;col=6&amp;number=3.5&amp;sourceID=14","3.5")</f>
        <v>3.5</v>
      </c>
      <c r="G249" s="4" t="str">
        <f>HYPERLINK("http://141.218.60.56/~jnz1568/getInfo.php?workbook=20_14.xlsx&amp;sheet=U0&amp;row=249&amp;col=7&amp;number=0.0306&amp;sourceID=14","0.0306")</f>
        <v>0.0306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HYPERLINK("http://141.218.60.56/~jnz1568/getInfo.php?workbook=20_14.xlsx&amp;sheet=U0&amp;row=250&amp;col=6&amp;number=3.6&amp;sourceID=14","3.6")</f>
        <v>3.6</v>
      </c>
      <c r="G250" s="4" t="str">
        <f>HYPERLINK("http://141.218.60.56/~jnz1568/getInfo.php?workbook=20_14.xlsx&amp;sheet=U0&amp;row=250&amp;col=7&amp;number=0.0306&amp;sourceID=14","0.0306")</f>
        <v>0.0306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HYPERLINK("http://141.218.60.56/~jnz1568/getInfo.php?workbook=20_14.xlsx&amp;sheet=U0&amp;row=251&amp;col=6&amp;number=3.7&amp;sourceID=14","3.7")</f>
        <v>3.7</v>
      </c>
      <c r="G251" s="4" t="str">
        <f>HYPERLINK("http://141.218.60.56/~jnz1568/getInfo.php?workbook=20_14.xlsx&amp;sheet=U0&amp;row=251&amp;col=7&amp;number=0.0305&amp;sourceID=14","0.0305")</f>
        <v>0.0305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HYPERLINK("http://141.218.60.56/~jnz1568/getInfo.php?workbook=20_14.xlsx&amp;sheet=U0&amp;row=252&amp;col=6&amp;number=3.8&amp;sourceID=14","3.8")</f>
        <v>3.8</v>
      </c>
      <c r="G252" s="4" t="str">
        <f>HYPERLINK("http://141.218.60.56/~jnz1568/getInfo.php?workbook=20_14.xlsx&amp;sheet=U0&amp;row=252&amp;col=7&amp;number=0.0305&amp;sourceID=14","0.0305")</f>
        <v>0.0305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HYPERLINK("http://141.218.60.56/~jnz1568/getInfo.php?workbook=20_14.xlsx&amp;sheet=U0&amp;row=253&amp;col=6&amp;number=3.9&amp;sourceID=14","3.9")</f>
        <v>3.9</v>
      </c>
      <c r="G253" s="4" t="str">
        <f>HYPERLINK("http://141.218.60.56/~jnz1568/getInfo.php?workbook=20_14.xlsx&amp;sheet=U0&amp;row=253&amp;col=7&amp;number=0.0305&amp;sourceID=14","0.0305")</f>
        <v>0.0305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HYPERLINK("http://141.218.60.56/~jnz1568/getInfo.php?workbook=20_14.xlsx&amp;sheet=U0&amp;row=254&amp;col=6&amp;number=4&amp;sourceID=14","4")</f>
        <v>4</v>
      </c>
      <c r="G254" s="4" t="str">
        <f>HYPERLINK("http://141.218.60.56/~jnz1568/getInfo.php?workbook=20_14.xlsx&amp;sheet=U0&amp;row=254&amp;col=7&amp;number=0.0304&amp;sourceID=14","0.0304")</f>
        <v>0.0304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HYPERLINK("http://141.218.60.56/~jnz1568/getInfo.php?workbook=20_14.xlsx&amp;sheet=U0&amp;row=255&amp;col=6&amp;number=4.1&amp;sourceID=14","4.1")</f>
        <v>4.1</v>
      </c>
      <c r="G255" s="4" t="str">
        <f>HYPERLINK("http://141.218.60.56/~jnz1568/getInfo.php?workbook=20_14.xlsx&amp;sheet=U0&amp;row=255&amp;col=7&amp;number=0.0304&amp;sourceID=14","0.0304")</f>
        <v>0.0304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HYPERLINK("http://141.218.60.56/~jnz1568/getInfo.php?workbook=20_14.xlsx&amp;sheet=U0&amp;row=256&amp;col=6&amp;number=4.2&amp;sourceID=14","4.2")</f>
        <v>4.2</v>
      </c>
      <c r="G256" s="4" t="str">
        <f>HYPERLINK("http://141.218.60.56/~jnz1568/getInfo.php?workbook=20_14.xlsx&amp;sheet=U0&amp;row=256&amp;col=7&amp;number=0.0303&amp;sourceID=14","0.0303")</f>
        <v>0.0303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HYPERLINK("http://141.218.60.56/~jnz1568/getInfo.php?workbook=20_14.xlsx&amp;sheet=U0&amp;row=257&amp;col=6&amp;number=4.3&amp;sourceID=14","4.3")</f>
        <v>4.3</v>
      </c>
      <c r="G257" s="4" t="str">
        <f>HYPERLINK("http://141.218.60.56/~jnz1568/getInfo.php?workbook=20_14.xlsx&amp;sheet=U0&amp;row=257&amp;col=7&amp;number=0.0303&amp;sourceID=14","0.0303")</f>
        <v>0.0303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HYPERLINK("http://141.218.60.56/~jnz1568/getInfo.php?workbook=20_14.xlsx&amp;sheet=U0&amp;row=258&amp;col=6&amp;number=4.4&amp;sourceID=14","4.4")</f>
        <v>4.4</v>
      </c>
      <c r="G258" s="4" t="str">
        <f>HYPERLINK("http://141.218.60.56/~jnz1568/getInfo.php?workbook=20_14.xlsx&amp;sheet=U0&amp;row=258&amp;col=7&amp;number=0.0302&amp;sourceID=14","0.0302")</f>
        <v>0.0302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HYPERLINK("http://141.218.60.56/~jnz1568/getInfo.php?workbook=20_14.xlsx&amp;sheet=U0&amp;row=259&amp;col=6&amp;number=4.5&amp;sourceID=14","4.5")</f>
        <v>4.5</v>
      </c>
      <c r="G259" s="4" t="str">
        <f>HYPERLINK("http://141.218.60.56/~jnz1568/getInfo.php?workbook=20_14.xlsx&amp;sheet=U0&amp;row=259&amp;col=7&amp;number=0.03&amp;sourceID=14","0.03")</f>
        <v>0.03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HYPERLINK("http://141.218.60.56/~jnz1568/getInfo.php?workbook=20_14.xlsx&amp;sheet=U0&amp;row=260&amp;col=6&amp;number=4.6&amp;sourceID=14","4.6")</f>
        <v>4.6</v>
      </c>
      <c r="G260" s="4" t="str">
        <f>HYPERLINK("http://141.218.60.56/~jnz1568/getInfo.php?workbook=20_14.xlsx&amp;sheet=U0&amp;row=260&amp;col=7&amp;number=0.0299&amp;sourceID=14","0.0299")</f>
        <v>0.0299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HYPERLINK("http://141.218.60.56/~jnz1568/getInfo.php?workbook=20_14.xlsx&amp;sheet=U0&amp;row=261&amp;col=6&amp;number=4.7&amp;sourceID=14","4.7")</f>
        <v>4.7</v>
      </c>
      <c r="G261" s="4" t="str">
        <f>HYPERLINK("http://141.218.60.56/~jnz1568/getInfo.php?workbook=20_14.xlsx&amp;sheet=U0&amp;row=261&amp;col=7&amp;number=0.0297&amp;sourceID=14","0.0297")</f>
        <v>0.0297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HYPERLINK("http://141.218.60.56/~jnz1568/getInfo.php?workbook=20_14.xlsx&amp;sheet=U0&amp;row=262&amp;col=6&amp;number=4.8&amp;sourceID=14","4.8")</f>
        <v>4.8</v>
      </c>
      <c r="G262" s="4" t="str">
        <f>HYPERLINK("http://141.218.60.56/~jnz1568/getInfo.php?workbook=20_14.xlsx&amp;sheet=U0&amp;row=262&amp;col=7&amp;number=0.0295&amp;sourceID=14","0.0295")</f>
        <v>0.0295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HYPERLINK("http://141.218.60.56/~jnz1568/getInfo.php?workbook=20_14.xlsx&amp;sheet=U0&amp;row=263&amp;col=6&amp;number=4.9&amp;sourceID=14","4.9")</f>
        <v>4.9</v>
      </c>
      <c r="G263" s="4" t="str">
        <f>HYPERLINK("http://141.218.60.56/~jnz1568/getInfo.php?workbook=20_14.xlsx&amp;sheet=U0&amp;row=263&amp;col=7&amp;number=0.0292&amp;sourceID=14","0.0292")</f>
        <v>0.0292</v>
      </c>
    </row>
    <row r="264" spans="1:7">
      <c r="A264" s="3">
        <v>20</v>
      </c>
      <c r="B264" s="3">
        <v>14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HYPERLINK("http://141.218.60.56/~jnz1568/getInfo.php?workbook=20_14.xlsx&amp;sheet=U0&amp;row=264&amp;col=6&amp;number=3&amp;sourceID=14","3")</f>
        <v>3</v>
      </c>
      <c r="G264" s="4" t="str">
        <f>HYPERLINK("http://141.218.60.56/~jnz1568/getInfo.php?workbook=20_14.xlsx&amp;sheet=U0&amp;row=264&amp;col=7&amp;number=0.0404&amp;sourceID=14","0.0404")</f>
        <v>0.0404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HYPERLINK("http://141.218.60.56/~jnz1568/getInfo.php?workbook=20_14.xlsx&amp;sheet=U0&amp;row=265&amp;col=6&amp;number=3.1&amp;sourceID=14","3.1")</f>
        <v>3.1</v>
      </c>
      <c r="G265" s="4" t="str">
        <f>HYPERLINK("http://141.218.60.56/~jnz1568/getInfo.php?workbook=20_14.xlsx&amp;sheet=U0&amp;row=265&amp;col=7&amp;number=0.0404&amp;sourceID=14","0.0404")</f>
        <v>0.0404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HYPERLINK("http://141.218.60.56/~jnz1568/getInfo.php?workbook=20_14.xlsx&amp;sheet=U0&amp;row=266&amp;col=6&amp;number=3.2&amp;sourceID=14","3.2")</f>
        <v>3.2</v>
      </c>
      <c r="G266" s="4" t="str">
        <f>HYPERLINK("http://141.218.60.56/~jnz1568/getInfo.php?workbook=20_14.xlsx&amp;sheet=U0&amp;row=266&amp;col=7&amp;number=0.0404&amp;sourceID=14","0.0404")</f>
        <v>0.0404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HYPERLINK("http://141.218.60.56/~jnz1568/getInfo.php?workbook=20_14.xlsx&amp;sheet=U0&amp;row=267&amp;col=6&amp;number=3.3&amp;sourceID=14","3.3")</f>
        <v>3.3</v>
      </c>
      <c r="G267" s="4" t="str">
        <f>HYPERLINK("http://141.218.60.56/~jnz1568/getInfo.php?workbook=20_14.xlsx&amp;sheet=U0&amp;row=267&amp;col=7&amp;number=0.0404&amp;sourceID=14","0.0404")</f>
        <v>0.0404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HYPERLINK("http://141.218.60.56/~jnz1568/getInfo.php?workbook=20_14.xlsx&amp;sheet=U0&amp;row=268&amp;col=6&amp;number=3.4&amp;sourceID=14","3.4")</f>
        <v>3.4</v>
      </c>
      <c r="G268" s="4" t="str">
        <f>HYPERLINK("http://141.218.60.56/~jnz1568/getInfo.php?workbook=20_14.xlsx&amp;sheet=U0&amp;row=268&amp;col=7&amp;number=0.0404&amp;sourceID=14","0.0404")</f>
        <v>0.0404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HYPERLINK("http://141.218.60.56/~jnz1568/getInfo.php?workbook=20_14.xlsx&amp;sheet=U0&amp;row=269&amp;col=6&amp;number=3.5&amp;sourceID=14","3.5")</f>
        <v>3.5</v>
      </c>
      <c r="G269" s="4" t="str">
        <f>HYPERLINK("http://141.218.60.56/~jnz1568/getInfo.php?workbook=20_14.xlsx&amp;sheet=U0&amp;row=269&amp;col=7&amp;number=0.0404&amp;sourceID=14","0.0404")</f>
        <v>0.0404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HYPERLINK("http://141.218.60.56/~jnz1568/getInfo.php?workbook=20_14.xlsx&amp;sheet=U0&amp;row=270&amp;col=6&amp;number=3.6&amp;sourceID=14","3.6")</f>
        <v>3.6</v>
      </c>
      <c r="G270" s="4" t="str">
        <f>HYPERLINK("http://141.218.60.56/~jnz1568/getInfo.php?workbook=20_14.xlsx&amp;sheet=U0&amp;row=270&amp;col=7&amp;number=0.0404&amp;sourceID=14","0.0404")</f>
        <v>0.0404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HYPERLINK("http://141.218.60.56/~jnz1568/getInfo.php?workbook=20_14.xlsx&amp;sheet=U0&amp;row=271&amp;col=6&amp;number=3.7&amp;sourceID=14","3.7")</f>
        <v>3.7</v>
      </c>
      <c r="G271" s="4" t="str">
        <f>HYPERLINK("http://141.218.60.56/~jnz1568/getInfo.php?workbook=20_14.xlsx&amp;sheet=U0&amp;row=271&amp;col=7&amp;number=0.0404&amp;sourceID=14","0.0404")</f>
        <v>0.0404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HYPERLINK("http://141.218.60.56/~jnz1568/getInfo.php?workbook=20_14.xlsx&amp;sheet=U0&amp;row=272&amp;col=6&amp;number=3.8&amp;sourceID=14","3.8")</f>
        <v>3.8</v>
      </c>
      <c r="G272" s="4" t="str">
        <f>HYPERLINK("http://141.218.60.56/~jnz1568/getInfo.php?workbook=20_14.xlsx&amp;sheet=U0&amp;row=272&amp;col=7&amp;number=0.0404&amp;sourceID=14","0.0404")</f>
        <v>0.0404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HYPERLINK("http://141.218.60.56/~jnz1568/getInfo.php?workbook=20_14.xlsx&amp;sheet=U0&amp;row=273&amp;col=6&amp;number=3.9&amp;sourceID=14","3.9")</f>
        <v>3.9</v>
      </c>
      <c r="G273" s="4" t="str">
        <f>HYPERLINK("http://141.218.60.56/~jnz1568/getInfo.php?workbook=20_14.xlsx&amp;sheet=U0&amp;row=273&amp;col=7&amp;number=0.0405&amp;sourceID=14","0.0405")</f>
        <v>0.0405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HYPERLINK("http://141.218.60.56/~jnz1568/getInfo.php?workbook=20_14.xlsx&amp;sheet=U0&amp;row=274&amp;col=6&amp;number=4&amp;sourceID=14","4")</f>
        <v>4</v>
      </c>
      <c r="G274" s="4" t="str">
        <f>HYPERLINK("http://141.218.60.56/~jnz1568/getInfo.php?workbook=20_14.xlsx&amp;sheet=U0&amp;row=274&amp;col=7&amp;number=0.0405&amp;sourceID=14","0.0405")</f>
        <v>0.0405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HYPERLINK("http://141.218.60.56/~jnz1568/getInfo.php?workbook=20_14.xlsx&amp;sheet=U0&amp;row=275&amp;col=6&amp;number=4.1&amp;sourceID=14","4.1")</f>
        <v>4.1</v>
      </c>
      <c r="G275" s="4" t="str">
        <f>HYPERLINK("http://141.218.60.56/~jnz1568/getInfo.php?workbook=20_14.xlsx&amp;sheet=U0&amp;row=275&amp;col=7&amp;number=0.0405&amp;sourceID=14","0.0405")</f>
        <v>0.0405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HYPERLINK("http://141.218.60.56/~jnz1568/getInfo.php?workbook=20_14.xlsx&amp;sheet=U0&amp;row=276&amp;col=6&amp;number=4.2&amp;sourceID=14","4.2")</f>
        <v>4.2</v>
      </c>
      <c r="G276" s="4" t="str">
        <f>HYPERLINK("http://141.218.60.56/~jnz1568/getInfo.php?workbook=20_14.xlsx&amp;sheet=U0&amp;row=276&amp;col=7&amp;number=0.0405&amp;sourceID=14","0.0405")</f>
        <v>0.0405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HYPERLINK("http://141.218.60.56/~jnz1568/getInfo.php?workbook=20_14.xlsx&amp;sheet=U0&amp;row=277&amp;col=6&amp;number=4.3&amp;sourceID=14","4.3")</f>
        <v>4.3</v>
      </c>
      <c r="G277" s="4" t="str">
        <f>HYPERLINK("http://141.218.60.56/~jnz1568/getInfo.php?workbook=20_14.xlsx&amp;sheet=U0&amp;row=277&amp;col=7&amp;number=0.0406&amp;sourceID=14","0.0406")</f>
        <v>0.0406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HYPERLINK("http://141.218.60.56/~jnz1568/getInfo.php?workbook=20_14.xlsx&amp;sheet=U0&amp;row=278&amp;col=6&amp;number=4.4&amp;sourceID=14","4.4")</f>
        <v>4.4</v>
      </c>
      <c r="G278" s="4" t="str">
        <f>HYPERLINK("http://141.218.60.56/~jnz1568/getInfo.php?workbook=20_14.xlsx&amp;sheet=U0&amp;row=278&amp;col=7&amp;number=0.0406&amp;sourceID=14","0.0406")</f>
        <v>0.0406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HYPERLINK("http://141.218.60.56/~jnz1568/getInfo.php?workbook=20_14.xlsx&amp;sheet=U0&amp;row=279&amp;col=6&amp;number=4.5&amp;sourceID=14","4.5")</f>
        <v>4.5</v>
      </c>
      <c r="G279" s="4" t="str">
        <f>HYPERLINK("http://141.218.60.56/~jnz1568/getInfo.php?workbook=20_14.xlsx&amp;sheet=U0&amp;row=279&amp;col=7&amp;number=0.0407&amp;sourceID=14","0.0407")</f>
        <v>0.0407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HYPERLINK("http://141.218.60.56/~jnz1568/getInfo.php?workbook=20_14.xlsx&amp;sheet=U0&amp;row=280&amp;col=6&amp;number=4.6&amp;sourceID=14","4.6")</f>
        <v>4.6</v>
      </c>
      <c r="G280" s="4" t="str">
        <f>HYPERLINK("http://141.218.60.56/~jnz1568/getInfo.php?workbook=20_14.xlsx&amp;sheet=U0&amp;row=280&amp;col=7&amp;number=0.0407&amp;sourceID=14","0.0407")</f>
        <v>0.0407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HYPERLINK("http://141.218.60.56/~jnz1568/getInfo.php?workbook=20_14.xlsx&amp;sheet=U0&amp;row=281&amp;col=6&amp;number=4.7&amp;sourceID=14","4.7")</f>
        <v>4.7</v>
      </c>
      <c r="G281" s="4" t="str">
        <f>HYPERLINK("http://141.218.60.56/~jnz1568/getInfo.php?workbook=20_14.xlsx&amp;sheet=U0&amp;row=281&amp;col=7&amp;number=0.0408&amp;sourceID=14","0.0408")</f>
        <v>0.0408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HYPERLINK("http://141.218.60.56/~jnz1568/getInfo.php?workbook=20_14.xlsx&amp;sheet=U0&amp;row=282&amp;col=6&amp;number=4.8&amp;sourceID=14","4.8")</f>
        <v>4.8</v>
      </c>
      <c r="G282" s="4" t="str">
        <f>HYPERLINK("http://141.218.60.56/~jnz1568/getInfo.php?workbook=20_14.xlsx&amp;sheet=U0&amp;row=282&amp;col=7&amp;number=0.041&amp;sourceID=14","0.041")</f>
        <v>0.041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HYPERLINK("http://141.218.60.56/~jnz1568/getInfo.php?workbook=20_14.xlsx&amp;sheet=U0&amp;row=283&amp;col=6&amp;number=4.9&amp;sourceID=14","4.9")</f>
        <v>4.9</v>
      </c>
      <c r="G283" s="4" t="str">
        <f>HYPERLINK("http://141.218.60.56/~jnz1568/getInfo.php?workbook=20_14.xlsx&amp;sheet=U0&amp;row=283&amp;col=7&amp;number=0.0411&amp;sourceID=14","0.0411")</f>
        <v>0.0411</v>
      </c>
    </row>
    <row r="284" spans="1:7">
      <c r="A284" s="3">
        <v>20</v>
      </c>
      <c r="B284" s="3">
        <v>14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HYPERLINK("http://141.218.60.56/~jnz1568/getInfo.php?workbook=20_14.xlsx&amp;sheet=U0&amp;row=284&amp;col=6&amp;number=3&amp;sourceID=14","3")</f>
        <v>3</v>
      </c>
      <c r="G284" s="4" t="str">
        <f>HYPERLINK("http://141.218.60.56/~jnz1568/getInfo.php?workbook=20_14.xlsx&amp;sheet=U0&amp;row=284&amp;col=7&amp;number=0.0145&amp;sourceID=14","0.0145")</f>
        <v>0.0145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HYPERLINK("http://141.218.60.56/~jnz1568/getInfo.php?workbook=20_14.xlsx&amp;sheet=U0&amp;row=285&amp;col=6&amp;number=3.1&amp;sourceID=14","3.1")</f>
        <v>3.1</v>
      </c>
      <c r="G285" s="4" t="str">
        <f>HYPERLINK("http://141.218.60.56/~jnz1568/getInfo.php?workbook=20_14.xlsx&amp;sheet=U0&amp;row=285&amp;col=7&amp;number=0.0145&amp;sourceID=14","0.0145")</f>
        <v>0.0145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HYPERLINK("http://141.218.60.56/~jnz1568/getInfo.php?workbook=20_14.xlsx&amp;sheet=U0&amp;row=286&amp;col=6&amp;number=3.2&amp;sourceID=14","3.2")</f>
        <v>3.2</v>
      </c>
      <c r="G286" s="4" t="str">
        <f>HYPERLINK("http://141.218.60.56/~jnz1568/getInfo.php?workbook=20_14.xlsx&amp;sheet=U0&amp;row=286&amp;col=7&amp;number=0.0145&amp;sourceID=14","0.0145")</f>
        <v>0.0145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HYPERLINK("http://141.218.60.56/~jnz1568/getInfo.php?workbook=20_14.xlsx&amp;sheet=U0&amp;row=287&amp;col=6&amp;number=3.3&amp;sourceID=14","3.3")</f>
        <v>3.3</v>
      </c>
      <c r="G287" s="4" t="str">
        <f>HYPERLINK("http://141.218.60.56/~jnz1568/getInfo.php?workbook=20_14.xlsx&amp;sheet=U0&amp;row=287&amp;col=7&amp;number=0.0145&amp;sourceID=14","0.0145")</f>
        <v>0.0145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HYPERLINK("http://141.218.60.56/~jnz1568/getInfo.php?workbook=20_14.xlsx&amp;sheet=U0&amp;row=288&amp;col=6&amp;number=3.4&amp;sourceID=14","3.4")</f>
        <v>3.4</v>
      </c>
      <c r="G288" s="4" t="str">
        <f>HYPERLINK("http://141.218.60.56/~jnz1568/getInfo.php?workbook=20_14.xlsx&amp;sheet=U0&amp;row=288&amp;col=7&amp;number=0.0145&amp;sourceID=14","0.0145")</f>
        <v>0.0145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HYPERLINK("http://141.218.60.56/~jnz1568/getInfo.php?workbook=20_14.xlsx&amp;sheet=U0&amp;row=289&amp;col=6&amp;number=3.5&amp;sourceID=14","3.5")</f>
        <v>3.5</v>
      </c>
      <c r="G289" s="4" t="str">
        <f>HYPERLINK("http://141.218.60.56/~jnz1568/getInfo.php?workbook=20_14.xlsx&amp;sheet=U0&amp;row=289&amp;col=7&amp;number=0.0145&amp;sourceID=14","0.0145")</f>
        <v>0.0145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HYPERLINK("http://141.218.60.56/~jnz1568/getInfo.php?workbook=20_14.xlsx&amp;sheet=U0&amp;row=290&amp;col=6&amp;number=3.6&amp;sourceID=14","3.6")</f>
        <v>3.6</v>
      </c>
      <c r="G290" s="4" t="str">
        <f>HYPERLINK("http://141.218.60.56/~jnz1568/getInfo.php?workbook=20_14.xlsx&amp;sheet=U0&amp;row=290&amp;col=7&amp;number=0.0145&amp;sourceID=14","0.0145")</f>
        <v>0.0145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HYPERLINK("http://141.218.60.56/~jnz1568/getInfo.php?workbook=20_14.xlsx&amp;sheet=U0&amp;row=291&amp;col=6&amp;number=3.7&amp;sourceID=14","3.7")</f>
        <v>3.7</v>
      </c>
      <c r="G291" s="4" t="str">
        <f>HYPERLINK("http://141.218.60.56/~jnz1568/getInfo.php?workbook=20_14.xlsx&amp;sheet=U0&amp;row=291&amp;col=7&amp;number=0.0145&amp;sourceID=14","0.0145")</f>
        <v>0.0145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HYPERLINK("http://141.218.60.56/~jnz1568/getInfo.php?workbook=20_14.xlsx&amp;sheet=U0&amp;row=292&amp;col=6&amp;number=3.8&amp;sourceID=14","3.8")</f>
        <v>3.8</v>
      </c>
      <c r="G292" s="4" t="str">
        <f>HYPERLINK("http://141.218.60.56/~jnz1568/getInfo.php?workbook=20_14.xlsx&amp;sheet=U0&amp;row=292&amp;col=7&amp;number=0.0145&amp;sourceID=14","0.0145")</f>
        <v>0.0145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HYPERLINK("http://141.218.60.56/~jnz1568/getInfo.php?workbook=20_14.xlsx&amp;sheet=U0&amp;row=293&amp;col=6&amp;number=3.9&amp;sourceID=14","3.9")</f>
        <v>3.9</v>
      </c>
      <c r="G293" s="4" t="str">
        <f>HYPERLINK("http://141.218.60.56/~jnz1568/getInfo.php?workbook=20_14.xlsx&amp;sheet=U0&amp;row=293&amp;col=7&amp;number=0.0145&amp;sourceID=14","0.0145")</f>
        <v>0.0145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HYPERLINK("http://141.218.60.56/~jnz1568/getInfo.php?workbook=20_14.xlsx&amp;sheet=U0&amp;row=294&amp;col=6&amp;number=4&amp;sourceID=14","4")</f>
        <v>4</v>
      </c>
      <c r="G294" s="4" t="str">
        <f>HYPERLINK("http://141.218.60.56/~jnz1568/getInfo.php?workbook=20_14.xlsx&amp;sheet=U0&amp;row=294&amp;col=7&amp;number=0.0145&amp;sourceID=14","0.0145")</f>
        <v>0.0145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HYPERLINK("http://141.218.60.56/~jnz1568/getInfo.php?workbook=20_14.xlsx&amp;sheet=U0&amp;row=295&amp;col=6&amp;number=4.1&amp;sourceID=14","4.1")</f>
        <v>4.1</v>
      </c>
      <c r="G295" s="4" t="str">
        <f>HYPERLINK("http://141.218.60.56/~jnz1568/getInfo.php?workbook=20_14.xlsx&amp;sheet=U0&amp;row=295&amp;col=7&amp;number=0.0144&amp;sourceID=14","0.0144")</f>
        <v>0.0144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HYPERLINK("http://141.218.60.56/~jnz1568/getInfo.php?workbook=20_14.xlsx&amp;sheet=U0&amp;row=296&amp;col=6&amp;number=4.2&amp;sourceID=14","4.2")</f>
        <v>4.2</v>
      </c>
      <c r="G296" s="4" t="str">
        <f>HYPERLINK("http://141.218.60.56/~jnz1568/getInfo.php?workbook=20_14.xlsx&amp;sheet=U0&amp;row=296&amp;col=7&amp;number=0.0144&amp;sourceID=14","0.0144")</f>
        <v>0.0144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HYPERLINK("http://141.218.60.56/~jnz1568/getInfo.php?workbook=20_14.xlsx&amp;sheet=U0&amp;row=297&amp;col=6&amp;number=4.3&amp;sourceID=14","4.3")</f>
        <v>4.3</v>
      </c>
      <c r="G297" s="4" t="str">
        <f>HYPERLINK("http://141.218.60.56/~jnz1568/getInfo.php?workbook=20_14.xlsx&amp;sheet=U0&amp;row=297&amp;col=7&amp;number=0.0144&amp;sourceID=14","0.0144")</f>
        <v>0.0144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HYPERLINK("http://141.218.60.56/~jnz1568/getInfo.php?workbook=20_14.xlsx&amp;sheet=U0&amp;row=298&amp;col=6&amp;number=4.4&amp;sourceID=14","4.4")</f>
        <v>4.4</v>
      </c>
      <c r="G298" s="4" t="str">
        <f>HYPERLINK("http://141.218.60.56/~jnz1568/getInfo.php?workbook=20_14.xlsx&amp;sheet=U0&amp;row=298&amp;col=7&amp;number=0.0143&amp;sourceID=14","0.0143")</f>
        <v>0.0143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HYPERLINK("http://141.218.60.56/~jnz1568/getInfo.php?workbook=20_14.xlsx&amp;sheet=U0&amp;row=299&amp;col=6&amp;number=4.5&amp;sourceID=14","4.5")</f>
        <v>4.5</v>
      </c>
      <c r="G299" s="4" t="str">
        <f>HYPERLINK("http://141.218.60.56/~jnz1568/getInfo.php?workbook=20_14.xlsx&amp;sheet=U0&amp;row=299&amp;col=7&amp;number=0.0143&amp;sourceID=14","0.0143")</f>
        <v>0.0143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HYPERLINK("http://141.218.60.56/~jnz1568/getInfo.php?workbook=20_14.xlsx&amp;sheet=U0&amp;row=300&amp;col=6&amp;number=4.6&amp;sourceID=14","4.6")</f>
        <v>4.6</v>
      </c>
      <c r="G300" s="4" t="str">
        <f>HYPERLINK("http://141.218.60.56/~jnz1568/getInfo.php?workbook=20_14.xlsx&amp;sheet=U0&amp;row=300&amp;col=7&amp;number=0.0142&amp;sourceID=14","0.0142")</f>
        <v>0.0142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HYPERLINK("http://141.218.60.56/~jnz1568/getInfo.php?workbook=20_14.xlsx&amp;sheet=U0&amp;row=301&amp;col=6&amp;number=4.7&amp;sourceID=14","4.7")</f>
        <v>4.7</v>
      </c>
      <c r="G301" s="4" t="str">
        <f>HYPERLINK("http://141.218.60.56/~jnz1568/getInfo.php?workbook=20_14.xlsx&amp;sheet=U0&amp;row=301&amp;col=7&amp;number=0.0141&amp;sourceID=14","0.0141")</f>
        <v>0.0141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HYPERLINK("http://141.218.60.56/~jnz1568/getInfo.php?workbook=20_14.xlsx&amp;sheet=U0&amp;row=302&amp;col=6&amp;number=4.8&amp;sourceID=14","4.8")</f>
        <v>4.8</v>
      </c>
      <c r="G302" s="4" t="str">
        <f>HYPERLINK("http://141.218.60.56/~jnz1568/getInfo.php?workbook=20_14.xlsx&amp;sheet=U0&amp;row=302&amp;col=7&amp;number=0.014&amp;sourceID=14","0.014")</f>
        <v>0.014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HYPERLINK("http://141.218.60.56/~jnz1568/getInfo.php?workbook=20_14.xlsx&amp;sheet=U0&amp;row=303&amp;col=6&amp;number=4.9&amp;sourceID=14","4.9")</f>
        <v>4.9</v>
      </c>
      <c r="G303" s="4" t="str">
        <f>HYPERLINK("http://141.218.60.56/~jnz1568/getInfo.php?workbook=20_14.xlsx&amp;sheet=U0&amp;row=303&amp;col=7&amp;number=0.0138&amp;sourceID=14","0.0138")</f>
        <v>0.0138</v>
      </c>
    </row>
    <row r="304" spans="1:7">
      <c r="A304" s="3">
        <v>20</v>
      </c>
      <c r="B304" s="3">
        <v>14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HYPERLINK("http://141.218.60.56/~jnz1568/getInfo.php?workbook=20_14.xlsx&amp;sheet=U0&amp;row=304&amp;col=6&amp;number=3&amp;sourceID=14","3")</f>
        <v>3</v>
      </c>
      <c r="G304" s="4" t="str">
        <f>HYPERLINK("http://141.218.60.56/~jnz1568/getInfo.php?workbook=20_14.xlsx&amp;sheet=U0&amp;row=304&amp;col=7&amp;number=0.0897&amp;sourceID=14","0.0897")</f>
        <v>0.0897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HYPERLINK("http://141.218.60.56/~jnz1568/getInfo.php?workbook=20_14.xlsx&amp;sheet=U0&amp;row=305&amp;col=6&amp;number=3.1&amp;sourceID=14","3.1")</f>
        <v>3.1</v>
      </c>
      <c r="G305" s="4" t="str">
        <f>HYPERLINK("http://141.218.60.56/~jnz1568/getInfo.php?workbook=20_14.xlsx&amp;sheet=U0&amp;row=305&amp;col=7&amp;number=0.0897&amp;sourceID=14","0.0897")</f>
        <v>0.0897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HYPERLINK("http://141.218.60.56/~jnz1568/getInfo.php?workbook=20_14.xlsx&amp;sheet=U0&amp;row=306&amp;col=6&amp;number=3.2&amp;sourceID=14","3.2")</f>
        <v>3.2</v>
      </c>
      <c r="G306" s="4" t="str">
        <f>HYPERLINK("http://141.218.60.56/~jnz1568/getInfo.php?workbook=20_14.xlsx&amp;sheet=U0&amp;row=306&amp;col=7&amp;number=0.0897&amp;sourceID=14","0.0897")</f>
        <v>0.0897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HYPERLINK("http://141.218.60.56/~jnz1568/getInfo.php?workbook=20_14.xlsx&amp;sheet=U0&amp;row=307&amp;col=6&amp;number=3.3&amp;sourceID=14","3.3")</f>
        <v>3.3</v>
      </c>
      <c r="G307" s="4" t="str">
        <f>HYPERLINK("http://141.218.60.56/~jnz1568/getInfo.php?workbook=20_14.xlsx&amp;sheet=U0&amp;row=307&amp;col=7&amp;number=0.0897&amp;sourceID=14","0.0897")</f>
        <v>0.0897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HYPERLINK("http://141.218.60.56/~jnz1568/getInfo.php?workbook=20_14.xlsx&amp;sheet=U0&amp;row=308&amp;col=6&amp;number=3.4&amp;sourceID=14","3.4")</f>
        <v>3.4</v>
      </c>
      <c r="G308" s="4" t="str">
        <f>HYPERLINK("http://141.218.60.56/~jnz1568/getInfo.php?workbook=20_14.xlsx&amp;sheet=U0&amp;row=308&amp;col=7&amp;number=0.0897&amp;sourceID=14","0.0897")</f>
        <v>0.0897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HYPERLINK("http://141.218.60.56/~jnz1568/getInfo.php?workbook=20_14.xlsx&amp;sheet=U0&amp;row=309&amp;col=6&amp;number=3.5&amp;sourceID=14","3.5")</f>
        <v>3.5</v>
      </c>
      <c r="G309" s="4" t="str">
        <f>HYPERLINK("http://141.218.60.56/~jnz1568/getInfo.php?workbook=20_14.xlsx&amp;sheet=U0&amp;row=309&amp;col=7&amp;number=0.0898&amp;sourceID=14","0.0898")</f>
        <v>0.0898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HYPERLINK("http://141.218.60.56/~jnz1568/getInfo.php?workbook=20_14.xlsx&amp;sheet=U0&amp;row=310&amp;col=6&amp;number=3.6&amp;sourceID=14","3.6")</f>
        <v>3.6</v>
      </c>
      <c r="G310" s="4" t="str">
        <f>HYPERLINK("http://141.218.60.56/~jnz1568/getInfo.php?workbook=20_14.xlsx&amp;sheet=U0&amp;row=310&amp;col=7&amp;number=0.0898&amp;sourceID=14","0.0898")</f>
        <v>0.0898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HYPERLINK("http://141.218.60.56/~jnz1568/getInfo.php?workbook=20_14.xlsx&amp;sheet=U0&amp;row=311&amp;col=6&amp;number=3.7&amp;sourceID=14","3.7")</f>
        <v>3.7</v>
      </c>
      <c r="G311" s="4" t="str">
        <f>HYPERLINK("http://141.218.60.56/~jnz1568/getInfo.php?workbook=20_14.xlsx&amp;sheet=U0&amp;row=311&amp;col=7&amp;number=0.0898&amp;sourceID=14","0.0898")</f>
        <v>0.0898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HYPERLINK("http://141.218.60.56/~jnz1568/getInfo.php?workbook=20_14.xlsx&amp;sheet=U0&amp;row=312&amp;col=6&amp;number=3.8&amp;sourceID=14","3.8")</f>
        <v>3.8</v>
      </c>
      <c r="G312" s="4" t="str">
        <f>HYPERLINK("http://141.218.60.56/~jnz1568/getInfo.php?workbook=20_14.xlsx&amp;sheet=U0&amp;row=312&amp;col=7&amp;number=0.0899&amp;sourceID=14","0.0899")</f>
        <v>0.0899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HYPERLINK("http://141.218.60.56/~jnz1568/getInfo.php?workbook=20_14.xlsx&amp;sheet=U0&amp;row=313&amp;col=6&amp;number=3.9&amp;sourceID=14","3.9")</f>
        <v>3.9</v>
      </c>
      <c r="G313" s="4" t="str">
        <f>HYPERLINK("http://141.218.60.56/~jnz1568/getInfo.php?workbook=20_14.xlsx&amp;sheet=U0&amp;row=313&amp;col=7&amp;number=0.09&amp;sourceID=14","0.09")</f>
        <v>0.09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HYPERLINK("http://141.218.60.56/~jnz1568/getInfo.php?workbook=20_14.xlsx&amp;sheet=U0&amp;row=314&amp;col=6&amp;number=4&amp;sourceID=14","4")</f>
        <v>4</v>
      </c>
      <c r="G314" s="4" t="str">
        <f>HYPERLINK("http://141.218.60.56/~jnz1568/getInfo.php?workbook=20_14.xlsx&amp;sheet=U0&amp;row=314&amp;col=7&amp;number=0.09&amp;sourceID=14","0.09")</f>
        <v>0.09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HYPERLINK("http://141.218.60.56/~jnz1568/getInfo.php?workbook=20_14.xlsx&amp;sheet=U0&amp;row=315&amp;col=6&amp;number=4.1&amp;sourceID=14","4.1")</f>
        <v>4.1</v>
      </c>
      <c r="G315" s="4" t="str">
        <f>HYPERLINK("http://141.218.60.56/~jnz1568/getInfo.php?workbook=20_14.xlsx&amp;sheet=U0&amp;row=315&amp;col=7&amp;number=0.0901&amp;sourceID=14","0.0901")</f>
        <v>0.0901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HYPERLINK("http://141.218.60.56/~jnz1568/getInfo.php?workbook=20_14.xlsx&amp;sheet=U0&amp;row=316&amp;col=6&amp;number=4.2&amp;sourceID=14","4.2")</f>
        <v>4.2</v>
      </c>
      <c r="G316" s="4" t="str">
        <f>HYPERLINK("http://141.218.60.56/~jnz1568/getInfo.php?workbook=20_14.xlsx&amp;sheet=U0&amp;row=316&amp;col=7&amp;number=0.0903&amp;sourceID=14","0.0903")</f>
        <v>0.0903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HYPERLINK("http://141.218.60.56/~jnz1568/getInfo.php?workbook=20_14.xlsx&amp;sheet=U0&amp;row=317&amp;col=6&amp;number=4.3&amp;sourceID=14","4.3")</f>
        <v>4.3</v>
      </c>
      <c r="G317" s="4" t="str">
        <f>HYPERLINK("http://141.218.60.56/~jnz1568/getInfo.php?workbook=20_14.xlsx&amp;sheet=U0&amp;row=317&amp;col=7&amp;number=0.0904&amp;sourceID=14","0.0904")</f>
        <v>0.0904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HYPERLINK("http://141.218.60.56/~jnz1568/getInfo.php?workbook=20_14.xlsx&amp;sheet=U0&amp;row=318&amp;col=6&amp;number=4.4&amp;sourceID=14","4.4")</f>
        <v>4.4</v>
      </c>
      <c r="G318" s="4" t="str">
        <f>HYPERLINK("http://141.218.60.56/~jnz1568/getInfo.php?workbook=20_14.xlsx&amp;sheet=U0&amp;row=318&amp;col=7&amp;number=0.0906&amp;sourceID=14","0.0906")</f>
        <v>0.0906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HYPERLINK("http://141.218.60.56/~jnz1568/getInfo.php?workbook=20_14.xlsx&amp;sheet=U0&amp;row=319&amp;col=6&amp;number=4.5&amp;sourceID=14","4.5")</f>
        <v>4.5</v>
      </c>
      <c r="G319" s="4" t="str">
        <f>HYPERLINK("http://141.218.60.56/~jnz1568/getInfo.php?workbook=20_14.xlsx&amp;sheet=U0&amp;row=319&amp;col=7&amp;number=0.0909&amp;sourceID=14","0.0909")</f>
        <v>0.0909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HYPERLINK("http://141.218.60.56/~jnz1568/getInfo.php?workbook=20_14.xlsx&amp;sheet=U0&amp;row=320&amp;col=6&amp;number=4.6&amp;sourceID=14","4.6")</f>
        <v>4.6</v>
      </c>
      <c r="G320" s="4" t="str">
        <f>HYPERLINK("http://141.218.60.56/~jnz1568/getInfo.php?workbook=20_14.xlsx&amp;sheet=U0&amp;row=320&amp;col=7&amp;number=0.0912&amp;sourceID=14","0.0912")</f>
        <v>0.0912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HYPERLINK("http://141.218.60.56/~jnz1568/getInfo.php?workbook=20_14.xlsx&amp;sheet=U0&amp;row=321&amp;col=6&amp;number=4.7&amp;sourceID=14","4.7")</f>
        <v>4.7</v>
      </c>
      <c r="G321" s="4" t="str">
        <f>HYPERLINK("http://141.218.60.56/~jnz1568/getInfo.php?workbook=20_14.xlsx&amp;sheet=U0&amp;row=321&amp;col=7&amp;number=0.0916&amp;sourceID=14","0.0916")</f>
        <v>0.0916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HYPERLINK("http://141.218.60.56/~jnz1568/getInfo.php?workbook=20_14.xlsx&amp;sheet=U0&amp;row=322&amp;col=6&amp;number=4.8&amp;sourceID=14","4.8")</f>
        <v>4.8</v>
      </c>
      <c r="G322" s="4" t="str">
        <f>HYPERLINK("http://141.218.60.56/~jnz1568/getInfo.php?workbook=20_14.xlsx&amp;sheet=U0&amp;row=322&amp;col=7&amp;number=0.092&amp;sourceID=14","0.092")</f>
        <v>0.092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HYPERLINK("http://141.218.60.56/~jnz1568/getInfo.php?workbook=20_14.xlsx&amp;sheet=U0&amp;row=323&amp;col=6&amp;number=4.9&amp;sourceID=14","4.9")</f>
        <v>4.9</v>
      </c>
      <c r="G323" s="4" t="str">
        <f>HYPERLINK("http://141.218.60.56/~jnz1568/getInfo.php?workbook=20_14.xlsx&amp;sheet=U0&amp;row=323&amp;col=7&amp;number=0.0927&amp;sourceID=14","0.0927")</f>
        <v>0.0927</v>
      </c>
    </row>
    <row r="324" spans="1:7">
      <c r="A324" s="3">
        <v>20</v>
      </c>
      <c r="B324" s="3">
        <v>14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HYPERLINK("http://141.218.60.56/~jnz1568/getInfo.php?workbook=20_14.xlsx&amp;sheet=U0&amp;row=324&amp;col=6&amp;number=3&amp;sourceID=14","3")</f>
        <v>3</v>
      </c>
      <c r="G324" s="4" t="str">
        <f>HYPERLINK("http://141.218.60.56/~jnz1568/getInfo.php?workbook=20_14.xlsx&amp;sheet=U0&amp;row=324&amp;col=7&amp;number=0.68&amp;sourceID=14","0.68")</f>
        <v>0.68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HYPERLINK("http://141.218.60.56/~jnz1568/getInfo.php?workbook=20_14.xlsx&amp;sheet=U0&amp;row=325&amp;col=6&amp;number=3.1&amp;sourceID=14","3.1")</f>
        <v>3.1</v>
      </c>
      <c r="G325" s="4" t="str">
        <f>HYPERLINK("http://141.218.60.56/~jnz1568/getInfo.php?workbook=20_14.xlsx&amp;sheet=U0&amp;row=325&amp;col=7&amp;number=0.68&amp;sourceID=14","0.68")</f>
        <v>0.68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HYPERLINK("http://141.218.60.56/~jnz1568/getInfo.php?workbook=20_14.xlsx&amp;sheet=U0&amp;row=326&amp;col=6&amp;number=3.2&amp;sourceID=14","3.2")</f>
        <v>3.2</v>
      </c>
      <c r="G326" s="4" t="str">
        <f>HYPERLINK("http://141.218.60.56/~jnz1568/getInfo.php?workbook=20_14.xlsx&amp;sheet=U0&amp;row=326&amp;col=7&amp;number=0.68&amp;sourceID=14","0.68")</f>
        <v>0.68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HYPERLINK("http://141.218.60.56/~jnz1568/getInfo.php?workbook=20_14.xlsx&amp;sheet=U0&amp;row=327&amp;col=6&amp;number=3.3&amp;sourceID=14","3.3")</f>
        <v>3.3</v>
      </c>
      <c r="G327" s="4" t="str">
        <f>HYPERLINK("http://141.218.60.56/~jnz1568/getInfo.php?workbook=20_14.xlsx&amp;sheet=U0&amp;row=327&amp;col=7&amp;number=0.681&amp;sourceID=14","0.681")</f>
        <v>0.681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HYPERLINK("http://141.218.60.56/~jnz1568/getInfo.php?workbook=20_14.xlsx&amp;sheet=U0&amp;row=328&amp;col=6&amp;number=3.4&amp;sourceID=14","3.4")</f>
        <v>3.4</v>
      </c>
      <c r="G328" s="4" t="str">
        <f>HYPERLINK("http://141.218.60.56/~jnz1568/getInfo.php?workbook=20_14.xlsx&amp;sheet=U0&amp;row=328&amp;col=7&amp;number=0.681&amp;sourceID=14","0.681")</f>
        <v>0.681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HYPERLINK("http://141.218.60.56/~jnz1568/getInfo.php?workbook=20_14.xlsx&amp;sheet=U0&amp;row=329&amp;col=6&amp;number=3.5&amp;sourceID=14","3.5")</f>
        <v>3.5</v>
      </c>
      <c r="G329" s="4" t="str">
        <f>HYPERLINK("http://141.218.60.56/~jnz1568/getInfo.php?workbook=20_14.xlsx&amp;sheet=U0&amp;row=329&amp;col=7&amp;number=0.681&amp;sourceID=14","0.681")</f>
        <v>0.681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HYPERLINK("http://141.218.60.56/~jnz1568/getInfo.php?workbook=20_14.xlsx&amp;sheet=U0&amp;row=330&amp;col=6&amp;number=3.6&amp;sourceID=14","3.6")</f>
        <v>3.6</v>
      </c>
      <c r="G330" s="4" t="str">
        <f>HYPERLINK("http://141.218.60.56/~jnz1568/getInfo.php?workbook=20_14.xlsx&amp;sheet=U0&amp;row=330&amp;col=7&amp;number=0.682&amp;sourceID=14","0.682")</f>
        <v>0.682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HYPERLINK("http://141.218.60.56/~jnz1568/getInfo.php?workbook=20_14.xlsx&amp;sheet=U0&amp;row=331&amp;col=6&amp;number=3.7&amp;sourceID=14","3.7")</f>
        <v>3.7</v>
      </c>
      <c r="G331" s="4" t="str">
        <f>HYPERLINK("http://141.218.60.56/~jnz1568/getInfo.php?workbook=20_14.xlsx&amp;sheet=U0&amp;row=331&amp;col=7&amp;number=0.682&amp;sourceID=14","0.682")</f>
        <v>0.682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HYPERLINK("http://141.218.60.56/~jnz1568/getInfo.php?workbook=20_14.xlsx&amp;sheet=U0&amp;row=332&amp;col=6&amp;number=3.8&amp;sourceID=14","3.8")</f>
        <v>3.8</v>
      </c>
      <c r="G332" s="4" t="str">
        <f>HYPERLINK("http://141.218.60.56/~jnz1568/getInfo.php?workbook=20_14.xlsx&amp;sheet=U0&amp;row=332&amp;col=7&amp;number=0.683&amp;sourceID=14","0.683")</f>
        <v>0.683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HYPERLINK("http://141.218.60.56/~jnz1568/getInfo.php?workbook=20_14.xlsx&amp;sheet=U0&amp;row=333&amp;col=6&amp;number=3.9&amp;sourceID=14","3.9")</f>
        <v>3.9</v>
      </c>
      <c r="G333" s="4" t="str">
        <f>HYPERLINK("http://141.218.60.56/~jnz1568/getInfo.php?workbook=20_14.xlsx&amp;sheet=U0&amp;row=333&amp;col=7&amp;number=0.684&amp;sourceID=14","0.684")</f>
        <v>0.684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HYPERLINK("http://141.218.60.56/~jnz1568/getInfo.php?workbook=20_14.xlsx&amp;sheet=U0&amp;row=334&amp;col=6&amp;number=4&amp;sourceID=14","4")</f>
        <v>4</v>
      </c>
      <c r="G334" s="4" t="str">
        <f>HYPERLINK("http://141.218.60.56/~jnz1568/getInfo.php?workbook=20_14.xlsx&amp;sheet=U0&amp;row=334&amp;col=7&amp;number=0.685&amp;sourceID=14","0.685")</f>
        <v>0.685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HYPERLINK("http://141.218.60.56/~jnz1568/getInfo.php?workbook=20_14.xlsx&amp;sheet=U0&amp;row=335&amp;col=6&amp;number=4.1&amp;sourceID=14","4.1")</f>
        <v>4.1</v>
      </c>
      <c r="G335" s="4" t="str">
        <f>HYPERLINK("http://141.218.60.56/~jnz1568/getInfo.php?workbook=20_14.xlsx&amp;sheet=U0&amp;row=335&amp;col=7&amp;number=0.686&amp;sourceID=14","0.686")</f>
        <v>0.686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HYPERLINK("http://141.218.60.56/~jnz1568/getInfo.php?workbook=20_14.xlsx&amp;sheet=U0&amp;row=336&amp;col=6&amp;number=4.2&amp;sourceID=14","4.2")</f>
        <v>4.2</v>
      </c>
      <c r="G336" s="4" t="str">
        <f>HYPERLINK("http://141.218.60.56/~jnz1568/getInfo.php?workbook=20_14.xlsx&amp;sheet=U0&amp;row=336&amp;col=7&amp;number=0.688&amp;sourceID=14","0.688")</f>
        <v>0.688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HYPERLINK("http://141.218.60.56/~jnz1568/getInfo.php?workbook=20_14.xlsx&amp;sheet=U0&amp;row=337&amp;col=6&amp;number=4.3&amp;sourceID=14","4.3")</f>
        <v>4.3</v>
      </c>
      <c r="G337" s="4" t="str">
        <f>HYPERLINK("http://141.218.60.56/~jnz1568/getInfo.php?workbook=20_14.xlsx&amp;sheet=U0&amp;row=337&amp;col=7&amp;number=0.69&amp;sourceID=14","0.69")</f>
        <v>0.69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HYPERLINK("http://141.218.60.56/~jnz1568/getInfo.php?workbook=20_14.xlsx&amp;sheet=U0&amp;row=338&amp;col=6&amp;number=4.4&amp;sourceID=14","4.4")</f>
        <v>4.4</v>
      </c>
      <c r="G338" s="4" t="str">
        <f>HYPERLINK("http://141.218.60.56/~jnz1568/getInfo.php?workbook=20_14.xlsx&amp;sheet=U0&amp;row=338&amp;col=7&amp;number=0.693&amp;sourceID=14","0.693")</f>
        <v>0.693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HYPERLINK("http://141.218.60.56/~jnz1568/getInfo.php?workbook=20_14.xlsx&amp;sheet=U0&amp;row=339&amp;col=6&amp;number=4.5&amp;sourceID=14","4.5")</f>
        <v>4.5</v>
      </c>
      <c r="G339" s="4" t="str">
        <f>HYPERLINK("http://141.218.60.56/~jnz1568/getInfo.php?workbook=20_14.xlsx&amp;sheet=U0&amp;row=339&amp;col=7&amp;number=0.697&amp;sourceID=14","0.697")</f>
        <v>0.697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HYPERLINK("http://141.218.60.56/~jnz1568/getInfo.php?workbook=20_14.xlsx&amp;sheet=U0&amp;row=340&amp;col=6&amp;number=4.6&amp;sourceID=14","4.6")</f>
        <v>4.6</v>
      </c>
      <c r="G340" s="4" t="str">
        <f>HYPERLINK("http://141.218.60.56/~jnz1568/getInfo.php?workbook=20_14.xlsx&amp;sheet=U0&amp;row=340&amp;col=7&amp;number=0.701&amp;sourceID=14","0.701")</f>
        <v>0.701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HYPERLINK("http://141.218.60.56/~jnz1568/getInfo.php?workbook=20_14.xlsx&amp;sheet=U0&amp;row=341&amp;col=6&amp;number=4.7&amp;sourceID=14","4.7")</f>
        <v>4.7</v>
      </c>
      <c r="G341" s="4" t="str">
        <f>HYPERLINK("http://141.218.60.56/~jnz1568/getInfo.php?workbook=20_14.xlsx&amp;sheet=U0&amp;row=341&amp;col=7&amp;number=0.707&amp;sourceID=14","0.707")</f>
        <v>0.707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HYPERLINK("http://141.218.60.56/~jnz1568/getInfo.php?workbook=20_14.xlsx&amp;sheet=U0&amp;row=342&amp;col=6&amp;number=4.8&amp;sourceID=14","4.8")</f>
        <v>4.8</v>
      </c>
      <c r="G342" s="4" t="str">
        <f>HYPERLINK("http://141.218.60.56/~jnz1568/getInfo.php?workbook=20_14.xlsx&amp;sheet=U0&amp;row=342&amp;col=7&amp;number=0.713&amp;sourceID=14","0.713")</f>
        <v>0.713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HYPERLINK("http://141.218.60.56/~jnz1568/getInfo.php?workbook=20_14.xlsx&amp;sheet=U0&amp;row=343&amp;col=6&amp;number=4.9&amp;sourceID=14","4.9")</f>
        <v>4.9</v>
      </c>
      <c r="G343" s="4" t="str">
        <f>HYPERLINK("http://141.218.60.56/~jnz1568/getInfo.php?workbook=20_14.xlsx&amp;sheet=U0&amp;row=343&amp;col=7&amp;number=0.722&amp;sourceID=14","0.722")</f>
        <v>0.722</v>
      </c>
    </row>
    <row r="344" spans="1:7">
      <c r="A344" s="3">
        <v>20</v>
      </c>
      <c r="B344" s="3">
        <v>14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HYPERLINK("http://141.218.60.56/~jnz1568/getInfo.php?workbook=20_14.xlsx&amp;sheet=U0&amp;row=344&amp;col=6&amp;number=3&amp;sourceID=14","3")</f>
        <v>3</v>
      </c>
      <c r="G344" s="4" t="str">
        <f>HYPERLINK("http://141.218.60.56/~jnz1568/getInfo.php?workbook=20_14.xlsx&amp;sheet=U0&amp;row=344&amp;col=7&amp;number=0.00237&amp;sourceID=14","0.00237")</f>
        <v>0.00237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HYPERLINK("http://141.218.60.56/~jnz1568/getInfo.php?workbook=20_14.xlsx&amp;sheet=U0&amp;row=345&amp;col=6&amp;number=3.1&amp;sourceID=14","3.1")</f>
        <v>3.1</v>
      </c>
      <c r="G345" s="4" t="str">
        <f>HYPERLINK("http://141.218.60.56/~jnz1568/getInfo.php?workbook=20_14.xlsx&amp;sheet=U0&amp;row=345&amp;col=7&amp;number=0.00237&amp;sourceID=14","0.00237")</f>
        <v>0.00237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HYPERLINK("http://141.218.60.56/~jnz1568/getInfo.php?workbook=20_14.xlsx&amp;sheet=U0&amp;row=346&amp;col=6&amp;number=3.2&amp;sourceID=14","3.2")</f>
        <v>3.2</v>
      </c>
      <c r="G346" s="4" t="str">
        <f>HYPERLINK("http://141.218.60.56/~jnz1568/getInfo.php?workbook=20_14.xlsx&amp;sheet=U0&amp;row=346&amp;col=7&amp;number=0.00237&amp;sourceID=14","0.00237")</f>
        <v>0.00237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HYPERLINK("http://141.218.60.56/~jnz1568/getInfo.php?workbook=20_14.xlsx&amp;sheet=U0&amp;row=347&amp;col=6&amp;number=3.3&amp;sourceID=14","3.3")</f>
        <v>3.3</v>
      </c>
      <c r="G347" s="4" t="str">
        <f>HYPERLINK("http://141.218.60.56/~jnz1568/getInfo.php?workbook=20_14.xlsx&amp;sheet=U0&amp;row=347&amp;col=7&amp;number=0.00237&amp;sourceID=14","0.00237")</f>
        <v>0.00237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HYPERLINK("http://141.218.60.56/~jnz1568/getInfo.php?workbook=20_14.xlsx&amp;sheet=U0&amp;row=348&amp;col=6&amp;number=3.4&amp;sourceID=14","3.4")</f>
        <v>3.4</v>
      </c>
      <c r="G348" s="4" t="str">
        <f>HYPERLINK("http://141.218.60.56/~jnz1568/getInfo.php?workbook=20_14.xlsx&amp;sheet=U0&amp;row=348&amp;col=7&amp;number=0.00237&amp;sourceID=14","0.00237")</f>
        <v>0.00237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HYPERLINK("http://141.218.60.56/~jnz1568/getInfo.php?workbook=20_14.xlsx&amp;sheet=U0&amp;row=349&amp;col=6&amp;number=3.5&amp;sourceID=14","3.5")</f>
        <v>3.5</v>
      </c>
      <c r="G349" s="4" t="str">
        <f>HYPERLINK("http://141.218.60.56/~jnz1568/getInfo.php?workbook=20_14.xlsx&amp;sheet=U0&amp;row=349&amp;col=7&amp;number=0.00237&amp;sourceID=14","0.00237")</f>
        <v>0.00237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HYPERLINK("http://141.218.60.56/~jnz1568/getInfo.php?workbook=20_14.xlsx&amp;sheet=U0&amp;row=350&amp;col=6&amp;number=3.6&amp;sourceID=14","3.6")</f>
        <v>3.6</v>
      </c>
      <c r="G350" s="4" t="str">
        <f>HYPERLINK("http://141.218.60.56/~jnz1568/getInfo.php?workbook=20_14.xlsx&amp;sheet=U0&amp;row=350&amp;col=7&amp;number=0.00237&amp;sourceID=14","0.00237")</f>
        <v>0.00237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HYPERLINK("http://141.218.60.56/~jnz1568/getInfo.php?workbook=20_14.xlsx&amp;sheet=U0&amp;row=351&amp;col=6&amp;number=3.7&amp;sourceID=14","3.7")</f>
        <v>3.7</v>
      </c>
      <c r="G351" s="4" t="str">
        <f>HYPERLINK("http://141.218.60.56/~jnz1568/getInfo.php?workbook=20_14.xlsx&amp;sheet=U0&amp;row=351&amp;col=7&amp;number=0.00237&amp;sourceID=14","0.00237")</f>
        <v>0.00237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HYPERLINK("http://141.218.60.56/~jnz1568/getInfo.php?workbook=20_14.xlsx&amp;sheet=U0&amp;row=352&amp;col=6&amp;number=3.8&amp;sourceID=14","3.8")</f>
        <v>3.8</v>
      </c>
      <c r="G352" s="4" t="str">
        <f>HYPERLINK("http://141.218.60.56/~jnz1568/getInfo.php?workbook=20_14.xlsx&amp;sheet=U0&amp;row=352&amp;col=7&amp;number=0.00236&amp;sourceID=14","0.00236")</f>
        <v>0.00236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HYPERLINK("http://141.218.60.56/~jnz1568/getInfo.php?workbook=20_14.xlsx&amp;sheet=U0&amp;row=353&amp;col=6&amp;number=3.9&amp;sourceID=14","3.9")</f>
        <v>3.9</v>
      </c>
      <c r="G353" s="4" t="str">
        <f>HYPERLINK("http://141.218.60.56/~jnz1568/getInfo.php?workbook=20_14.xlsx&amp;sheet=U0&amp;row=353&amp;col=7&amp;number=0.00236&amp;sourceID=14","0.00236")</f>
        <v>0.00236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HYPERLINK("http://141.218.60.56/~jnz1568/getInfo.php?workbook=20_14.xlsx&amp;sheet=U0&amp;row=354&amp;col=6&amp;number=4&amp;sourceID=14","4")</f>
        <v>4</v>
      </c>
      <c r="G354" s="4" t="str">
        <f>HYPERLINK("http://141.218.60.56/~jnz1568/getInfo.php?workbook=20_14.xlsx&amp;sheet=U0&amp;row=354&amp;col=7&amp;number=0.00236&amp;sourceID=14","0.00236")</f>
        <v>0.00236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HYPERLINK("http://141.218.60.56/~jnz1568/getInfo.php?workbook=20_14.xlsx&amp;sheet=U0&amp;row=355&amp;col=6&amp;number=4.1&amp;sourceID=14","4.1")</f>
        <v>4.1</v>
      </c>
      <c r="G355" s="4" t="str">
        <f>HYPERLINK("http://141.218.60.56/~jnz1568/getInfo.php?workbook=20_14.xlsx&amp;sheet=U0&amp;row=355&amp;col=7&amp;number=0.00235&amp;sourceID=14","0.00235")</f>
        <v>0.00235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HYPERLINK("http://141.218.60.56/~jnz1568/getInfo.php?workbook=20_14.xlsx&amp;sheet=U0&amp;row=356&amp;col=6&amp;number=4.2&amp;sourceID=14","4.2")</f>
        <v>4.2</v>
      </c>
      <c r="G356" s="4" t="str">
        <f>HYPERLINK("http://141.218.60.56/~jnz1568/getInfo.php?workbook=20_14.xlsx&amp;sheet=U0&amp;row=356&amp;col=7&amp;number=0.00235&amp;sourceID=14","0.00235")</f>
        <v>0.00235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HYPERLINK("http://141.218.60.56/~jnz1568/getInfo.php?workbook=20_14.xlsx&amp;sheet=U0&amp;row=357&amp;col=6&amp;number=4.3&amp;sourceID=14","4.3")</f>
        <v>4.3</v>
      </c>
      <c r="G357" s="4" t="str">
        <f>HYPERLINK("http://141.218.60.56/~jnz1568/getInfo.php?workbook=20_14.xlsx&amp;sheet=U0&amp;row=357&amp;col=7&amp;number=0.00234&amp;sourceID=14","0.00234")</f>
        <v>0.00234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HYPERLINK("http://141.218.60.56/~jnz1568/getInfo.php?workbook=20_14.xlsx&amp;sheet=U0&amp;row=358&amp;col=6&amp;number=4.4&amp;sourceID=14","4.4")</f>
        <v>4.4</v>
      </c>
      <c r="G358" s="4" t="str">
        <f>HYPERLINK("http://141.218.60.56/~jnz1568/getInfo.php?workbook=20_14.xlsx&amp;sheet=U0&amp;row=358&amp;col=7&amp;number=0.00233&amp;sourceID=14","0.00233")</f>
        <v>0.00233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HYPERLINK("http://141.218.60.56/~jnz1568/getInfo.php?workbook=20_14.xlsx&amp;sheet=U0&amp;row=359&amp;col=6&amp;number=4.5&amp;sourceID=14","4.5")</f>
        <v>4.5</v>
      </c>
      <c r="G359" s="4" t="str">
        <f>HYPERLINK("http://141.218.60.56/~jnz1568/getInfo.php?workbook=20_14.xlsx&amp;sheet=U0&amp;row=359&amp;col=7&amp;number=0.00232&amp;sourceID=14","0.00232")</f>
        <v>0.00232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HYPERLINK("http://141.218.60.56/~jnz1568/getInfo.php?workbook=20_14.xlsx&amp;sheet=U0&amp;row=360&amp;col=6&amp;number=4.6&amp;sourceID=14","4.6")</f>
        <v>4.6</v>
      </c>
      <c r="G360" s="4" t="str">
        <f>HYPERLINK("http://141.218.60.56/~jnz1568/getInfo.php?workbook=20_14.xlsx&amp;sheet=U0&amp;row=360&amp;col=7&amp;number=0.00231&amp;sourceID=14","0.00231")</f>
        <v>0.00231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HYPERLINK("http://141.218.60.56/~jnz1568/getInfo.php?workbook=20_14.xlsx&amp;sheet=U0&amp;row=361&amp;col=6&amp;number=4.7&amp;sourceID=14","4.7")</f>
        <v>4.7</v>
      </c>
      <c r="G361" s="4" t="str">
        <f>HYPERLINK("http://141.218.60.56/~jnz1568/getInfo.php?workbook=20_14.xlsx&amp;sheet=U0&amp;row=361&amp;col=7&amp;number=0.00229&amp;sourceID=14","0.00229")</f>
        <v>0.00229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HYPERLINK("http://141.218.60.56/~jnz1568/getInfo.php?workbook=20_14.xlsx&amp;sheet=U0&amp;row=362&amp;col=6&amp;number=4.8&amp;sourceID=14","4.8")</f>
        <v>4.8</v>
      </c>
      <c r="G362" s="4" t="str">
        <f>HYPERLINK("http://141.218.60.56/~jnz1568/getInfo.php?workbook=20_14.xlsx&amp;sheet=U0&amp;row=362&amp;col=7&amp;number=0.00227&amp;sourceID=14","0.00227")</f>
        <v>0.00227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HYPERLINK("http://141.218.60.56/~jnz1568/getInfo.php?workbook=20_14.xlsx&amp;sheet=U0&amp;row=363&amp;col=6&amp;number=4.9&amp;sourceID=14","4.9")</f>
        <v>4.9</v>
      </c>
      <c r="G363" s="4" t="str">
        <f>HYPERLINK("http://141.218.60.56/~jnz1568/getInfo.php?workbook=20_14.xlsx&amp;sheet=U0&amp;row=363&amp;col=7&amp;number=0.00225&amp;sourceID=14","0.00225")</f>
        <v>0.00225</v>
      </c>
    </row>
    <row r="364" spans="1:7">
      <c r="A364" s="3">
        <v>20</v>
      </c>
      <c r="B364" s="3">
        <v>14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HYPERLINK("http://141.218.60.56/~jnz1568/getInfo.php?workbook=20_14.xlsx&amp;sheet=U0&amp;row=364&amp;col=6&amp;number=3&amp;sourceID=14","3")</f>
        <v>3</v>
      </c>
      <c r="G364" s="4" t="str">
        <f>HYPERLINK("http://141.218.60.56/~jnz1568/getInfo.php?workbook=20_14.xlsx&amp;sheet=U0&amp;row=364&amp;col=7&amp;number=1.37&amp;sourceID=14","1.37")</f>
        <v>1.37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HYPERLINK("http://141.218.60.56/~jnz1568/getInfo.php?workbook=20_14.xlsx&amp;sheet=U0&amp;row=365&amp;col=6&amp;number=3.1&amp;sourceID=14","3.1")</f>
        <v>3.1</v>
      </c>
      <c r="G365" s="4" t="str">
        <f>HYPERLINK("http://141.218.60.56/~jnz1568/getInfo.php?workbook=20_14.xlsx&amp;sheet=U0&amp;row=365&amp;col=7&amp;number=1.37&amp;sourceID=14","1.37")</f>
        <v>1.37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HYPERLINK("http://141.218.60.56/~jnz1568/getInfo.php?workbook=20_14.xlsx&amp;sheet=U0&amp;row=366&amp;col=6&amp;number=3.2&amp;sourceID=14","3.2")</f>
        <v>3.2</v>
      </c>
      <c r="G366" s="4" t="str">
        <f>HYPERLINK("http://141.218.60.56/~jnz1568/getInfo.php?workbook=20_14.xlsx&amp;sheet=U0&amp;row=366&amp;col=7&amp;number=1.37&amp;sourceID=14","1.37")</f>
        <v>1.37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HYPERLINK("http://141.218.60.56/~jnz1568/getInfo.php?workbook=20_14.xlsx&amp;sheet=U0&amp;row=367&amp;col=6&amp;number=3.3&amp;sourceID=14","3.3")</f>
        <v>3.3</v>
      </c>
      <c r="G367" s="4" t="str">
        <f>HYPERLINK("http://141.218.60.56/~jnz1568/getInfo.php?workbook=20_14.xlsx&amp;sheet=U0&amp;row=367&amp;col=7&amp;number=1.37&amp;sourceID=14","1.37")</f>
        <v>1.37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HYPERLINK("http://141.218.60.56/~jnz1568/getInfo.php?workbook=20_14.xlsx&amp;sheet=U0&amp;row=368&amp;col=6&amp;number=3.4&amp;sourceID=14","3.4")</f>
        <v>3.4</v>
      </c>
      <c r="G368" s="4" t="str">
        <f>HYPERLINK("http://141.218.60.56/~jnz1568/getInfo.php?workbook=20_14.xlsx&amp;sheet=U0&amp;row=368&amp;col=7&amp;number=1.37&amp;sourceID=14","1.37")</f>
        <v>1.37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HYPERLINK("http://141.218.60.56/~jnz1568/getInfo.php?workbook=20_14.xlsx&amp;sheet=U0&amp;row=369&amp;col=6&amp;number=3.5&amp;sourceID=14","3.5")</f>
        <v>3.5</v>
      </c>
      <c r="G369" s="4" t="str">
        <f>HYPERLINK("http://141.218.60.56/~jnz1568/getInfo.php?workbook=20_14.xlsx&amp;sheet=U0&amp;row=369&amp;col=7&amp;number=1.37&amp;sourceID=14","1.37")</f>
        <v>1.37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HYPERLINK("http://141.218.60.56/~jnz1568/getInfo.php?workbook=20_14.xlsx&amp;sheet=U0&amp;row=370&amp;col=6&amp;number=3.6&amp;sourceID=14","3.6")</f>
        <v>3.6</v>
      </c>
      <c r="G370" s="4" t="str">
        <f>HYPERLINK("http://141.218.60.56/~jnz1568/getInfo.php?workbook=20_14.xlsx&amp;sheet=U0&amp;row=370&amp;col=7&amp;number=1.37&amp;sourceID=14","1.37")</f>
        <v>1.37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HYPERLINK("http://141.218.60.56/~jnz1568/getInfo.php?workbook=20_14.xlsx&amp;sheet=U0&amp;row=371&amp;col=6&amp;number=3.7&amp;sourceID=14","3.7")</f>
        <v>3.7</v>
      </c>
      <c r="G371" s="4" t="str">
        <f>HYPERLINK("http://141.218.60.56/~jnz1568/getInfo.php?workbook=20_14.xlsx&amp;sheet=U0&amp;row=371&amp;col=7&amp;number=1.38&amp;sourceID=14","1.38")</f>
        <v>1.38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HYPERLINK("http://141.218.60.56/~jnz1568/getInfo.php?workbook=20_14.xlsx&amp;sheet=U0&amp;row=372&amp;col=6&amp;number=3.8&amp;sourceID=14","3.8")</f>
        <v>3.8</v>
      </c>
      <c r="G372" s="4" t="str">
        <f>HYPERLINK("http://141.218.60.56/~jnz1568/getInfo.php?workbook=20_14.xlsx&amp;sheet=U0&amp;row=372&amp;col=7&amp;number=1.38&amp;sourceID=14","1.38")</f>
        <v>1.38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HYPERLINK("http://141.218.60.56/~jnz1568/getInfo.php?workbook=20_14.xlsx&amp;sheet=U0&amp;row=373&amp;col=6&amp;number=3.9&amp;sourceID=14","3.9")</f>
        <v>3.9</v>
      </c>
      <c r="G373" s="4" t="str">
        <f>HYPERLINK("http://141.218.60.56/~jnz1568/getInfo.php?workbook=20_14.xlsx&amp;sheet=U0&amp;row=373&amp;col=7&amp;number=1.38&amp;sourceID=14","1.38")</f>
        <v>1.38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HYPERLINK("http://141.218.60.56/~jnz1568/getInfo.php?workbook=20_14.xlsx&amp;sheet=U0&amp;row=374&amp;col=6&amp;number=4&amp;sourceID=14","4")</f>
        <v>4</v>
      </c>
      <c r="G374" s="4" t="str">
        <f>HYPERLINK("http://141.218.60.56/~jnz1568/getInfo.php?workbook=20_14.xlsx&amp;sheet=U0&amp;row=374&amp;col=7&amp;number=1.38&amp;sourceID=14","1.38")</f>
        <v>1.38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HYPERLINK("http://141.218.60.56/~jnz1568/getInfo.php?workbook=20_14.xlsx&amp;sheet=U0&amp;row=375&amp;col=6&amp;number=4.1&amp;sourceID=14","4.1")</f>
        <v>4.1</v>
      </c>
      <c r="G375" s="4" t="str">
        <f>HYPERLINK("http://141.218.60.56/~jnz1568/getInfo.php?workbook=20_14.xlsx&amp;sheet=U0&amp;row=375&amp;col=7&amp;number=1.38&amp;sourceID=14","1.38")</f>
        <v>1.38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HYPERLINK("http://141.218.60.56/~jnz1568/getInfo.php?workbook=20_14.xlsx&amp;sheet=U0&amp;row=376&amp;col=6&amp;number=4.2&amp;sourceID=14","4.2")</f>
        <v>4.2</v>
      </c>
      <c r="G376" s="4" t="str">
        <f>HYPERLINK("http://141.218.60.56/~jnz1568/getInfo.php?workbook=20_14.xlsx&amp;sheet=U0&amp;row=376&amp;col=7&amp;number=1.39&amp;sourceID=14","1.39")</f>
        <v>1.39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HYPERLINK("http://141.218.60.56/~jnz1568/getInfo.php?workbook=20_14.xlsx&amp;sheet=U0&amp;row=377&amp;col=6&amp;number=4.3&amp;sourceID=14","4.3")</f>
        <v>4.3</v>
      </c>
      <c r="G377" s="4" t="str">
        <f>HYPERLINK("http://141.218.60.56/~jnz1568/getInfo.php?workbook=20_14.xlsx&amp;sheet=U0&amp;row=377&amp;col=7&amp;number=1.39&amp;sourceID=14","1.39")</f>
        <v>1.39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HYPERLINK("http://141.218.60.56/~jnz1568/getInfo.php?workbook=20_14.xlsx&amp;sheet=U0&amp;row=378&amp;col=6&amp;number=4.4&amp;sourceID=14","4.4")</f>
        <v>4.4</v>
      </c>
      <c r="G378" s="4" t="str">
        <f>HYPERLINK("http://141.218.60.56/~jnz1568/getInfo.php?workbook=20_14.xlsx&amp;sheet=U0&amp;row=378&amp;col=7&amp;number=1.4&amp;sourceID=14","1.4")</f>
        <v>1.4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HYPERLINK("http://141.218.60.56/~jnz1568/getInfo.php?workbook=20_14.xlsx&amp;sheet=U0&amp;row=379&amp;col=6&amp;number=4.5&amp;sourceID=14","4.5")</f>
        <v>4.5</v>
      </c>
      <c r="G379" s="4" t="str">
        <f>HYPERLINK("http://141.218.60.56/~jnz1568/getInfo.php?workbook=20_14.xlsx&amp;sheet=U0&amp;row=379&amp;col=7&amp;number=1.4&amp;sourceID=14","1.4")</f>
        <v>1.4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HYPERLINK("http://141.218.60.56/~jnz1568/getInfo.php?workbook=20_14.xlsx&amp;sheet=U0&amp;row=380&amp;col=6&amp;number=4.6&amp;sourceID=14","4.6")</f>
        <v>4.6</v>
      </c>
      <c r="G380" s="4" t="str">
        <f>HYPERLINK("http://141.218.60.56/~jnz1568/getInfo.php?workbook=20_14.xlsx&amp;sheet=U0&amp;row=380&amp;col=7&amp;number=1.41&amp;sourceID=14","1.41")</f>
        <v>1.41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HYPERLINK("http://141.218.60.56/~jnz1568/getInfo.php?workbook=20_14.xlsx&amp;sheet=U0&amp;row=381&amp;col=6&amp;number=4.7&amp;sourceID=14","4.7")</f>
        <v>4.7</v>
      </c>
      <c r="G381" s="4" t="str">
        <f>HYPERLINK("http://141.218.60.56/~jnz1568/getInfo.php?workbook=20_14.xlsx&amp;sheet=U0&amp;row=381&amp;col=7&amp;number=1.42&amp;sourceID=14","1.42")</f>
        <v>1.42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HYPERLINK("http://141.218.60.56/~jnz1568/getInfo.php?workbook=20_14.xlsx&amp;sheet=U0&amp;row=382&amp;col=6&amp;number=4.8&amp;sourceID=14","4.8")</f>
        <v>4.8</v>
      </c>
      <c r="G382" s="4" t="str">
        <f>HYPERLINK("http://141.218.60.56/~jnz1568/getInfo.php?workbook=20_14.xlsx&amp;sheet=U0&amp;row=382&amp;col=7&amp;number=1.44&amp;sourceID=14","1.44")</f>
        <v>1.44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HYPERLINK("http://141.218.60.56/~jnz1568/getInfo.php?workbook=20_14.xlsx&amp;sheet=U0&amp;row=383&amp;col=6&amp;number=4.9&amp;sourceID=14","4.9")</f>
        <v>4.9</v>
      </c>
      <c r="G383" s="4" t="str">
        <f>HYPERLINK("http://141.218.60.56/~jnz1568/getInfo.php?workbook=20_14.xlsx&amp;sheet=U0&amp;row=383&amp;col=7&amp;number=1.45&amp;sourceID=14","1.45")</f>
        <v>1.45</v>
      </c>
    </row>
    <row r="384" spans="1:7">
      <c r="A384" s="3">
        <v>20</v>
      </c>
      <c r="B384" s="3">
        <v>14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HYPERLINK("http://141.218.60.56/~jnz1568/getInfo.php?workbook=20_14.xlsx&amp;sheet=U0&amp;row=384&amp;col=6&amp;number=3&amp;sourceID=14","3")</f>
        <v>3</v>
      </c>
      <c r="G384" s="4" t="str">
        <f>HYPERLINK("http://141.218.60.56/~jnz1568/getInfo.php?workbook=20_14.xlsx&amp;sheet=U0&amp;row=384&amp;col=7&amp;number=0.0216&amp;sourceID=14","0.0216")</f>
        <v>0.0216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HYPERLINK("http://141.218.60.56/~jnz1568/getInfo.php?workbook=20_14.xlsx&amp;sheet=U0&amp;row=385&amp;col=6&amp;number=3.1&amp;sourceID=14","3.1")</f>
        <v>3.1</v>
      </c>
      <c r="G385" s="4" t="str">
        <f>HYPERLINK("http://141.218.60.56/~jnz1568/getInfo.php?workbook=20_14.xlsx&amp;sheet=U0&amp;row=385&amp;col=7&amp;number=0.0216&amp;sourceID=14","0.0216")</f>
        <v>0.0216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HYPERLINK("http://141.218.60.56/~jnz1568/getInfo.php?workbook=20_14.xlsx&amp;sheet=U0&amp;row=386&amp;col=6&amp;number=3.2&amp;sourceID=14","3.2")</f>
        <v>3.2</v>
      </c>
      <c r="G386" s="4" t="str">
        <f>HYPERLINK("http://141.218.60.56/~jnz1568/getInfo.php?workbook=20_14.xlsx&amp;sheet=U0&amp;row=386&amp;col=7&amp;number=0.0215&amp;sourceID=14","0.0215")</f>
        <v>0.0215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HYPERLINK("http://141.218.60.56/~jnz1568/getInfo.php?workbook=20_14.xlsx&amp;sheet=U0&amp;row=387&amp;col=6&amp;number=3.3&amp;sourceID=14","3.3")</f>
        <v>3.3</v>
      </c>
      <c r="G387" s="4" t="str">
        <f>HYPERLINK("http://141.218.60.56/~jnz1568/getInfo.php?workbook=20_14.xlsx&amp;sheet=U0&amp;row=387&amp;col=7&amp;number=0.0215&amp;sourceID=14","0.0215")</f>
        <v>0.0215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HYPERLINK("http://141.218.60.56/~jnz1568/getInfo.php?workbook=20_14.xlsx&amp;sheet=U0&amp;row=388&amp;col=6&amp;number=3.4&amp;sourceID=14","3.4")</f>
        <v>3.4</v>
      </c>
      <c r="G388" s="4" t="str">
        <f>HYPERLINK("http://141.218.60.56/~jnz1568/getInfo.php?workbook=20_14.xlsx&amp;sheet=U0&amp;row=388&amp;col=7&amp;number=0.0215&amp;sourceID=14","0.0215")</f>
        <v>0.0215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HYPERLINK("http://141.218.60.56/~jnz1568/getInfo.php?workbook=20_14.xlsx&amp;sheet=U0&amp;row=389&amp;col=6&amp;number=3.5&amp;sourceID=14","3.5")</f>
        <v>3.5</v>
      </c>
      <c r="G389" s="4" t="str">
        <f>HYPERLINK("http://141.218.60.56/~jnz1568/getInfo.php?workbook=20_14.xlsx&amp;sheet=U0&amp;row=389&amp;col=7&amp;number=0.0215&amp;sourceID=14","0.0215")</f>
        <v>0.0215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HYPERLINK("http://141.218.60.56/~jnz1568/getInfo.php?workbook=20_14.xlsx&amp;sheet=U0&amp;row=390&amp;col=6&amp;number=3.6&amp;sourceID=14","3.6")</f>
        <v>3.6</v>
      </c>
      <c r="G390" s="4" t="str">
        <f>HYPERLINK("http://141.218.60.56/~jnz1568/getInfo.php?workbook=20_14.xlsx&amp;sheet=U0&amp;row=390&amp;col=7&amp;number=0.0215&amp;sourceID=14","0.0215")</f>
        <v>0.0215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HYPERLINK("http://141.218.60.56/~jnz1568/getInfo.php?workbook=20_14.xlsx&amp;sheet=U0&amp;row=391&amp;col=6&amp;number=3.7&amp;sourceID=14","3.7")</f>
        <v>3.7</v>
      </c>
      <c r="G391" s="4" t="str">
        <f>HYPERLINK("http://141.218.60.56/~jnz1568/getInfo.php?workbook=20_14.xlsx&amp;sheet=U0&amp;row=391&amp;col=7&amp;number=0.0215&amp;sourceID=14","0.0215")</f>
        <v>0.0215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HYPERLINK("http://141.218.60.56/~jnz1568/getInfo.php?workbook=20_14.xlsx&amp;sheet=U0&amp;row=392&amp;col=6&amp;number=3.8&amp;sourceID=14","3.8")</f>
        <v>3.8</v>
      </c>
      <c r="G392" s="4" t="str">
        <f>HYPERLINK("http://141.218.60.56/~jnz1568/getInfo.php?workbook=20_14.xlsx&amp;sheet=U0&amp;row=392&amp;col=7&amp;number=0.0215&amp;sourceID=14","0.0215")</f>
        <v>0.0215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HYPERLINK("http://141.218.60.56/~jnz1568/getInfo.php?workbook=20_14.xlsx&amp;sheet=U0&amp;row=393&amp;col=6&amp;number=3.9&amp;sourceID=14","3.9")</f>
        <v>3.9</v>
      </c>
      <c r="G393" s="4" t="str">
        <f>HYPERLINK("http://141.218.60.56/~jnz1568/getInfo.php?workbook=20_14.xlsx&amp;sheet=U0&amp;row=393&amp;col=7&amp;number=0.0215&amp;sourceID=14","0.0215")</f>
        <v>0.0215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HYPERLINK("http://141.218.60.56/~jnz1568/getInfo.php?workbook=20_14.xlsx&amp;sheet=U0&amp;row=394&amp;col=6&amp;number=4&amp;sourceID=14","4")</f>
        <v>4</v>
      </c>
      <c r="G394" s="4" t="str">
        <f>HYPERLINK("http://141.218.60.56/~jnz1568/getInfo.php?workbook=20_14.xlsx&amp;sheet=U0&amp;row=394&amp;col=7&amp;number=0.0214&amp;sourceID=14","0.0214")</f>
        <v>0.0214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HYPERLINK("http://141.218.60.56/~jnz1568/getInfo.php?workbook=20_14.xlsx&amp;sheet=U0&amp;row=395&amp;col=6&amp;number=4.1&amp;sourceID=14","4.1")</f>
        <v>4.1</v>
      </c>
      <c r="G395" s="4" t="str">
        <f>HYPERLINK("http://141.218.60.56/~jnz1568/getInfo.php?workbook=20_14.xlsx&amp;sheet=U0&amp;row=395&amp;col=7&amp;number=0.0214&amp;sourceID=14","0.0214")</f>
        <v>0.0214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HYPERLINK("http://141.218.60.56/~jnz1568/getInfo.php?workbook=20_14.xlsx&amp;sheet=U0&amp;row=396&amp;col=6&amp;number=4.2&amp;sourceID=14","4.2")</f>
        <v>4.2</v>
      </c>
      <c r="G396" s="4" t="str">
        <f>HYPERLINK("http://141.218.60.56/~jnz1568/getInfo.php?workbook=20_14.xlsx&amp;sheet=U0&amp;row=396&amp;col=7&amp;number=0.0214&amp;sourceID=14","0.0214")</f>
        <v>0.0214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HYPERLINK("http://141.218.60.56/~jnz1568/getInfo.php?workbook=20_14.xlsx&amp;sheet=U0&amp;row=397&amp;col=6&amp;number=4.3&amp;sourceID=14","4.3")</f>
        <v>4.3</v>
      </c>
      <c r="G397" s="4" t="str">
        <f>HYPERLINK("http://141.218.60.56/~jnz1568/getInfo.php?workbook=20_14.xlsx&amp;sheet=U0&amp;row=397&amp;col=7&amp;number=0.0213&amp;sourceID=14","0.0213")</f>
        <v>0.0213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HYPERLINK("http://141.218.60.56/~jnz1568/getInfo.php?workbook=20_14.xlsx&amp;sheet=U0&amp;row=398&amp;col=6&amp;number=4.4&amp;sourceID=14","4.4")</f>
        <v>4.4</v>
      </c>
      <c r="G398" s="4" t="str">
        <f>HYPERLINK("http://141.218.60.56/~jnz1568/getInfo.php?workbook=20_14.xlsx&amp;sheet=U0&amp;row=398&amp;col=7&amp;number=0.0212&amp;sourceID=14","0.0212")</f>
        <v>0.0212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HYPERLINK("http://141.218.60.56/~jnz1568/getInfo.php?workbook=20_14.xlsx&amp;sheet=U0&amp;row=399&amp;col=6&amp;number=4.5&amp;sourceID=14","4.5")</f>
        <v>4.5</v>
      </c>
      <c r="G399" s="4" t="str">
        <f>HYPERLINK("http://141.218.60.56/~jnz1568/getInfo.php?workbook=20_14.xlsx&amp;sheet=U0&amp;row=399&amp;col=7&amp;number=0.0211&amp;sourceID=14","0.0211")</f>
        <v>0.0211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HYPERLINK("http://141.218.60.56/~jnz1568/getInfo.php?workbook=20_14.xlsx&amp;sheet=U0&amp;row=400&amp;col=6&amp;number=4.6&amp;sourceID=14","4.6")</f>
        <v>4.6</v>
      </c>
      <c r="G400" s="4" t="str">
        <f>HYPERLINK("http://141.218.60.56/~jnz1568/getInfo.php?workbook=20_14.xlsx&amp;sheet=U0&amp;row=400&amp;col=7&amp;number=0.021&amp;sourceID=14","0.021")</f>
        <v>0.021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HYPERLINK("http://141.218.60.56/~jnz1568/getInfo.php?workbook=20_14.xlsx&amp;sheet=U0&amp;row=401&amp;col=6&amp;number=4.7&amp;sourceID=14","4.7")</f>
        <v>4.7</v>
      </c>
      <c r="G401" s="4" t="str">
        <f>HYPERLINK("http://141.218.60.56/~jnz1568/getInfo.php?workbook=20_14.xlsx&amp;sheet=U0&amp;row=401&amp;col=7&amp;number=0.0209&amp;sourceID=14","0.0209")</f>
        <v>0.0209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HYPERLINK("http://141.218.60.56/~jnz1568/getInfo.php?workbook=20_14.xlsx&amp;sheet=U0&amp;row=402&amp;col=6&amp;number=4.8&amp;sourceID=14","4.8")</f>
        <v>4.8</v>
      </c>
      <c r="G402" s="4" t="str">
        <f>HYPERLINK("http://141.218.60.56/~jnz1568/getInfo.php?workbook=20_14.xlsx&amp;sheet=U0&amp;row=402&amp;col=7&amp;number=0.0207&amp;sourceID=14","0.0207")</f>
        <v>0.0207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HYPERLINK("http://141.218.60.56/~jnz1568/getInfo.php?workbook=20_14.xlsx&amp;sheet=U0&amp;row=403&amp;col=6&amp;number=4.9&amp;sourceID=14","4.9")</f>
        <v>4.9</v>
      </c>
      <c r="G403" s="4" t="str">
        <f>HYPERLINK("http://141.218.60.56/~jnz1568/getInfo.php?workbook=20_14.xlsx&amp;sheet=U0&amp;row=403&amp;col=7&amp;number=0.0205&amp;sourceID=14","0.0205")</f>
        <v>0.0205</v>
      </c>
    </row>
    <row r="404" spans="1:7">
      <c r="A404" s="3">
        <v>20</v>
      </c>
      <c r="B404" s="3">
        <v>14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HYPERLINK("http://141.218.60.56/~jnz1568/getInfo.php?workbook=20_14.xlsx&amp;sheet=U0&amp;row=404&amp;col=6&amp;number=3&amp;sourceID=14","3")</f>
        <v>3</v>
      </c>
      <c r="G404" s="4" t="str">
        <f>HYPERLINK("http://141.218.60.56/~jnz1568/getInfo.php?workbook=20_14.xlsx&amp;sheet=U0&amp;row=404&amp;col=7&amp;number=0.00842&amp;sourceID=14","0.00842")</f>
        <v>0.00842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HYPERLINK("http://141.218.60.56/~jnz1568/getInfo.php?workbook=20_14.xlsx&amp;sheet=U0&amp;row=405&amp;col=6&amp;number=3.1&amp;sourceID=14","3.1")</f>
        <v>3.1</v>
      </c>
      <c r="G405" s="4" t="str">
        <f>HYPERLINK("http://141.218.60.56/~jnz1568/getInfo.php?workbook=20_14.xlsx&amp;sheet=U0&amp;row=405&amp;col=7&amp;number=0.00842&amp;sourceID=14","0.00842")</f>
        <v>0.00842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HYPERLINK("http://141.218.60.56/~jnz1568/getInfo.php?workbook=20_14.xlsx&amp;sheet=U0&amp;row=406&amp;col=6&amp;number=3.2&amp;sourceID=14","3.2")</f>
        <v>3.2</v>
      </c>
      <c r="G406" s="4" t="str">
        <f>HYPERLINK("http://141.218.60.56/~jnz1568/getInfo.php?workbook=20_14.xlsx&amp;sheet=U0&amp;row=406&amp;col=7&amp;number=0.00842&amp;sourceID=14","0.00842")</f>
        <v>0.00842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HYPERLINK("http://141.218.60.56/~jnz1568/getInfo.php?workbook=20_14.xlsx&amp;sheet=U0&amp;row=407&amp;col=6&amp;number=3.3&amp;sourceID=14","3.3")</f>
        <v>3.3</v>
      </c>
      <c r="G407" s="4" t="str">
        <f>HYPERLINK("http://141.218.60.56/~jnz1568/getInfo.php?workbook=20_14.xlsx&amp;sheet=U0&amp;row=407&amp;col=7&amp;number=0.00841&amp;sourceID=14","0.00841")</f>
        <v>0.00841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HYPERLINK("http://141.218.60.56/~jnz1568/getInfo.php?workbook=20_14.xlsx&amp;sheet=U0&amp;row=408&amp;col=6&amp;number=3.4&amp;sourceID=14","3.4")</f>
        <v>3.4</v>
      </c>
      <c r="G408" s="4" t="str">
        <f>HYPERLINK("http://141.218.60.56/~jnz1568/getInfo.php?workbook=20_14.xlsx&amp;sheet=U0&amp;row=408&amp;col=7&amp;number=0.00841&amp;sourceID=14","0.00841")</f>
        <v>0.00841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HYPERLINK("http://141.218.60.56/~jnz1568/getInfo.php?workbook=20_14.xlsx&amp;sheet=U0&amp;row=409&amp;col=6&amp;number=3.5&amp;sourceID=14","3.5")</f>
        <v>3.5</v>
      </c>
      <c r="G409" s="4" t="str">
        <f>HYPERLINK("http://141.218.60.56/~jnz1568/getInfo.php?workbook=20_14.xlsx&amp;sheet=U0&amp;row=409&amp;col=7&amp;number=0.00841&amp;sourceID=14","0.00841")</f>
        <v>0.00841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HYPERLINK("http://141.218.60.56/~jnz1568/getInfo.php?workbook=20_14.xlsx&amp;sheet=U0&amp;row=410&amp;col=6&amp;number=3.6&amp;sourceID=14","3.6")</f>
        <v>3.6</v>
      </c>
      <c r="G410" s="4" t="str">
        <f>HYPERLINK("http://141.218.60.56/~jnz1568/getInfo.php?workbook=20_14.xlsx&amp;sheet=U0&amp;row=410&amp;col=7&amp;number=0.0084&amp;sourceID=14","0.0084")</f>
        <v>0.0084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HYPERLINK("http://141.218.60.56/~jnz1568/getInfo.php?workbook=20_14.xlsx&amp;sheet=U0&amp;row=411&amp;col=6&amp;number=3.7&amp;sourceID=14","3.7")</f>
        <v>3.7</v>
      </c>
      <c r="G411" s="4" t="str">
        <f>HYPERLINK("http://141.218.60.56/~jnz1568/getInfo.php?workbook=20_14.xlsx&amp;sheet=U0&amp;row=411&amp;col=7&amp;number=0.0084&amp;sourceID=14","0.0084")</f>
        <v>0.0084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HYPERLINK("http://141.218.60.56/~jnz1568/getInfo.php?workbook=20_14.xlsx&amp;sheet=U0&amp;row=412&amp;col=6&amp;number=3.8&amp;sourceID=14","3.8")</f>
        <v>3.8</v>
      </c>
      <c r="G412" s="4" t="str">
        <f>HYPERLINK("http://141.218.60.56/~jnz1568/getInfo.php?workbook=20_14.xlsx&amp;sheet=U0&amp;row=412&amp;col=7&amp;number=0.00839&amp;sourceID=14","0.00839")</f>
        <v>0.00839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HYPERLINK("http://141.218.60.56/~jnz1568/getInfo.php?workbook=20_14.xlsx&amp;sheet=U0&amp;row=413&amp;col=6&amp;number=3.9&amp;sourceID=14","3.9")</f>
        <v>3.9</v>
      </c>
      <c r="G413" s="4" t="str">
        <f>HYPERLINK("http://141.218.60.56/~jnz1568/getInfo.php?workbook=20_14.xlsx&amp;sheet=U0&amp;row=413&amp;col=7&amp;number=0.00838&amp;sourceID=14","0.00838")</f>
        <v>0.00838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HYPERLINK("http://141.218.60.56/~jnz1568/getInfo.php?workbook=20_14.xlsx&amp;sheet=U0&amp;row=414&amp;col=6&amp;number=4&amp;sourceID=14","4")</f>
        <v>4</v>
      </c>
      <c r="G414" s="4" t="str">
        <f>HYPERLINK("http://141.218.60.56/~jnz1568/getInfo.php?workbook=20_14.xlsx&amp;sheet=U0&amp;row=414&amp;col=7&amp;number=0.00837&amp;sourceID=14","0.00837")</f>
        <v>0.00837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HYPERLINK("http://141.218.60.56/~jnz1568/getInfo.php?workbook=20_14.xlsx&amp;sheet=U0&amp;row=415&amp;col=6&amp;number=4.1&amp;sourceID=14","4.1")</f>
        <v>4.1</v>
      </c>
      <c r="G415" s="4" t="str">
        <f>HYPERLINK("http://141.218.60.56/~jnz1568/getInfo.php?workbook=20_14.xlsx&amp;sheet=U0&amp;row=415&amp;col=7&amp;number=0.00835&amp;sourceID=14","0.00835")</f>
        <v>0.00835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HYPERLINK("http://141.218.60.56/~jnz1568/getInfo.php?workbook=20_14.xlsx&amp;sheet=U0&amp;row=416&amp;col=6&amp;number=4.2&amp;sourceID=14","4.2")</f>
        <v>4.2</v>
      </c>
      <c r="G416" s="4" t="str">
        <f>HYPERLINK("http://141.218.60.56/~jnz1568/getInfo.php?workbook=20_14.xlsx&amp;sheet=U0&amp;row=416&amp;col=7&amp;number=0.00833&amp;sourceID=14","0.00833")</f>
        <v>0.00833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HYPERLINK("http://141.218.60.56/~jnz1568/getInfo.php?workbook=20_14.xlsx&amp;sheet=U0&amp;row=417&amp;col=6&amp;number=4.3&amp;sourceID=14","4.3")</f>
        <v>4.3</v>
      </c>
      <c r="G417" s="4" t="str">
        <f>HYPERLINK("http://141.218.60.56/~jnz1568/getInfo.php?workbook=20_14.xlsx&amp;sheet=U0&amp;row=417&amp;col=7&amp;number=0.00831&amp;sourceID=14","0.00831")</f>
        <v>0.00831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HYPERLINK("http://141.218.60.56/~jnz1568/getInfo.php?workbook=20_14.xlsx&amp;sheet=U0&amp;row=418&amp;col=6&amp;number=4.4&amp;sourceID=14","4.4")</f>
        <v>4.4</v>
      </c>
      <c r="G418" s="4" t="str">
        <f>HYPERLINK("http://141.218.60.56/~jnz1568/getInfo.php?workbook=20_14.xlsx&amp;sheet=U0&amp;row=418&amp;col=7&amp;number=0.00828&amp;sourceID=14","0.00828")</f>
        <v>0.00828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HYPERLINK("http://141.218.60.56/~jnz1568/getInfo.php?workbook=20_14.xlsx&amp;sheet=U0&amp;row=419&amp;col=6&amp;number=4.5&amp;sourceID=14","4.5")</f>
        <v>4.5</v>
      </c>
      <c r="G419" s="4" t="str">
        <f>HYPERLINK("http://141.218.60.56/~jnz1568/getInfo.php?workbook=20_14.xlsx&amp;sheet=U0&amp;row=419&amp;col=7&amp;number=0.00825&amp;sourceID=14","0.00825")</f>
        <v>0.00825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HYPERLINK("http://141.218.60.56/~jnz1568/getInfo.php?workbook=20_14.xlsx&amp;sheet=U0&amp;row=420&amp;col=6&amp;number=4.6&amp;sourceID=14","4.6")</f>
        <v>4.6</v>
      </c>
      <c r="G420" s="4" t="str">
        <f>HYPERLINK("http://141.218.60.56/~jnz1568/getInfo.php?workbook=20_14.xlsx&amp;sheet=U0&amp;row=420&amp;col=7&amp;number=0.0082&amp;sourceID=14","0.0082")</f>
        <v>0.0082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HYPERLINK("http://141.218.60.56/~jnz1568/getInfo.php?workbook=20_14.xlsx&amp;sheet=U0&amp;row=421&amp;col=6&amp;number=4.7&amp;sourceID=14","4.7")</f>
        <v>4.7</v>
      </c>
      <c r="G421" s="4" t="str">
        <f>HYPERLINK("http://141.218.60.56/~jnz1568/getInfo.php?workbook=20_14.xlsx&amp;sheet=U0&amp;row=421&amp;col=7&amp;number=0.00814&amp;sourceID=14","0.00814")</f>
        <v>0.00814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HYPERLINK("http://141.218.60.56/~jnz1568/getInfo.php?workbook=20_14.xlsx&amp;sheet=U0&amp;row=422&amp;col=6&amp;number=4.8&amp;sourceID=14","4.8")</f>
        <v>4.8</v>
      </c>
      <c r="G422" s="4" t="str">
        <f>HYPERLINK("http://141.218.60.56/~jnz1568/getInfo.php?workbook=20_14.xlsx&amp;sheet=U0&amp;row=422&amp;col=7&amp;number=0.00807&amp;sourceID=14","0.00807")</f>
        <v>0.00807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HYPERLINK("http://141.218.60.56/~jnz1568/getInfo.php?workbook=20_14.xlsx&amp;sheet=U0&amp;row=423&amp;col=6&amp;number=4.9&amp;sourceID=14","4.9")</f>
        <v>4.9</v>
      </c>
      <c r="G423" s="4" t="str">
        <f>HYPERLINK("http://141.218.60.56/~jnz1568/getInfo.php?workbook=20_14.xlsx&amp;sheet=U0&amp;row=423&amp;col=7&amp;number=0.00799&amp;sourceID=14","0.00799")</f>
        <v>0.00799</v>
      </c>
    </row>
    <row r="424" spans="1:7">
      <c r="A424" s="3">
        <v>20</v>
      </c>
      <c r="B424" s="3">
        <v>14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HYPERLINK("http://141.218.60.56/~jnz1568/getInfo.php?workbook=20_14.xlsx&amp;sheet=U0&amp;row=424&amp;col=6&amp;number=3&amp;sourceID=14","3")</f>
        <v>3</v>
      </c>
      <c r="G424" s="4" t="str">
        <f>HYPERLINK("http://141.218.60.56/~jnz1568/getInfo.php?workbook=20_14.xlsx&amp;sheet=U0&amp;row=424&amp;col=7&amp;number=2.06&amp;sourceID=14","2.06")</f>
        <v>2.06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HYPERLINK("http://141.218.60.56/~jnz1568/getInfo.php?workbook=20_14.xlsx&amp;sheet=U0&amp;row=425&amp;col=6&amp;number=3.1&amp;sourceID=14","3.1")</f>
        <v>3.1</v>
      </c>
      <c r="G425" s="4" t="str">
        <f>HYPERLINK("http://141.218.60.56/~jnz1568/getInfo.php?workbook=20_14.xlsx&amp;sheet=U0&amp;row=425&amp;col=7&amp;number=2.06&amp;sourceID=14","2.06")</f>
        <v>2.06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HYPERLINK("http://141.218.60.56/~jnz1568/getInfo.php?workbook=20_14.xlsx&amp;sheet=U0&amp;row=426&amp;col=6&amp;number=3.2&amp;sourceID=14","3.2")</f>
        <v>3.2</v>
      </c>
      <c r="G426" s="4" t="str">
        <f>HYPERLINK("http://141.218.60.56/~jnz1568/getInfo.php?workbook=20_14.xlsx&amp;sheet=U0&amp;row=426&amp;col=7&amp;number=2.06&amp;sourceID=14","2.06")</f>
        <v>2.06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HYPERLINK("http://141.218.60.56/~jnz1568/getInfo.php?workbook=20_14.xlsx&amp;sheet=U0&amp;row=427&amp;col=6&amp;number=3.3&amp;sourceID=14","3.3")</f>
        <v>3.3</v>
      </c>
      <c r="G427" s="4" t="str">
        <f>HYPERLINK("http://141.218.60.56/~jnz1568/getInfo.php?workbook=20_14.xlsx&amp;sheet=U0&amp;row=427&amp;col=7&amp;number=2.06&amp;sourceID=14","2.06")</f>
        <v>2.06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HYPERLINK("http://141.218.60.56/~jnz1568/getInfo.php?workbook=20_14.xlsx&amp;sheet=U0&amp;row=428&amp;col=6&amp;number=3.4&amp;sourceID=14","3.4")</f>
        <v>3.4</v>
      </c>
      <c r="G428" s="4" t="str">
        <f>HYPERLINK("http://141.218.60.56/~jnz1568/getInfo.php?workbook=20_14.xlsx&amp;sheet=U0&amp;row=428&amp;col=7&amp;number=2.07&amp;sourceID=14","2.07")</f>
        <v>2.07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HYPERLINK("http://141.218.60.56/~jnz1568/getInfo.php?workbook=20_14.xlsx&amp;sheet=U0&amp;row=429&amp;col=6&amp;number=3.5&amp;sourceID=14","3.5")</f>
        <v>3.5</v>
      </c>
      <c r="G429" s="4" t="str">
        <f>HYPERLINK("http://141.218.60.56/~jnz1568/getInfo.php?workbook=20_14.xlsx&amp;sheet=U0&amp;row=429&amp;col=7&amp;number=2.07&amp;sourceID=14","2.07")</f>
        <v>2.07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HYPERLINK("http://141.218.60.56/~jnz1568/getInfo.php?workbook=20_14.xlsx&amp;sheet=U0&amp;row=430&amp;col=6&amp;number=3.6&amp;sourceID=14","3.6")</f>
        <v>3.6</v>
      </c>
      <c r="G430" s="4" t="str">
        <f>HYPERLINK("http://141.218.60.56/~jnz1568/getInfo.php?workbook=20_14.xlsx&amp;sheet=U0&amp;row=430&amp;col=7&amp;number=2.07&amp;sourceID=14","2.07")</f>
        <v>2.07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HYPERLINK("http://141.218.60.56/~jnz1568/getInfo.php?workbook=20_14.xlsx&amp;sheet=U0&amp;row=431&amp;col=6&amp;number=3.7&amp;sourceID=14","3.7")</f>
        <v>3.7</v>
      </c>
      <c r="G431" s="4" t="str">
        <f>HYPERLINK("http://141.218.60.56/~jnz1568/getInfo.php?workbook=20_14.xlsx&amp;sheet=U0&amp;row=431&amp;col=7&amp;number=2.07&amp;sourceID=14","2.07")</f>
        <v>2.07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HYPERLINK("http://141.218.60.56/~jnz1568/getInfo.php?workbook=20_14.xlsx&amp;sheet=U0&amp;row=432&amp;col=6&amp;number=3.8&amp;sourceID=14","3.8")</f>
        <v>3.8</v>
      </c>
      <c r="G432" s="4" t="str">
        <f>HYPERLINK("http://141.218.60.56/~jnz1568/getInfo.php?workbook=20_14.xlsx&amp;sheet=U0&amp;row=432&amp;col=7&amp;number=2.07&amp;sourceID=14","2.07")</f>
        <v>2.07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HYPERLINK("http://141.218.60.56/~jnz1568/getInfo.php?workbook=20_14.xlsx&amp;sheet=U0&amp;row=433&amp;col=6&amp;number=3.9&amp;sourceID=14","3.9")</f>
        <v>3.9</v>
      </c>
      <c r="G433" s="4" t="str">
        <f>HYPERLINK("http://141.218.60.56/~jnz1568/getInfo.php?workbook=20_14.xlsx&amp;sheet=U0&amp;row=433&amp;col=7&amp;number=2.07&amp;sourceID=14","2.07")</f>
        <v>2.07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HYPERLINK("http://141.218.60.56/~jnz1568/getInfo.php?workbook=20_14.xlsx&amp;sheet=U0&amp;row=434&amp;col=6&amp;number=4&amp;sourceID=14","4")</f>
        <v>4</v>
      </c>
      <c r="G434" s="4" t="str">
        <f>HYPERLINK("http://141.218.60.56/~jnz1568/getInfo.php?workbook=20_14.xlsx&amp;sheet=U0&amp;row=434&amp;col=7&amp;number=2.08&amp;sourceID=14","2.08")</f>
        <v>2.08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HYPERLINK("http://141.218.60.56/~jnz1568/getInfo.php?workbook=20_14.xlsx&amp;sheet=U0&amp;row=435&amp;col=6&amp;number=4.1&amp;sourceID=14","4.1")</f>
        <v>4.1</v>
      </c>
      <c r="G435" s="4" t="str">
        <f>HYPERLINK("http://141.218.60.56/~jnz1568/getInfo.php?workbook=20_14.xlsx&amp;sheet=U0&amp;row=435&amp;col=7&amp;number=2.08&amp;sourceID=14","2.08")</f>
        <v>2.08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HYPERLINK("http://141.218.60.56/~jnz1568/getInfo.php?workbook=20_14.xlsx&amp;sheet=U0&amp;row=436&amp;col=6&amp;number=4.2&amp;sourceID=14","4.2")</f>
        <v>4.2</v>
      </c>
      <c r="G436" s="4" t="str">
        <f>HYPERLINK("http://141.218.60.56/~jnz1568/getInfo.php?workbook=20_14.xlsx&amp;sheet=U0&amp;row=436&amp;col=7&amp;number=2.09&amp;sourceID=14","2.09")</f>
        <v>2.09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HYPERLINK("http://141.218.60.56/~jnz1568/getInfo.php?workbook=20_14.xlsx&amp;sheet=U0&amp;row=437&amp;col=6&amp;number=4.3&amp;sourceID=14","4.3")</f>
        <v>4.3</v>
      </c>
      <c r="G437" s="4" t="str">
        <f>HYPERLINK("http://141.218.60.56/~jnz1568/getInfo.php?workbook=20_14.xlsx&amp;sheet=U0&amp;row=437&amp;col=7&amp;number=2.09&amp;sourceID=14","2.09")</f>
        <v>2.09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HYPERLINK("http://141.218.60.56/~jnz1568/getInfo.php?workbook=20_14.xlsx&amp;sheet=U0&amp;row=438&amp;col=6&amp;number=4.4&amp;sourceID=14","4.4")</f>
        <v>4.4</v>
      </c>
      <c r="G438" s="4" t="str">
        <f>HYPERLINK("http://141.218.60.56/~jnz1568/getInfo.php?workbook=20_14.xlsx&amp;sheet=U0&amp;row=438&amp;col=7&amp;number=2.1&amp;sourceID=14","2.1")</f>
        <v>2.1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HYPERLINK("http://141.218.60.56/~jnz1568/getInfo.php?workbook=20_14.xlsx&amp;sheet=U0&amp;row=439&amp;col=6&amp;number=4.5&amp;sourceID=14","4.5")</f>
        <v>4.5</v>
      </c>
      <c r="G439" s="4" t="str">
        <f>HYPERLINK("http://141.218.60.56/~jnz1568/getInfo.php?workbook=20_14.xlsx&amp;sheet=U0&amp;row=439&amp;col=7&amp;number=2.11&amp;sourceID=14","2.11")</f>
        <v>2.11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HYPERLINK("http://141.218.60.56/~jnz1568/getInfo.php?workbook=20_14.xlsx&amp;sheet=U0&amp;row=440&amp;col=6&amp;number=4.6&amp;sourceID=14","4.6")</f>
        <v>4.6</v>
      </c>
      <c r="G440" s="4" t="str">
        <f>HYPERLINK("http://141.218.60.56/~jnz1568/getInfo.php?workbook=20_14.xlsx&amp;sheet=U0&amp;row=440&amp;col=7&amp;number=2.13&amp;sourceID=14","2.13")</f>
        <v>2.13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HYPERLINK("http://141.218.60.56/~jnz1568/getInfo.php?workbook=20_14.xlsx&amp;sheet=U0&amp;row=441&amp;col=6&amp;number=4.7&amp;sourceID=14","4.7")</f>
        <v>4.7</v>
      </c>
      <c r="G441" s="4" t="str">
        <f>HYPERLINK("http://141.218.60.56/~jnz1568/getInfo.php?workbook=20_14.xlsx&amp;sheet=U0&amp;row=441&amp;col=7&amp;number=2.14&amp;sourceID=14","2.14")</f>
        <v>2.14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HYPERLINK("http://141.218.60.56/~jnz1568/getInfo.php?workbook=20_14.xlsx&amp;sheet=U0&amp;row=442&amp;col=6&amp;number=4.8&amp;sourceID=14","4.8")</f>
        <v>4.8</v>
      </c>
      <c r="G442" s="4" t="str">
        <f>HYPERLINK("http://141.218.60.56/~jnz1568/getInfo.php?workbook=20_14.xlsx&amp;sheet=U0&amp;row=442&amp;col=7&amp;number=2.17&amp;sourceID=14","2.17")</f>
        <v>2.17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HYPERLINK("http://141.218.60.56/~jnz1568/getInfo.php?workbook=20_14.xlsx&amp;sheet=U0&amp;row=443&amp;col=6&amp;number=4.9&amp;sourceID=14","4.9")</f>
        <v>4.9</v>
      </c>
      <c r="G443" s="4" t="str">
        <f>HYPERLINK("http://141.218.60.56/~jnz1568/getInfo.php?workbook=20_14.xlsx&amp;sheet=U0&amp;row=443&amp;col=7&amp;number=2.19&amp;sourceID=14","2.19")</f>
        <v>2.19</v>
      </c>
    </row>
    <row r="444" spans="1:7">
      <c r="A444" s="3">
        <v>20</v>
      </c>
      <c r="B444" s="3">
        <v>14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HYPERLINK("http://141.218.60.56/~jnz1568/getInfo.php?workbook=20_14.xlsx&amp;sheet=U0&amp;row=444&amp;col=6&amp;number=3&amp;sourceID=14","3")</f>
        <v>3</v>
      </c>
      <c r="G444" s="4" t="str">
        <f>HYPERLINK("http://141.218.60.56/~jnz1568/getInfo.php?workbook=20_14.xlsx&amp;sheet=U0&amp;row=444&amp;col=7&amp;number=0.0251&amp;sourceID=14","0.0251")</f>
        <v>0.0251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HYPERLINK("http://141.218.60.56/~jnz1568/getInfo.php?workbook=20_14.xlsx&amp;sheet=U0&amp;row=445&amp;col=6&amp;number=3.1&amp;sourceID=14","3.1")</f>
        <v>3.1</v>
      </c>
      <c r="G445" s="4" t="str">
        <f>HYPERLINK("http://141.218.60.56/~jnz1568/getInfo.php?workbook=20_14.xlsx&amp;sheet=U0&amp;row=445&amp;col=7&amp;number=0.025&amp;sourceID=14","0.025")</f>
        <v>0.025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HYPERLINK("http://141.218.60.56/~jnz1568/getInfo.php?workbook=20_14.xlsx&amp;sheet=U0&amp;row=446&amp;col=6&amp;number=3.2&amp;sourceID=14","3.2")</f>
        <v>3.2</v>
      </c>
      <c r="G446" s="4" t="str">
        <f>HYPERLINK("http://141.218.60.56/~jnz1568/getInfo.php?workbook=20_14.xlsx&amp;sheet=U0&amp;row=446&amp;col=7&amp;number=0.025&amp;sourceID=14","0.025")</f>
        <v>0.025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HYPERLINK("http://141.218.60.56/~jnz1568/getInfo.php?workbook=20_14.xlsx&amp;sheet=U0&amp;row=447&amp;col=6&amp;number=3.3&amp;sourceID=14","3.3")</f>
        <v>3.3</v>
      </c>
      <c r="G447" s="4" t="str">
        <f>HYPERLINK("http://141.218.60.56/~jnz1568/getInfo.php?workbook=20_14.xlsx&amp;sheet=U0&amp;row=447&amp;col=7&amp;number=0.025&amp;sourceID=14","0.025")</f>
        <v>0.025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HYPERLINK("http://141.218.60.56/~jnz1568/getInfo.php?workbook=20_14.xlsx&amp;sheet=U0&amp;row=448&amp;col=6&amp;number=3.4&amp;sourceID=14","3.4")</f>
        <v>3.4</v>
      </c>
      <c r="G448" s="4" t="str">
        <f>HYPERLINK("http://141.218.60.56/~jnz1568/getInfo.php?workbook=20_14.xlsx&amp;sheet=U0&amp;row=448&amp;col=7&amp;number=0.025&amp;sourceID=14","0.025")</f>
        <v>0.025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HYPERLINK("http://141.218.60.56/~jnz1568/getInfo.php?workbook=20_14.xlsx&amp;sheet=U0&amp;row=449&amp;col=6&amp;number=3.5&amp;sourceID=14","3.5")</f>
        <v>3.5</v>
      </c>
      <c r="G449" s="4" t="str">
        <f>HYPERLINK("http://141.218.60.56/~jnz1568/getInfo.php?workbook=20_14.xlsx&amp;sheet=U0&amp;row=449&amp;col=7&amp;number=0.025&amp;sourceID=14","0.025")</f>
        <v>0.025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HYPERLINK("http://141.218.60.56/~jnz1568/getInfo.php?workbook=20_14.xlsx&amp;sheet=U0&amp;row=450&amp;col=6&amp;number=3.6&amp;sourceID=14","3.6")</f>
        <v>3.6</v>
      </c>
      <c r="G450" s="4" t="str">
        <f>HYPERLINK("http://141.218.60.56/~jnz1568/getInfo.php?workbook=20_14.xlsx&amp;sheet=U0&amp;row=450&amp;col=7&amp;number=0.025&amp;sourceID=14","0.025")</f>
        <v>0.025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HYPERLINK("http://141.218.60.56/~jnz1568/getInfo.php?workbook=20_14.xlsx&amp;sheet=U0&amp;row=451&amp;col=6&amp;number=3.7&amp;sourceID=14","3.7")</f>
        <v>3.7</v>
      </c>
      <c r="G451" s="4" t="str">
        <f>HYPERLINK("http://141.218.60.56/~jnz1568/getInfo.php?workbook=20_14.xlsx&amp;sheet=U0&amp;row=451&amp;col=7&amp;number=0.025&amp;sourceID=14","0.025")</f>
        <v>0.025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HYPERLINK("http://141.218.60.56/~jnz1568/getInfo.php?workbook=20_14.xlsx&amp;sheet=U0&amp;row=452&amp;col=6&amp;number=3.8&amp;sourceID=14","3.8")</f>
        <v>3.8</v>
      </c>
      <c r="G452" s="4" t="str">
        <f>HYPERLINK("http://141.218.60.56/~jnz1568/getInfo.php?workbook=20_14.xlsx&amp;sheet=U0&amp;row=452&amp;col=7&amp;number=0.025&amp;sourceID=14","0.025")</f>
        <v>0.025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HYPERLINK("http://141.218.60.56/~jnz1568/getInfo.php?workbook=20_14.xlsx&amp;sheet=U0&amp;row=453&amp;col=6&amp;number=3.9&amp;sourceID=14","3.9")</f>
        <v>3.9</v>
      </c>
      <c r="G453" s="4" t="str">
        <f>HYPERLINK("http://141.218.60.56/~jnz1568/getInfo.php?workbook=20_14.xlsx&amp;sheet=U0&amp;row=453&amp;col=7&amp;number=0.0249&amp;sourceID=14","0.0249")</f>
        <v>0.0249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HYPERLINK("http://141.218.60.56/~jnz1568/getInfo.php?workbook=20_14.xlsx&amp;sheet=U0&amp;row=454&amp;col=6&amp;number=4&amp;sourceID=14","4")</f>
        <v>4</v>
      </c>
      <c r="G454" s="4" t="str">
        <f>HYPERLINK("http://141.218.60.56/~jnz1568/getInfo.php?workbook=20_14.xlsx&amp;sheet=U0&amp;row=454&amp;col=7&amp;number=0.0249&amp;sourceID=14","0.0249")</f>
        <v>0.0249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HYPERLINK("http://141.218.60.56/~jnz1568/getInfo.php?workbook=20_14.xlsx&amp;sheet=U0&amp;row=455&amp;col=6&amp;number=4.1&amp;sourceID=14","4.1")</f>
        <v>4.1</v>
      </c>
      <c r="G455" s="4" t="str">
        <f>HYPERLINK("http://141.218.60.56/~jnz1568/getInfo.php?workbook=20_14.xlsx&amp;sheet=U0&amp;row=455&amp;col=7&amp;number=0.0249&amp;sourceID=14","0.0249")</f>
        <v>0.0249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HYPERLINK("http://141.218.60.56/~jnz1568/getInfo.php?workbook=20_14.xlsx&amp;sheet=U0&amp;row=456&amp;col=6&amp;number=4.2&amp;sourceID=14","4.2")</f>
        <v>4.2</v>
      </c>
      <c r="G456" s="4" t="str">
        <f>HYPERLINK("http://141.218.60.56/~jnz1568/getInfo.php?workbook=20_14.xlsx&amp;sheet=U0&amp;row=456&amp;col=7&amp;number=0.0248&amp;sourceID=14","0.0248")</f>
        <v>0.0248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HYPERLINK("http://141.218.60.56/~jnz1568/getInfo.php?workbook=20_14.xlsx&amp;sheet=U0&amp;row=457&amp;col=6&amp;number=4.3&amp;sourceID=14","4.3")</f>
        <v>4.3</v>
      </c>
      <c r="G457" s="4" t="str">
        <f>HYPERLINK("http://141.218.60.56/~jnz1568/getInfo.php?workbook=20_14.xlsx&amp;sheet=U0&amp;row=457&amp;col=7&amp;number=0.0247&amp;sourceID=14","0.0247")</f>
        <v>0.0247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HYPERLINK("http://141.218.60.56/~jnz1568/getInfo.php?workbook=20_14.xlsx&amp;sheet=U0&amp;row=458&amp;col=6&amp;number=4.4&amp;sourceID=14","4.4")</f>
        <v>4.4</v>
      </c>
      <c r="G458" s="4" t="str">
        <f>HYPERLINK("http://141.218.60.56/~jnz1568/getInfo.php?workbook=20_14.xlsx&amp;sheet=U0&amp;row=458&amp;col=7&amp;number=0.0247&amp;sourceID=14","0.0247")</f>
        <v>0.0247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HYPERLINK("http://141.218.60.56/~jnz1568/getInfo.php?workbook=20_14.xlsx&amp;sheet=U0&amp;row=459&amp;col=6&amp;number=4.5&amp;sourceID=14","4.5")</f>
        <v>4.5</v>
      </c>
      <c r="G459" s="4" t="str">
        <f>HYPERLINK("http://141.218.60.56/~jnz1568/getInfo.php?workbook=20_14.xlsx&amp;sheet=U0&amp;row=459&amp;col=7&amp;number=0.0246&amp;sourceID=14","0.0246")</f>
        <v>0.0246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HYPERLINK("http://141.218.60.56/~jnz1568/getInfo.php?workbook=20_14.xlsx&amp;sheet=U0&amp;row=460&amp;col=6&amp;number=4.6&amp;sourceID=14","4.6")</f>
        <v>4.6</v>
      </c>
      <c r="G460" s="4" t="str">
        <f>HYPERLINK("http://141.218.60.56/~jnz1568/getInfo.php?workbook=20_14.xlsx&amp;sheet=U0&amp;row=460&amp;col=7&amp;number=0.0244&amp;sourceID=14","0.0244")</f>
        <v>0.0244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HYPERLINK("http://141.218.60.56/~jnz1568/getInfo.php?workbook=20_14.xlsx&amp;sheet=U0&amp;row=461&amp;col=6&amp;number=4.7&amp;sourceID=14","4.7")</f>
        <v>4.7</v>
      </c>
      <c r="G461" s="4" t="str">
        <f>HYPERLINK("http://141.218.60.56/~jnz1568/getInfo.php?workbook=20_14.xlsx&amp;sheet=U0&amp;row=461&amp;col=7&amp;number=0.0243&amp;sourceID=14","0.0243")</f>
        <v>0.0243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HYPERLINK("http://141.218.60.56/~jnz1568/getInfo.php?workbook=20_14.xlsx&amp;sheet=U0&amp;row=462&amp;col=6&amp;number=4.8&amp;sourceID=14","4.8")</f>
        <v>4.8</v>
      </c>
      <c r="G462" s="4" t="str">
        <f>HYPERLINK("http://141.218.60.56/~jnz1568/getInfo.php?workbook=20_14.xlsx&amp;sheet=U0&amp;row=462&amp;col=7&amp;number=0.0241&amp;sourceID=14","0.0241")</f>
        <v>0.0241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HYPERLINK("http://141.218.60.56/~jnz1568/getInfo.php?workbook=20_14.xlsx&amp;sheet=U0&amp;row=463&amp;col=6&amp;number=4.9&amp;sourceID=14","4.9")</f>
        <v>4.9</v>
      </c>
      <c r="G463" s="4" t="str">
        <f>HYPERLINK("http://141.218.60.56/~jnz1568/getInfo.php?workbook=20_14.xlsx&amp;sheet=U0&amp;row=463&amp;col=7&amp;number=0.0238&amp;sourceID=14","0.0238")</f>
        <v>0.0238</v>
      </c>
    </row>
    <row r="464" spans="1:7">
      <c r="A464" s="3">
        <v>20</v>
      </c>
      <c r="B464" s="3">
        <v>14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HYPERLINK("http://141.218.60.56/~jnz1568/getInfo.php?workbook=20_14.xlsx&amp;sheet=U0&amp;row=464&amp;col=6&amp;number=3&amp;sourceID=14","3")</f>
        <v>3</v>
      </c>
      <c r="G464" s="4" t="str">
        <f>HYPERLINK("http://141.218.60.56/~jnz1568/getInfo.php?workbook=20_14.xlsx&amp;sheet=U0&amp;row=464&amp;col=7&amp;number=0.0297&amp;sourceID=14","0.0297")</f>
        <v>0.0297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HYPERLINK("http://141.218.60.56/~jnz1568/getInfo.php?workbook=20_14.xlsx&amp;sheet=U0&amp;row=465&amp;col=6&amp;number=3.1&amp;sourceID=14","3.1")</f>
        <v>3.1</v>
      </c>
      <c r="G465" s="4" t="str">
        <f>HYPERLINK("http://141.218.60.56/~jnz1568/getInfo.php?workbook=20_14.xlsx&amp;sheet=U0&amp;row=465&amp;col=7&amp;number=0.0297&amp;sourceID=14","0.0297")</f>
        <v>0.0297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HYPERLINK("http://141.218.60.56/~jnz1568/getInfo.php?workbook=20_14.xlsx&amp;sheet=U0&amp;row=466&amp;col=6&amp;number=3.2&amp;sourceID=14","3.2")</f>
        <v>3.2</v>
      </c>
      <c r="G466" s="4" t="str">
        <f>HYPERLINK("http://141.218.60.56/~jnz1568/getInfo.php?workbook=20_14.xlsx&amp;sheet=U0&amp;row=466&amp;col=7&amp;number=0.0297&amp;sourceID=14","0.0297")</f>
        <v>0.0297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HYPERLINK("http://141.218.60.56/~jnz1568/getInfo.php?workbook=20_14.xlsx&amp;sheet=U0&amp;row=467&amp;col=6&amp;number=3.3&amp;sourceID=14","3.3")</f>
        <v>3.3</v>
      </c>
      <c r="G467" s="4" t="str">
        <f>HYPERLINK("http://141.218.60.56/~jnz1568/getInfo.php?workbook=20_14.xlsx&amp;sheet=U0&amp;row=467&amp;col=7&amp;number=0.0297&amp;sourceID=14","0.0297")</f>
        <v>0.0297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HYPERLINK("http://141.218.60.56/~jnz1568/getInfo.php?workbook=20_14.xlsx&amp;sheet=U0&amp;row=468&amp;col=6&amp;number=3.4&amp;sourceID=14","3.4")</f>
        <v>3.4</v>
      </c>
      <c r="G468" s="4" t="str">
        <f>HYPERLINK("http://141.218.60.56/~jnz1568/getInfo.php?workbook=20_14.xlsx&amp;sheet=U0&amp;row=468&amp;col=7&amp;number=0.0297&amp;sourceID=14","0.0297")</f>
        <v>0.0297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HYPERLINK("http://141.218.60.56/~jnz1568/getInfo.php?workbook=20_14.xlsx&amp;sheet=U0&amp;row=469&amp;col=6&amp;number=3.5&amp;sourceID=14","3.5")</f>
        <v>3.5</v>
      </c>
      <c r="G469" s="4" t="str">
        <f>HYPERLINK("http://141.218.60.56/~jnz1568/getInfo.php?workbook=20_14.xlsx&amp;sheet=U0&amp;row=469&amp;col=7&amp;number=0.0297&amp;sourceID=14","0.0297")</f>
        <v>0.0297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HYPERLINK("http://141.218.60.56/~jnz1568/getInfo.php?workbook=20_14.xlsx&amp;sheet=U0&amp;row=470&amp;col=6&amp;number=3.6&amp;sourceID=14","3.6")</f>
        <v>3.6</v>
      </c>
      <c r="G470" s="4" t="str">
        <f>HYPERLINK("http://141.218.60.56/~jnz1568/getInfo.php?workbook=20_14.xlsx&amp;sheet=U0&amp;row=470&amp;col=7&amp;number=0.0297&amp;sourceID=14","0.0297")</f>
        <v>0.0297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HYPERLINK("http://141.218.60.56/~jnz1568/getInfo.php?workbook=20_14.xlsx&amp;sheet=U0&amp;row=471&amp;col=6&amp;number=3.7&amp;sourceID=14","3.7")</f>
        <v>3.7</v>
      </c>
      <c r="G471" s="4" t="str">
        <f>HYPERLINK("http://141.218.60.56/~jnz1568/getInfo.php?workbook=20_14.xlsx&amp;sheet=U0&amp;row=471&amp;col=7&amp;number=0.0297&amp;sourceID=14","0.0297")</f>
        <v>0.0297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HYPERLINK("http://141.218.60.56/~jnz1568/getInfo.php?workbook=20_14.xlsx&amp;sheet=U0&amp;row=472&amp;col=6&amp;number=3.8&amp;sourceID=14","3.8")</f>
        <v>3.8</v>
      </c>
      <c r="G472" s="4" t="str">
        <f>HYPERLINK("http://141.218.60.56/~jnz1568/getInfo.php?workbook=20_14.xlsx&amp;sheet=U0&amp;row=472&amp;col=7&amp;number=0.0297&amp;sourceID=14","0.0297")</f>
        <v>0.0297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HYPERLINK("http://141.218.60.56/~jnz1568/getInfo.php?workbook=20_14.xlsx&amp;sheet=U0&amp;row=473&amp;col=6&amp;number=3.9&amp;sourceID=14","3.9")</f>
        <v>3.9</v>
      </c>
      <c r="G473" s="4" t="str">
        <f>HYPERLINK("http://141.218.60.56/~jnz1568/getInfo.php?workbook=20_14.xlsx&amp;sheet=U0&amp;row=473&amp;col=7&amp;number=0.0297&amp;sourceID=14","0.0297")</f>
        <v>0.0297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HYPERLINK("http://141.218.60.56/~jnz1568/getInfo.php?workbook=20_14.xlsx&amp;sheet=U0&amp;row=474&amp;col=6&amp;number=4&amp;sourceID=14","4")</f>
        <v>4</v>
      </c>
      <c r="G474" s="4" t="str">
        <f>HYPERLINK("http://141.218.60.56/~jnz1568/getInfo.php?workbook=20_14.xlsx&amp;sheet=U0&amp;row=474&amp;col=7&amp;number=0.0297&amp;sourceID=14","0.0297")</f>
        <v>0.0297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HYPERLINK("http://141.218.60.56/~jnz1568/getInfo.php?workbook=20_14.xlsx&amp;sheet=U0&amp;row=475&amp;col=6&amp;number=4.1&amp;sourceID=14","4.1")</f>
        <v>4.1</v>
      </c>
      <c r="G475" s="4" t="str">
        <f>HYPERLINK("http://141.218.60.56/~jnz1568/getInfo.php?workbook=20_14.xlsx&amp;sheet=U0&amp;row=475&amp;col=7&amp;number=0.0297&amp;sourceID=14","0.0297")</f>
        <v>0.0297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HYPERLINK("http://141.218.60.56/~jnz1568/getInfo.php?workbook=20_14.xlsx&amp;sheet=U0&amp;row=476&amp;col=6&amp;number=4.2&amp;sourceID=14","4.2")</f>
        <v>4.2</v>
      </c>
      <c r="G476" s="4" t="str">
        <f>HYPERLINK("http://141.218.60.56/~jnz1568/getInfo.php?workbook=20_14.xlsx&amp;sheet=U0&amp;row=476&amp;col=7&amp;number=0.0297&amp;sourceID=14","0.0297")</f>
        <v>0.0297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HYPERLINK("http://141.218.60.56/~jnz1568/getInfo.php?workbook=20_14.xlsx&amp;sheet=U0&amp;row=477&amp;col=6&amp;number=4.3&amp;sourceID=14","4.3")</f>
        <v>4.3</v>
      </c>
      <c r="G477" s="4" t="str">
        <f>HYPERLINK("http://141.218.60.56/~jnz1568/getInfo.php?workbook=20_14.xlsx&amp;sheet=U0&amp;row=477&amp;col=7&amp;number=0.0296&amp;sourceID=14","0.0296")</f>
        <v>0.0296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HYPERLINK("http://141.218.60.56/~jnz1568/getInfo.php?workbook=20_14.xlsx&amp;sheet=U0&amp;row=478&amp;col=6&amp;number=4.4&amp;sourceID=14","4.4")</f>
        <v>4.4</v>
      </c>
      <c r="G478" s="4" t="str">
        <f>HYPERLINK("http://141.218.60.56/~jnz1568/getInfo.php?workbook=20_14.xlsx&amp;sheet=U0&amp;row=478&amp;col=7&amp;number=0.0296&amp;sourceID=14","0.0296")</f>
        <v>0.0296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HYPERLINK("http://141.218.60.56/~jnz1568/getInfo.php?workbook=20_14.xlsx&amp;sheet=U0&amp;row=479&amp;col=6&amp;number=4.5&amp;sourceID=14","4.5")</f>
        <v>4.5</v>
      </c>
      <c r="G479" s="4" t="str">
        <f>HYPERLINK("http://141.218.60.56/~jnz1568/getInfo.php?workbook=20_14.xlsx&amp;sheet=U0&amp;row=479&amp;col=7&amp;number=0.0296&amp;sourceID=14","0.0296")</f>
        <v>0.0296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HYPERLINK("http://141.218.60.56/~jnz1568/getInfo.php?workbook=20_14.xlsx&amp;sheet=U0&amp;row=480&amp;col=6&amp;number=4.6&amp;sourceID=14","4.6")</f>
        <v>4.6</v>
      </c>
      <c r="G480" s="4" t="str">
        <f>HYPERLINK("http://141.218.60.56/~jnz1568/getInfo.php?workbook=20_14.xlsx&amp;sheet=U0&amp;row=480&amp;col=7&amp;number=0.0296&amp;sourceID=14","0.0296")</f>
        <v>0.0296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HYPERLINK("http://141.218.60.56/~jnz1568/getInfo.php?workbook=20_14.xlsx&amp;sheet=U0&amp;row=481&amp;col=6&amp;number=4.7&amp;sourceID=14","4.7")</f>
        <v>4.7</v>
      </c>
      <c r="G481" s="4" t="str">
        <f>HYPERLINK("http://141.218.60.56/~jnz1568/getInfo.php?workbook=20_14.xlsx&amp;sheet=U0&amp;row=481&amp;col=7&amp;number=0.0295&amp;sourceID=14","0.0295")</f>
        <v>0.0295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HYPERLINK("http://141.218.60.56/~jnz1568/getInfo.php?workbook=20_14.xlsx&amp;sheet=U0&amp;row=482&amp;col=6&amp;number=4.8&amp;sourceID=14","4.8")</f>
        <v>4.8</v>
      </c>
      <c r="G482" s="4" t="str">
        <f>HYPERLINK("http://141.218.60.56/~jnz1568/getInfo.php?workbook=20_14.xlsx&amp;sheet=U0&amp;row=482&amp;col=7&amp;number=0.0295&amp;sourceID=14","0.0295")</f>
        <v>0.0295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HYPERLINK("http://141.218.60.56/~jnz1568/getInfo.php?workbook=20_14.xlsx&amp;sheet=U0&amp;row=483&amp;col=6&amp;number=4.9&amp;sourceID=14","4.9")</f>
        <v>4.9</v>
      </c>
      <c r="G483" s="4" t="str">
        <f>HYPERLINK("http://141.218.60.56/~jnz1568/getInfo.php?workbook=20_14.xlsx&amp;sheet=U0&amp;row=483&amp;col=7&amp;number=0.0295&amp;sourceID=14","0.0295")</f>
        <v>0.0295</v>
      </c>
    </row>
    <row r="484" spans="1:7">
      <c r="A484" s="3">
        <v>20</v>
      </c>
      <c r="B484" s="3">
        <v>14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HYPERLINK("http://141.218.60.56/~jnz1568/getInfo.php?workbook=20_14.xlsx&amp;sheet=U0&amp;row=484&amp;col=6&amp;number=3&amp;sourceID=14","3")</f>
        <v>3</v>
      </c>
      <c r="G484" s="4" t="str">
        <f>HYPERLINK("http://141.218.60.56/~jnz1568/getInfo.php?workbook=20_14.xlsx&amp;sheet=U0&amp;row=484&amp;col=7&amp;number=0.0202&amp;sourceID=14","0.0202")</f>
        <v>0.0202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HYPERLINK("http://141.218.60.56/~jnz1568/getInfo.php?workbook=20_14.xlsx&amp;sheet=U0&amp;row=485&amp;col=6&amp;number=3.1&amp;sourceID=14","3.1")</f>
        <v>3.1</v>
      </c>
      <c r="G485" s="4" t="str">
        <f>HYPERLINK("http://141.218.60.56/~jnz1568/getInfo.php?workbook=20_14.xlsx&amp;sheet=U0&amp;row=485&amp;col=7&amp;number=0.0202&amp;sourceID=14","0.0202")</f>
        <v>0.0202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HYPERLINK("http://141.218.60.56/~jnz1568/getInfo.php?workbook=20_14.xlsx&amp;sheet=U0&amp;row=486&amp;col=6&amp;number=3.2&amp;sourceID=14","3.2")</f>
        <v>3.2</v>
      </c>
      <c r="G486" s="4" t="str">
        <f>HYPERLINK("http://141.218.60.56/~jnz1568/getInfo.php?workbook=20_14.xlsx&amp;sheet=U0&amp;row=486&amp;col=7&amp;number=0.0201&amp;sourceID=14","0.0201")</f>
        <v>0.0201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HYPERLINK("http://141.218.60.56/~jnz1568/getInfo.php?workbook=20_14.xlsx&amp;sheet=U0&amp;row=487&amp;col=6&amp;number=3.3&amp;sourceID=14","3.3")</f>
        <v>3.3</v>
      </c>
      <c r="G487" s="4" t="str">
        <f>HYPERLINK("http://141.218.60.56/~jnz1568/getInfo.php?workbook=20_14.xlsx&amp;sheet=U0&amp;row=487&amp;col=7&amp;number=0.0201&amp;sourceID=14","0.0201")</f>
        <v>0.0201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HYPERLINK("http://141.218.60.56/~jnz1568/getInfo.php?workbook=20_14.xlsx&amp;sheet=U0&amp;row=488&amp;col=6&amp;number=3.4&amp;sourceID=14","3.4")</f>
        <v>3.4</v>
      </c>
      <c r="G488" s="4" t="str">
        <f>HYPERLINK("http://141.218.60.56/~jnz1568/getInfo.php?workbook=20_14.xlsx&amp;sheet=U0&amp;row=488&amp;col=7&amp;number=0.0201&amp;sourceID=14","0.0201")</f>
        <v>0.0201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HYPERLINK("http://141.218.60.56/~jnz1568/getInfo.php?workbook=20_14.xlsx&amp;sheet=U0&amp;row=489&amp;col=6&amp;number=3.5&amp;sourceID=14","3.5")</f>
        <v>3.5</v>
      </c>
      <c r="G489" s="4" t="str">
        <f>HYPERLINK("http://141.218.60.56/~jnz1568/getInfo.php?workbook=20_14.xlsx&amp;sheet=U0&amp;row=489&amp;col=7&amp;number=0.0201&amp;sourceID=14","0.0201")</f>
        <v>0.0201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HYPERLINK("http://141.218.60.56/~jnz1568/getInfo.php?workbook=20_14.xlsx&amp;sheet=U0&amp;row=490&amp;col=6&amp;number=3.6&amp;sourceID=14","3.6")</f>
        <v>3.6</v>
      </c>
      <c r="G490" s="4" t="str">
        <f>HYPERLINK("http://141.218.60.56/~jnz1568/getInfo.php?workbook=20_14.xlsx&amp;sheet=U0&amp;row=490&amp;col=7&amp;number=0.0201&amp;sourceID=14","0.0201")</f>
        <v>0.0201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HYPERLINK("http://141.218.60.56/~jnz1568/getInfo.php?workbook=20_14.xlsx&amp;sheet=U0&amp;row=491&amp;col=6&amp;number=3.7&amp;sourceID=14","3.7")</f>
        <v>3.7</v>
      </c>
      <c r="G491" s="4" t="str">
        <f>HYPERLINK("http://141.218.60.56/~jnz1568/getInfo.php?workbook=20_14.xlsx&amp;sheet=U0&amp;row=491&amp;col=7&amp;number=0.0201&amp;sourceID=14","0.0201")</f>
        <v>0.0201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HYPERLINK("http://141.218.60.56/~jnz1568/getInfo.php?workbook=20_14.xlsx&amp;sheet=U0&amp;row=492&amp;col=6&amp;number=3.8&amp;sourceID=14","3.8")</f>
        <v>3.8</v>
      </c>
      <c r="G492" s="4" t="str">
        <f>HYPERLINK("http://141.218.60.56/~jnz1568/getInfo.php?workbook=20_14.xlsx&amp;sheet=U0&amp;row=492&amp;col=7&amp;number=0.0201&amp;sourceID=14","0.0201")</f>
        <v>0.0201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HYPERLINK("http://141.218.60.56/~jnz1568/getInfo.php?workbook=20_14.xlsx&amp;sheet=U0&amp;row=493&amp;col=6&amp;number=3.9&amp;sourceID=14","3.9")</f>
        <v>3.9</v>
      </c>
      <c r="G493" s="4" t="str">
        <f>HYPERLINK("http://141.218.60.56/~jnz1568/getInfo.php?workbook=20_14.xlsx&amp;sheet=U0&amp;row=493&amp;col=7&amp;number=0.0201&amp;sourceID=14","0.0201")</f>
        <v>0.0201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HYPERLINK("http://141.218.60.56/~jnz1568/getInfo.php?workbook=20_14.xlsx&amp;sheet=U0&amp;row=494&amp;col=6&amp;number=4&amp;sourceID=14","4")</f>
        <v>4</v>
      </c>
      <c r="G494" s="4" t="str">
        <f>HYPERLINK("http://141.218.60.56/~jnz1568/getInfo.php?workbook=20_14.xlsx&amp;sheet=U0&amp;row=494&amp;col=7&amp;number=0.02&amp;sourceID=14","0.02")</f>
        <v>0.02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HYPERLINK("http://141.218.60.56/~jnz1568/getInfo.php?workbook=20_14.xlsx&amp;sheet=U0&amp;row=495&amp;col=6&amp;number=4.1&amp;sourceID=14","4.1")</f>
        <v>4.1</v>
      </c>
      <c r="G495" s="4" t="str">
        <f>HYPERLINK("http://141.218.60.56/~jnz1568/getInfo.php?workbook=20_14.xlsx&amp;sheet=U0&amp;row=495&amp;col=7&amp;number=0.02&amp;sourceID=14","0.02")</f>
        <v>0.02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HYPERLINK("http://141.218.60.56/~jnz1568/getInfo.php?workbook=20_14.xlsx&amp;sheet=U0&amp;row=496&amp;col=6&amp;number=4.2&amp;sourceID=14","4.2")</f>
        <v>4.2</v>
      </c>
      <c r="G496" s="4" t="str">
        <f>HYPERLINK("http://141.218.60.56/~jnz1568/getInfo.php?workbook=20_14.xlsx&amp;sheet=U0&amp;row=496&amp;col=7&amp;number=0.0199&amp;sourceID=14","0.0199")</f>
        <v>0.0199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HYPERLINK("http://141.218.60.56/~jnz1568/getInfo.php?workbook=20_14.xlsx&amp;sheet=U0&amp;row=497&amp;col=6&amp;number=4.3&amp;sourceID=14","4.3")</f>
        <v>4.3</v>
      </c>
      <c r="G497" s="4" t="str">
        <f>HYPERLINK("http://141.218.60.56/~jnz1568/getInfo.php?workbook=20_14.xlsx&amp;sheet=U0&amp;row=497&amp;col=7&amp;number=0.0199&amp;sourceID=14","0.0199")</f>
        <v>0.0199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HYPERLINK("http://141.218.60.56/~jnz1568/getInfo.php?workbook=20_14.xlsx&amp;sheet=U0&amp;row=498&amp;col=6&amp;number=4.4&amp;sourceID=14","4.4")</f>
        <v>4.4</v>
      </c>
      <c r="G498" s="4" t="str">
        <f>HYPERLINK("http://141.218.60.56/~jnz1568/getInfo.php?workbook=20_14.xlsx&amp;sheet=U0&amp;row=498&amp;col=7&amp;number=0.0198&amp;sourceID=14","0.0198")</f>
        <v>0.0198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HYPERLINK("http://141.218.60.56/~jnz1568/getInfo.php?workbook=20_14.xlsx&amp;sheet=U0&amp;row=499&amp;col=6&amp;number=4.5&amp;sourceID=14","4.5")</f>
        <v>4.5</v>
      </c>
      <c r="G499" s="4" t="str">
        <f>HYPERLINK("http://141.218.60.56/~jnz1568/getInfo.php?workbook=20_14.xlsx&amp;sheet=U0&amp;row=499&amp;col=7&amp;number=0.0197&amp;sourceID=14","0.0197")</f>
        <v>0.0197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HYPERLINK("http://141.218.60.56/~jnz1568/getInfo.php?workbook=20_14.xlsx&amp;sheet=U0&amp;row=500&amp;col=6&amp;number=4.6&amp;sourceID=14","4.6")</f>
        <v>4.6</v>
      </c>
      <c r="G500" s="4" t="str">
        <f>HYPERLINK("http://141.218.60.56/~jnz1568/getInfo.php?workbook=20_14.xlsx&amp;sheet=U0&amp;row=500&amp;col=7&amp;number=0.0196&amp;sourceID=14","0.0196")</f>
        <v>0.0196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HYPERLINK("http://141.218.60.56/~jnz1568/getInfo.php?workbook=20_14.xlsx&amp;sheet=U0&amp;row=501&amp;col=6&amp;number=4.7&amp;sourceID=14","4.7")</f>
        <v>4.7</v>
      </c>
      <c r="G501" s="4" t="str">
        <f>HYPERLINK("http://141.218.60.56/~jnz1568/getInfo.php?workbook=20_14.xlsx&amp;sheet=U0&amp;row=501&amp;col=7&amp;number=0.0195&amp;sourceID=14","0.0195")</f>
        <v>0.0195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HYPERLINK("http://141.218.60.56/~jnz1568/getInfo.php?workbook=20_14.xlsx&amp;sheet=U0&amp;row=502&amp;col=6&amp;number=4.8&amp;sourceID=14","4.8")</f>
        <v>4.8</v>
      </c>
      <c r="G502" s="4" t="str">
        <f>HYPERLINK("http://141.218.60.56/~jnz1568/getInfo.php?workbook=20_14.xlsx&amp;sheet=U0&amp;row=502&amp;col=7&amp;number=0.0193&amp;sourceID=14","0.0193")</f>
        <v>0.0193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HYPERLINK("http://141.218.60.56/~jnz1568/getInfo.php?workbook=20_14.xlsx&amp;sheet=U0&amp;row=503&amp;col=6&amp;number=4.9&amp;sourceID=14","4.9")</f>
        <v>4.9</v>
      </c>
      <c r="G503" s="4" t="str">
        <f>HYPERLINK("http://141.218.60.56/~jnz1568/getInfo.php?workbook=20_14.xlsx&amp;sheet=U0&amp;row=503&amp;col=7&amp;number=0.0191&amp;sourceID=14","0.0191")</f>
        <v>0.0191</v>
      </c>
    </row>
    <row r="504" spans="1:7">
      <c r="A504" s="3">
        <v>20</v>
      </c>
      <c r="B504" s="3">
        <v>14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HYPERLINK("http://141.218.60.56/~jnz1568/getInfo.php?workbook=20_14.xlsx&amp;sheet=U0&amp;row=504&amp;col=6&amp;number=3&amp;sourceID=14","3")</f>
        <v>3</v>
      </c>
      <c r="G504" s="4" t="str">
        <f>HYPERLINK("http://141.218.60.56/~jnz1568/getInfo.php?workbook=20_14.xlsx&amp;sheet=U0&amp;row=504&amp;col=7&amp;number=0.0119&amp;sourceID=14","0.0119")</f>
        <v>0.0119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HYPERLINK("http://141.218.60.56/~jnz1568/getInfo.php?workbook=20_14.xlsx&amp;sheet=U0&amp;row=505&amp;col=6&amp;number=3.1&amp;sourceID=14","3.1")</f>
        <v>3.1</v>
      </c>
      <c r="G505" s="4" t="str">
        <f>HYPERLINK("http://141.218.60.56/~jnz1568/getInfo.php?workbook=20_14.xlsx&amp;sheet=U0&amp;row=505&amp;col=7&amp;number=0.0119&amp;sourceID=14","0.0119")</f>
        <v>0.0119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HYPERLINK("http://141.218.60.56/~jnz1568/getInfo.php?workbook=20_14.xlsx&amp;sheet=U0&amp;row=506&amp;col=6&amp;number=3.2&amp;sourceID=14","3.2")</f>
        <v>3.2</v>
      </c>
      <c r="G506" s="4" t="str">
        <f>HYPERLINK("http://141.218.60.56/~jnz1568/getInfo.php?workbook=20_14.xlsx&amp;sheet=U0&amp;row=506&amp;col=7&amp;number=0.0119&amp;sourceID=14","0.0119")</f>
        <v>0.0119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HYPERLINK("http://141.218.60.56/~jnz1568/getInfo.php?workbook=20_14.xlsx&amp;sheet=U0&amp;row=507&amp;col=6&amp;number=3.3&amp;sourceID=14","3.3")</f>
        <v>3.3</v>
      </c>
      <c r="G507" s="4" t="str">
        <f>HYPERLINK("http://141.218.60.56/~jnz1568/getInfo.php?workbook=20_14.xlsx&amp;sheet=U0&amp;row=507&amp;col=7&amp;number=0.0119&amp;sourceID=14","0.0119")</f>
        <v>0.0119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HYPERLINK("http://141.218.60.56/~jnz1568/getInfo.php?workbook=20_14.xlsx&amp;sheet=U0&amp;row=508&amp;col=6&amp;number=3.4&amp;sourceID=14","3.4")</f>
        <v>3.4</v>
      </c>
      <c r="G508" s="4" t="str">
        <f>HYPERLINK("http://141.218.60.56/~jnz1568/getInfo.php?workbook=20_14.xlsx&amp;sheet=U0&amp;row=508&amp;col=7&amp;number=0.0119&amp;sourceID=14","0.0119")</f>
        <v>0.0119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HYPERLINK("http://141.218.60.56/~jnz1568/getInfo.php?workbook=20_14.xlsx&amp;sheet=U0&amp;row=509&amp;col=6&amp;number=3.5&amp;sourceID=14","3.5")</f>
        <v>3.5</v>
      </c>
      <c r="G509" s="4" t="str">
        <f>HYPERLINK("http://141.218.60.56/~jnz1568/getInfo.php?workbook=20_14.xlsx&amp;sheet=U0&amp;row=509&amp;col=7&amp;number=0.0119&amp;sourceID=14","0.0119")</f>
        <v>0.0119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HYPERLINK("http://141.218.60.56/~jnz1568/getInfo.php?workbook=20_14.xlsx&amp;sheet=U0&amp;row=510&amp;col=6&amp;number=3.6&amp;sourceID=14","3.6")</f>
        <v>3.6</v>
      </c>
      <c r="G510" s="4" t="str">
        <f>HYPERLINK("http://141.218.60.56/~jnz1568/getInfo.php?workbook=20_14.xlsx&amp;sheet=U0&amp;row=510&amp;col=7&amp;number=0.0119&amp;sourceID=14","0.0119")</f>
        <v>0.0119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HYPERLINK("http://141.218.60.56/~jnz1568/getInfo.php?workbook=20_14.xlsx&amp;sheet=U0&amp;row=511&amp;col=6&amp;number=3.7&amp;sourceID=14","3.7")</f>
        <v>3.7</v>
      </c>
      <c r="G511" s="4" t="str">
        <f>HYPERLINK("http://141.218.60.56/~jnz1568/getInfo.php?workbook=20_14.xlsx&amp;sheet=U0&amp;row=511&amp;col=7&amp;number=0.0119&amp;sourceID=14","0.0119")</f>
        <v>0.0119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HYPERLINK("http://141.218.60.56/~jnz1568/getInfo.php?workbook=20_14.xlsx&amp;sheet=U0&amp;row=512&amp;col=6&amp;number=3.8&amp;sourceID=14","3.8")</f>
        <v>3.8</v>
      </c>
      <c r="G512" s="4" t="str">
        <f>HYPERLINK("http://141.218.60.56/~jnz1568/getInfo.php?workbook=20_14.xlsx&amp;sheet=U0&amp;row=512&amp;col=7&amp;number=0.0119&amp;sourceID=14","0.0119")</f>
        <v>0.0119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HYPERLINK("http://141.218.60.56/~jnz1568/getInfo.php?workbook=20_14.xlsx&amp;sheet=U0&amp;row=513&amp;col=6&amp;number=3.9&amp;sourceID=14","3.9")</f>
        <v>3.9</v>
      </c>
      <c r="G513" s="4" t="str">
        <f>HYPERLINK("http://141.218.60.56/~jnz1568/getInfo.php?workbook=20_14.xlsx&amp;sheet=U0&amp;row=513&amp;col=7&amp;number=0.0119&amp;sourceID=14","0.0119")</f>
        <v>0.0119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HYPERLINK("http://141.218.60.56/~jnz1568/getInfo.php?workbook=20_14.xlsx&amp;sheet=U0&amp;row=514&amp;col=6&amp;number=4&amp;sourceID=14","4")</f>
        <v>4</v>
      </c>
      <c r="G514" s="4" t="str">
        <f>HYPERLINK("http://141.218.60.56/~jnz1568/getInfo.php?workbook=20_14.xlsx&amp;sheet=U0&amp;row=514&amp;col=7&amp;number=0.0119&amp;sourceID=14","0.0119")</f>
        <v>0.0119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HYPERLINK("http://141.218.60.56/~jnz1568/getInfo.php?workbook=20_14.xlsx&amp;sheet=U0&amp;row=515&amp;col=6&amp;number=4.1&amp;sourceID=14","4.1")</f>
        <v>4.1</v>
      </c>
      <c r="G515" s="4" t="str">
        <f>HYPERLINK("http://141.218.60.56/~jnz1568/getInfo.php?workbook=20_14.xlsx&amp;sheet=U0&amp;row=515&amp;col=7&amp;number=0.0119&amp;sourceID=14","0.0119")</f>
        <v>0.0119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HYPERLINK("http://141.218.60.56/~jnz1568/getInfo.php?workbook=20_14.xlsx&amp;sheet=U0&amp;row=516&amp;col=6&amp;number=4.2&amp;sourceID=14","4.2")</f>
        <v>4.2</v>
      </c>
      <c r="G516" s="4" t="str">
        <f>HYPERLINK("http://141.218.60.56/~jnz1568/getInfo.php?workbook=20_14.xlsx&amp;sheet=U0&amp;row=516&amp;col=7&amp;number=0.0119&amp;sourceID=14","0.0119")</f>
        <v>0.0119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HYPERLINK("http://141.218.60.56/~jnz1568/getInfo.php?workbook=20_14.xlsx&amp;sheet=U0&amp;row=517&amp;col=6&amp;number=4.3&amp;sourceID=14","4.3")</f>
        <v>4.3</v>
      </c>
      <c r="G517" s="4" t="str">
        <f>HYPERLINK("http://141.218.60.56/~jnz1568/getInfo.php?workbook=20_14.xlsx&amp;sheet=U0&amp;row=517&amp;col=7&amp;number=0.0119&amp;sourceID=14","0.0119")</f>
        <v>0.0119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HYPERLINK("http://141.218.60.56/~jnz1568/getInfo.php?workbook=20_14.xlsx&amp;sheet=U0&amp;row=518&amp;col=6&amp;number=4.4&amp;sourceID=14","4.4")</f>
        <v>4.4</v>
      </c>
      <c r="G518" s="4" t="str">
        <f>HYPERLINK("http://141.218.60.56/~jnz1568/getInfo.php?workbook=20_14.xlsx&amp;sheet=U0&amp;row=518&amp;col=7&amp;number=0.0119&amp;sourceID=14","0.0119")</f>
        <v>0.0119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HYPERLINK("http://141.218.60.56/~jnz1568/getInfo.php?workbook=20_14.xlsx&amp;sheet=U0&amp;row=519&amp;col=6&amp;number=4.5&amp;sourceID=14","4.5")</f>
        <v>4.5</v>
      </c>
      <c r="G519" s="4" t="str">
        <f>HYPERLINK("http://141.218.60.56/~jnz1568/getInfo.php?workbook=20_14.xlsx&amp;sheet=U0&amp;row=519&amp;col=7&amp;number=0.0119&amp;sourceID=14","0.0119")</f>
        <v>0.0119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HYPERLINK("http://141.218.60.56/~jnz1568/getInfo.php?workbook=20_14.xlsx&amp;sheet=U0&amp;row=520&amp;col=6&amp;number=4.6&amp;sourceID=14","4.6")</f>
        <v>4.6</v>
      </c>
      <c r="G520" s="4" t="str">
        <f>HYPERLINK("http://141.218.60.56/~jnz1568/getInfo.php?workbook=20_14.xlsx&amp;sheet=U0&amp;row=520&amp;col=7&amp;number=0.0119&amp;sourceID=14","0.0119")</f>
        <v>0.0119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HYPERLINK("http://141.218.60.56/~jnz1568/getInfo.php?workbook=20_14.xlsx&amp;sheet=U0&amp;row=521&amp;col=6&amp;number=4.7&amp;sourceID=14","4.7")</f>
        <v>4.7</v>
      </c>
      <c r="G521" s="4" t="str">
        <f>HYPERLINK("http://141.218.60.56/~jnz1568/getInfo.php?workbook=20_14.xlsx&amp;sheet=U0&amp;row=521&amp;col=7&amp;number=0.0119&amp;sourceID=14","0.0119")</f>
        <v>0.0119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HYPERLINK("http://141.218.60.56/~jnz1568/getInfo.php?workbook=20_14.xlsx&amp;sheet=U0&amp;row=522&amp;col=6&amp;number=4.8&amp;sourceID=14","4.8")</f>
        <v>4.8</v>
      </c>
      <c r="G522" s="4" t="str">
        <f>HYPERLINK("http://141.218.60.56/~jnz1568/getInfo.php?workbook=20_14.xlsx&amp;sheet=U0&amp;row=522&amp;col=7&amp;number=0.0119&amp;sourceID=14","0.0119")</f>
        <v>0.0119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HYPERLINK("http://141.218.60.56/~jnz1568/getInfo.php?workbook=20_14.xlsx&amp;sheet=U0&amp;row=523&amp;col=6&amp;number=4.9&amp;sourceID=14","4.9")</f>
        <v>4.9</v>
      </c>
      <c r="G523" s="4" t="str">
        <f>HYPERLINK("http://141.218.60.56/~jnz1568/getInfo.php?workbook=20_14.xlsx&amp;sheet=U0&amp;row=523&amp;col=7&amp;number=0.012&amp;sourceID=14","0.012")</f>
        <v>0.012</v>
      </c>
    </row>
    <row r="524" spans="1:7">
      <c r="A524" s="3">
        <v>20</v>
      </c>
      <c r="B524" s="3">
        <v>14</v>
      </c>
      <c r="C524" s="3">
        <v>2</v>
      </c>
      <c r="D524" s="3">
        <v>3</v>
      </c>
      <c r="E524" s="3">
        <v>1</v>
      </c>
      <c r="F524" s="4" t="str">
        <f>HYPERLINK("http://141.218.60.56/~jnz1568/getInfo.php?workbook=20_14.xlsx&amp;sheet=U0&amp;row=524&amp;col=6&amp;number=3&amp;sourceID=14","3")</f>
        <v>3</v>
      </c>
      <c r="G524" s="4" t="str">
        <f>HYPERLINK("http://141.218.60.56/~jnz1568/getInfo.php?workbook=20_14.xlsx&amp;sheet=U0&amp;row=524&amp;col=7&amp;number=0.593&amp;sourceID=14","0.593")</f>
        <v>0.593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HYPERLINK("http://141.218.60.56/~jnz1568/getInfo.php?workbook=20_14.xlsx&amp;sheet=U0&amp;row=525&amp;col=6&amp;number=3.1&amp;sourceID=14","3.1")</f>
        <v>3.1</v>
      </c>
      <c r="G525" s="4" t="str">
        <f>HYPERLINK("http://141.218.60.56/~jnz1568/getInfo.php?workbook=20_14.xlsx&amp;sheet=U0&amp;row=525&amp;col=7&amp;number=0.593&amp;sourceID=14","0.593")</f>
        <v>0.593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HYPERLINK("http://141.218.60.56/~jnz1568/getInfo.php?workbook=20_14.xlsx&amp;sheet=U0&amp;row=526&amp;col=6&amp;number=3.2&amp;sourceID=14","3.2")</f>
        <v>3.2</v>
      </c>
      <c r="G526" s="4" t="str">
        <f>HYPERLINK("http://141.218.60.56/~jnz1568/getInfo.php?workbook=20_14.xlsx&amp;sheet=U0&amp;row=526&amp;col=7&amp;number=0.593&amp;sourceID=14","0.593")</f>
        <v>0.593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HYPERLINK("http://141.218.60.56/~jnz1568/getInfo.php?workbook=20_14.xlsx&amp;sheet=U0&amp;row=527&amp;col=6&amp;number=3.3&amp;sourceID=14","3.3")</f>
        <v>3.3</v>
      </c>
      <c r="G527" s="4" t="str">
        <f>HYPERLINK("http://141.218.60.56/~jnz1568/getInfo.php?workbook=20_14.xlsx&amp;sheet=U0&amp;row=527&amp;col=7&amp;number=0.593&amp;sourceID=14","0.593")</f>
        <v>0.593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HYPERLINK("http://141.218.60.56/~jnz1568/getInfo.php?workbook=20_14.xlsx&amp;sheet=U0&amp;row=528&amp;col=6&amp;number=3.4&amp;sourceID=14","3.4")</f>
        <v>3.4</v>
      </c>
      <c r="G528" s="4" t="str">
        <f>HYPERLINK("http://141.218.60.56/~jnz1568/getInfo.php?workbook=20_14.xlsx&amp;sheet=U0&amp;row=528&amp;col=7&amp;number=0.593&amp;sourceID=14","0.593")</f>
        <v>0.593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HYPERLINK("http://141.218.60.56/~jnz1568/getInfo.php?workbook=20_14.xlsx&amp;sheet=U0&amp;row=529&amp;col=6&amp;number=3.5&amp;sourceID=14","3.5")</f>
        <v>3.5</v>
      </c>
      <c r="G529" s="4" t="str">
        <f>HYPERLINK("http://141.218.60.56/~jnz1568/getInfo.php?workbook=20_14.xlsx&amp;sheet=U0&amp;row=529&amp;col=7&amp;number=0.593&amp;sourceID=14","0.593")</f>
        <v>0.593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HYPERLINK("http://141.218.60.56/~jnz1568/getInfo.php?workbook=20_14.xlsx&amp;sheet=U0&amp;row=530&amp;col=6&amp;number=3.6&amp;sourceID=14","3.6")</f>
        <v>3.6</v>
      </c>
      <c r="G530" s="4" t="str">
        <f>HYPERLINK("http://141.218.60.56/~jnz1568/getInfo.php?workbook=20_14.xlsx&amp;sheet=U0&amp;row=530&amp;col=7&amp;number=0.593&amp;sourceID=14","0.593")</f>
        <v>0.593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HYPERLINK("http://141.218.60.56/~jnz1568/getInfo.php?workbook=20_14.xlsx&amp;sheet=U0&amp;row=531&amp;col=6&amp;number=3.7&amp;sourceID=14","3.7")</f>
        <v>3.7</v>
      </c>
      <c r="G531" s="4" t="str">
        <f>HYPERLINK("http://141.218.60.56/~jnz1568/getInfo.php?workbook=20_14.xlsx&amp;sheet=U0&amp;row=531&amp;col=7&amp;number=0.593&amp;sourceID=14","0.593")</f>
        <v>0.593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HYPERLINK("http://141.218.60.56/~jnz1568/getInfo.php?workbook=20_14.xlsx&amp;sheet=U0&amp;row=532&amp;col=6&amp;number=3.8&amp;sourceID=14","3.8")</f>
        <v>3.8</v>
      </c>
      <c r="G532" s="4" t="str">
        <f>HYPERLINK("http://141.218.60.56/~jnz1568/getInfo.php?workbook=20_14.xlsx&amp;sheet=U0&amp;row=532&amp;col=7&amp;number=0.593&amp;sourceID=14","0.593")</f>
        <v>0.593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HYPERLINK("http://141.218.60.56/~jnz1568/getInfo.php?workbook=20_14.xlsx&amp;sheet=U0&amp;row=533&amp;col=6&amp;number=3.9&amp;sourceID=14","3.9")</f>
        <v>3.9</v>
      </c>
      <c r="G533" s="4" t="str">
        <f>HYPERLINK("http://141.218.60.56/~jnz1568/getInfo.php?workbook=20_14.xlsx&amp;sheet=U0&amp;row=533&amp;col=7&amp;number=0.593&amp;sourceID=14","0.593")</f>
        <v>0.593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HYPERLINK("http://141.218.60.56/~jnz1568/getInfo.php?workbook=20_14.xlsx&amp;sheet=U0&amp;row=534&amp;col=6&amp;number=4&amp;sourceID=14","4")</f>
        <v>4</v>
      </c>
      <c r="G534" s="4" t="str">
        <f>HYPERLINK("http://141.218.60.56/~jnz1568/getInfo.php?workbook=20_14.xlsx&amp;sheet=U0&amp;row=534&amp;col=7&amp;number=0.592&amp;sourceID=14","0.592")</f>
        <v>0.592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HYPERLINK("http://141.218.60.56/~jnz1568/getInfo.php?workbook=20_14.xlsx&amp;sheet=U0&amp;row=535&amp;col=6&amp;number=4.1&amp;sourceID=14","4.1")</f>
        <v>4.1</v>
      </c>
      <c r="G535" s="4" t="str">
        <f>HYPERLINK("http://141.218.60.56/~jnz1568/getInfo.php?workbook=20_14.xlsx&amp;sheet=U0&amp;row=535&amp;col=7&amp;number=0.592&amp;sourceID=14","0.592")</f>
        <v>0.592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HYPERLINK("http://141.218.60.56/~jnz1568/getInfo.php?workbook=20_14.xlsx&amp;sheet=U0&amp;row=536&amp;col=6&amp;number=4.2&amp;sourceID=14","4.2")</f>
        <v>4.2</v>
      </c>
      <c r="G536" s="4" t="str">
        <f>HYPERLINK("http://141.218.60.56/~jnz1568/getInfo.php?workbook=20_14.xlsx&amp;sheet=U0&amp;row=536&amp;col=7&amp;number=0.592&amp;sourceID=14","0.592")</f>
        <v>0.592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HYPERLINK("http://141.218.60.56/~jnz1568/getInfo.php?workbook=20_14.xlsx&amp;sheet=U0&amp;row=537&amp;col=6&amp;number=4.3&amp;sourceID=14","4.3")</f>
        <v>4.3</v>
      </c>
      <c r="G537" s="4" t="str">
        <f>HYPERLINK("http://141.218.60.56/~jnz1568/getInfo.php?workbook=20_14.xlsx&amp;sheet=U0&amp;row=537&amp;col=7&amp;number=0.592&amp;sourceID=14","0.592")</f>
        <v>0.592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HYPERLINK("http://141.218.60.56/~jnz1568/getInfo.php?workbook=20_14.xlsx&amp;sheet=U0&amp;row=538&amp;col=6&amp;number=4.4&amp;sourceID=14","4.4")</f>
        <v>4.4</v>
      </c>
      <c r="G538" s="4" t="str">
        <f>HYPERLINK("http://141.218.60.56/~jnz1568/getInfo.php?workbook=20_14.xlsx&amp;sheet=U0&amp;row=538&amp;col=7&amp;number=0.592&amp;sourceID=14","0.592")</f>
        <v>0.592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HYPERLINK("http://141.218.60.56/~jnz1568/getInfo.php?workbook=20_14.xlsx&amp;sheet=U0&amp;row=539&amp;col=6&amp;number=4.5&amp;sourceID=14","4.5")</f>
        <v>4.5</v>
      </c>
      <c r="G539" s="4" t="str">
        <f>HYPERLINK("http://141.218.60.56/~jnz1568/getInfo.php?workbook=20_14.xlsx&amp;sheet=U0&amp;row=539&amp;col=7&amp;number=0.591&amp;sourceID=14","0.591")</f>
        <v>0.591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HYPERLINK("http://141.218.60.56/~jnz1568/getInfo.php?workbook=20_14.xlsx&amp;sheet=U0&amp;row=540&amp;col=6&amp;number=4.6&amp;sourceID=14","4.6")</f>
        <v>4.6</v>
      </c>
      <c r="G540" s="4" t="str">
        <f>HYPERLINK("http://141.218.60.56/~jnz1568/getInfo.php?workbook=20_14.xlsx&amp;sheet=U0&amp;row=540&amp;col=7&amp;number=0.591&amp;sourceID=14","0.591")</f>
        <v>0.591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HYPERLINK("http://141.218.60.56/~jnz1568/getInfo.php?workbook=20_14.xlsx&amp;sheet=U0&amp;row=541&amp;col=6&amp;number=4.7&amp;sourceID=14","4.7")</f>
        <v>4.7</v>
      </c>
      <c r="G541" s="4" t="str">
        <f>HYPERLINK("http://141.218.60.56/~jnz1568/getInfo.php?workbook=20_14.xlsx&amp;sheet=U0&amp;row=541&amp;col=7&amp;number=0.59&amp;sourceID=14","0.59")</f>
        <v>0.59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HYPERLINK("http://141.218.60.56/~jnz1568/getInfo.php?workbook=20_14.xlsx&amp;sheet=U0&amp;row=542&amp;col=6&amp;number=4.8&amp;sourceID=14","4.8")</f>
        <v>4.8</v>
      </c>
      <c r="G542" s="4" t="str">
        <f>HYPERLINK("http://141.218.60.56/~jnz1568/getInfo.php?workbook=20_14.xlsx&amp;sheet=U0&amp;row=542&amp;col=7&amp;number=0.589&amp;sourceID=14","0.589")</f>
        <v>0.589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HYPERLINK("http://141.218.60.56/~jnz1568/getInfo.php?workbook=20_14.xlsx&amp;sheet=U0&amp;row=543&amp;col=6&amp;number=4.9&amp;sourceID=14","4.9")</f>
        <v>4.9</v>
      </c>
      <c r="G543" s="4" t="str">
        <f>HYPERLINK("http://141.218.60.56/~jnz1568/getInfo.php?workbook=20_14.xlsx&amp;sheet=U0&amp;row=543&amp;col=7&amp;number=0.588&amp;sourceID=14","0.588")</f>
        <v>0.588</v>
      </c>
    </row>
    <row r="544" spans="1:7">
      <c r="A544" s="3">
        <v>20</v>
      </c>
      <c r="B544" s="3">
        <v>14</v>
      </c>
      <c r="C544" s="3">
        <v>2</v>
      </c>
      <c r="D544" s="3">
        <v>4</v>
      </c>
      <c r="E544" s="3">
        <v>1</v>
      </c>
      <c r="F544" s="4" t="str">
        <f>HYPERLINK("http://141.218.60.56/~jnz1568/getInfo.php?workbook=20_14.xlsx&amp;sheet=U0&amp;row=544&amp;col=6&amp;number=3&amp;sourceID=14","3")</f>
        <v>3</v>
      </c>
      <c r="G544" s="4" t="str">
        <f>HYPERLINK("http://141.218.60.56/~jnz1568/getInfo.php?workbook=20_14.xlsx&amp;sheet=U0&amp;row=544&amp;col=7&amp;number=0.127&amp;sourceID=14","0.127")</f>
        <v>0.127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HYPERLINK("http://141.218.60.56/~jnz1568/getInfo.php?workbook=20_14.xlsx&amp;sheet=U0&amp;row=545&amp;col=6&amp;number=3.1&amp;sourceID=14","3.1")</f>
        <v>3.1</v>
      </c>
      <c r="G545" s="4" t="str">
        <f>HYPERLINK("http://141.218.60.56/~jnz1568/getInfo.php?workbook=20_14.xlsx&amp;sheet=U0&amp;row=545&amp;col=7&amp;number=0.127&amp;sourceID=14","0.127")</f>
        <v>0.127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HYPERLINK("http://141.218.60.56/~jnz1568/getInfo.php?workbook=20_14.xlsx&amp;sheet=U0&amp;row=546&amp;col=6&amp;number=3.2&amp;sourceID=14","3.2")</f>
        <v>3.2</v>
      </c>
      <c r="G546" s="4" t="str">
        <f>HYPERLINK("http://141.218.60.56/~jnz1568/getInfo.php?workbook=20_14.xlsx&amp;sheet=U0&amp;row=546&amp;col=7&amp;number=0.127&amp;sourceID=14","0.127")</f>
        <v>0.127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HYPERLINK("http://141.218.60.56/~jnz1568/getInfo.php?workbook=20_14.xlsx&amp;sheet=U0&amp;row=547&amp;col=6&amp;number=3.3&amp;sourceID=14","3.3")</f>
        <v>3.3</v>
      </c>
      <c r="G547" s="4" t="str">
        <f>HYPERLINK("http://141.218.60.56/~jnz1568/getInfo.php?workbook=20_14.xlsx&amp;sheet=U0&amp;row=547&amp;col=7&amp;number=0.127&amp;sourceID=14","0.127")</f>
        <v>0.127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HYPERLINK("http://141.218.60.56/~jnz1568/getInfo.php?workbook=20_14.xlsx&amp;sheet=U0&amp;row=548&amp;col=6&amp;number=3.4&amp;sourceID=14","3.4")</f>
        <v>3.4</v>
      </c>
      <c r="G548" s="4" t="str">
        <f>HYPERLINK("http://141.218.60.56/~jnz1568/getInfo.php?workbook=20_14.xlsx&amp;sheet=U0&amp;row=548&amp;col=7&amp;number=0.127&amp;sourceID=14","0.127")</f>
        <v>0.127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HYPERLINK("http://141.218.60.56/~jnz1568/getInfo.php?workbook=20_14.xlsx&amp;sheet=U0&amp;row=549&amp;col=6&amp;number=3.5&amp;sourceID=14","3.5")</f>
        <v>3.5</v>
      </c>
      <c r="G549" s="4" t="str">
        <f>HYPERLINK("http://141.218.60.56/~jnz1568/getInfo.php?workbook=20_14.xlsx&amp;sheet=U0&amp;row=549&amp;col=7&amp;number=0.127&amp;sourceID=14","0.127")</f>
        <v>0.127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HYPERLINK("http://141.218.60.56/~jnz1568/getInfo.php?workbook=20_14.xlsx&amp;sheet=U0&amp;row=550&amp;col=6&amp;number=3.6&amp;sourceID=14","3.6")</f>
        <v>3.6</v>
      </c>
      <c r="G550" s="4" t="str">
        <f>HYPERLINK("http://141.218.60.56/~jnz1568/getInfo.php?workbook=20_14.xlsx&amp;sheet=U0&amp;row=550&amp;col=7&amp;number=0.127&amp;sourceID=14","0.127")</f>
        <v>0.127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HYPERLINK("http://141.218.60.56/~jnz1568/getInfo.php?workbook=20_14.xlsx&amp;sheet=U0&amp;row=551&amp;col=6&amp;number=3.7&amp;sourceID=14","3.7")</f>
        <v>3.7</v>
      </c>
      <c r="G551" s="4" t="str">
        <f>HYPERLINK("http://141.218.60.56/~jnz1568/getInfo.php?workbook=20_14.xlsx&amp;sheet=U0&amp;row=551&amp;col=7&amp;number=0.127&amp;sourceID=14","0.127")</f>
        <v>0.127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HYPERLINK("http://141.218.60.56/~jnz1568/getInfo.php?workbook=20_14.xlsx&amp;sheet=U0&amp;row=552&amp;col=6&amp;number=3.8&amp;sourceID=14","3.8")</f>
        <v>3.8</v>
      </c>
      <c r="G552" s="4" t="str">
        <f>HYPERLINK("http://141.218.60.56/~jnz1568/getInfo.php?workbook=20_14.xlsx&amp;sheet=U0&amp;row=552&amp;col=7&amp;number=0.127&amp;sourceID=14","0.127")</f>
        <v>0.127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HYPERLINK("http://141.218.60.56/~jnz1568/getInfo.php?workbook=20_14.xlsx&amp;sheet=U0&amp;row=553&amp;col=6&amp;number=3.9&amp;sourceID=14","3.9")</f>
        <v>3.9</v>
      </c>
      <c r="G553" s="4" t="str">
        <f>HYPERLINK("http://141.218.60.56/~jnz1568/getInfo.php?workbook=20_14.xlsx&amp;sheet=U0&amp;row=553&amp;col=7&amp;number=0.127&amp;sourceID=14","0.127")</f>
        <v>0.127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HYPERLINK("http://141.218.60.56/~jnz1568/getInfo.php?workbook=20_14.xlsx&amp;sheet=U0&amp;row=554&amp;col=6&amp;number=4&amp;sourceID=14","4")</f>
        <v>4</v>
      </c>
      <c r="G554" s="4" t="str">
        <f>HYPERLINK("http://141.218.60.56/~jnz1568/getInfo.php?workbook=20_14.xlsx&amp;sheet=U0&amp;row=554&amp;col=7&amp;number=0.126&amp;sourceID=14","0.126")</f>
        <v>0.126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HYPERLINK("http://141.218.60.56/~jnz1568/getInfo.php?workbook=20_14.xlsx&amp;sheet=U0&amp;row=555&amp;col=6&amp;number=4.1&amp;sourceID=14","4.1")</f>
        <v>4.1</v>
      </c>
      <c r="G555" s="4" t="str">
        <f>HYPERLINK("http://141.218.60.56/~jnz1568/getInfo.php?workbook=20_14.xlsx&amp;sheet=U0&amp;row=555&amp;col=7&amp;number=0.126&amp;sourceID=14","0.126")</f>
        <v>0.126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HYPERLINK("http://141.218.60.56/~jnz1568/getInfo.php?workbook=20_14.xlsx&amp;sheet=U0&amp;row=556&amp;col=6&amp;number=4.2&amp;sourceID=14","4.2")</f>
        <v>4.2</v>
      </c>
      <c r="G556" s="4" t="str">
        <f>HYPERLINK("http://141.218.60.56/~jnz1568/getInfo.php?workbook=20_14.xlsx&amp;sheet=U0&amp;row=556&amp;col=7&amp;number=0.126&amp;sourceID=14","0.126")</f>
        <v>0.126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HYPERLINK("http://141.218.60.56/~jnz1568/getInfo.php?workbook=20_14.xlsx&amp;sheet=U0&amp;row=557&amp;col=6&amp;number=4.3&amp;sourceID=14","4.3")</f>
        <v>4.3</v>
      </c>
      <c r="G557" s="4" t="str">
        <f>HYPERLINK("http://141.218.60.56/~jnz1568/getInfo.php?workbook=20_14.xlsx&amp;sheet=U0&amp;row=557&amp;col=7&amp;number=0.126&amp;sourceID=14","0.126")</f>
        <v>0.126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HYPERLINK("http://141.218.60.56/~jnz1568/getInfo.php?workbook=20_14.xlsx&amp;sheet=U0&amp;row=558&amp;col=6&amp;number=4.4&amp;sourceID=14","4.4")</f>
        <v>4.4</v>
      </c>
      <c r="G558" s="4" t="str">
        <f>HYPERLINK("http://141.218.60.56/~jnz1568/getInfo.php?workbook=20_14.xlsx&amp;sheet=U0&amp;row=558&amp;col=7&amp;number=0.125&amp;sourceID=14","0.125")</f>
        <v>0.125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HYPERLINK("http://141.218.60.56/~jnz1568/getInfo.php?workbook=20_14.xlsx&amp;sheet=U0&amp;row=559&amp;col=6&amp;number=4.5&amp;sourceID=14","4.5")</f>
        <v>4.5</v>
      </c>
      <c r="G559" s="4" t="str">
        <f>HYPERLINK("http://141.218.60.56/~jnz1568/getInfo.php?workbook=20_14.xlsx&amp;sheet=U0&amp;row=559&amp;col=7&amp;number=0.125&amp;sourceID=14","0.125")</f>
        <v>0.125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HYPERLINK("http://141.218.60.56/~jnz1568/getInfo.php?workbook=20_14.xlsx&amp;sheet=U0&amp;row=560&amp;col=6&amp;number=4.6&amp;sourceID=14","4.6")</f>
        <v>4.6</v>
      </c>
      <c r="G560" s="4" t="str">
        <f>HYPERLINK("http://141.218.60.56/~jnz1568/getInfo.php?workbook=20_14.xlsx&amp;sheet=U0&amp;row=560&amp;col=7&amp;number=0.124&amp;sourceID=14","0.124")</f>
        <v>0.124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HYPERLINK("http://141.218.60.56/~jnz1568/getInfo.php?workbook=20_14.xlsx&amp;sheet=U0&amp;row=561&amp;col=6&amp;number=4.7&amp;sourceID=14","4.7")</f>
        <v>4.7</v>
      </c>
      <c r="G561" s="4" t="str">
        <f>HYPERLINK("http://141.218.60.56/~jnz1568/getInfo.php?workbook=20_14.xlsx&amp;sheet=U0&amp;row=561&amp;col=7&amp;number=0.124&amp;sourceID=14","0.124")</f>
        <v>0.124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HYPERLINK("http://141.218.60.56/~jnz1568/getInfo.php?workbook=20_14.xlsx&amp;sheet=U0&amp;row=562&amp;col=6&amp;number=4.8&amp;sourceID=14","4.8")</f>
        <v>4.8</v>
      </c>
      <c r="G562" s="4" t="str">
        <f>HYPERLINK("http://141.218.60.56/~jnz1568/getInfo.php?workbook=20_14.xlsx&amp;sheet=U0&amp;row=562&amp;col=7&amp;number=0.123&amp;sourceID=14","0.123")</f>
        <v>0.123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HYPERLINK("http://141.218.60.56/~jnz1568/getInfo.php?workbook=20_14.xlsx&amp;sheet=U0&amp;row=563&amp;col=6&amp;number=4.9&amp;sourceID=14","4.9")</f>
        <v>4.9</v>
      </c>
      <c r="G563" s="4" t="str">
        <f>HYPERLINK("http://141.218.60.56/~jnz1568/getInfo.php?workbook=20_14.xlsx&amp;sheet=U0&amp;row=563&amp;col=7&amp;number=0.122&amp;sourceID=14","0.122")</f>
        <v>0.122</v>
      </c>
    </row>
    <row r="564" spans="1:7">
      <c r="A564" s="3">
        <v>20</v>
      </c>
      <c r="B564" s="3">
        <v>14</v>
      </c>
      <c r="C564" s="3">
        <v>2</v>
      </c>
      <c r="D564" s="3">
        <v>5</v>
      </c>
      <c r="E564" s="3">
        <v>1</v>
      </c>
      <c r="F564" s="4" t="str">
        <f>HYPERLINK("http://141.218.60.56/~jnz1568/getInfo.php?workbook=20_14.xlsx&amp;sheet=U0&amp;row=564&amp;col=6&amp;number=3&amp;sourceID=14","3")</f>
        <v>3</v>
      </c>
      <c r="G564" s="4" t="str">
        <f>HYPERLINK("http://141.218.60.56/~jnz1568/getInfo.php?workbook=20_14.xlsx&amp;sheet=U0&amp;row=564&amp;col=7&amp;number=0.0127&amp;sourceID=14","0.0127")</f>
        <v>0.0127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HYPERLINK("http://141.218.60.56/~jnz1568/getInfo.php?workbook=20_14.xlsx&amp;sheet=U0&amp;row=565&amp;col=6&amp;number=3.1&amp;sourceID=14","3.1")</f>
        <v>3.1</v>
      </c>
      <c r="G565" s="4" t="str">
        <f>HYPERLINK("http://141.218.60.56/~jnz1568/getInfo.php?workbook=20_14.xlsx&amp;sheet=U0&amp;row=565&amp;col=7&amp;number=0.0127&amp;sourceID=14","0.0127")</f>
        <v>0.0127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HYPERLINK("http://141.218.60.56/~jnz1568/getInfo.php?workbook=20_14.xlsx&amp;sheet=U0&amp;row=566&amp;col=6&amp;number=3.2&amp;sourceID=14","3.2")</f>
        <v>3.2</v>
      </c>
      <c r="G566" s="4" t="str">
        <f>HYPERLINK("http://141.218.60.56/~jnz1568/getInfo.php?workbook=20_14.xlsx&amp;sheet=U0&amp;row=566&amp;col=7&amp;number=0.0126&amp;sourceID=14","0.0126")</f>
        <v>0.0126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HYPERLINK("http://141.218.60.56/~jnz1568/getInfo.php?workbook=20_14.xlsx&amp;sheet=U0&amp;row=567&amp;col=6&amp;number=3.3&amp;sourceID=14","3.3")</f>
        <v>3.3</v>
      </c>
      <c r="G567" s="4" t="str">
        <f>HYPERLINK("http://141.218.60.56/~jnz1568/getInfo.php?workbook=20_14.xlsx&amp;sheet=U0&amp;row=567&amp;col=7&amp;number=0.0126&amp;sourceID=14","0.0126")</f>
        <v>0.0126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HYPERLINK("http://141.218.60.56/~jnz1568/getInfo.php?workbook=20_14.xlsx&amp;sheet=U0&amp;row=568&amp;col=6&amp;number=3.4&amp;sourceID=14","3.4")</f>
        <v>3.4</v>
      </c>
      <c r="G568" s="4" t="str">
        <f>HYPERLINK("http://141.218.60.56/~jnz1568/getInfo.php?workbook=20_14.xlsx&amp;sheet=U0&amp;row=568&amp;col=7&amp;number=0.0126&amp;sourceID=14","0.0126")</f>
        <v>0.0126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HYPERLINK("http://141.218.60.56/~jnz1568/getInfo.php?workbook=20_14.xlsx&amp;sheet=U0&amp;row=569&amp;col=6&amp;number=3.5&amp;sourceID=14","3.5")</f>
        <v>3.5</v>
      </c>
      <c r="G569" s="4" t="str">
        <f>HYPERLINK("http://141.218.60.56/~jnz1568/getInfo.php?workbook=20_14.xlsx&amp;sheet=U0&amp;row=569&amp;col=7&amp;number=0.0126&amp;sourceID=14","0.0126")</f>
        <v>0.0126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HYPERLINK("http://141.218.60.56/~jnz1568/getInfo.php?workbook=20_14.xlsx&amp;sheet=U0&amp;row=570&amp;col=6&amp;number=3.6&amp;sourceID=14","3.6")</f>
        <v>3.6</v>
      </c>
      <c r="G570" s="4" t="str">
        <f>HYPERLINK("http://141.218.60.56/~jnz1568/getInfo.php?workbook=20_14.xlsx&amp;sheet=U0&amp;row=570&amp;col=7&amp;number=0.0126&amp;sourceID=14","0.0126")</f>
        <v>0.0126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HYPERLINK("http://141.218.60.56/~jnz1568/getInfo.php?workbook=20_14.xlsx&amp;sheet=U0&amp;row=571&amp;col=6&amp;number=3.7&amp;sourceID=14","3.7")</f>
        <v>3.7</v>
      </c>
      <c r="G571" s="4" t="str">
        <f>HYPERLINK("http://141.218.60.56/~jnz1568/getInfo.php?workbook=20_14.xlsx&amp;sheet=U0&amp;row=571&amp;col=7&amp;number=0.0126&amp;sourceID=14","0.0126")</f>
        <v>0.0126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HYPERLINK("http://141.218.60.56/~jnz1568/getInfo.php?workbook=20_14.xlsx&amp;sheet=U0&amp;row=572&amp;col=6&amp;number=3.8&amp;sourceID=14","3.8")</f>
        <v>3.8</v>
      </c>
      <c r="G572" s="4" t="str">
        <f>HYPERLINK("http://141.218.60.56/~jnz1568/getInfo.php?workbook=20_14.xlsx&amp;sheet=U0&amp;row=572&amp;col=7&amp;number=0.0126&amp;sourceID=14","0.0126")</f>
        <v>0.0126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HYPERLINK("http://141.218.60.56/~jnz1568/getInfo.php?workbook=20_14.xlsx&amp;sheet=U0&amp;row=573&amp;col=6&amp;number=3.9&amp;sourceID=14","3.9")</f>
        <v>3.9</v>
      </c>
      <c r="G573" s="4" t="str">
        <f>HYPERLINK("http://141.218.60.56/~jnz1568/getInfo.php?workbook=20_14.xlsx&amp;sheet=U0&amp;row=573&amp;col=7&amp;number=0.0126&amp;sourceID=14","0.0126")</f>
        <v>0.0126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HYPERLINK("http://141.218.60.56/~jnz1568/getInfo.php?workbook=20_14.xlsx&amp;sheet=U0&amp;row=574&amp;col=6&amp;number=4&amp;sourceID=14","4")</f>
        <v>4</v>
      </c>
      <c r="G574" s="4" t="str">
        <f>HYPERLINK("http://141.218.60.56/~jnz1568/getInfo.php?workbook=20_14.xlsx&amp;sheet=U0&amp;row=574&amp;col=7&amp;number=0.0126&amp;sourceID=14","0.0126")</f>
        <v>0.0126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HYPERLINK("http://141.218.60.56/~jnz1568/getInfo.php?workbook=20_14.xlsx&amp;sheet=U0&amp;row=575&amp;col=6&amp;number=4.1&amp;sourceID=14","4.1")</f>
        <v>4.1</v>
      </c>
      <c r="G575" s="4" t="str">
        <f>HYPERLINK("http://141.218.60.56/~jnz1568/getInfo.php?workbook=20_14.xlsx&amp;sheet=U0&amp;row=575&amp;col=7&amp;number=0.0126&amp;sourceID=14","0.0126")</f>
        <v>0.0126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HYPERLINK("http://141.218.60.56/~jnz1568/getInfo.php?workbook=20_14.xlsx&amp;sheet=U0&amp;row=576&amp;col=6&amp;number=4.2&amp;sourceID=14","4.2")</f>
        <v>4.2</v>
      </c>
      <c r="G576" s="4" t="str">
        <f>HYPERLINK("http://141.218.60.56/~jnz1568/getInfo.php?workbook=20_14.xlsx&amp;sheet=U0&amp;row=576&amp;col=7&amp;number=0.0125&amp;sourceID=14","0.0125")</f>
        <v>0.0125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HYPERLINK("http://141.218.60.56/~jnz1568/getInfo.php?workbook=20_14.xlsx&amp;sheet=U0&amp;row=577&amp;col=6&amp;number=4.3&amp;sourceID=14","4.3")</f>
        <v>4.3</v>
      </c>
      <c r="G577" s="4" t="str">
        <f>HYPERLINK("http://141.218.60.56/~jnz1568/getInfo.php?workbook=20_14.xlsx&amp;sheet=U0&amp;row=577&amp;col=7&amp;number=0.0125&amp;sourceID=14","0.0125")</f>
        <v>0.0125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HYPERLINK("http://141.218.60.56/~jnz1568/getInfo.php?workbook=20_14.xlsx&amp;sheet=U0&amp;row=578&amp;col=6&amp;number=4.4&amp;sourceID=14","4.4")</f>
        <v>4.4</v>
      </c>
      <c r="G578" s="4" t="str">
        <f>HYPERLINK("http://141.218.60.56/~jnz1568/getInfo.php?workbook=20_14.xlsx&amp;sheet=U0&amp;row=578&amp;col=7&amp;number=0.0125&amp;sourceID=14","0.0125")</f>
        <v>0.0125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HYPERLINK("http://141.218.60.56/~jnz1568/getInfo.php?workbook=20_14.xlsx&amp;sheet=U0&amp;row=579&amp;col=6&amp;number=4.5&amp;sourceID=14","4.5")</f>
        <v>4.5</v>
      </c>
      <c r="G579" s="4" t="str">
        <f>HYPERLINK("http://141.218.60.56/~jnz1568/getInfo.php?workbook=20_14.xlsx&amp;sheet=U0&amp;row=579&amp;col=7&amp;number=0.0124&amp;sourceID=14","0.0124")</f>
        <v>0.0124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HYPERLINK("http://141.218.60.56/~jnz1568/getInfo.php?workbook=20_14.xlsx&amp;sheet=U0&amp;row=580&amp;col=6&amp;number=4.6&amp;sourceID=14","4.6")</f>
        <v>4.6</v>
      </c>
      <c r="G580" s="4" t="str">
        <f>HYPERLINK("http://141.218.60.56/~jnz1568/getInfo.php?workbook=20_14.xlsx&amp;sheet=U0&amp;row=580&amp;col=7&amp;number=0.0124&amp;sourceID=14","0.0124")</f>
        <v>0.0124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HYPERLINK("http://141.218.60.56/~jnz1568/getInfo.php?workbook=20_14.xlsx&amp;sheet=U0&amp;row=581&amp;col=6&amp;number=4.7&amp;sourceID=14","4.7")</f>
        <v>4.7</v>
      </c>
      <c r="G581" s="4" t="str">
        <f>HYPERLINK("http://141.218.60.56/~jnz1568/getInfo.php?workbook=20_14.xlsx&amp;sheet=U0&amp;row=581&amp;col=7&amp;number=0.0123&amp;sourceID=14","0.0123")</f>
        <v>0.0123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HYPERLINK("http://141.218.60.56/~jnz1568/getInfo.php?workbook=20_14.xlsx&amp;sheet=U0&amp;row=582&amp;col=6&amp;number=4.8&amp;sourceID=14","4.8")</f>
        <v>4.8</v>
      </c>
      <c r="G582" s="4" t="str">
        <f>HYPERLINK("http://141.218.60.56/~jnz1568/getInfo.php?workbook=20_14.xlsx&amp;sheet=U0&amp;row=582&amp;col=7&amp;number=0.0122&amp;sourceID=14","0.0122")</f>
        <v>0.0122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HYPERLINK("http://141.218.60.56/~jnz1568/getInfo.php?workbook=20_14.xlsx&amp;sheet=U0&amp;row=583&amp;col=6&amp;number=4.9&amp;sourceID=14","4.9")</f>
        <v>4.9</v>
      </c>
      <c r="G583" s="4" t="str">
        <f>HYPERLINK("http://141.218.60.56/~jnz1568/getInfo.php?workbook=20_14.xlsx&amp;sheet=U0&amp;row=583&amp;col=7&amp;number=0.0121&amp;sourceID=14","0.0121")</f>
        <v>0.0121</v>
      </c>
    </row>
    <row r="584" spans="1:7">
      <c r="A584" s="3">
        <v>20</v>
      </c>
      <c r="B584" s="3">
        <v>14</v>
      </c>
      <c r="C584" s="3">
        <v>2</v>
      </c>
      <c r="D584" s="3">
        <v>6</v>
      </c>
      <c r="E584" s="3">
        <v>1</v>
      </c>
      <c r="F584" s="4" t="str">
        <f>HYPERLINK("http://141.218.60.56/~jnz1568/getInfo.php?workbook=20_14.xlsx&amp;sheet=U0&amp;row=584&amp;col=6&amp;number=3&amp;sourceID=14","3")</f>
        <v>3</v>
      </c>
      <c r="G584" s="4" t="str">
        <f>HYPERLINK("http://141.218.60.56/~jnz1568/getInfo.php?workbook=20_14.xlsx&amp;sheet=U0&amp;row=584&amp;col=7&amp;number=0.0741&amp;sourceID=14","0.0741")</f>
        <v>0.0741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HYPERLINK("http://141.218.60.56/~jnz1568/getInfo.php?workbook=20_14.xlsx&amp;sheet=U0&amp;row=585&amp;col=6&amp;number=3.1&amp;sourceID=14","3.1")</f>
        <v>3.1</v>
      </c>
      <c r="G585" s="4" t="str">
        <f>HYPERLINK("http://141.218.60.56/~jnz1568/getInfo.php?workbook=20_14.xlsx&amp;sheet=U0&amp;row=585&amp;col=7&amp;number=0.0741&amp;sourceID=14","0.0741")</f>
        <v>0.0741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HYPERLINK("http://141.218.60.56/~jnz1568/getInfo.php?workbook=20_14.xlsx&amp;sheet=U0&amp;row=586&amp;col=6&amp;number=3.2&amp;sourceID=14","3.2")</f>
        <v>3.2</v>
      </c>
      <c r="G586" s="4" t="str">
        <f>HYPERLINK("http://141.218.60.56/~jnz1568/getInfo.php?workbook=20_14.xlsx&amp;sheet=U0&amp;row=586&amp;col=7&amp;number=0.0741&amp;sourceID=14","0.0741")</f>
        <v>0.0741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HYPERLINK("http://141.218.60.56/~jnz1568/getInfo.php?workbook=20_14.xlsx&amp;sheet=U0&amp;row=587&amp;col=6&amp;number=3.3&amp;sourceID=14","3.3")</f>
        <v>3.3</v>
      </c>
      <c r="G587" s="4" t="str">
        <f>HYPERLINK("http://141.218.60.56/~jnz1568/getInfo.php?workbook=20_14.xlsx&amp;sheet=U0&amp;row=587&amp;col=7&amp;number=0.074&amp;sourceID=14","0.074")</f>
        <v>0.074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HYPERLINK("http://141.218.60.56/~jnz1568/getInfo.php?workbook=20_14.xlsx&amp;sheet=U0&amp;row=588&amp;col=6&amp;number=3.4&amp;sourceID=14","3.4")</f>
        <v>3.4</v>
      </c>
      <c r="G588" s="4" t="str">
        <f>HYPERLINK("http://141.218.60.56/~jnz1568/getInfo.php?workbook=20_14.xlsx&amp;sheet=U0&amp;row=588&amp;col=7&amp;number=0.074&amp;sourceID=14","0.074")</f>
        <v>0.074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HYPERLINK("http://141.218.60.56/~jnz1568/getInfo.php?workbook=20_14.xlsx&amp;sheet=U0&amp;row=589&amp;col=6&amp;number=3.5&amp;sourceID=14","3.5")</f>
        <v>3.5</v>
      </c>
      <c r="G589" s="4" t="str">
        <f>HYPERLINK("http://141.218.60.56/~jnz1568/getInfo.php?workbook=20_14.xlsx&amp;sheet=U0&amp;row=589&amp;col=7&amp;number=0.074&amp;sourceID=14","0.074")</f>
        <v>0.074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HYPERLINK("http://141.218.60.56/~jnz1568/getInfo.php?workbook=20_14.xlsx&amp;sheet=U0&amp;row=590&amp;col=6&amp;number=3.6&amp;sourceID=14","3.6")</f>
        <v>3.6</v>
      </c>
      <c r="G590" s="4" t="str">
        <f>HYPERLINK("http://141.218.60.56/~jnz1568/getInfo.php?workbook=20_14.xlsx&amp;sheet=U0&amp;row=590&amp;col=7&amp;number=0.074&amp;sourceID=14","0.074")</f>
        <v>0.074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HYPERLINK("http://141.218.60.56/~jnz1568/getInfo.php?workbook=20_14.xlsx&amp;sheet=U0&amp;row=591&amp;col=6&amp;number=3.7&amp;sourceID=14","3.7")</f>
        <v>3.7</v>
      </c>
      <c r="G591" s="4" t="str">
        <f>HYPERLINK("http://141.218.60.56/~jnz1568/getInfo.php?workbook=20_14.xlsx&amp;sheet=U0&amp;row=591&amp;col=7&amp;number=0.0739&amp;sourceID=14","0.0739")</f>
        <v>0.0739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HYPERLINK("http://141.218.60.56/~jnz1568/getInfo.php?workbook=20_14.xlsx&amp;sheet=U0&amp;row=592&amp;col=6&amp;number=3.8&amp;sourceID=14","3.8")</f>
        <v>3.8</v>
      </c>
      <c r="G592" s="4" t="str">
        <f>HYPERLINK("http://141.218.60.56/~jnz1568/getInfo.php?workbook=20_14.xlsx&amp;sheet=U0&amp;row=592&amp;col=7&amp;number=0.0739&amp;sourceID=14","0.0739")</f>
        <v>0.0739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HYPERLINK("http://141.218.60.56/~jnz1568/getInfo.php?workbook=20_14.xlsx&amp;sheet=U0&amp;row=593&amp;col=6&amp;number=3.9&amp;sourceID=14","3.9")</f>
        <v>3.9</v>
      </c>
      <c r="G593" s="4" t="str">
        <f>HYPERLINK("http://141.218.60.56/~jnz1568/getInfo.php?workbook=20_14.xlsx&amp;sheet=U0&amp;row=593&amp;col=7&amp;number=0.0738&amp;sourceID=14","0.0738")</f>
        <v>0.0738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HYPERLINK("http://141.218.60.56/~jnz1568/getInfo.php?workbook=20_14.xlsx&amp;sheet=U0&amp;row=594&amp;col=6&amp;number=4&amp;sourceID=14","4")</f>
        <v>4</v>
      </c>
      <c r="G594" s="4" t="str">
        <f>HYPERLINK("http://141.218.60.56/~jnz1568/getInfo.php?workbook=20_14.xlsx&amp;sheet=U0&amp;row=594&amp;col=7&amp;number=0.0737&amp;sourceID=14","0.0737")</f>
        <v>0.0737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HYPERLINK("http://141.218.60.56/~jnz1568/getInfo.php?workbook=20_14.xlsx&amp;sheet=U0&amp;row=595&amp;col=6&amp;number=4.1&amp;sourceID=14","4.1")</f>
        <v>4.1</v>
      </c>
      <c r="G595" s="4" t="str">
        <f>HYPERLINK("http://141.218.60.56/~jnz1568/getInfo.php?workbook=20_14.xlsx&amp;sheet=U0&amp;row=595&amp;col=7&amp;number=0.0737&amp;sourceID=14","0.0737")</f>
        <v>0.0737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HYPERLINK("http://141.218.60.56/~jnz1568/getInfo.php?workbook=20_14.xlsx&amp;sheet=U0&amp;row=596&amp;col=6&amp;number=4.2&amp;sourceID=14","4.2")</f>
        <v>4.2</v>
      </c>
      <c r="G596" s="4" t="str">
        <f>HYPERLINK("http://141.218.60.56/~jnz1568/getInfo.php?workbook=20_14.xlsx&amp;sheet=U0&amp;row=596&amp;col=7&amp;number=0.0735&amp;sourceID=14","0.0735")</f>
        <v>0.0735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HYPERLINK("http://141.218.60.56/~jnz1568/getInfo.php?workbook=20_14.xlsx&amp;sheet=U0&amp;row=597&amp;col=6&amp;number=4.3&amp;sourceID=14","4.3")</f>
        <v>4.3</v>
      </c>
      <c r="G597" s="4" t="str">
        <f>HYPERLINK("http://141.218.60.56/~jnz1568/getInfo.php?workbook=20_14.xlsx&amp;sheet=U0&amp;row=597&amp;col=7&amp;number=0.0734&amp;sourceID=14","0.0734")</f>
        <v>0.0734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HYPERLINK("http://141.218.60.56/~jnz1568/getInfo.php?workbook=20_14.xlsx&amp;sheet=U0&amp;row=598&amp;col=6&amp;number=4.4&amp;sourceID=14","4.4")</f>
        <v>4.4</v>
      </c>
      <c r="G598" s="4" t="str">
        <f>HYPERLINK("http://141.218.60.56/~jnz1568/getInfo.php?workbook=20_14.xlsx&amp;sheet=U0&amp;row=598&amp;col=7&amp;number=0.0732&amp;sourceID=14","0.0732")</f>
        <v>0.0732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HYPERLINK("http://141.218.60.56/~jnz1568/getInfo.php?workbook=20_14.xlsx&amp;sheet=U0&amp;row=599&amp;col=6&amp;number=4.5&amp;sourceID=14","4.5")</f>
        <v>4.5</v>
      </c>
      <c r="G599" s="4" t="str">
        <f>HYPERLINK("http://141.218.60.56/~jnz1568/getInfo.php?workbook=20_14.xlsx&amp;sheet=U0&amp;row=599&amp;col=7&amp;number=0.073&amp;sourceID=14","0.073")</f>
        <v>0.073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HYPERLINK("http://141.218.60.56/~jnz1568/getInfo.php?workbook=20_14.xlsx&amp;sheet=U0&amp;row=600&amp;col=6&amp;number=4.6&amp;sourceID=14","4.6")</f>
        <v>4.6</v>
      </c>
      <c r="G600" s="4" t="str">
        <f>HYPERLINK("http://141.218.60.56/~jnz1568/getInfo.php?workbook=20_14.xlsx&amp;sheet=U0&amp;row=600&amp;col=7&amp;number=0.0727&amp;sourceID=14","0.0727")</f>
        <v>0.0727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HYPERLINK("http://141.218.60.56/~jnz1568/getInfo.php?workbook=20_14.xlsx&amp;sheet=U0&amp;row=601&amp;col=6&amp;number=4.7&amp;sourceID=14","4.7")</f>
        <v>4.7</v>
      </c>
      <c r="G601" s="4" t="str">
        <f>HYPERLINK("http://141.218.60.56/~jnz1568/getInfo.php?workbook=20_14.xlsx&amp;sheet=U0&amp;row=601&amp;col=7&amp;number=0.0723&amp;sourceID=14","0.0723")</f>
        <v>0.0723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HYPERLINK("http://141.218.60.56/~jnz1568/getInfo.php?workbook=20_14.xlsx&amp;sheet=U0&amp;row=602&amp;col=6&amp;number=4.8&amp;sourceID=14","4.8")</f>
        <v>4.8</v>
      </c>
      <c r="G602" s="4" t="str">
        <f>HYPERLINK("http://141.218.60.56/~jnz1568/getInfo.php?workbook=20_14.xlsx&amp;sheet=U0&amp;row=602&amp;col=7&amp;number=0.0718&amp;sourceID=14","0.0718")</f>
        <v>0.0718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HYPERLINK("http://141.218.60.56/~jnz1568/getInfo.php?workbook=20_14.xlsx&amp;sheet=U0&amp;row=603&amp;col=6&amp;number=4.9&amp;sourceID=14","4.9")</f>
        <v>4.9</v>
      </c>
      <c r="G603" s="4" t="str">
        <f>HYPERLINK("http://141.218.60.56/~jnz1568/getInfo.php?workbook=20_14.xlsx&amp;sheet=U0&amp;row=603&amp;col=7&amp;number=0.0713&amp;sourceID=14","0.0713")</f>
        <v>0.0713</v>
      </c>
    </row>
    <row r="604" spans="1:7">
      <c r="A604" s="3">
        <v>20</v>
      </c>
      <c r="B604" s="3">
        <v>14</v>
      </c>
      <c r="C604" s="3">
        <v>2</v>
      </c>
      <c r="D604" s="3">
        <v>7</v>
      </c>
      <c r="E604" s="3">
        <v>1</v>
      </c>
      <c r="F604" s="4" t="str">
        <f>HYPERLINK("http://141.218.60.56/~jnz1568/getInfo.php?workbook=20_14.xlsx&amp;sheet=U0&amp;row=604&amp;col=6&amp;number=3&amp;sourceID=14","3")</f>
        <v>3</v>
      </c>
      <c r="G604" s="4" t="str">
        <f>HYPERLINK("http://141.218.60.56/~jnz1568/getInfo.php?workbook=20_14.xlsx&amp;sheet=U0&amp;row=604&amp;col=7&amp;number=0.197&amp;sourceID=14","0.197")</f>
        <v>0.197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HYPERLINK("http://141.218.60.56/~jnz1568/getInfo.php?workbook=20_14.xlsx&amp;sheet=U0&amp;row=605&amp;col=6&amp;number=3.1&amp;sourceID=14","3.1")</f>
        <v>3.1</v>
      </c>
      <c r="G605" s="4" t="str">
        <f>HYPERLINK("http://141.218.60.56/~jnz1568/getInfo.php?workbook=20_14.xlsx&amp;sheet=U0&amp;row=605&amp;col=7&amp;number=0.197&amp;sourceID=14","0.197")</f>
        <v>0.197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HYPERLINK("http://141.218.60.56/~jnz1568/getInfo.php?workbook=20_14.xlsx&amp;sheet=U0&amp;row=606&amp;col=6&amp;number=3.2&amp;sourceID=14","3.2")</f>
        <v>3.2</v>
      </c>
      <c r="G606" s="4" t="str">
        <f>HYPERLINK("http://141.218.60.56/~jnz1568/getInfo.php?workbook=20_14.xlsx&amp;sheet=U0&amp;row=606&amp;col=7&amp;number=0.197&amp;sourceID=14","0.197")</f>
        <v>0.197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HYPERLINK("http://141.218.60.56/~jnz1568/getInfo.php?workbook=20_14.xlsx&amp;sheet=U0&amp;row=607&amp;col=6&amp;number=3.3&amp;sourceID=14","3.3")</f>
        <v>3.3</v>
      </c>
      <c r="G607" s="4" t="str">
        <f>HYPERLINK("http://141.218.60.56/~jnz1568/getInfo.php?workbook=20_14.xlsx&amp;sheet=U0&amp;row=607&amp;col=7&amp;number=0.197&amp;sourceID=14","0.197")</f>
        <v>0.197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HYPERLINK("http://141.218.60.56/~jnz1568/getInfo.php?workbook=20_14.xlsx&amp;sheet=U0&amp;row=608&amp;col=6&amp;number=3.4&amp;sourceID=14","3.4")</f>
        <v>3.4</v>
      </c>
      <c r="G608" s="4" t="str">
        <f>HYPERLINK("http://141.218.60.56/~jnz1568/getInfo.php?workbook=20_14.xlsx&amp;sheet=U0&amp;row=608&amp;col=7&amp;number=0.197&amp;sourceID=14","0.197")</f>
        <v>0.197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HYPERLINK("http://141.218.60.56/~jnz1568/getInfo.php?workbook=20_14.xlsx&amp;sheet=U0&amp;row=609&amp;col=6&amp;number=3.5&amp;sourceID=14","3.5")</f>
        <v>3.5</v>
      </c>
      <c r="G609" s="4" t="str">
        <f>HYPERLINK("http://141.218.60.56/~jnz1568/getInfo.php?workbook=20_14.xlsx&amp;sheet=U0&amp;row=609&amp;col=7&amp;number=0.197&amp;sourceID=14","0.197")</f>
        <v>0.197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HYPERLINK("http://141.218.60.56/~jnz1568/getInfo.php?workbook=20_14.xlsx&amp;sheet=U0&amp;row=610&amp;col=6&amp;number=3.6&amp;sourceID=14","3.6")</f>
        <v>3.6</v>
      </c>
      <c r="G610" s="4" t="str">
        <f>HYPERLINK("http://141.218.60.56/~jnz1568/getInfo.php?workbook=20_14.xlsx&amp;sheet=U0&amp;row=610&amp;col=7&amp;number=0.198&amp;sourceID=14","0.198")</f>
        <v>0.198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HYPERLINK("http://141.218.60.56/~jnz1568/getInfo.php?workbook=20_14.xlsx&amp;sheet=U0&amp;row=611&amp;col=6&amp;number=3.7&amp;sourceID=14","3.7")</f>
        <v>3.7</v>
      </c>
      <c r="G611" s="4" t="str">
        <f>HYPERLINK("http://141.218.60.56/~jnz1568/getInfo.php?workbook=20_14.xlsx&amp;sheet=U0&amp;row=611&amp;col=7&amp;number=0.198&amp;sourceID=14","0.198")</f>
        <v>0.198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HYPERLINK("http://141.218.60.56/~jnz1568/getInfo.php?workbook=20_14.xlsx&amp;sheet=U0&amp;row=612&amp;col=6&amp;number=3.8&amp;sourceID=14","3.8")</f>
        <v>3.8</v>
      </c>
      <c r="G612" s="4" t="str">
        <f>HYPERLINK("http://141.218.60.56/~jnz1568/getInfo.php?workbook=20_14.xlsx&amp;sheet=U0&amp;row=612&amp;col=7&amp;number=0.198&amp;sourceID=14","0.198")</f>
        <v>0.198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HYPERLINK("http://141.218.60.56/~jnz1568/getInfo.php?workbook=20_14.xlsx&amp;sheet=U0&amp;row=613&amp;col=6&amp;number=3.9&amp;sourceID=14","3.9")</f>
        <v>3.9</v>
      </c>
      <c r="G613" s="4" t="str">
        <f>HYPERLINK("http://141.218.60.56/~jnz1568/getInfo.php?workbook=20_14.xlsx&amp;sheet=U0&amp;row=613&amp;col=7&amp;number=0.198&amp;sourceID=14","0.198")</f>
        <v>0.198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HYPERLINK("http://141.218.60.56/~jnz1568/getInfo.php?workbook=20_14.xlsx&amp;sheet=U0&amp;row=614&amp;col=6&amp;number=4&amp;sourceID=14","4")</f>
        <v>4</v>
      </c>
      <c r="G614" s="4" t="str">
        <f>HYPERLINK("http://141.218.60.56/~jnz1568/getInfo.php?workbook=20_14.xlsx&amp;sheet=U0&amp;row=614&amp;col=7&amp;number=0.199&amp;sourceID=14","0.199")</f>
        <v>0.199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HYPERLINK("http://141.218.60.56/~jnz1568/getInfo.php?workbook=20_14.xlsx&amp;sheet=U0&amp;row=615&amp;col=6&amp;number=4.1&amp;sourceID=14","4.1")</f>
        <v>4.1</v>
      </c>
      <c r="G615" s="4" t="str">
        <f>HYPERLINK("http://141.218.60.56/~jnz1568/getInfo.php?workbook=20_14.xlsx&amp;sheet=U0&amp;row=615&amp;col=7&amp;number=0.199&amp;sourceID=14","0.199")</f>
        <v>0.199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HYPERLINK("http://141.218.60.56/~jnz1568/getInfo.php?workbook=20_14.xlsx&amp;sheet=U0&amp;row=616&amp;col=6&amp;number=4.2&amp;sourceID=14","4.2")</f>
        <v>4.2</v>
      </c>
      <c r="G616" s="4" t="str">
        <f>HYPERLINK("http://141.218.60.56/~jnz1568/getInfo.php?workbook=20_14.xlsx&amp;sheet=U0&amp;row=616&amp;col=7&amp;number=0.199&amp;sourceID=14","0.199")</f>
        <v>0.199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HYPERLINK("http://141.218.60.56/~jnz1568/getInfo.php?workbook=20_14.xlsx&amp;sheet=U0&amp;row=617&amp;col=6&amp;number=4.3&amp;sourceID=14","4.3")</f>
        <v>4.3</v>
      </c>
      <c r="G617" s="4" t="str">
        <f>HYPERLINK("http://141.218.60.56/~jnz1568/getInfo.php?workbook=20_14.xlsx&amp;sheet=U0&amp;row=617&amp;col=7&amp;number=0.2&amp;sourceID=14","0.2")</f>
        <v>0.2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HYPERLINK("http://141.218.60.56/~jnz1568/getInfo.php?workbook=20_14.xlsx&amp;sheet=U0&amp;row=618&amp;col=6&amp;number=4.4&amp;sourceID=14","4.4")</f>
        <v>4.4</v>
      </c>
      <c r="G618" s="4" t="str">
        <f>HYPERLINK("http://141.218.60.56/~jnz1568/getInfo.php?workbook=20_14.xlsx&amp;sheet=U0&amp;row=618&amp;col=7&amp;number=0.201&amp;sourceID=14","0.201")</f>
        <v>0.201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HYPERLINK("http://141.218.60.56/~jnz1568/getInfo.php?workbook=20_14.xlsx&amp;sheet=U0&amp;row=619&amp;col=6&amp;number=4.5&amp;sourceID=14","4.5")</f>
        <v>4.5</v>
      </c>
      <c r="G619" s="4" t="str">
        <f>HYPERLINK("http://141.218.60.56/~jnz1568/getInfo.php?workbook=20_14.xlsx&amp;sheet=U0&amp;row=619&amp;col=7&amp;number=0.202&amp;sourceID=14","0.202")</f>
        <v>0.202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HYPERLINK("http://141.218.60.56/~jnz1568/getInfo.php?workbook=20_14.xlsx&amp;sheet=U0&amp;row=620&amp;col=6&amp;number=4.6&amp;sourceID=14","4.6")</f>
        <v>4.6</v>
      </c>
      <c r="G620" s="4" t="str">
        <f>HYPERLINK("http://141.218.60.56/~jnz1568/getInfo.php?workbook=20_14.xlsx&amp;sheet=U0&amp;row=620&amp;col=7&amp;number=0.203&amp;sourceID=14","0.203")</f>
        <v>0.203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HYPERLINK("http://141.218.60.56/~jnz1568/getInfo.php?workbook=20_14.xlsx&amp;sheet=U0&amp;row=621&amp;col=6&amp;number=4.7&amp;sourceID=14","4.7")</f>
        <v>4.7</v>
      </c>
      <c r="G621" s="4" t="str">
        <f>HYPERLINK("http://141.218.60.56/~jnz1568/getInfo.php?workbook=20_14.xlsx&amp;sheet=U0&amp;row=621&amp;col=7&amp;number=0.204&amp;sourceID=14","0.204")</f>
        <v>0.204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HYPERLINK("http://141.218.60.56/~jnz1568/getInfo.php?workbook=20_14.xlsx&amp;sheet=U0&amp;row=622&amp;col=6&amp;number=4.8&amp;sourceID=14","4.8")</f>
        <v>4.8</v>
      </c>
      <c r="G622" s="4" t="str">
        <f>HYPERLINK("http://141.218.60.56/~jnz1568/getInfo.php?workbook=20_14.xlsx&amp;sheet=U0&amp;row=622&amp;col=7&amp;number=0.206&amp;sourceID=14","0.206")</f>
        <v>0.206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HYPERLINK("http://141.218.60.56/~jnz1568/getInfo.php?workbook=20_14.xlsx&amp;sheet=U0&amp;row=623&amp;col=6&amp;number=4.9&amp;sourceID=14","4.9")</f>
        <v>4.9</v>
      </c>
      <c r="G623" s="4" t="str">
        <f>HYPERLINK("http://141.218.60.56/~jnz1568/getInfo.php?workbook=20_14.xlsx&amp;sheet=U0&amp;row=623&amp;col=7&amp;number=0.208&amp;sourceID=14","0.208")</f>
        <v>0.208</v>
      </c>
    </row>
    <row r="624" spans="1:7">
      <c r="A624" s="3">
        <v>20</v>
      </c>
      <c r="B624" s="3">
        <v>14</v>
      </c>
      <c r="C624" s="3">
        <v>2</v>
      </c>
      <c r="D624" s="3">
        <v>8</v>
      </c>
      <c r="E624" s="3">
        <v>1</v>
      </c>
      <c r="F624" s="4" t="str">
        <f>HYPERLINK("http://141.218.60.56/~jnz1568/getInfo.php?workbook=20_14.xlsx&amp;sheet=U0&amp;row=624&amp;col=6&amp;number=3&amp;sourceID=14","3")</f>
        <v>3</v>
      </c>
      <c r="G624" s="4" t="str">
        <f>HYPERLINK("http://141.218.60.56/~jnz1568/getInfo.php?workbook=20_14.xlsx&amp;sheet=U0&amp;row=624&amp;col=7&amp;number=0.657&amp;sourceID=14","0.657")</f>
        <v>0.657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HYPERLINK("http://141.218.60.56/~jnz1568/getInfo.php?workbook=20_14.xlsx&amp;sheet=U0&amp;row=625&amp;col=6&amp;number=3.1&amp;sourceID=14","3.1")</f>
        <v>3.1</v>
      </c>
      <c r="G625" s="4" t="str">
        <f>HYPERLINK("http://141.218.60.56/~jnz1568/getInfo.php?workbook=20_14.xlsx&amp;sheet=U0&amp;row=625&amp;col=7&amp;number=0.658&amp;sourceID=14","0.658")</f>
        <v>0.658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HYPERLINK("http://141.218.60.56/~jnz1568/getInfo.php?workbook=20_14.xlsx&amp;sheet=U0&amp;row=626&amp;col=6&amp;number=3.2&amp;sourceID=14","3.2")</f>
        <v>3.2</v>
      </c>
      <c r="G626" s="4" t="str">
        <f>HYPERLINK("http://141.218.60.56/~jnz1568/getInfo.php?workbook=20_14.xlsx&amp;sheet=U0&amp;row=626&amp;col=7&amp;number=0.658&amp;sourceID=14","0.658")</f>
        <v>0.658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HYPERLINK("http://141.218.60.56/~jnz1568/getInfo.php?workbook=20_14.xlsx&amp;sheet=U0&amp;row=627&amp;col=6&amp;number=3.3&amp;sourceID=14","3.3")</f>
        <v>3.3</v>
      </c>
      <c r="G627" s="4" t="str">
        <f>HYPERLINK("http://141.218.60.56/~jnz1568/getInfo.php?workbook=20_14.xlsx&amp;sheet=U0&amp;row=627&amp;col=7&amp;number=0.658&amp;sourceID=14","0.658")</f>
        <v>0.658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HYPERLINK("http://141.218.60.56/~jnz1568/getInfo.php?workbook=20_14.xlsx&amp;sheet=U0&amp;row=628&amp;col=6&amp;number=3.4&amp;sourceID=14","3.4")</f>
        <v>3.4</v>
      </c>
      <c r="G628" s="4" t="str">
        <f>HYPERLINK("http://141.218.60.56/~jnz1568/getInfo.php?workbook=20_14.xlsx&amp;sheet=U0&amp;row=628&amp;col=7&amp;number=0.658&amp;sourceID=14","0.658")</f>
        <v>0.658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HYPERLINK("http://141.218.60.56/~jnz1568/getInfo.php?workbook=20_14.xlsx&amp;sheet=U0&amp;row=629&amp;col=6&amp;number=3.5&amp;sourceID=14","3.5")</f>
        <v>3.5</v>
      </c>
      <c r="G629" s="4" t="str">
        <f>HYPERLINK("http://141.218.60.56/~jnz1568/getInfo.php?workbook=20_14.xlsx&amp;sheet=U0&amp;row=629&amp;col=7&amp;number=0.659&amp;sourceID=14","0.659")</f>
        <v>0.659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HYPERLINK("http://141.218.60.56/~jnz1568/getInfo.php?workbook=20_14.xlsx&amp;sheet=U0&amp;row=630&amp;col=6&amp;number=3.6&amp;sourceID=14","3.6")</f>
        <v>3.6</v>
      </c>
      <c r="G630" s="4" t="str">
        <f>HYPERLINK("http://141.218.60.56/~jnz1568/getInfo.php?workbook=20_14.xlsx&amp;sheet=U0&amp;row=630&amp;col=7&amp;number=0.659&amp;sourceID=14","0.659")</f>
        <v>0.659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HYPERLINK("http://141.218.60.56/~jnz1568/getInfo.php?workbook=20_14.xlsx&amp;sheet=U0&amp;row=631&amp;col=6&amp;number=3.7&amp;sourceID=14","3.7")</f>
        <v>3.7</v>
      </c>
      <c r="G631" s="4" t="str">
        <f>HYPERLINK("http://141.218.60.56/~jnz1568/getInfo.php?workbook=20_14.xlsx&amp;sheet=U0&amp;row=631&amp;col=7&amp;number=0.66&amp;sourceID=14","0.66")</f>
        <v>0.66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HYPERLINK("http://141.218.60.56/~jnz1568/getInfo.php?workbook=20_14.xlsx&amp;sheet=U0&amp;row=632&amp;col=6&amp;number=3.8&amp;sourceID=14","3.8")</f>
        <v>3.8</v>
      </c>
      <c r="G632" s="4" t="str">
        <f>HYPERLINK("http://141.218.60.56/~jnz1568/getInfo.php?workbook=20_14.xlsx&amp;sheet=U0&amp;row=632&amp;col=7&amp;number=0.661&amp;sourceID=14","0.661")</f>
        <v>0.661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HYPERLINK("http://141.218.60.56/~jnz1568/getInfo.php?workbook=20_14.xlsx&amp;sheet=U0&amp;row=633&amp;col=6&amp;number=3.9&amp;sourceID=14","3.9")</f>
        <v>3.9</v>
      </c>
      <c r="G633" s="4" t="str">
        <f>HYPERLINK("http://141.218.60.56/~jnz1568/getInfo.php?workbook=20_14.xlsx&amp;sheet=U0&amp;row=633&amp;col=7&amp;number=0.662&amp;sourceID=14","0.662")</f>
        <v>0.662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HYPERLINK("http://141.218.60.56/~jnz1568/getInfo.php?workbook=20_14.xlsx&amp;sheet=U0&amp;row=634&amp;col=6&amp;number=4&amp;sourceID=14","4")</f>
        <v>4</v>
      </c>
      <c r="G634" s="4" t="str">
        <f>HYPERLINK("http://141.218.60.56/~jnz1568/getInfo.php?workbook=20_14.xlsx&amp;sheet=U0&amp;row=634&amp;col=7&amp;number=0.664&amp;sourceID=14","0.664")</f>
        <v>0.664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HYPERLINK("http://141.218.60.56/~jnz1568/getInfo.php?workbook=20_14.xlsx&amp;sheet=U0&amp;row=635&amp;col=6&amp;number=4.1&amp;sourceID=14","4.1")</f>
        <v>4.1</v>
      </c>
      <c r="G635" s="4" t="str">
        <f>HYPERLINK("http://141.218.60.56/~jnz1568/getInfo.php?workbook=20_14.xlsx&amp;sheet=U0&amp;row=635&amp;col=7&amp;number=0.665&amp;sourceID=14","0.665")</f>
        <v>0.665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HYPERLINK("http://141.218.60.56/~jnz1568/getInfo.php?workbook=20_14.xlsx&amp;sheet=U0&amp;row=636&amp;col=6&amp;number=4.2&amp;sourceID=14","4.2")</f>
        <v>4.2</v>
      </c>
      <c r="G636" s="4" t="str">
        <f>HYPERLINK("http://141.218.60.56/~jnz1568/getInfo.php?workbook=20_14.xlsx&amp;sheet=U0&amp;row=636&amp;col=7&amp;number=0.668&amp;sourceID=14","0.668")</f>
        <v>0.668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HYPERLINK("http://141.218.60.56/~jnz1568/getInfo.php?workbook=20_14.xlsx&amp;sheet=U0&amp;row=637&amp;col=6&amp;number=4.3&amp;sourceID=14","4.3")</f>
        <v>4.3</v>
      </c>
      <c r="G637" s="4" t="str">
        <f>HYPERLINK("http://141.218.60.56/~jnz1568/getInfo.php?workbook=20_14.xlsx&amp;sheet=U0&amp;row=637&amp;col=7&amp;number=0.67&amp;sourceID=14","0.67")</f>
        <v>0.67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HYPERLINK("http://141.218.60.56/~jnz1568/getInfo.php?workbook=20_14.xlsx&amp;sheet=U0&amp;row=638&amp;col=6&amp;number=4.4&amp;sourceID=14","4.4")</f>
        <v>4.4</v>
      </c>
      <c r="G638" s="4" t="str">
        <f>HYPERLINK("http://141.218.60.56/~jnz1568/getInfo.php?workbook=20_14.xlsx&amp;sheet=U0&amp;row=638&amp;col=7&amp;number=0.674&amp;sourceID=14","0.674")</f>
        <v>0.674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HYPERLINK("http://141.218.60.56/~jnz1568/getInfo.php?workbook=20_14.xlsx&amp;sheet=U0&amp;row=639&amp;col=6&amp;number=4.5&amp;sourceID=14","4.5")</f>
        <v>4.5</v>
      </c>
      <c r="G639" s="4" t="str">
        <f>HYPERLINK("http://141.218.60.56/~jnz1568/getInfo.php?workbook=20_14.xlsx&amp;sheet=U0&amp;row=639&amp;col=7&amp;number=0.678&amp;sourceID=14","0.678")</f>
        <v>0.678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HYPERLINK("http://141.218.60.56/~jnz1568/getInfo.php?workbook=20_14.xlsx&amp;sheet=U0&amp;row=640&amp;col=6&amp;number=4.6&amp;sourceID=14","4.6")</f>
        <v>4.6</v>
      </c>
      <c r="G640" s="4" t="str">
        <f>HYPERLINK("http://141.218.60.56/~jnz1568/getInfo.php?workbook=20_14.xlsx&amp;sheet=U0&amp;row=640&amp;col=7&amp;number=0.683&amp;sourceID=14","0.683")</f>
        <v>0.683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HYPERLINK("http://141.218.60.56/~jnz1568/getInfo.php?workbook=20_14.xlsx&amp;sheet=U0&amp;row=641&amp;col=6&amp;number=4.7&amp;sourceID=14","4.7")</f>
        <v>4.7</v>
      </c>
      <c r="G641" s="4" t="str">
        <f>HYPERLINK("http://141.218.60.56/~jnz1568/getInfo.php?workbook=20_14.xlsx&amp;sheet=U0&amp;row=641&amp;col=7&amp;number=0.689&amp;sourceID=14","0.689")</f>
        <v>0.689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HYPERLINK("http://141.218.60.56/~jnz1568/getInfo.php?workbook=20_14.xlsx&amp;sheet=U0&amp;row=642&amp;col=6&amp;number=4.8&amp;sourceID=14","4.8")</f>
        <v>4.8</v>
      </c>
      <c r="G642" s="4" t="str">
        <f>HYPERLINK("http://141.218.60.56/~jnz1568/getInfo.php?workbook=20_14.xlsx&amp;sheet=U0&amp;row=642&amp;col=7&amp;number=0.697&amp;sourceID=14","0.697")</f>
        <v>0.697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HYPERLINK("http://141.218.60.56/~jnz1568/getInfo.php?workbook=20_14.xlsx&amp;sheet=U0&amp;row=643&amp;col=6&amp;number=4.9&amp;sourceID=14","4.9")</f>
        <v>4.9</v>
      </c>
      <c r="G643" s="4" t="str">
        <f>HYPERLINK("http://141.218.60.56/~jnz1568/getInfo.php?workbook=20_14.xlsx&amp;sheet=U0&amp;row=643&amp;col=7&amp;number=0.707&amp;sourceID=14","0.707")</f>
        <v>0.707</v>
      </c>
    </row>
    <row r="644" spans="1:7">
      <c r="A644" s="3">
        <v>20</v>
      </c>
      <c r="B644" s="3">
        <v>14</v>
      </c>
      <c r="C644" s="3">
        <v>2</v>
      </c>
      <c r="D644" s="3">
        <v>9</v>
      </c>
      <c r="E644" s="3">
        <v>1</v>
      </c>
      <c r="F644" s="4" t="str">
        <f>HYPERLINK("http://141.218.60.56/~jnz1568/getInfo.php?workbook=20_14.xlsx&amp;sheet=U0&amp;row=644&amp;col=6&amp;number=3&amp;sourceID=14","3")</f>
        <v>3</v>
      </c>
      <c r="G644" s="4" t="str">
        <f>HYPERLINK("http://141.218.60.56/~jnz1568/getInfo.php?workbook=20_14.xlsx&amp;sheet=U0&amp;row=644&amp;col=7&amp;number=0.0546&amp;sourceID=14","0.0546")</f>
        <v>0.0546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HYPERLINK("http://141.218.60.56/~jnz1568/getInfo.php?workbook=20_14.xlsx&amp;sheet=U0&amp;row=645&amp;col=6&amp;number=3.1&amp;sourceID=14","3.1")</f>
        <v>3.1</v>
      </c>
      <c r="G645" s="4" t="str">
        <f>HYPERLINK("http://141.218.60.56/~jnz1568/getInfo.php?workbook=20_14.xlsx&amp;sheet=U0&amp;row=645&amp;col=7&amp;number=0.0545&amp;sourceID=14","0.0545")</f>
        <v>0.0545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HYPERLINK("http://141.218.60.56/~jnz1568/getInfo.php?workbook=20_14.xlsx&amp;sheet=U0&amp;row=646&amp;col=6&amp;number=3.2&amp;sourceID=14","3.2")</f>
        <v>3.2</v>
      </c>
      <c r="G646" s="4" t="str">
        <f>HYPERLINK("http://141.218.60.56/~jnz1568/getInfo.php?workbook=20_14.xlsx&amp;sheet=U0&amp;row=646&amp;col=7&amp;number=0.0545&amp;sourceID=14","0.0545")</f>
        <v>0.0545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HYPERLINK("http://141.218.60.56/~jnz1568/getInfo.php?workbook=20_14.xlsx&amp;sheet=U0&amp;row=647&amp;col=6&amp;number=3.3&amp;sourceID=14","3.3")</f>
        <v>3.3</v>
      </c>
      <c r="G647" s="4" t="str">
        <f>HYPERLINK("http://141.218.60.56/~jnz1568/getInfo.php?workbook=20_14.xlsx&amp;sheet=U0&amp;row=647&amp;col=7&amp;number=0.0545&amp;sourceID=14","0.0545")</f>
        <v>0.0545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HYPERLINK("http://141.218.60.56/~jnz1568/getInfo.php?workbook=20_14.xlsx&amp;sheet=U0&amp;row=648&amp;col=6&amp;number=3.4&amp;sourceID=14","3.4")</f>
        <v>3.4</v>
      </c>
      <c r="G648" s="4" t="str">
        <f>HYPERLINK("http://141.218.60.56/~jnz1568/getInfo.php?workbook=20_14.xlsx&amp;sheet=U0&amp;row=648&amp;col=7&amp;number=0.0545&amp;sourceID=14","0.0545")</f>
        <v>0.0545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HYPERLINK("http://141.218.60.56/~jnz1568/getInfo.php?workbook=20_14.xlsx&amp;sheet=U0&amp;row=649&amp;col=6&amp;number=3.5&amp;sourceID=14","3.5")</f>
        <v>3.5</v>
      </c>
      <c r="G649" s="4" t="str">
        <f>HYPERLINK("http://141.218.60.56/~jnz1568/getInfo.php?workbook=20_14.xlsx&amp;sheet=U0&amp;row=649&amp;col=7&amp;number=0.0545&amp;sourceID=14","0.0545")</f>
        <v>0.0545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HYPERLINK("http://141.218.60.56/~jnz1568/getInfo.php?workbook=20_14.xlsx&amp;sheet=U0&amp;row=650&amp;col=6&amp;number=3.6&amp;sourceID=14","3.6")</f>
        <v>3.6</v>
      </c>
      <c r="G650" s="4" t="str">
        <f>HYPERLINK("http://141.218.60.56/~jnz1568/getInfo.php?workbook=20_14.xlsx&amp;sheet=U0&amp;row=650&amp;col=7&amp;number=0.0545&amp;sourceID=14","0.0545")</f>
        <v>0.0545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HYPERLINK("http://141.218.60.56/~jnz1568/getInfo.php?workbook=20_14.xlsx&amp;sheet=U0&amp;row=651&amp;col=6&amp;number=3.7&amp;sourceID=14","3.7")</f>
        <v>3.7</v>
      </c>
      <c r="G651" s="4" t="str">
        <f>HYPERLINK("http://141.218.60.56/~jnz1568/getInfo.php?workbook=20_14.xlsx&amp;sheet=U0&amp;row=651&amp;col=7&amp;number=0.0545&amp;sourceID=14","0.0545")</f>
        <v>0.0545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HYPERLINK("http://141.218.60.56/~jnz1568/getInfo.php?workbook=20_14.xlsx&amp;sheet=U0&amp;row=652&amp;col=6&amp;number=3.8&amp;sourceID=14","3.8")</f>
        <v>3.8</v>
      </c>
      <c r="G652" s="4" t="str">
        <f>HYPERLINK("http://141.218.60.56/~jnz1568/getInfo.php?workbook=20_14.xlsx&amp;sheet=U0&amp;row=652&amp;col=7&amp;number=0.0544&amp;sourceID=14","0.0544")</f>
        <v>0.0544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HYPERLINK("http://141.218.60.56/~jnz1568/getInfo.php?workbook=20_14.xlsx&amp;sheet=U0&amp;row=653&amp;col=6&amp;number=3.9&amp;sourceID=14","3.9")</f>
        <v>3.9</v>
      </c>
      <c r="G653" s="4" t="str">
        <f>HYPERLINK("http://141.218.60.56/~jnz1568/getInfo.php?workbook=20_14.xlsx&amp;sheet=U0&amp;row=653&amp;col=7&amp;number=0.0544&amp;sourceID=14","0.0544")</f>
        <v>0.0544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HYPERLINK("http://141.218.60.56/~jnz1568/getInfo.php?workbook=20_14.xlsx&amp;sheet=U0&amp;row=654&amp;col=6&amp;number=4&amp;sourceID=14","4")</f>
        <v>4</v>
      </c>
      <c r="G654" s="4" t="str">
        <f>HYPERLINK("http://141.218.60.56/~jnz1568/getInfo.php?workbook=20_14.xlsx&amp;sheet=U0&amp;row=654&amp;col=7&amp;number=0.0543&amp;sourceID=14","0.0543")</f>
        <v>0.0543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HYPERLINK("http://141.218.60.56/~jnz1568/getInfo.php?workbook=20_14.xlsx&amp;sheet=U0&amp;row=655&amp;col=6&amp;number=4.1&amp;sourceID=14","4.1")</f>
        <v>4.1</v>
      </c>
      <c r="G655" s="4" t="str">
        <f>HYPERLINK("http://141.218.60.56/~jnz1568/getInfo.php?workbook=20_14.xlsx&amp;sheet=U0&amp;row=655&amp;col=7&amp;number=0.0543&amp;sourceID=14","0.0543")</f>
        <v>0.0543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HYPERLINK("http://141.218.60.56/~jnz1568/getInfo.php?workbook=20_14.xlsx&amp;sheet=U0&amp;row=656&amp;col=6&amp;number=4.2&amp;sourceID=14","4.2")</f>
        <v>4.2</v>
      </c>
      <c r="G656" s="4" t="str">
        <f>HYPERLINK("http://141.218.60.56/~jnz1568/getInfo.php?workbook=20_14.xlsx&amp;sheet=U0&amp;row=656&amp;col=7&amp;number=0.0542&amp;sourceID=14","0.0542")</f>
        <v>0.0542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HYPERLINK("http://141.218.60.56/~jnz1568/getInfo.php?workbook=20_14.xlsx&amp;sheet=U0&amp;row=657&amp;col=6&amp;number=4.3&amp;sourceID=14","4.3")</f>
        <v>4.3</v>
      </c>
      <c r="G657" s="4" t="str">
        <f>HYPERLINK("http://141.218.60.56/~jnz1568/getInfo.php?workbook=20_14.xlsx&amp;sheet=U0&amp;row=657&amp;col=7&amp;number=0.0541&amp;sourceID=14","0.0541")</f>
        <v>0.0541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HYPERLINK("http://141.218.60.56/~jnz1568/getInfo.php?workbook=20_14.xlsx&amp;sheet=U0&amp;row=658&amp;col=6&amp;number=4.4&amp;sourceID=14","4.4")</f>
        <v>4.4</v>
      </c>
      <c r="G658" s="4" t="str">
        <f>HYPERLINK("http://141.218.60.56/~jnz1568/getInfo.php?workbook=20_14.xlsx&amp;sheet=U0&amp;row=658&amp;col=7&amp;number=0.054&amp;sourceID=14","0.054")</f>
        <v>0.054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HYPERLINK("http://141.218.60.56/~jnz1568/getInfo.php?workbook=20_14.xlsx&amp;sheet=U0&amp;row=659&amp;col=6&amp;number=4.5&amp;sourceID=14","4.5")</f>
        <v>4.5</v>
      </c>
      <c r="G659" s="4" t="str">
        <f>HYPERLINK("http://141.218.60.56/~jnz1568/getInfo.php?workbook=20_14.xlsx&amp;sheet=U0&amp;row=659&amp;col=7&amp;number=0.0538&amp;sourceID=14","0.0538")</f>
        <v>0.0538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HYPERLINK("http://141.218.60.56/~jnz1568/getInfo.php?workbook=20_14.xlsx&amp;sheet=U0&amp;row=660&amp;col=6&amp;number=4.6&amp;sourceID=14","4.6")</f>
        <v>4.6</v>
      </c>
      <c r="G660" s="4" t="str">
        <f>HYPERLINK("http://141.218.60.56/~jnz1568/getInfo.php?workbook=20_14.xlsx&amp;sheet=U0&amp;row=660&amp;col=7&amp;number=0.0536&amp;sourceID=14","0.0536")</f>
        <v>0.0536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HYPERLINK("http://141.218.60.56/~jnz1568/getInfo.php?workbook=20_14.xlsx&amp;sheet=U0&amp;row=661&amp;col=6&amp;number=4.7&amp;sourceID=14","4.7")</f>
        <v>4.7</v>
      </c>
      <c r="G661" s="4" t="str">
        <f>HYPERLINK("http://141.218.60.56/~jnz1568/getInfo.php?workbook=20_14.xlsx&amp;sheet=U0&amp;row=661&amp;col=7&amp;number=0.0533&amp;sourceID=14","0.0533")</f>
        <v>0.0533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HYPERLINK("http://141.218.60.56/~jnz1568/getInfo.php?workbook=20_14.xlsx&amp;sheet=U0&amp;row=662&amp;col=6&amp;number=4.8&amp;sourceID=14","4.8")</f>
        <v>4.8</v>
      </c>
      <c r="G662" s="4" t="str">
        <f>HYPERLINK("http://141.218.60.56/~jnz1568/getInfo.php?workbook=20_14.xlsx&amp;sheet=U0&amp;row=662&amp;col=7&amp;number=0.053&amp;sourceID=14","0.053")</f>
        <v>0.053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HYPERLINK("http://141.218.60.56/~jnz1568/getInfo.php?workbook=20_14.xlsx&amp;sheet=U0&amp;row=663&amp;col=6&amp;number=4.9&amp;sourceID=14","4.9")</f>
        <v>4.9</v>
      </c>
      <c r="G663" s="4" t="str">
        <f>HYPERLINK("http://141.218.60.56/~jnz1568/getInfo.php?workbook=20_14.xlsx&amp;sheet=U0&amp;row=663&amp;col=7&amp;number=0.0526&amp;sourceID=14","0.0526")</f>
        <v>0.0526</v>
      </c>
    </row>
    <row r="664" spans="1:7">
      <c r="A664" s="3">
        <v>20</v>
      </c>
      <c r="B664" s="3">
        <v>14</v>
      </c>
      <c r="C664" s="3">
        <v>2</v>
      </c>
      <c r="D664" s="3">
        <v>10</v>
      </c>
      <c r="E664" s="3">
        <v>1</v>
      </c>
      <c r="F664" s="4" t="str">
        <f>HYPERLINK("http://141.218.60.56/~jnz1568/getInfo.php?workbook=20_14.xlsx&amp;sheet=U0&amp;row=664&amp;col=6&amp;number=3&amp;sourceID=14","3")</f>
        <v>3</v>
      </c>
      <c r="G664" s="4" t="str">
        <f>HYPERLINK("http://141.218.60.56/~jnz1568/getInfo.php?workbook=20_14.xlsx&amp;sheet=U0&amp;row=664&amp;col=7&amp;number=0.474&amp;sourceID=14","0.474")</f>
        <v>0.474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HYPERLINK("http://141.218.60.56/~jnz1568/getInfo.php?workbook=20_14.xlsx&amp;sheet=U0&amp;row=665&amp;col=6&amp;number=3.1&amp;sourceID=14","3.1")</f>
        <v>3.1</v>
      </c>
      <c r="G665" s="4" t="str">
        <f>HYPERLINK("http://141.218.60.56/~jnz1568/getInfo.php?workbook=20_14.xlsx&amp;sheet=U0&amp;row=665&amp;col=7&amp;number=0.474&amp;sourceID=14","0.474")</f>
        <v>0.474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HYPERLINK("http://141.218.60.56/~jnz1568/getInfo.php?workbook=20_14.xlsx&amp;sheet=U0&amp;row=666&amp;col=6&amp;number=3.2&amp;sourceID=14","3.2")</f>
        <v>3.2</v>
      </c>
      <c r="G666" s="4" t="str">
        <f>HYPERLINK("http://141.218.60.56/~jnz1568/getInfo.php?workbook=20_14.xlsx&amp;sheet=U0&amp;row=666&amp;col=7&amp;number=0.474&amp;sourceID=14","0.474")</f>
        <v>0.474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HYPERLINK("http://141.218.60.56/~jnz1568/getInfo.php?workbook=20_14.xlsx&amp;sheet=U0&amp;row=667&amp;col=6&amp;number=3.3&amp;sourceID=14","3.3")</f>
        <v>3.3</v>
      </c>
      <c r="G667" s="4" t="str">
        <f>HYPERLINK("http://141.218.60.56/~jnz1568/getInfo.php?workbook=20_14.xlsx&amp;sheet=U0&amp;row=667&amp;col=7&amp;number=0.475&amp;sourceID=14","0.475")</f>
        <v>0.475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HYPERLINK("http://141.218.60.56/~jnz1568/getInfo.php?workbook=20_14.xlsx&amp;sheet=U0&amp;row=668&amp;col=6&amp;number=3.4&amp;sourceID=14","3.4")</f>
        <v>3.4</v>
      </c>
      <c r="G668" s="4" t="str">
        <f>HYPERLINK("http://141.218.60.56/~jnz1568/getInfo.php?workbook=20_14.xlsx&amp;sheet=U0&amp;row=668&amp;col=7&amp;number=0.475&amp;sourceID=14","0.475")</f>
        <v>0.475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HYPERLINK("http://141.218.60.56/~jnz1568/getInfo.php?workbook=20_14.xlsx&amp;sheet=U0&amp;row=669&amp;col=6&amp;number=3.5&amp;sourceID=14","3.5")</f>
        <v>3.5</v>
      </c>
      <c r="G669" s="4" t="str">
        <f>HYPERLINK("http://141.218.60.56/~jnz1568/getInfo.php?workbook=20_14.xlsx&amp;sheet=U0&amp;row=669&amp;col=7&amp;number=0.475&amp;sourceID=14","0.475")</f>
        <v>0.475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HYPERLINK("http://141.218.60.56/~jnz1568/getInfo.php?workbook=20_14.xlsx&amp;sheet=U0&amp;row=670&amp;col=6&amp;number=3.6&amp;sourceID=14","3.6")</f>
        <v>3.6</v>
      </c>
      <c r="G670" s="4" t="str">
        <f>HYPERLINK("http://141.218.60.56/~jnz1568/getInfo.php?workbook=20_14.xlsx&amp;sheet=U0&amp;row=670&amp;col=7&amp;number=0.475&amp;sourceID=14","0.475")</f>
        <v>0.475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HYPERLINK("http://141.218.60.56/~jnz1568/getInfo.php?workbook=20_14.xlsx&amp;sheet=U0&amp;row=671&amp;col=6&amp;number=3.7&amp;sourceID=14","3.7")</f>
        <v>3.7</v>
      </c>
      <c r="G671" s="4" t="str">
        <f>HYPERLINK("http://141.218.60.56/~jnz1568/getInfo.php?workbook=20_14.xlsx&amp;sheet=U0&amp;row=671&amp;col=7&amp;number=0.476&amp;sourceID=14","0.476")</f>
        <v>0.476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HYPERLINK("http://141.218.60.56/~jnz1568/getInfo.php?workbook=20_14.xlsx&amp;sheet=U0&amp;row=672&amp;col=6&amp;number=3.8&amp;sourceID=14","3.8")</f>
        <v>3.8</v>
      </c>
      <c r="G672" s="4" t="str">
        <f>HYPERLINK("http://141.218.60.56/~jnz1568/getInfo.php?workbook=20_14.xlsx&amp;sheet=U0&amp;row=672&amp;col=7&amp;number=0.476&amp;sourceID=14","0.476")</f>
        <v>0.476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HYPERLINK("http://141.218.60.56/~jnz1568/getInfo.php?workbook=20_14.xlsx&amp;sheet=U0&amp;row=673&amp;col=6&amp;number=3.9&amp;sourceID=14","3.9")</f>
        <v>3.9</v>
      </c>
      <c r="G673" s="4" t="str">
        <f>HYPERLINK("http://141.218.60.56/~jnz1568/getInfo.php?workbook=20_14.xlsx&amp;sheet=U0&amp;row=673&amp;col=7&amp;number=0.477&amp;sourceID=14","0.477")</f>
        <v>0.477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HYPERLINK("http://141.218.60.56/~jnz1568/getInfo.php?workbook=20_14.xlsx&amp;sheet=U0&amp;row=674&amp;col=6&amp;number=4&amp;sourceID=14","4")</f>
        <v>4</v>
      </c>
      <c r="G674" s="4" t="str">
        <f>HYPERLINK("http://141.218.60.56/~jnz1568/getInfo.php?workbook=20_14.xlsx&amp;sheet=U0&amp;row=674&amp;col=7&amp;number=0.478&amp;sourceID=14","0.478")</f>
        <v>0.478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HYPERLINK("http://141.218.60.56/~jnz1568/getInfo.php?workbook=20_14.xlsx&amp;sheet=U0&amp;row=675&amp;col=6&amp;number=4.1&amp;sourceID=14","4.1")</f>
        <v>4.1</v>
      </c>
      <c r="G675" s="4" t="str">
        <f>HYPERLINK("http://141.218.60.56/~jnz1568/getInfo.php?workbook=20_14.xlsx&amp;sheet=U0&amp;row=675&amp;col=7&amp;number=0.479&amp;sourceID=14","0.479")</f>
        <v>0.479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HYPERLINK("http://141.218.60.56/~jnz1568/getInfo.php?workbook=20_14.xlsx&amp;sheet=U0&amp;row=676&amp;col=6&amp;number=4.2&amp;sourceID=14","4.2")</f>
        <v>4.2</v>
      </c>
      <c r="G676" s="4" t="str">
        <f>HYPERLINK("http://141.218.60.56/~jnz1568/getInfo.php?workbook=20_14.xlsx&amp;sheet=U0&amp;row=676&amp;col=7&amp;number=0.481&amp;sourceID=14","0.481")</f>
        <v>0.481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HYPERLINK("http://141.218.60.56/~jnz1568/getInfo.php?workbook=20_14.xlsx&amp;sheet=U0&amp;row=677&amp;col=6&amp;number=4.3&amp;sourceID=14","4.3")</f>
        <v>4.3</v>
      </c>
      <c r="G677" s="4" t="str">
        <f>HYPERLINK("http://141.218.60.56/~jnz1568/getInfo.php?workbook=20_14.xlsx&amp;sheet=U0&amp;row=677&amp;col=7&amp;number=0.482&amp;sourceID=14","0.482")</f>
        <v>0.482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HYPERLINK("http://141.218.60.56/~jnz1568/getInfo.php?workbook=20_14.xlsx&amp;sheet=U0&amp;row=678&amp;col=6&amp;number=4.4&amp;sourceID=14","4.4")</f>
        <v>4.4</v>
      </c>
      <c r="G678" s="4" t="str">
        <f>HYPERLINK("http://141.218.60.56/~jnz1568/getInfo.php?workbook=20_14.xlsx&amp;sheet=U0&amp;row=678&amp;col=7&amp;number=0.485&amp;sourceID=14","0.485")</f>
        <v>0.485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HYPERLINK("http://141.218.60.56/~jnz1568/getInfo.php?workbook=20_14.xlsx&amp;sheet=U0&amp;row=679&amp;col=6&amp;number=4.5&amp;sourceID=14","4.5")</f>
        <v>4.5</v>
      </c>
      <c r="G679" s="4" t="str">
        <f>HYPERLINK("http://141.218.60.56/~jnz1568/getInfo.php?workbook=20_14.xlsx&amp;sheet=U0&amp;row=679&amp;col=7&amp;number=0.487&amp;sourceID=14","0.487")</f>
        <v>0.487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HYPERLINK("http://141.218.60.56/~jnz1568/getInfo.php?workbook=20_14.xlsx&amp;sheet=U0&amp;row=680&amp;col=6&amp;number=4.6&amp;sourceID=14","4.6")</f>
        <v>4.6</v>
      </c>
      <c r="G680" s="4" t="str">
        <f>HYPERLINK("http://141.218.60.56/~jnz1568/getInfo.php?workbook=20_14.xlsx&amp;sheet=U0&amp;row=680&amp;col=7&amp;number=0.491&amp;sourceID=14","0.491")</f>
        <v>0.491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HYPERLINK("http://141.218.60.56/~jnz1568/getInfo.php?workbook=20_14.xlsx&amp;sheet=U0&amp;row=681&amp;col=6&amp;number=4.7&amp;sourceID=14","4.7")</f>
        <v>4.7</v>
      </c>
      <c r="G681" s="4" t="str">
        <f>HYPERLINK("http://141.218.60.56/~jnz1568/getInfo.php?workbook=20_14.xlsx&amp;sheet=U0&amp;row=681&amp;col=7&amp;number=0.495&amp;sourceID=14","0.495")</f>
        <v>0.495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HYPERLINK("http://141.218.60.56/~jnz1568/getInfo.php?workbook=20_14.xlsx&amp;sheet=U0&amp;row=682&amp;col=6&amp;number=4.8&amp;sourceID=14","4.8")</f>
        <v>4.8</v>
      </c>
      <c r="G682" s="4" t="str">
        <f>HYPERLINK("http://141.218.60.56/~jnz1568/getInfo.php?workbook=20_14.xlsx&amp;sheet=U0&amp;row=682&amp;col=7&amp;number=0.5&amp;sourceID=14","0.5")</f>
        <v>0.5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HYPERLINK("http://141.218.60.56/~jnz1568/getInfo.php?workbook=20_14.xlsx&amp;sheet=U0&amp;row=683&amp;col=6&amp;number=4.9&amp;sourceID=14","4.9")</f>
        <v>4.9</v>
      </c>
      <c r="G683" s="4" t="str">
        <f>HYPERLINK("http://141.218.60.56/~jnz1568/getInfo.php?workbook=20_14.xlsx&amp;sheet=U0&amp;row=683&amp;col=7&amp;number=0.507&amp;sourceID=14","0.507")</f>
        <v>0.507</v>
      </c>
    </row>
    <row r="684" spans="1:7">
      <c r="A684" s="3">
        <v>20</v>
      </c>
      <c r="B684" s="3">
        <v>14</v>
      </c>
      <c r="C684" s="3">
        <v>2</v>
      </c>
      <c r="D684" s="3">
        <v>11</v>
      </c>
      <c r="E684" s="3">
        <v>1</v>
      </c>
      <c r="F684" s="4" t="str">
        <f>HYPERLINK("http://141.218.60.56/~jnz1568/getInfo.php?workbook=20_14.xlsx&amp;sheet=U0&amp;row=684&amp;col=6&amp;number=3&amp;sourceID=14","3")</f>
        <v>3</v>
      </c>
      <c r="G684" s="4" t="str">
        <f>HYPERLINK("http://141.218.60.56/~jnz1568/getInfo.php?workbook=20_14.xlsx&amp;sheet=U0&amp;row=684&amp;col=7&amp;number=0.423&amp;sourceID=14","0.423")</f>
        <v>0.423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HYPERLINK("http://141.218.60.56/~jnz1568/getInfo.php?workbook=20_14.xlsx&amp;sheet=U0&amp;row=685&amp;col=6&amp;number=3.1&amp;sourceID=14","3.1")</f>
        <v>3.1</v>
      </c>
      <c r="G685" s="4" t="str">
        <f>HYPERLINK("http://141.218.60.56/~jnz1568/getInfo.php?workbook=20_14.xlsx&amp;sheet=U0&amp;row=685&amp;col=7&amp;number=0.423&amp;sourceID=14","0.423")</f>
        <v>0.423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HYPERLINK("http://141.218.60.56/~jnz1568/getInfo.php?workbook=20_14.xlsx&amp;sheet=U0&amp;row=686&amp;col=6&amp;number=3.2&amp;sourceID=14","3.2")</f>
        <v>3.2</v>
      </c>
      <c r="G686" s="4" t="str">
        <f>HYPERLINK("http://141.218.60.56/~jnz1568/getInfo.php?workbook=20_14.xlsx&amp;sheet=U0&amp;row=686&amp;col=7&amp;number=0.423&amp;sourceID=14","0.423")</f>
        <v>0.423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HYPERLINK("http://141.218.60.56/~jnz1568/getInfo.php?workbook=20_14.xlsx&amp;sheet=U0&amp;row=687&amp;col=6&amp;number=3.3&amp;sourceID=14","3.3")</f>
        <v>3.3</v>
      </c>
      <c r="G687" s="4" t="str">
        <f>HYPERLINK("http://141.218.60.56/~jnz1568/getInfo.php?workbook=20_14.xlsx&amp;sheet=U0&amp;row=687&amp;col=7&amp;number=0.424&amp;sourceID=14","0.424")</f>
        <v>0.424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HYPERLINK("http://141.218.60.56/~jnz1568/getInfo.php?workbook=20_14.xlsx&amp;sheet=U0&amp;row=688&amp;col=6&amp;number=3.4&amp;sourceID=14","3.4")</f>
        <v>3.4</v>
      </c>
      <c r="G688" s="4" t="str">
        <f>HYPERLINK("http://141.218.60.56/~jnz1568/getInfo.php?workbook=20_14.xlsx&amp;sheet=U0&amp;row=688&amp;col=7&amp;number=0.424&amp;sourceID=14","0.424")</f>
        <v>0.424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HYPERLINK("http://141.218.60.56/~jnz1568/getInfo.php?workbook=20_14.xlsx&amp;sheet=U0&amp;row=689&amp;col=6&amp;number=3.5&amp;sourceID=14","3.5")</f>
        <v>3.5</v>
      </c>
      <c r="G689" s="4" t="str">
        <f>HYPERLINK("http://141.218.60.56/~jnz1568/getInfo.php?workbook=20_14.xlsx&amp;sheet=U0&amp;row=689&amp;col=7&amp;number=0.424&amp;sourceID=14","0.424")</f>
        <v>0.424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HYPERLINK("http://141.218.60.56/~jnz1568/getInfo.php?workbook=20_14.xlsx&amp;sheet=U0&amp;row=690&amp;col=6&amp;number=3.6&amp;sourceID=14","3.6")</f>
        <v>3.6</v>
      </c>
      <c r="G690" s="4" t="str">
        <f>HYPERLINK("http://141.218.60.56/~jnz1568/getInfo.php?workbook=20_14.xlsx&amp;sheet=U0&amp;row=690&amp;col=7&amp;number=0.424&amp;sourceID=14","0.424")</f>
        <v>0.424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HYPERLINK("http://141.218.60.56/~jnz1568/getInfo.php?workbook=20_14.xlsx&amp;sheet=U0&amp;row=691&amp;col=6&amp;number=3.7&amp;sourceID=14","3.7")</f>
        <v>3.7</v>
      </c>
      <c r="G691" s="4" t="str">
        <f>HYPERLINK("http://141.218.60.56/~jnz1568/getInfo.php?workbook=20_14.xlsx&amp;sheet=U0&amp;row=691&amp;col=7&amp;number=0.425&amp;sourceID=14","0.425")</f>
        <v>0.425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HYPERLINK("http://141.218.60.56/~jnz1568/getInfo.php?workbook=20_14.xlsx&amp;sheet=U0&amp;row=692&amp;col=6&amp;number=3.8&amp;sourceID=14","3.8")</f>
        <v>3.8</v>
      </c>
      <c r="G692" s="4" t="str">
        <f>HYPERLINK("http://141.218.60.56/~jnz1568/getInfo.php?workbook=20_14.xlsx&amp;sheet=U0&amp;row=692&amp;col=7&amp;number=0.425&amp;sourceID=14","0.425")</f>
        <v>0.425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HYPERLINK("http://141.218.60.56/~jnz1568/getInfo.php?workbook=20_14.xlsx&amp;sheet=U0&amp;row=693&amp;col=6&amp;number=3.9&amp;sourceID=14","3.9")</f>
        <v>3.9</v>
      </c>
      <c r="G693" s="4" t="str">
        <f>HYPERLINK("http://141.218.60.56/~jnz1568/getInfo.php?workbook=20_14.xlsx&amp;sheet=U0&amp;row=693&amp;col=7&amp;number=0.426&amp;sourceID=14","0.426")</f>
        <v>0.426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HYPERLINK("http://141.218.60.56/~jnz1568/getInfo.php?workbook=20_14.xlsx&amp;sheet=U0&amp;row=694&amp;col=6&amp;number=4&amp;sourceID=14","4")</f>
        <v>4</v>
      </c>
      <c r="G694" s="4" t="str">
        <f>HYPERLINK("http://141.218.60.56/~jnz1568/getInfo.php?workbook=20_14.xlsx&amp;sheet=U0&amp;row=694&amp;col=7&amp;number=0.427&amp;sourceID=14","0.427")</f>
        <v>0.427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HYPERLINK("http://141.218.60.56/~jnz1568/getInfo.php?workbook=20_14.xlsx&amp;sheet=U0&amp;row=695&amp;col=6&amp;number=4.1&amp;sourceID=14","4.1")</f>
        <v>4.1</v>
      </c>
      <c r="G695" s="4" t="str">
        <f>HYPERLINK("http://141.218.60.56/~jnz1568/getInfo.php?workbook=20_14.xlsx&amp;sheet=U0&amp;row=695&amp;col=7&amp;number=0.428&amp;sourceID=14","0.428")</f>
        <v>0.428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HYPERLINK("http://141.218.60.56/~jnz1568/getInfo.php?workbook=20_14.xlsx&amp;sheet=U0&amp;row=696&amp;col=6&amp;number=4.2&amp;sourceID=14","4.2")</f>
        <v>4.2</v>
      </c>
      <c r="G696" s="4" t="str">
        <f>HYPERLINK("http://141.218.60.56/~jnz1568/getInfo.php?workbook=20_14.xlsx&amp;sheet=U0&amp;row=696&amp;col=7&amp;number=0.429&amp;sourceID=14","0.429")</f>
        <v>0.429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HYPERLINK("http://141.218.60.56/~jnz1568/getInfo.php?workbook=20_14.xlsx&amp;sheet=U0&amp;row=697&amp;col=6&amp;number=4.3&amp;sourceID=14","4.3")</f>
        <v>4.3</v>
      </c>
      <c r="G697" s="4" t="str">
        <f>HYPERLINK("http://141.218.60.56/~jnz1568/getInfo.php?workbook=20_14.xlsx&amp;sheet=U0&amp;row=697&amp;col=7&amp;number=0.431&amp;sourceID=14","0.431")</f>
        <v>0.431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HYPERLINK("http://141.218.60.56/~jnz1568/getInfo.php?workbook=20_14.xlsx&amp;sheet=U0&amp;row=698&amp;col=6&amp;number=4.4&amp;sourceID=14","4.4")</f>
        <v>4.4</v>
      </c>
      <c r="G698" s="4" t="str">
        <f>HYPERLINK("http://141.218.60.56/~jnz1568/getInfo.php?workbook=20_14.xlsx&amp;sheet=U0&amp;row=698&amp;col=7&amp;number=0.432&amp;sourceID=14","0.432")</f>
        <v>0.432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HYPERLINK("http://141.218.60.56/~jnz1568/getInfo.php?workbook=20_14.xlsx&amp;sheet=U0&amp;row=699&amp;col=6&amp;number=4.5&amp;sourceID=14","4.5")</f>
        <v>4.5</v>
      </c>
      <c r="G699" s="4" t="str">
        <f>HYPERLINK("http://141.218.60.56/~jnz1568/getInfo.php?workbook=20_14.xlsx&amp;sheet=U0&amp;row=699&amp;col=7&amp;number=0.435&amp;sourceID=14","0.435")</f>
        <v>0.435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HYPERLINK("http://141.218.60.56/~jnz1568/getInfo.php?workbook=20_14.xlsx&amp;sheet=U0&amp;row=700&amp;col=6&amp;number=4.6&amp;sourceID=14","4.6")</f>
        <v>4.6</v>
      </c>
      <c r="G700" s="4" t="str">
        <f>HYPERLINK("http://141.218.60.56/~jnz1568/getInfo.php?workbook=20_14.xlsx&amp;sheet=U0&amp;row=700&amp;col=7&amp;number=0.438&amp;sourceID=14","0.438")</f>
        <v>0.438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HYPERLINK("http://141.218.60.56/~jnz1568/getInfo.php?workbook=20_14.xlsx&amp;sheet=U0&amp;row=701&amp;col=6&amp;number=4.7&amp;sourceID=14","4.7")</f>
        <v>4.7</v>
      </c>
      <c r="G701" s="4" t="str">
        <f>HYPERLINK("http://141.218.60.56/~jnz1568/getInfo.php?workbook=20_14.xlsx&amp;sheet=U0&amp;row=701&amp;col=7&amp;number=0.442&amp;sourceID=14","0.442")</f>
        <v>0.442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HYPERLINK("http://141.218.60.56/~jnz1568/getInfo.php?workbook=20_14.xlsx&amp;sheet=U0&amp;row=702&amp;col=6&amp;number=4.8&amp;sourceID=14","4.8")</f>
        <v>4.8</v>
      </c>
      <c r="G702" s="4" t="str">
        <f>HYPERLINK("http://141.218.60.56/~jnz1568/getInfo.php?workbook=20_14.xlsx&amp;sheet=U0&amp;row=702&amp;col=7&amp;number=0.446&amp;sourceID=14","0.446")</f>
        <v>0.446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HYPERLINK("http://141.218.60.56/~jnz1568/getInfo.php?workbook=20_14.xlsx&amp;sheet=U0&amp;row=703&amp;col=6&amp;number=4.9&amp;sourceID=14","4.9")</f>
        <v>4.9</v>
      </c>
      <c r="G703" s="4" t="str">
        <f>HYPERLINK("http://141.218.60.56/~jnz1568/getInfo.php?workbook=20_14.xlsx&amp;sheet=U0&amp;row=703&amp;col=7&amp;number=0.452&amp;sourceID=14","0.452")</f>
        <v>0.452</v>
      </c>
    </row>
    <row r="704" spans="1:7">
      <c r="A704" s="3">
        <v>20</v>
      </c>
      <c r="B704" s="3">
        <v>14</v>
      </c>
      <c r="C704" s="3">
        <v>2</v>
      </c>
      <c r="D704" s="3">
        <v>12</v>
      </c>
      <c r="E704" s="3">
        <v>1</v>
      </c>
      <c r="F704" s="4" t="str">
        <f>HYPERLINK("http://141.218.60.56/~jnz1568/getInfo.php?workbook=20_14.xlsx&amp;sheet=U0&amp;row=704&amp;col=6&amp;number=3&amp;sourceID=14","3")</f>
        <v>3</v>
      </c>
      <c r="G704" s="4" t="str">
        <f>HYPERLINK("http://141.218.60.56/~jnz1568/getInfo.php?workbook=20_14.xlsx&amp;sheet=U0&amp;row=704&amp;col=7&amp;number=0.522&amp;sourceID=14","0.522")</f>
        <v>0.522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HYPERLINK("http://141.218.60.56/~jnz1568/getInfo.php?workbook=20_14.xlsx&amp;sheet=U0&amp;row=705&amp;col=6&amp;number=3.1&amp;sourceID=14","3.1")</f>
        <v>3.1</v>
      </c>
      <c r="G705" s="4" t="str">
        <f>HYPERLINK("http://141.218.60.56/~jnz1568/getInfo.php?workbook=20_14.xlsx&amp;sheet=U0&amp;row=705&amp;col=7&amp;number=0.522&amp;sourceID=14","0.522")</f>
        <v>0.522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HYPERLINK("http://141.218.60.56/~jnz1568/getInfo.php?workbook=20_14.xlsx&amp;sheet=U0&amp;row=706&amp;col=6&amp;number=3.2&amp;sourceID=14","3.2")</f>
        <v>3.2</v>
      </c>
      <c r="G706" s="4" t="str">
        <f>HYPERLINK("http://141.218.60.56/~jnz1568/getInfo.php?workbook=20_14.xlsx&amp;sheet=U0&amp;row=706&amp;col=7&amp;number=0.522&amp;sourceID=14","0.522")</f>
        <v>0.522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HYPERLINK("http://141.218.60.56/~jnz1568/getInfo.php?workbook=20_14.xlsx&amp;sheet=U0&amp;row=707&amp;col=6&amp;number=3.3&amp;sourceID=14","3.3")</f>
        <v>3.3</v>
      </c>
      <c r="G707" s="4" t="str">
        <f>HYPERLINK("http://141.218.60.56/~jnz1568/getInfo.php?workbook=20_14.xlsx&amp;sheet=U0&amp;row=707&amp;col=7&amp;number=0.522&amp;sourceID=14","0.522")</f>
        <v>0.522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HYPERLINK("http://141.218.60.56/~jnz1568/getInfo.php?workbook=20_14.xlsx&amp;sheet=U0&amp;row=708&amp;col=6&amp;number=3.4&amp;sourceID=14","3.4")</f>
        <v>3.4</v>
      </c>
      <c r="G708" s="4" t="str">
        <f>HYPERLINK("http://141.218.60.56/~jnz1568/getInfo.php?workbook=20_14.xlsx&amp;sheet=U0&amp;row=708&amp;col=7&amp;number=0.522&amp;sourceID=14","0.522")</f>
        <v>0.522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HYPERLINK("http://141.218.60.56/~jnz1568/getInfo.php?workbook=20_14.xlsx&amp;sheet=U0&amp;row=709&amp;col=6&amp;number=3.5&amp;sourceID=14","3.5")</f>
        <v>3.5</v>
      </c>
      <c r="G709" s="4" t="str">
        <f>HYPERLINK("http://141.218.60.56/~jnz1568/getInfo.php?workbook=20_14.xlsx&amp;sheet=U0&amp;row=709&amp;col=7&amp;number=0.523&amp;sourceID=14","0.523")</f>
        <v>0.523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HYPERLINK("http://141.218.60.56/~jnz1568/getInfo.php?workbook=20_14.xlsx&amp;sheet=U0&amp;row=710&amp;col=6&amp;number=3.6&amp;sourceID=14","3.6")</f>
        <v>3.6</v>
      </c>
      <c r="G710" s="4" t="str">
        <f>HYPERLINK("http://141.218.60.56/~jnz1568/getInfo.php?workbook=20_14.xlsx&amp;sheet=U0&amp;row=710&amp;col=7&amp;number=0.523&amp;sourceID=14","0.523")</f>
        <v>0.523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HYPERLINK("http://141.218.60.56/~jnz1568/getInfo.php?workbook=20_14.xlsx&amp;sheet=U0&amp;row=711&amp;col=6&amp;number=3.7&amp;sourceID=14","3.7")</f>
        <v>3.7</v>
      </c>
      <c r="G711" s="4" t="str">
        <f>HYPERLINK("http://141.218.60.56/~jnz1568/getInfo.php?workbook=20_14.xlsx&amp;sheet=U0&amp;row=711&amp;col=7&amp;number=0.524&amp;sourceID=14","0.524")</f>
        <v>0.524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HYPERLINK("http://141.218.60.56/~jnz1568/getInfo.php?workbook=20_14.xlsx&amp;sheet=U0&amp;row=712&amp;col=6&amp;number=3.8&amp;sourceID=14","3.8")</f>
        <v>3.8</v>
      </c>
      <c r="G712" s="4" t="str">
        <f>HYPERLINK("http://141.218.60.56/~jnz1568/getInfo.php?workbook=20_14.xlsx&amp;sheet=U0&amp;row=712&amp;col=7&amp;number=0.524&amp;sourceID=14","0.524")</f>
        <v>0.524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HYPERLINK("http://141.218.60.56/~jnz1568/getInfo.php?workbook=20_14.xlsx&amp;sheet=U0&amp;row=713&amp;col=6&amp;number=3.9&amp;sourceID=14","3.9")</f>
        <v>3.9</v>
      </c>
      <c r="G713" s="4" t="str">
        <f>HYPERLINK("http://141.218.60.56/~jnz1568/getInfo.php?workbook=20_14.xlsx&amp;sheet=U0&amp;row=713&amp;col=7&amp;number=0.525&amp;sourceID=14","0.525")</f>
        <v>0.525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HYPERLINK("http://141.218.60.56/~jnz1568/getInfo.php?workbook=20_14.xlsx&amp;sheet=U0&amp;row=714&amp;col=6&amp;number=4&amp;sourceID=14","4")</f>
        <v>4</v>
      </c>
      <c r="G714" s="4" t="str">
        <f>HYPERLINK("http://141.218.60.56/~jnz1568/getInfo.php?workbook=20_14.xlsx&amp;sheet=U0&amp;row=714&amp;col=7&amp;number=0.526&amp;sourceID=14","0.526")</f>
        <v>0.526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HYPERLINK("http://141.218.60.56/~jnz1568/getInfo.php?workbook=20_14.xlsx&amp;sheet=U0&amp;row=715&amp;col=6&amp;number=4.1&amp;sourceID=14","4.1")</f>
        <v>4.1</v>
      </c>
      <c r="G715" s="4" t="str">
        <f>HYPERLINK("http://141.218.60.56/~jnz1568/getInfo.php?workbook=20_14.xlsx&amp;sheet=U0&amp;row=715&amp;col=7&amp;number=0.527&amp;sourceID=14","0.527")</f>
        <v>0.527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HYPERLINK("http://141.218.60.56/~jnz1568/getInfo.php?workbook=20_14.xlsx&amp;sheet=U0&amp;row=716&amp;col=6&amp;number=4.2&amp;sourceID=14","4.2")</f>
        <v>4.2</v>
      </c>
      <c r="G716" s="4" t="str">
        <f>HYPERLINK("http://141.218.60.56/~jnz1568/getInfo.php?workbook=20_14.xlsx&amp;sheet=U0&amp;row=716&amp;col=7&amp;number=0.529&amp;sourceID=14","0.529")</f>
        <v>0.529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HYPERLINK("http://141.218.60.56/~jnz1568/getInfo.php?workbook=20_14.xlsx&amp;sheet=U0&amp;row=717&amp;col=6&amp;number=4.3&amp;sourceID=14","4.3")</f>
        <v>4.3</v>
      </c>
      <c r="G717" s="4" t="str">
        <f>HYPERLINK("http://141.218.60.56/~jnz1568/getInfo.php?workbook=20_14.xlsx&amp;sheet=U0&amp;row=717&amp;col=7&amp;number=0.531&amp;sourceID=14","0.531")</f>
        <v>0.531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HYPERLINK("http://141.218.60.56/~jnz1568/getInfo.php?workbook=20_14.xlsx&amp;sheet=U0&amp;row=718&amp;col=6&amp;number=4.4&amp;sourceID=14","4.4")</f>
        <v>4.4</v>
      </c>
      <c r="G718" s="4" t="str">
        <f>HYPERLINK("http://141.218.60.56/~jnz1568/getInfo.php?workbook=20_14.xlsx&amp;sheet=U0&amp;row=718&amp;col=7&amp;number=0.533&amp;sourceID=14","0.533")</f>
        <v>0.533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HYPERLINK("http://141.218.60.56/~jnz1568/getInfo.php?workbook=20_14.xlsx&amp;sheet=U0&amp;row=719&amp;col=6&amp;number=4.5&amp;sourceID=14","4.5")</f>
        <v>4.5</v>
      </c>
      <c r="G719" s="4" t="str">
        <f>HYPERLINK("http://141.218.60.56/~jnz1568/getInfo.php?workbook=20_14.xlsx&amp;sheet=U0&amp;row=719&amp;col=7&amp;number=0.536&amp;sourceID=14","0.536")</f>
        <v>0.536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HYPERLINK("http://141.218.60.56/~jnz1568/getInfo.php?workbook=20_14.xlsx&amp;sheet=U0&amp;row=720&amp;col=6&amp;number=4.6&amp;sourceID=14","4.6")</f>
        <v>4.6</v>
      </c>
      <c r="G720" s="4" t="str">
        <f>HYPERLINK("http://141.218.60.56/~jnz1568/getInfo.php?workbook=20_14.xlsx&amp;sheet=U0&amp;row=720&amp;col=7&amp;number=0.54&amp;sourceID=14","0.54")</f>
        <v>0.54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HYPERLINK("http://141.218.60.56/~jnz1568/getInfo.php?workbook=20_14.xlsx&amp;sheet=U0&amp;row=721&amp;col=6&amp;number=4.7&amp;sourceID=14","4.7")</f>
        <v>4.7</v>
      </c>
      <c r="G721" s="4" t="str">
        <f>HYPERLINK("http://141.218.60.56/~jnz1568/getInfo.php?workbook=20_14.xlsx&amp;sheet=U0&amp;row=721&amp;col=7&amp;number=0.545&amp;sourceID=14","0.545")</f>
        <v>0.545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HYPERLINK("http://141.218.60.56/~jnz1568/getInfo.php?workbook=20_14.xlsx&amp;sheet=U0&amp;row=722&amp;col=6&amp;number=4.8&amp;sourceID=14","4.8")</f>
        <v>4.8</v>
      </c>
      <c r="G722" s="4" t="str">
        <f>HYPERLINK("http://141.218.60.56/~jnz1568/getInfo.php?workbook=20_14.xlsx&amp;sheet=U0&amp;row=722&amp;col=7&amp;number=0.55&amp;sourceID=14","0.55")</f>
        <v>0.55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HYPERLINK("http://141.218.60.56/~jnz1568/getInfo.php?workbook=20_14.xlsx&amp;sheet=U0&amp;row=723&amp;col=6&amp;number=4.9&amp;sourceID=14","4.9")</f>
        <v>4.9</v>
      </c>
      <c r="G723" s="4" t="str">
        <f>HYPERLINK("http://141.218.60.56/~jnz1568/getInfo.php?workbook=20_14.xlsx&amp;sheet=U0&amp;row=723&amp;col=7&amp;number=0.557&amp;sourceID=14","0.557")</f>
        <v>0.557</v>
      </c>
    </row>
    <row r="724" spans="1:7">
      <c r="A724" s="3">
        <v>20</v>
      </c>
      <c r="B724" s="3">
        <v>14</v>
      </c>
      <c r="C724" s="3">
        <v>2</v>
      </c>
      <c r="D724" s="3">
        <v>13</v>
      </c>
      <c r="E724" s="3">
        <v>1</v>
      </c>
      <c r="F724" s="4" t="str">
        <f>HYPERLINK("http://141.218.60.56/~jnz1568/getInfo.php?workbook=20_14.xlsx&amp;sheet=U0&amp;row=724&amp;col=6&amp;number=3&amp;sourceID=14","3")</f>
        <v>3</v>
      </c>
      <c r="G724" s="4" t="str">
        <f>HYPERLINK("http://141.218.60.56/~jnz1568/getInfo.php?workbook=20_14.xlsx&amp;sheet=U0&amp;row=724&amp;col=7&amp;number=0.11&amp;sourceID=14","0.11")</f>
        <v>0.11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HYPERLINK("http://141.218.60.56/~jnz1568/getInfo.php?workbook=20_14.xlsx&amp;sheet=U0&amp;row=725&amp;col=6&amp;number=3.1&amp;sourceID=14","3.1")</f>
        <v>3.1</v>
      </c>
      <c r="G725" s="4" t="str">
        <f>HYPERLINK("http://141.218.60.56/~jnz1568/getInfo.php?workbook=20_14.xlsx&amp;sheet=U0&amp;row=725&amp;col=7&amp;number=0.11&amp;sourceID=14","0.11")</f>
        <v>0.11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HYPERLINK("http://141.218.60.56/~jnz1568/getInfo.php?workbook=20_14.xlsx&amp;sheet=U0&amp;row=726&amp;col=6&amp;number=3.2&amp;sourceID=14","3.2")</f>
        <v>3.2</v>
      </c>
      <c r="G726" s="4" t="str">
        <f>HYPERLINK("http://141.218.60.56/~jnz1568/getInfo.php?workbook=20_14.xlsx&amp;sheet=U0&amp;row=726&amp;col=7&amp;number=0.11&amp;sourceID=14","0.11")</f>
        <v>0.11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HYPERLINK("http://141.218.60.56/~jnz1568/getInfo.php?workbook=20_14.xlsx&amp;sheet=U0&amp;row=727&amp;col=6&amp;number=3.3&amp;sourceID=14","3.3")</f>
        <v>3.3</v>
      </c>
      <c r="G727" s="4" t="str">
        <f>HYPERLINK("http://141.218.60.56/~jnz1568/getInfo.php?workbook=20_14.xlsx&amp;sheet=U0&amp;row=727&amp;col=7&amp;number=0.11&amp;sourceID=14","0.11")</f>
        <v>0.11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HYPERLINK("http://141.218.60.56/~jnz1568/getInfo.php?workbook=20_14.xlsx&amp;sheet=U0&amp;row=728&amp;col=6&amp;number=3.4&amp;sourceID=14","3.4")</f>
        <v>3.4</v>
      </c>
      <c r="G728" s="4" t="str">
        <f>HYPERLINK("http://141.218.60.56/~jnz1568/getInfo.php?workbook=20_14.xlsx&amp;sheet=U0&amp;row=728&amp;col=7&amp;number=0.11&amp;sourceID=14","0.11")</f>
        <v>0.11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HYPERLINK("http://141.218.60.56/~jnz1568/getInfo.php?workbook=20_14.xlsx&amp;sheet=U0&amp;row=729&amp;col=6&amp;number=3.5&amp;sourceID=14","3.5")</f>
        <v>3.5</v>
      </c>
      <c r="G729" s="4" t="str">
        <f>HYPERLINK("http://141.218.60.56/~jnz1568/getInfo.php?workbook=20_14.xlsx&amp;sheet=U0&amp;row=729&amp;col=7&amp;number=0.11&amp;sourceID=14","0.11")</f>
        <v>0.11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HYPERLINK("http://141.218.60.56/~jnz1568/getInfo.php?workbook=20_14.xlsx&amp;sheet=U0&amp;row=730&amp;col=6&amp;number=3.6&amp;sourceID=14","3.6")</f>
        <v>3.6</v>
      </c>
      <c r="G730" s="4" t="str">
        <f>HYPERLINK("http://141.218.60.56/~jnz1568/getInfo.php?workbook=20_14.xlsx&amp;sheet=U0&amp;row=730&amp;col=7&amp;number=0.11&amp;sourceID=14","0.11")</f>
        <v>0.11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HYPERLINK("http://141.218.60.56/~jnz1568/getInfo.php?workbook=20_14.xlsx&amp;sheet=U0&amp;row=731&amp;col=6&amp;number=3.7&amp;sourceID=14","3.7")</f>
        <v>3.7</v>
      </c>
      <c r="G731" s="4" t="str">
        <f>HYPERLINK("http://141.218.60.56/~jnz1568/getInfo.php?workbook=20_14.xlsx&amp;sheet=U0&amp;row=731&amp;col=7&amp;number=0.11&amp;sourceID=14","0.11")</f>
        <v>0.11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HYPERLINK("http://141.218.60.56/~jnz1568/getInfo.php?workbook=20_14.xlsx&amp;sheet=U0&amp;row=732&amp;col=6&amp;number=3.8&amp;sourceID=14","3.8")</f>
        <v>3.8</v>
      </c>
      <c r="G732" s="4" t="str">
        <f>HYPERLINK("http://141.218.60.56/~jnz1568/getInfo.php?workbook=20_14.xlsx&amp;sheet=U0&amp;row=732&amp;col=7&amp;number=0.11&amp;sourceID=14","0.11")</f>
        <v>0.11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HYPERLINK("http://141.218.60.56/~jnz1568/getInfo.php?workbook=20_14.xlsx&amp;sheet=U0&amp;row=733&amp;col=6&amp;number=3.9&amp;sourceID=14","3.9")</f>
        <v>3.9</v>
      </c>
      <c r="G733" s="4" t="str">
        <f>HYPERLINK("http://141.218.60.56/~jnz1568/getInfo.php?workbook=20_14.xlsx&amp;sheet=U0&amp;row=733&amp;col=7&amp;number=0.11&amp;sourceID=14","0.11")</f>
        <v>0.11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HYPERLINK("http://141.218.60.56/~jnz1568/getInfo.php?workbook=20_14.xlsx&amp;sheet=U0&amp;row=734&amp;col=6&amp;number=4&amp;sourceID=14","4")</f>
        <v>4</v>
      </c>
      <c r="G734" s="4" t="str">
        <f>HYPERLINK("http://141.218.60.56/~jnz1568/getInfo.php?workbook=20_14.xlsx&amp;sheet=U0&amp;row=734&amp;col=7&amp;number=0.11&amp;sourceID=14","0.11")</f>
        <v>0.11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HYPERLINK("http://141.218.60.56/~jnz1568/getInfo.php?workbook=20_14.xlsx&amp;sheet=U0&amp;row=735&amp;col=6&amp;number=4.1&amp;sourceID=14","4.1")</f>
        <v>4.1</v>
      </c>
      <c r="G735" s="4" t="str">
        <f>HYPERLINK("http://141.218.60.56/~jnz1568/getInfo.php?workbook=20_14.xlsx&amp;sheet=U0&amp;row=735&amp;col=7&amp;number=0.109&amp;sourceID=14","0.109")</f>
        <v>0.109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HYPERLINK("http://141.218.60.56/~jnz1568/getInfo.php?workbook=20_14.xlsx&amp;sheet=U0&amp;row=736&amp;col=6&amp;number=4.2&amp;sourceID=14","4.2")</f>
        <v>4.2</v>
      </c>
      <c r="G736" s="4" t="str">
        <f>HYPERLINK("http://141.218.60.56/~jnz1568/getInfo.php?workbook=20_14.xlsx&amp;sheet=U0&amp;row=736&amp;col=7&amp;number=0.109&amp;sourceID=14","0.109")</f>
        <v>0.109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HYPERLINK("http://141.218.60.56/~jnz1568/getInfo.php?workbook=20_14.xlsx&amp;sheet=U0&amp;row=737&amp;col=6&amp;number=4.3&amp;sourceID=14","4.3")</f>
        <v>4.3</v>
      </c>
      <c r="G737" s="4" t="str">
        <f>HYPERLINK("http://141.218.60.56/~jnz1568/getInfo.php?workbook=20_14.xlsx&amp;sheet=U0&amp;row=737&amp;col=7&amp;number=0.109&amp;sourceID=14","0.109")</f>
        <v>0.109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HYPERLINK("http://141.218.60.56/~jnz1568/getInfo.php?workbook=20_14.xlsx&amp;sheet=U0&amp;row=738&amp;col=6&amp;number=4.4&amp;sourceID=14","4.4")</f>
        <v>4.4</v>
      </c>
      <c r="G738" s="4" t="str">
        <f>HYPERLINK("http://141.218.60.56/~jnz1568/getInfo.php?workbook=20_14.xlsx&amp;sheet=U0&amp;row=738&amp;col=7&amp;number=0.109&amp;sourceID=14","0.109")</f>
        <v>0.109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HYPERLINK("http://141.218.60.56/~jnz1568/getInfo.php?workbook=20_14.xlsx&amp;sheet=U0&amp;row=739&amp;col=6&amp;number=4.5&amp;sourceID=14","4.5")</f>
        <v>4.5</v>
      </c>
      <c r="G739" s="4" t="str">
        <f>HYPERLINK("http://141.218.60.56/~jnz1568/getInfo.php?workbook=20_14.xlsx&amp;sheet=U0&amp;row=739&amp;col=7&amp;number=0.108&amp;sourceID=14","0.108")</f>
        <v>0.108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HYPERLINK("http://141.218.60.56/~jnz1568/getInfo.php?workbook=20_14.xlsx&amp;sheet=U0&amp;row=740&amp;col=6&amp;number=4.6&amp;sourceID=14","4.6")</f>
        <v>4.6</v>
      </c>
      <c r="G740" s="4" t="str">
        <f>HYPERLINK("http://141.218.60.56/~jnz1568/getInfo.php?workbook=20_14.xlsx&amp;sheet=U0&amp;row=740&amp;col=7&amp;number=0.108&amp;sourceID=14","0.108")</f>
        <v>0.108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HYPERLINK("http://141.218.60.56/~jnz1568/getInfo.php?workbook=20_14.xlsx&amp;sheet=U0&amp;row=741&amp;col=6&amp;number=4.7&amp;sourceID=14","4.7")</f>
        <v>4.7</v>
      </c>
      <c r="G741" s="4" t="str">
        <f>HYPERLINK("http://141.218.60.56/~jnz1568/getInfo.php?workbook=20_14.xlsx&amp;sheet=U0&amp;row=741&amp;col=7&amp;number=0.107&amp;sourceID=14","0.107")</f>
        <v>0.107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HYPERLINK("http://141.218.60.56/~jnz1568/getInfo.php?workbook=20_14.xlsx&amp;sheet=U0&amp;row=742&amp;col=6&amp;number=4.8&amp;sourceID=14","4.8")</f>
        <v>4.8</v>
      </c>
      <c r="G742" s="4" t="str">
        <f>HYPERLINK("http://141.218.60.56/~jnz1568/getInfo.php?workbook=20_14.xlsx&amp;sheet=U0&amp;row=742&amp;col=7&amp;number=0.106&amp;sourceID=14","0.106")</f>
        <v>0.106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HYPERLINK("http://141.218.60.56/~jnz1568/getInfo.php?workbook=20_14.xlsx&amp;sheet=U0&amp;row=743&amp;col=6&amp;number=4.9&amp;sourceID=14","4.9")</f>
        <v>4.9</v>
      </c>
      <c r="G743" s="4" t="str">
        <f>HYPERLINK("http://141.218.60.56/~jnz1568/getInfo.php?workbook=20_14.xlsx&amp;sheet=U0&amp;row=743&amp;col=7&amp;number=0.106&amp;sourceID=14","0.106")</f>
        <v>0.106</v>
      </c>
    </row>
    <row r="744" spans="1:7">
      <c r="A744" s="3">
        <v>20</v>
      </c>
      <c r="B744" s="3">
        <v>14</v>
      </c>
      <c r="C744" s="3">
        <v>2</v>
      </c>
      <c r="D744" s="3">
        <v>14</v>
      </c>
      <c r="E744" s="3">
        <v>1</v>
      </c>
      <c r="F744" s="4" t="str">
        <f>HYPERLINK("http://141.218.60.56/~jnz1568/getInfo.php?workbook=20_14.xlsx&amp;sheet=U0&amp;row=744&amp;col=6&amp;number=3&amp;sourceID=14","3")</f>
        <v>3</v>
      </c>
      <c r="G744" s="4" t="str">
        <f>HYPERLINK("http://141.218.60.56/~jnz1568/getInfo.php?workbook=20_14.xlsx&amp;sheet=U0&amp;row=744&amp;col=7&amp;number=0.0765&amp;sourceID=14","0.0765")</f>
        <v>0.0765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HYPERLINK("http://141.218.60.56/~jnz1568/getInfo.php?workbook=20_14.xlsx&amp;sheet=U0&amp;row=745&amp;col=6&amp;number=3.1&amp;sourceID=14","3.1")</f>
        <v>3.1</v>
      </c>
      <c r="G745" s="4" t="str">
        <f>HYPERLINK("http://141.218.60.56/~jnz1568/getInfo.php?workbook=20_14.xlsx&amp;sheet=U0&amp;row=745&amp;col=7&amp;number=0.0765&amp;sourceID=14","0.0765")</f>
        <v>0.0765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HYPERLINK("http://141.218.60.56/~jnz1568/getInfo.php?workbook=20_14.xlsx&amp;sheet=U0&amp;row=746&amp;col=6&amp;number=3.2&amp;sourceID=14","3.2")</f>
        <v>3.2</v>
      </c>
      <c r="G746" s="4" t="str">
        <f>HYPERLINK("http://141.218.60.56/~jnz1568/getInfo.php?workbook=20_14.xlsx&amp;sheet=U0&amp;row=746&amp;col=7&amp;number=0.0765&amp;sourceID=14","0.0765")</f>
        <v>0.0765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HYPERLINK("http://141.218.60.56/~jnz1568/getInfo.php?workbook=20_14.xlsx&amp;sheet=U0&amp;row=747&amp;col=6&amp;number=3.3&amp;sourceID=14","3.3")</f>
        <v>3.3</v>
      </c>
      <c r="G747" s="4" t="str">
        <f>HYPERLINK("http://141.218.60.56/~jnz1568/getInfo.php?workbook=20_14.xlsx&amp;sheet=U0&amp;row=747&amp;col=7&amp;number=0.0765&amp;sourceID=14","0.0765")</f>
        <v>0.0765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HYPERLINK("http://141.218.60.56/~jnz1568/getInfo.php?workbook=20_14.xlsx&amp;sheet=U0&amp;row=748&amp;col=6&amp;number=3.4&amp;sourceID=14","3.4")</f>
        <v>3.4</v>
      </c>
      <c r="G748" s="4" t="str">
        <f>HYPERLINK("http://141.218.60.56/~jnz1568/getInfo.php?workbook=20_14.xlsx&amp;sheet=U0&amp;row=748&amp;col=7&amp;number=0.0765&amp;sourceID=14","0.0765")</f>
        <v>0.0765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HYPERLINK("http://141.218.60.56/~jnz1568/getInfo.php?workbook=20_14.xlsx&amp;sheet=U0&amp;row=749&amp;col=6&amp;number=3.5&amp;sourceID=14","3.5")</f>
        <v>3.5</v>
      </c>
      <c r="G749" s="4" t="str">
        <f>HYPERLINK("http://141.218.60.56/~jnz1568/getInfo.php?workbook=20_14.xlsx&amp;sheet=U0&amp;row=749&amp;col=7&amp;number=0.0765&amp;sourceID=14","0.0765")</f>
        <v>0.0765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HYPERLINK("http://141.218.60.56/~jnz1568/getInfo.php?workbook=20_14.xlsx&amp;sheet=U0&amp;row=750&amp;col=6&amp;number=3.6&amp;sourceID=14","3.6")</f>
        <v>3.6</v>
      </c>
      <c r="G750" s="4" t="str">
        <f>HYPERLINK("http://141.218.60.56/~jnz1568/getInfo.php?workbook=20_14.xlsx&amp;sheet=U0&amp;row=750&amp;col=7&amp;number=0.0765&amp;sourceID=14","0.0765")</f>
        <v>0.0765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HYPERLINK("http://141.218.60.56/~jnz1568/getInfo.php?workbook=20_14.xlsx&amp;sheet=U0&amp;row=751&amp;col=6&amp;number=3.7&amp;sourceID=14","3.7")</f>
        <v>3.7</v>
      </c>
      <c r="G751" s="4" t="str">
        <f>HYPERLINK("http://141.218.60.56/~jnz1568/getInfo.php?workbook=20_14.xlsx&amp;sheet=U0&amp;row=751&amp;col=7&amp;number=0.0765&amp;sourceID=14","0.0765")</f>
        <v>0.0765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HYPERLINK("http://141.218.60.56/~jnz1568/getInfo.php?workbook=20_14.xlsx&amp;sheet=U0&amp;row=752&amp;col=6&amp;number=3.8&amp;sourceID=14","3.8")</f>
        <v>3.8</v>
      </c>
      <c r="G752" s="4" t="str">
        <f>HYPERLINK("http://141.218.60.56/~jnz1568/getInfo.php?workbook=20_14.xlsx&amp;sheet=U0&amp;row=752&amp;col=7&amp;number=0.0766&amp;sourceID=14","0.0766")</f>
        <v>0.0766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HYPERLINK("http://141.218.60.56/~jnz1568/getInfo.php?workbook=20_14.xlsx&amp;sheet=U0&amp;row=753&amp;col=6&amp;number=3.9&amp;sourceID=14","3.9")</f>
        <v>3.9</v>
      </c>
      <c r="G753" s="4" t="str">
        <f>HYPERLINK("http://141.218.60.56/~jnz1568/getInfo.php?workbook=20_14.xlsx&amp;sheet=U0&amp;row=753&amp;col=7&amp;number=0.0766&amp;sourceID=14","0.0766")</f>
        <v>0.0766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HYPERLINK("http://141.218.60.56/~jnz1568/getInfo.php?workbook=20_14.xlsx&amp;sheet=U0&amp;row=754&amp;col=6&amp;number=4&amp;sourceID=14","4")</f>
        <v>4</v>
      </c>
      <c r="G754" s="4" t="str">
        <f>HYPERLINK("http://141.218.60.56/~jnz1568/getInfo.php?workbook=20_14.xlsx&amp;sheet=U0&amp;row=754&amp;col=7&amp;number=0.0766&amp;sourceID=14","0.0766")</f>
        <v>0.0766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HYPERLINK("http://141.218.60.56/~jnz1568/getInfo.php?workbook=20_14.xlsx&amp;sheet=U0&amp;row=755&amp;col=6&amp;number=4.1&amp;sourceID=14","4.1")</f>
        <v>4.1</v>
      </c>
      <c r="G755" s="4" t="str">
        <f>HYPERLINK("http://141.218.60.56/~jnz1568/getInfo.php?workbook=20_14.xlsx&amp;sheet=U0&amp;row=755&amp;col=7&amp;number=0.0766&amp;sourceID=14","0.0766")</f>
        <v>0.0766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HYPERLINK("http://141.218.60.56/~jnz1568/getInfo.php?workbook=20_14.xlsx&amp;sheet=U0&amp;row=756&amp;col=6&amp;number=4.2&amp;sourceID=14","4.2")</f>
        <v>4.2</v>
      </c>
      <c r="G756" s="4" t="str">
        <f>HYPERLINK("http://141.218.60.56/~jnz1568/getInfo.php?workbook=20_14.xlsx&amp;sheet=U0&amp;row=756&amp;col=7&amp;number=0.0767&amp;sourceID=14","0.0767")</f>
        <v>0.0767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HYPERLINK("http://141.218.60.56/~jnz1568/getInfo.php?workbook=20_14.xlsx&amp;sheet=U0&amp;row=757&amp;col=6&amp;number=4.3&amp;sourceID=14","4.3")</f>
        <v>4.3</v>
      </c>
      <c r="G757" s="4" t="str">
        <f>HYPERLINK("http://141.218.60.56/~jnz1568/getInfo.php?workbook=20_14.xlsx&amp;sheet=U0&amp;row=757&amp;col=7&amp;number=0.0767&amp;sourceID=14","0.0767")</f>
        <v>0.0767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HYPERLINK("http://141.218.60.56/~jnz1568/getInfo.php?workbook=20_14.xlsx&amp;sheet=U0&amp;row=758&amp;col=6&amp;number=4.4&amp;sourceID=14","4.4")</f>
        <v>4.4</v>
      </c>
      <c r="G758" s="4" t="str">
        <f>HYPERLINK("http://141.218.60.56/~jnz1568/getInfo.php?workbook=20_14.xlsx&amp;sheet=U0&amp;row=758&amp;col=7&amp;number=0.0768&amp;sourceID=14","0.0768")</f>
        <v>0.0768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HYPERLINK("http://141.218.60.56/~jnz1568/getInfo.php?workbook=20_14.xlsx&amp;sheet=U0&amp;row=759&amp;col=6&amp;number=4.5&amp;sourceID=14","4.5")</f>
        <v>4.5</v>
      </c>
      <c r="G759" s="4" t="str">
        <f>HYPERLINK("http://141.218.60.56/~jnz1568/getInfo.php?workbook=20_14.xlsx&amp;sheet=U0&amp;row=759&amp;col=7&amp;number=0.0769&amp;sourceID=14","0.0769")</f>
        <v>0.0769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HYPERLINK("http://141.218.60.56/~jnz1568/getInfo.php?workbook=20_14.xlsx&amp;sheet=U0&amp;row=760&amp;col=6&amp;number=4.6&amp;sourceID=14","4.6")</f>
        <v>4.6</v>
      </c>
      <c r="G760" s="4" t="str">
        <f>HYPERLINK("http://141.218.60.56/~jnz1568/getInfo.php?workbook=20_14.xlsx&amp;sheet=U0&amp;row=760&amp;col=7&amp;number=0.077&amp;sourceID=14","0.077")</f>
        <v>0.077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HYPERLINK("http://141.218.60.56/~jnz1568/getInfo.php?workbook=20_14.xlsx&amp;sheet=U0&amp;row=761&amp;col=6&amp;number=4.7&amp;sourceID=14","4.7")</f>
        <v>4.7</v>
      </c>
      <c r="G761" s="4" t="str">
        <f>HYPERLINK("http://141.218.60.56/~jnz1568/getInfo.php?workbook=20_14.xlsx&amp;sheet=U0&amp;row=761&amp;col=7&amp;number=0.0772&amp;sourceID=14","0.0772")</f>
        <v>0.0772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HYPERLINK("http://141.218.60.56/~jnz1568/getInfo.php?workbook=20_14.xlsx&amp;sheet=U0&amp;row=762&amp;col=6&amp;number=4.8&amp;sourceID=14","4.8")</f>
        <v>4.8</v>
      </c>
      <c r="G762" s="4" t="str">
        <f>HYPERLINK("http://141.218.60.56/~jnz1568/getInfo.php?workbook=20_14.xlsx&amp;sheet=U0&amp;row=762&amp;col=7&amp;number=0.0773&amp;sourceID=14","0.0773")</f>
        <v>0.0773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HYPERLINK("http://141.218.60.56/~jnz1568/getInfo.php?workbook=20_14.xlsx&amp;sheet=U0&amp;row=763&amp;col=6&amp;number=4.9&amp;sourceID=14","4.9")</f>
        <v>4.9</v>
      </c>
      <c r="G763" s="4" t="str">
        <f>HYPERLINK("http://141.218.60.56/~jnz1568/getInfo.php?workbook=20_14.xlsx&amp;sheet=U0&amp;row=763&amp;col=7&amp;number=0.0775&amp;sourceID=14","0.0775")</f>
        <v>0.0775</v>
      </c>
    </row>
    <row r="764" spans="1:7">
      <c r="A764" s="3">
        <v>20</v>
      </c>
      <c r="B764" s="3">
        <v>14</v>
      </c>
      <c r="C764" s="3">
        <v>2</v>
      </c>
      <c r="D764" s="3">
        <v>15</v>
      </c>
      <c r="E764" s="3">
        <v>1</v>
      </c>
      <c r="F764" s="4" t="str">
        <f>HYPERLINK("http://141.218.60.56/~jnz1568/getInfo.php?workbook=20_14.xlsx&amp;sheet=U0&amp;row=764&amp;col=6&amp;number=3&amp;sourceID=14","3")</f>
        <v>3</v>
      </c>
      <c r="G764" s="4" t="str">
        <f>HYPERLINK("http://141.218.60.56/~jnz1568/getInfo.php?workbook=20_14.xlsx&amp;sheet=U0&amp;row=764&amp;col=7&amp;number=0.0813&amp;sourceID=14","0.0813")</f>
        <v>0.0813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HYPERLINK("http://141.218.60.56/~jnz1568/getInfo.php?workbook=20_14.xlsx&amp;sheet=U0&amp;row=765&amp;col=6&amp;number=3.1&amp;sourceID=14","3.1")</f>
        <v>3.1</v>
      </c>
      <c r="G765" s="4" t="str">
        <f>HYPERLINK("http://141.218.60.56/~jnz1568/getInfo.php?workbook=20_14.xlsx&amp;sheet=U0&amp;row=765&amp;col=7&amp;number=0.0812&amp;sourceID=14","0.0812")</f>
        <v>0.0812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HYPERLINK("http://141.218.60.56/~jnz1568/getInfo.php?workbook=20_14.xlsx&amp;sheet=U0&amp;row=766&amp;col=6&amp;number=3.2&amp;sourceID=14","3.2")</f>
        <v>3.2</v>
      </c>
      <c r="G766" s="4" t="str">
        <f>HYPERLINK("http://141.218.60.56/~jnz1568/getInfo.php?workbook=20_14.xlsx&amp;sheet=U0&amp;row=766&amp;col=7&amp;number=0.0812&amp;sourceID=14","0.0812")</f>
        <v>0.0812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HYPERLINK("http://141.218.60.56/~jnz1568/getInfo.php?workbook=20_14.xlsx&amp;sheet=U0&amp;row=767&amp;col=6&amp;number=3.3&amp;sourceID=14","3.3")</f>
        <v>3.3</v>
      </c>
      <c r="G767" s="4" t="str">
        <f>HYPERLINK("http://141.218.60.56/~jnz1568/getInfo.php?workbook=20_14.xlsx&amp;sheet=U0&amp;row=767&amp;col=7&amp;number=0.0812&amp;sourceID=14","0.0812")</f>
        <v>0.0812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HYPERLINK("http://141.218.60.56/~jnz1568/getInfo.php?workbook=20_14.xlsx&amp;sheet=U0&amp;row=768&amp;col=6&amp;number=3.4&amp;sourceID=14","3.4")</f>
        <v>3.4</v>
      </c>
      <c r="G768" s="4" t="str">
        <f>HYPERLINK("http://141.218.60.56/~jnz1568/getInfo.php?workbook=20_14.xlsx&amp;sheet=U0&amp;row=768&amp;col=7&amp;number=0.0812&amp;sourceID=14","0.0812")</f>
        <v>0.0812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HYPERLINK("http://141.218.60.56/~jnz1568/getInfo.php?workbook=20_14.xlsx&amp;sheet=U0&amp;row=769&amp;col=6&amp;number=3.5&amp;sourceID=14","3.5")</f>
        <v>3.5</v>
      </c>
      <c r="G769" s="4" t="str">
        <f>HYPERLINK("http://141.218.60.56/~jnz1568/getInfo.php?workbook=20_14.xlsx&amp;sheet=U0&amp;row=769&amp;col=7&amp;number=0.0812&amp;sourceID=14","0.0812")</f>
        <v>0.0812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HYPERLINK("http://141.218.60.56/~jnz1568/getInfo.php?workbook=20_14.xlsx&amp;sheet=U0&amp;row=770&amp;col=6&amp;number=3.6&amp;sourceID=14","3.6")</f>
        <v>3.6</v>
      </c>
      <c r="G770" s="4" t="str">
        <f>HYPERLINK("http://141.218.60.56/~jnz1568/getInfo.php?workbook=20_14.xlsx&amp;sheet=U0&amp;row=770&amp;col=7&amp;number=0.0811&amp;sourceID=14","0.0811")</f>
        <v>0.0811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HYPERLINK("http://141.218.60.56/~jnz1568/getInfo.php?workbook=20_14.xlsx&amp;sheet=U0&amp;row=771&amp;col=6&amp;number=3.7&amp;sourceID=14","3.7")</f>
        <v>3.7</v>
      </c>
      <c r="G771" s="4" t="str">
        <f>HYPERLINK("http://141.218.60.56/~jnz1568/getInfo.php?workbook=20_14.xlsx&amp;sheet=U0&amp;row=771&amp;col=7&amp;number=0.0811&amp;sourceID=14","0.0811")</f>
        <v>0.0811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HYPERLINK("http://141.218.60.56/~jnz1568/getInfo.php?workbook=20_14.xlsx&amp;sheet=U0&amp;row=772&amp;col=6&amp;number=3.8&amp;sourceID=14","3.8")</f>
        <v>3.8</v>
      </c>
      <c r="G772" s="4" t="str">
        <f>HYPERLINK("http://141.218.60.56/~jnz1568/getInfo.php?workbook=20_14.xlsx&amp;sheet=U0&amp;row=772&amp;col=7&amp;number=0.081&amp;sourceID=14","0.081")</f>
        <v>0.081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HYPERLINK("http://141.218.60.56/~jnz1568/getInfo.php?workbook=20_14.xlsx&amp;sheet=U0&amp;row=773&amp;col=6&amp;number=3.9&amp;sourceID=14","3.9")</f>
        <v>3.9</v>
      </c>
      <c r="G773" s="4" t="str">
        <f>HYPERLINK("http://141.218.60.56/~jnz1568/getInfo.php?workbook=20_14.xlsx&amp;sheet=U0&amp;row=773&amp;col=7&amp;number=0.0809&amp;sourceID=14","0.0809")</f>
        <v>0.0809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HYPERLINK("http://141.218.60.56/~jnz1568/getInfo.php?workbook=20_14.xlsx&amp;sheet=U0&amp;row=774&amp;col=6&amp;number=4&amp;sourceID=14","4")</f>
        <v>4</v>
      </c>
      <c r="G774" s="4" t="str">
        <f>HYPERLINK("http://141.218.60.56/~jnz1568/getInfo.php?workbook=20_14.xlsx&amp;sheet=U0&amp;row=774&amp;col=7&amp;number=0.0808&amp;sourceID=14","0.0808")</f>
        <v>0.0808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HYPERLINK("http://141.218.60.56/~jnz1568/getInfo.php?workbook=20_14.xlsx&amp;sheet=U0&amp;row=775&amp;col=6&amp;number=4.1&amp;sourceID=14","4.1")</f>
        <v>4.1</v>
      </c>
      <c r="G775" s="4" t="str">
        <f>HYPERLINK("http://141.218.60.56/~jnz1568/getInfo.php?workbook=20_14.xlsx&amp;sheet=U0&amp;row=775&amp;col=7&amp;number=0.0807&amp;sourceID=14","0.0807")</f>
        <v>0.0807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HYPERLINK("http://141.218.60.56/~jnz1568/getInfo.php?workbook=20_14.xlsx&amp;sheet=U0&amp;row=776&amp;col=6&amp;number=4.2&amp;sourceID=14","4.2")</f>
        <v>4.2</v>
      </c>
      <c r="G776" s="4" t="str">
        <f>HYPERLINK("http://141.218.60.56/~jnz1568/getInfo.php?workbook=20_14.xlsx&amp;sheet=U0&amp;row=776&amp;col=7&amp;number=0.0806&amp;sourceID=14","0.0806")</f>
        <v>0.0806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HYPERLINK("http://141.218.60.56/~jnz1568/getInfo.php?workbook=20_14.xlsx&amp;sheet=U0&amp;row=777&amp;col=6&amp;number=4.3&amp;sourceID=14","4.3")</f>
        <v>4.3</v>
      </c>
      <c r="G777" s="4" t="str">
        <f>HYPERLINK("http://141.218.60.56/~jnz1568/getInfo.php?workbook=20_14.xlsx&amp;sheet=U0&amp;row=777&amp;col=7&amp;number=0.0804&amp;sourceID=14","0.0804")</f>
        <v>0.0804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HYPERLINK("http://141.218.60.56/~jnz1568/getInfo.php?workbook=20_14.xlsx&amp;sheet=U0&amp;row=778&amp;col=6&amp;number=4.4&amp;sourceID=14","4.4")</f>
        <v>4.4</v>
      </c>
      <c r="G778" s="4" t="str">
        <f>HYPERLINK("http://141.218.60.56/~jnz1568/getInfo.php?workbook=20_14.xlsx&amp;sheet=U0&amp;row=778&amp;col=7&amp;number=0.0802&amp;sourceID=14","0.0802")</f>
        <v>0.0802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HYPERLINK("http://141.218.60.56/~jnz1568/getInfo.php?workbook=20_14.xlsx&amp;sheet=U0&amp;row=779&amp;col=6&amp;number=4.5&amp;sourceID=14","4.5")</f>
        <v>4.5</v>
      </c>
      <c r="G779" s="4" t="str">
        <f>HYPERLINK("http://141.218.60.56/~jnz1568/getInfo.php?workbook=20_14.xlsx&amp;sheet=U0&amp;row=779&amp;col=7&amp;number=0.0799&amp;sourceID=14","0.0799")</f>
        <v>0.0799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HYPERLINK("http://141.218.60.56/~jnz1568/getInfo.php?workbook=20_14.xlsx&amp;sheet=U0&amp;row=780&amp;col=6&amp;number=4.6&amp;sourceID=14","4.6")</f>
        <v>4.6</v>
      </c>
      <c r="G780" s="4" t="str">
        <f>HYPERLINK("http://141.218.60.56/~jnz1568/getInfo.php?workbook=20_14.xlsx&amp;sheet=U0&amp;row=780&amp;col=7&amp;number=0.0795&amp;sourceID=14","0.0795")</f>
        <v>0.0795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HYPERLINK("http://141.218.60.56/~jnz1568/getInfo.php?workbook=20_14.xlsx&amp;sheet=U0&amp;row=781&amp;col=6&amp;number=4.7&amp;sourceID=14","4.7")</f>
        <v>4.7</v>
      </c>
      <c r="G781" s="4" t="str">
        <f>HYPERLINK("http://141.218.60.56/~jnz1568/getInfo.php?workbook=20_14.xlsx&amp;sheet=U0&amp;row=781&amp;col=7&amp;number=0.0791&amp;sourceID=14","0.0791")</f>
        <v>0.0791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HYPERLINK("http://141.218.60.56/~jnz1568/getInfo.php?workbook=20_14.xlsx&amp;sheet=U0&amp;row=782&amp;col=6&amp;number=4.8&amp;sourceID=14","4.8")</f>
        <v>4.8</v>
      </c>
      <c r="G782" s="4" t="str">
        <f>HYPERLINK("http://141.218.60.56/~jnz1568/getInfo.php?workbook=20_14.xlsx&amp;sheet=U0&amp;row=782&amp;col=7&amp;number=0.0785&amp;sourceID=14","0.0785")</f>
        <v>0.0785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HYPERLINK("http://141.218.60.56/~jnz1568/getInfo.php?workbook=20_14.xlsx&amp;sheet=U0&amp;row=783&amp;col=6&amp;number=4.9&amp;sourceID=14","4.9")</f>
        <v>4.9</v>
      </c>
      <c r="G783" s="4" t="str">
        <f>HYPERLINK("http://141.218.60.56/~jnz1568/getInfo.php?workbook=20_14.xlsx&amp;sheet=U0&amp;row=783&amp;col=7&amp;number=0.0778&amp;sourceID=14","0.0778")</f>
        <v>0.0778</v>
      </c>
    </row>
    <row r="784" spans="1:7">
      <c r="A784" s="3">
        <v>20</v>
      </c>
      <c r="B784" s="3">
        <v>14</v>
      </c>
      <c r="C784" s="3">
        <v>2</v>
      </c>
      <c r="D784" s="3">
        <v>16</v>
      </c>
      <c r="E784" s="3">
        <v>1</v>
      </c>
      <c r="F784" s="4" t="str">
        <f>HYPERLINK("http://141.218.60.56/~jnz1568/getInfo.php?workbook=20_14.xlsx&amp;sheet=U0&amp;row=784&amp;col=6&amp;number=3&amp;sourceID=14","3")</f>
        <v>3</v>
      </c>
      <c r="G784" s="4" t="str">
        <f>HYPERLINK("http://141.218.60.56/~jnz1568/getInfo.php?workbook=20_14.xlsx&amp;sheet=U0&amp;row=784&amp;col=7&amp;number=0.0914&amp;sourceID=14","0.0914")</f>
        <v>0.0914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HYPERLINK("http://141.218.60.56/~jnz1568/getInfo.php?workbook=20_14.xlsx&amp;sheet=U0&amp;row=785&amp;col=6&amp;number=3.1&amp;sourceID=14","3.1")</f>
        <v>3.1</v>
      </c>
      <c r="G785" s="4" t="str">
        <f>HYPERLINK("http://141.218.60.56/~jnz1568/getInfo.php?workbook=20_14.xlsx&amp;sheet=U0&amp;row=785&amp;col=7&amp;number=0.0914&amp;sourceID=14","0.0914")</f>
        <v>0.0914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HYPERLINK("http://141.218.60.56/~jnz1568/getInfo.php?workbook=20_14.xlsx&amp;sheet=U0&amp;row=786&amp;col=6&amp;number=3.2&amp;sourceID=14","3.2")</f>
        <v>3.2</v>
      </c>
      <c r="G786" s="4" t="str">
        <f>HYPERLINK("http://141.218.60.56/~jnz1568/getInfo.php?workbook=20_14.xlsx&amp;sheet=U0&amp;row=786&amp;col=7&amp;number=0.0914&amp;sourceID=14","0.0914")</f>
        <v>0.0914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HYPERLINK("http://141.218.60.56/~jnz1568/getInfo.php?workbook=20_14.xlsx&amp;sheet=U0&amp;row=787&amp;col=6&amp;number=3.3&amp;sourceID=14","3.3")</f>
        <v>3.3</v>
      </c>
      <c r="G787" s="4" t="str">
        <f>HYPERLINK("http://141.218.60.56/~jnz1568/getInfo.php?workbook=20_14.xlsx&amp;sheet=U0&amp;row=787&amp;col=7&amp;number=0.0914&amp;sourceID=14","0.0914")</f>
        <v>0.0914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HYPERLINK("http://141.218.60.56/~jnz1568/getInfo.php?workbook=20_14.xlsx&amp;sheet=U0&amp;row=788&amp;col=6&amp;number=3.4&amp;sourceID=14","3.4")</f>
        <v>3.4</v>
      </c>
      <c r="G788" s="4" t="str">
        <f>HYPERLINK("http://141.218.60.56/~jnz1568/getInfo.php?workbook=20_14.xlsx&amp;sheet=U0&amp;row=788&amp;col=7&amp;number=0.0914&amp;sourceID=14","0.0914")</f>
        <v>0.0914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HYPERLINK("http://141.218.60.56/~jnz1568/getInfo.php?workbook=20_14.xlsx&amp;sheet=U0&amp;row=789&amp;col=6&amp;number=3.5&amp;sourceID=14","3.5")</f>
        <v>3.5</v>
      </c>
      <c r="G789" s="4" t="str">
        <f>HYPERLINK("http://141.218.60.56/~jnz1568/getInfo.php?workbook=20_14.xlsx&amp;sheet=U0&amp;row=789&amp;col=7&amp;number=0.0914&amp;sourceID=14","0.0914")</f>
        <v>0.0914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HYPERLINK("http://141.218.60.56/~jnz1568/getInfo.php?workbook=20_14.xlsx&amp;sheet=U0&amp;row=790&amp;col=6&amp;number=3.6&amp;sourceID=14","3.6")</f>
        <v>3.6</v>
      </c>
      <c r="G790" s="4" t="str">
        <f>HYPERLINK("http://141.218.60.56/~jnz1568/getInfo.php?workbook=20_14.xlsx&amp;sheet=U0&amp;row=790&amp;col=7&amp;number=0.0914&amp;sourceID=14","0.0914")</f>
        <v>0.0914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HYPERLINK("http://141.218.60.56/~jnz1568/getInfo.php?workbook=20_14.xlsx&amp;sheet=U0&amp;row=791&amp;col=6&amp;number=3.7&amp;sourceID=14","3.7")</f>
        <v>3.7</v>
      </c>
      <c r="G791" s="4" t="str">
        <f>HYPERLINK("http://141.218.60.56/~jnz1568/getInfo.php?workbook=20_14.xlsx&amp;sheet=U0&amp;row=791&amp;col=7&amp;number=0.0914&amp;sourceID=14","0.0914")</f>
        <v>0.0914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HYPERLINK("http://141.218.60.56/~jnz1568/getInfo.php?workbook=20_14.xlsx&amp;sheet=U0&amp;row=792&amp;col=6&amp;number=3.8&amp;sourceID=14","3.8")</f>
        <v>3.8</v>
      </c>
      <c r="G792" s="4" t="str">
        <f>HYPERLINK("http://141.218.60.56/~jnz1568/getInfo.php?workbook=20_14.xlsx&amp;sheet=U0&amp;row=792&amp;col=7&amp;number=0.0914&amp;sourceID=14","0.0914")</f>
        <v>0.0914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HYPERLINK("http://141.218.60.56/~jnz1568/getInfo.php?workbook=20_14.xlsx&amp;sheet=U0&amp;row=793&amp;col=6&amp;number=3.9&amp;sourceID=14","3.9")</f>
        <v>3.9</v>
      </c>
      <c r="G793" s="4" t="str">
        <f>HYPERLINK("http://141.218.60.56/~jnz1568/getInfo.php?workbook=20_14.xlsx&amp;sheet=U0&amp;row=793&amp;col=7&amp;number=0.0914&amp;sourceID=14","0.0914")</f>
        <v>0.0914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HYPERLINK("http://141.218.60.56/~jnz1568/getInfo.php?workbook=20_14.xlsx&amp;sheet=U0&amp;row=794&amp;col=6&amp;number=4&amp;sourceID=14","4")</f>
        <v>4</v>
      </c>
      <c r="G794" s="4" t="str">
        <f>HYPERLINK("http://141.218.60.56/~jnz1568/getInfo.php?workbook=20_14.xlsx&amp;sheet=U0&amp;row=794&amp;col=7&amp;number=0.0914&amp;sourceID=14","0.0914")</f>
        <v>0.0914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HYPERLINK("http://141.218.60.56/~jnz1568/getInfo.php?workbook=20_14.xlsx&amp;sheet=U0&amp;row=795&amp;col=6&amp;number=4.1&amp;sourceID=14","4.1")</f>
        <v>4.1</v>
      </c>
      <c r="G795" s="4" t="str">
        <f>HYPERLINK("http://141.218.60.56/~jnz1568/getInfo.php?workbook=20_14.xlsx&amp;sheet=U0&amp;row=795&amp;col=7&amp;number=0.0913&amp;sourceID=14","0.0913")</f>
        <v>0.0913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HYPERLINK("http://141.218.60.56/~jnz1568/getInfo.php?workbook=20_14.xlsx&amp;sheet=U0&amp;row=796&amp;col=6&amp;number=4.2&amp;sourceID=14","4.2")</f>
        <v>4.2</v>
      </c>
      <c r="G796" s="4" t="str">
        <f>HYPERLINK("http://141.218.60.56/~jnz1568/getInfo.php?workbook=20_14.xlsx&amp;sheet=U0&amp;row=796&amp;col=7&amp;number=0.0913&amp;sourceID=14","0.0913")</f>
        <v>0.0913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HYPERLINK("http://141.218.60.56/~jnz1568/getInfo.php?workbook=20_14.xlsx&amp;sheet=U0&amp;row=797&amp;col=6&amp;number=4.3&amp;sourceID=14","4.3")</f>
        <v>4.3</v>
      </c>
      <c r="G797" s="4" t="str">
        <f>HYPERLINK("http://141.218.60.56/~jnz1568/getInfo.php?workbook=20_14.xlsx&amp;sheet=U0&amp;row=797&amp;col=7&amp;number=0.0913&amp;sourceID=14","0.0913")</f>
        <v>0.0913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HYPERLINK("http://141.218.60.56/~jnz1568/getInfo.php?workbook=20_14.xlsx&amp;sheet=U0&amp;row=798&amp;col=6&amp;number=4.4&amp;sourceID=14","4.4")</f>
        <v>4.4</v>
      </c>
      <c r="G798" s="4" t="str">
        <f>HYPERLINK("http://141.218.60.56/~jnz1568/getInfo.php?workbook=20_14.xlsx&amp;sheet=U0&amp;row=798&amp;col=7&amp;number=0.0913&amp;sourceID=14","0.0913")</f>
        <v>0.0913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HYPERLINK("http://141.218.60.56/~jnz1568/getInfo.php?workbook=20_14.xlsx&amp;sheet=U0&amp;row=799&amp;col=6&amp;number=4.5&amp;sourceID=14","4.5")</f>
        <v>4.5</v>
      </c>
      <c r="G799" s="4" t="str">
        <f>HYPERLINK("http://141.218.60.56/~jnz1568/getInfo.php?workbook=20_14.xlsx&amp;sheet=U0&amp;row=799&amp;col=7&amp;number=0.0912&amp;sourceID=14","0.0912")</f>
        <v>0.0912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HYPERLINK("http://141.218.60.56/~jnz1568/getInfo.php?workbook=20_14.xlsx&amp;sheet=U0&amp;row=800&amp;col=6&amp;number=4.6&amp;sourceID=14","4.6")</f>
        <v>4.6</v>
      </c>
      <c r="G800" s="4" t="str">
        <f>HYPERLINK("http://141.218.60.56/~jnz1568/getInfo.php?workbook=20_14.xlsx&amp;sheet=U0&amp;row=800&amp;col=7&amp;number=0.0912&amp;sourceID=14","0.0912")</f>
        <v>0.0912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HYPERLINK("http://141.218.60.56/~jnz1568/getInfo.php?workbook=20_14.xlsx&amp;sheet=U0&amp;row=801&amp;col=6&amp;number=4.7&amp;sourceID=14","4.7")</f>
        <v>4.7</v>
      </c>
      <c r="G801" s="4" t="str">
        <f>HYPERLINK("http://141.218.60.56/~jnz1568/getInfo.php?workbook=20_14.xlsx&amp;sheet=U0&amp;row=801&amp;col=7&amp;number=0.0911&amp;sourceID=14","0.0911")</f>
        <v>0.0911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HYPERLINK("http://141.218.60.56/~jnz1568/getInfo.php?workbook=20_14.xlsx&amp;sheet=U0&amp;row=802&amp;col=6&amp;number=4.8&amp;sourceID=14","4.8")</f>
        <v>4.8</v>
      </c>
      <c r="G802" s="4" t="str">
        <f>HYPERLINK("http://141.218.60.56/~jnz1568/getInfo.php?workbook=20_14.xlsx&amp;sheet=U0&amp;row=802&amp;col=7&amp;number=0.0911&amp;sourceID=14","0.0911")</f>
        <v>0.0911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HYPERLINK("http://141.218.60.56/~jnz1568/getInfo.php?workbook=20_14.xlsx&amp;sheet=U0&amp;row=803&amp;col=6&amp;number=4.9&amp;sourceID=14","4.9")</f>
        <v>4.9</v>
      </c>
      <c r="G803" s="4" t="str">
        <f>HYPERLINK("http://141.218.60.56/~jnz1568/getInfo.php?workbook=20_14.xlsx&amp;sheet=U0&amp;row=803&amp;col=7&amp;number=0.091&amp;sourceID=14","0.091")</f>
        <v>0.091</v>
      </c>
    </row>
    <row r="804" spans="1:7">
      <c r="A804" s="3">
        <v>20</v>
      </c>
      <c r="B804" s="3">
        <v>14</v>
      </c>
      <c r="C804" s="3">
        <v>2</v>
      </c>
      <c r="D804" s="3">
        <v>17</v>
      </c>
      <c r="E804" s="3">
        <v>1</v>
      </c>
      <c r="F804" s="4" t="str">
        <f>HYPERLINK("http://141.218.60.56/~jnz1568/getInfo.php?workbook=20_14.xlsx&amp;sheet=U0&amp;row=804&amp;col=6&amp;number=3&amp;sourceID=14","3")</f>
        <v>3</v>
      </c>
      <c r="G804" s="4" t="str">
        <f>HYPERLINK("http://141.218.60.56/~jnz1568/getInfo.php?workbook=20_14.xlsx&amp;sheet=U0&amp;row=804&amp;col=7&amp;number=0.217&amp;sourceID=14","0.217")</f>
        <v>0.217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HYPERLINK("http://141.218.60.56/~jnz1568/getInfo.php?workbook=20_14.xlsx&amp;sheet=U0&amp;row=805&amp;col=6&amp;number=3.1&amp;sourceID=14","3.1")</f>
        <v>3.1</v>
      </c>
      <c r="G805" s="4" t="str">
        <f>HYPERLINK("http://141.218.60.56/~jnz1568/getInfo.php?workbook=20_14.xlsx&amp;sheet=U0&amp;row=805&amp;col=7&amp;number=0.217&amp;sourceID=14","0.217")</f>
        <v>0.217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HYPERLINK("http://141.218.60.56/~jnz1568/getInfo.php?workbook=20_14.xlsx&amp;sheet=U0&amp;row=806&amp;col=6&amp;number=3.2&amp;sourceID=14","3.2")</f>
        <v>3.2</v>
      </c>
      <c r="G806" s="4" t="str">
        <f>HYPERLINK("http://141.218.60.56/~jnz1568/getInfo.php?workbook=20_14.xlsx&amp;sheet=U0&amp;row=806&amp;col=7&amp;number=0.217&amp;sourceID=14","0.217")</f>
        <v>0.217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HYPERLINK("http://141.218.60.56/~jnz1568/getInfo.php?workbook=20_14.xlsx&amp;sheet=U0&amp;row=807&amp;col=6&amp;number=3.3&amp;sourceID=14","3.3")</f>
        <v>3.3</v>
      </c>
      <c r="G807" s="4" t="str">
        <f>HYPERLINK("http://141.218.60.56/~jnz1568/getInfo.php?workbook=20_14.xlsx&amp;sheet=U0&amp;row=807&amp;col=7&amp;number=0.217&amp;sourceID=14","0.217")</f>
        <v>0.217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HYPERLINK("http://141.218.60.56/~jnz1568/getInfo.php?workbook=20_14.xlsx&amp;sheet=U0&amp;row=808&amp;col=6&amp;number=3.4&amp;sourceID=14","3.4")</f>
        <v>3.4</v>
      </c>
      <c r="G808" s="4" t="str">
        <f>HYPERLINK("http://141.218.60.56/~jnz1568/getInfo.php?workbook=20_14.xlsx&amp;sheet=U0&amp;row=808&amp;col=7&amp;number=0.217&amp;sourceID=14","0.217")</f>
        <v>0.217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HYPERLINK("http://141.218.60.56/~jnz1568/getInfo.php?workbook=20_14.xlsx&amp;sheet=U0&amp;row=809&amp;col=6&amp;number=3.5&amp;sourceID=14","3.5")</f>
        <v>3.5</v>
      </c>
      <c r="G809" s="4" t="str">
        <f>HYPERLINK("http://141.218.60.56/~jnz1568/getInfo.php?workbook=20_14.xlsx&amp;sheet=U0&amp;row=809&amp;col=7&amp;number=0.217&amp;sourceID=14","0.217")</f>
        <v>0.217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HYPERLINK("http://141.218.60.56/~jnz1568/getInfo.php?workbook=20_14.xlsx&amp;sheet=U0&amp;row=810&amp;col=6&amp;number=3.6&amp;sourceID=14","3.6")</f>
        <v>3.6</v>
      </c>
      <c r="G810" s="4" t="str">
        <f>HYPERLINK("http://141.218.60.56/~jnz1568/getInfo.php?workbook=20_14.xlsx&amp;sheet=U0&amp;row=810&amp;col=7&amp;number=0.217&amp;sourceID=14","0.217")</f>
        <v>0.217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HYPERLINK("http://141.218.60.56/~jnz1568/getInfo.php?workbook=20_14.xlsx&amp;sheet=U0&amp;row=811&amp;col=6&amp;number=3.7&amp;sourceID=14","3.7")</f>
        <v>3.7</v>
      </c>
      <c r="G811" s="4" t="str">
        <f>HYPERLINK("http://141.218.60.56/~jnz1568/getInfo.php?workbook=20_14.xlsx&amp;sheet=U0&amp;row=811&amp;col=7&amp;number=0.217&amp;sourceID=14","0.217")</f>
        <v>0.217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HYPERLINK("http://141.218.60.56/~jnz1568/getInfo.php?workbook=20_14.xlsx&amp;sheet=U0&amp;row=812&amp;col=6&amp;number=3.8&amp;sourceID=14","3.8")</f>
        <v>3.8</v>
      </c>
      <c r="G812" s="4" t="str">
        <f>HYPERLINK("http://141.218.60.56/~jnz1568/getInfo.php?workbook=20_14.xlsx&amp;sheet=U0&amp;row=812&amp;col=7&amp;number=0.218&amp;sourceID=14","0.218")</f>
        <v>0.218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HYPERLINK("http://141.218.60.56/~jnz1568/getInfo.php?workbook=20_14.xlsx&amp;sheet=U0&amp;row=813&amp;col=6&amp;number=3.9&amp;sourceID=14","3.9")</f>
        <v>3.9</v>
      </c>
      <c r="G813" s="4" t="str">
        <f>HYPERLINK("http://141.218.60.56/~jnz1568/getInfo.php?workbook=20_14.xlsx&amp;sheet=U0&amp;row=813&amp;col=7&amp;number=0.218&amp;sourceID=14","0.218")</f>
        <v>0.218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HYPERLINK("http://141.218.60.56/~jnz1568/getInfo.php?workbook=20_14.xlsx&amp;sheet=U0&amp;row=814&amp;col=6&amp;number=4&amp;sourceID=14","4")</f>
        <v>4</v>
      </c>
      <c r="G814" s="4" t="str">
        <f>HYPERLINK("http://141.218.60.56/~jnz1568/getInfo.php?workbook=20_14.xlsx&amp;sheet=U0&amp;row=814&amp;col=7&amp;number=0.218&amp;sourceID=14","0.218")</f>
        <v>0.218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HYPERLINK("http://141.218.60.56/~jnz1568/getInfo.php?workbook=20_14.xlsx&amp;sheet=U0&amp;row=815&amp;col=6&amp;number=4.1&amp;sourceID=14","4.1")</f>
        <v>4.1</v>
      </c>
      <c r="G815" s="4" t="str">
        <f>HYPERLINK("http://141.218.60.56/~jnz1568/getInfo.php?workbook=20_14.xlsx&amp;sheet=U0&amp;row=815&amp;col=7&amp;number=0.218&amp;sourceID=14","0.218")</f>
        <v>0.218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HYPERLINK("http://141.218.60.56/~jnz1568/getInfo.php?workbook=20_14.xlsx&amp;sheet=U0&amp;row=816&amp;col=6&amp;number=4.2&amp;sourceID=14","4.2")</f>
        <v>4.2</v>
      </c>
      <c r="G816" s="4" t="str">
        <f>HYPERLINK("http://141.218.60.56/~jnz1568/getInfo.php?workbook=20_14.xlsx&amp;sheet=U0&amp;row=816&amp;col=7&amp;number=0.218&amp;sourceID=14","0.218")</f>
        <v>0.218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HYPERLINK("http://141.218.60.56/~jnz1568/getInfo.php?workbook=20_14.xlsx&amp;sheet=U0&amp;row=817&amp;col=6&amp;number=4.3&amp;sourceID=14","4.3")</f>
        <v>4.3</v>
      </c>
      <c r="G817" s="4" t="str">
        <f>HYPERLINK("http://141.218.60.56/~jnz1568/getInfo.php?workbook=20_14.xlsx&amp;sheet=U0&amp;row=817&amp;col=7&amp;number=0.219&amp;sourceID=14","0.219")</f>
        <v>0.219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HYPERLINK("http://141.218.60.56/~jnz1568/getInfo.php?workbook=20_14.xlsx&amp;sheet=U0&amp;row=818&amp;col=6&amp;number=4.4&amp;sourceID=14","4.4")</f>
        <v>4.4</v>
      </c>
      <c r="G818" s="4" t="str">
        <f>HYPERLINK("http://141.218.60.56/~jnz1568/getInfo.php?workbook=20_14.xlsx&amp;sheet=U0&amp;row=818&amp;col=7&amp;number=0.219&amp;sourceID=14","0.219")</f>
        <v>0.219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HYPERLINK("http://141.218.60.56/~jnz1568/getInfo.php?workbook=20_14.xlsx&amp;sheet=U0&amp;row=819&amp;col=6&amp;number=4.5&amp;sourceID=14","4.5")</f>
        <v>4.5</v>
      </c>
      <c r="G819" s="4" t="str">
        <f>HYPERLINK("http://141.218.60.56/~jnz1568/getInfo.php?workbook=20_14.xlsx&amp;sheet=U0&amp;row=819&amp;col=7&amp;number=0.22&amp;sourceID=14","0.22")</f>
        <v>0.22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HYPERLINK("http://141.218.60.56/~jnz1568/getInfo.php?workbook=20_14.xlsx&amp;sheet=U0&amp;row=820&amp;col=6&amp;number=4.6&amp;sourceID=14","4.6")</f>
        <v>4.6</v>
      </c>
      <c r="G820" s="4" t="str">
        <f>HYPERLINK("http://141.218.60.56/~jnz1568/getInfo.php?workbook=20_14.xlsx&amp;sheet=U0&amp;row=820&amp;col=7&amp;number=0.221&amp;sourceID=14","0.221")</f>
        <v>0.221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HYPERLINK("http://141.218.60.56/~jnz1568/getInfo.php?workbook=20_14.xlsx&amp;sheet=U0&amp;row=821&amp;col=6&amp;number=4.7&amp;sourceID=14","4.7")</f>
        <v>4.7</v>
      </c>
      <c r="G821" s="4" t="str">
        <f>HYPERLINK("http://141.218.60.56/~jnz1568/getInfo.php?workbook=20_14.xlsx&amp;sheet=U0&amp;row=821&amp;col=7&amp;number=0.222&amp;sourceID=14","0.222")</f>
        <v>0.222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HYPERLINK("http://141.218.60.56/~jnz1568/getInfo.php?workbook=20_14.xlsx&amp;sheet=U0&amp;row=822&amp;col=6&amp;number=4.8&amp;sourceID=14","4.8")</f>
        <v>4.8</v>
      </c>
      <c r="G822" s="4" t="str">
        <f>HYPERLINK("http://141.218.60.56/~jnz1568/getInfo.php?workbook=20_14.xlsx&amp;sheet=U0&amp;row=822&amp;col=7&amp;number=0.223&amp;sourceID=14","0.223")</f>
        <v>0.223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HYPERLINK("http://141.218.60.56/~jnz1568/getInfo.php?workbook=20_14.xlsx&amp;sheet=U0&amp;row=823&amp;col=6&amp;number=4.9&amp;sourceID=14","4.9")</f>
        <v>4.9</v>
      </c>
      <c r="G823" s="4" t="str">
        <f>HYPERLINK("http://141.218.60.56/~jnz1568/getInfo.php?workbook=20_14.xlsx&amp;sheet=U0&amp;row=823&amp;col=7&amp;number=0.224&amp;sourceID=14","0.224")</f>
        <v>0.224</v>
      </c>
    </row>
    <row r="824" spans="1:7">
      <c r="A824" s="3">
        <v>20</v>
      </c>
      <c r="B824" s="3">
        <v>14</v>
      </c>
      <c r="C824" s="3">
        <v>2</v>
      </c>
      <c r="D824" s="3">
        <v>18</v>
      </c>
      <c r="E824" s="3">
        <v>1</v>
      </c>
      <c r="F824" s="4" t="str">
        <f>HYPERLINK("http://141.218.60.56/~jnz1568/getInfo.php?workbook=20_14.xlsx&amp;sheet=U0&amp;row=824&amp;col=6&amp;number=3&amp;sourceID=14","3")</f>
        <v>3</v>
      </c>
      <c r="G824" s="4" t="str">
        <f>HYPERLINK("http://141.218.60.56/~jnz1568/getInfo.php?workbook=20_14.xlsx&amp;sheet=U0&amp;row=824&amp;col=7&amp;number=2.08&amp;sourceID=14","2.08")</f>
        <v>2.08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HYPERLINK("http://141.218.60.56/~jnz1568/getInfo.php?workbook=20_14.xlsx&amp;sheet=U0&amp;row=825&amp;col=6&amp;number=3.1&amp;sourceID=14","3.1")</f>
        <v>3.1</v>
      </c>
      <c r="G825" s="4" t="str">
        <f>HYPERLINK("http://141.218.60.56/~jnz1568/getInfo.php?workbook=20_14.xlsx&amp;sheet=U0&amp;row=825&amp;col=7&amp;number=2.08&amp;sourceID=14","2.08")</f>
        <v>2.08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HYPERLINK("http://141.218.60.56/~jnz1568/getInfo.php?workbook=20_14.xlsx&amp;sheet=U0&amp;row=826&amp;col=6&amp;number=3.2&amp;sourceID=14","3.2")</f>
        <v>3.2</v>
      </c>
      <c r="G826" s="4" t="str">
        <f>HYPERLINK("http://141.218.60.56/~jnz1568/getInfo.php?workbook=20_14.xlsx&amp;sheet=U0&amp;row=826&amp;col=7&amp;number=2.08&amp;sourceID=14","2.08")</f>
        <v>2.08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HYPERLINK("http://141.218.60.56/~jnz1568/getInfo.php?workbook=20_14.xlsx&amp;sheet=U0&amp;row=827&amp;col=6&amp;number=3.3&amp;sourceID=14","3.3")</f>
        <v>3.3</v>
      </c>
      <c r="G827" s="4" t="str">
        <f>HYPERLINK("http://141.218.60.56/~jnz1568/getInfo.php?workbook=20_14.xlsx&amp;sheet=U0&amp;row=827&amp;col=7&amp;number=2.08&amp;sourceID=14","2.08")</f>
        <v>2.08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HYPERLINK("http://141.218.60.56/~jnz1568/getInfo.php?workbook=20_14.xlsx&amp;sheet=U0&amp;row=828&amp;col=6&amp;number=3.4&amp;sourceID=14","3.4")</f>
        <v>3.4</v>
      </c>
      <c r="G828" s="4" t="str">
        <f>HYPERLINK("http://141.218.60.56/~jnz1568/getInfo.php?workbook=20_14.xlsx&amp;sheet=U0&amp;row=828&amp;col=7&amp;number=2.08&amp;sourceID=14","2.08")</f>
        <v>2.08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HYPERLINK("http://141.218.60.56/~jnz1568/getInfo.php?workbook=20_14.xlsx&amp;sheet=U0&amp;row=829&amp;col=6&amp;number=3.5&amp;sourceID=14","3.5")</f>
        <v>3.5</v>
      </c>
      <c r="G829" s="4" t="str">
        <f>HYPERLINK("http://141.218.60.56/~jnz1568/getInfo.php?workbook=20_14.xlsx&amp;sheet=U0&amp;row=829&amp;col=7&amp;number=2.08&amp;sourceID=14","2.08")</f>
        <v>2.08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HYPERLINK("http://141.218.60.56/~jnz1568/getInfo.php?workbook=20_14.xlsx&amp;sheet=U0&amp;row=830&amp;col=6&amp;number=3.6&amp;sourceID=14","3.6")</f>
        <v>3.6</v>
      </c>
      <c r="G830" s="4" t="str">
        <f>HYPERLINK("http://141.218.60.56/~jnz1568/getInfo.php?workbook=20_14.xlsx&amp;sheet=U0&amp;row=830&amp;col=7&amp;number=2.08&amp;sourceID=14","2.08")</f>
        <v>2.08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HYPERLINK("http://141.218.60.56/~jnz1568/getInfo.php?workbook=20_14.xlsx&amp;sheet=U0&amp;row=831&amp;col=6&amp;number=3.7&amp;sourceID=14","3.7")</f>
        <v>3.7</v>
      </c>
      <c r="G831" s="4" t="str">
        <f>HYPERLINK("http://141.218.60.56/~jnz1568/getInfo.php?workbook=20_14.xlsx&amp;sheet=U0&amp;row=831&amp;col=7&amp;number=2.09&amp;sourceID=14","2.09")</f>
        <v>2.09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HYPERLINK("http://141.218.60.56/~jnz1568/getInfo.php?workbook=20_14.xlsx&amp;sheet=U0&amp;row=832&amp;col=6&amp;number=3.8&amp;sourceID=14","3.8")</f>
        <v>3.8</v>
      </c>
      <c r="G832" s="4" t="str">
        <f>HYPERLINK("http://141.218.60.56/~jnz1568/getInfo.php?workbook=20_14.xlsx&amp;sheet=U0&amp;row=832&amp;col=7&amp;number=2.09&amp;sourceID=14","2.09")</f>
        <v>2.09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HYPERLINK("http://141.218.60.56/~jnz1568/getInfo.php?workbook=20_14.xlsx&amp;sheet=U0&amp;row=833&amp;col=6&amp;number=3.9&amp;sourceID=14","3.9")</f>
        <v>3.9</v>
      </c>
      <c r="G833" s="4" t="str">
        <f>HYPERLINK("http://141.218.60.56/~jnz1568/getInfo.php?workbook=20_14.xlsx&amp;sheet=U0&amp;row=833&amp;col=7&amp;number=2.09&amp;sourceID=14","2.09")</f>
        <v>2.09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HYPERLINK("http://141.218.60.56/~jnz1568/getInfo.php?workbook=20_14.xlsx&amp;sheet=U0&amp;row=834&amp;col=6&amp;number=4&amp;sourceID=14","4")</f>
        <v>4</v>
      </c>
      <c r="G834" s="4" t="str">
        <f>HYPERLINK("http://141.218.60.56/~jnz1568/getInfo.php?workbook=20_14.xlsx&amp;sheet=U0&amp;row=834&amp;col=7&amp;number=2.09&amp;sourceID=14","2.09")</f>
        <v>2.09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HYPERLINK("http://141.218.60.56/~jnz1568/getInfo.php?workbook=20_14.xlsx&amp;sheet=U0&amp;row=835&amp;col=6&amp;number=4.1&amp;sourceID=14","4.1")</f>
        <v>4.1</v>
      </c>
      <c r="G835" s="4" t="str">
        <f>HYPERLINK("http://141.218.60.56/~jnz1568/getInfo.php?workbook=20_14.xlsx&amp;sheet=U0&amp;row=835&amp;col=7&amp;number=2.1&amp;sourceID=14","2.1")</f>
        <v>2.1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HYPERLINK("http://141.218.60.56/~jnz1568/getInfo.php?workbook=20_14.xlsx&amp;sheet=U0&amp;row=836&amp;col=6&amp;number=4.2&amp;sourceID=14","4.2")</f>
        <v>4.2</v>
      </c>
      <c r="G836" s="4" t="str">
        <f>HYPERLINK("http://141.218.60.56/~jnz1568/getInfo.php?workbook=20_14.xlsx&amp;sheet=U0&amp;row=836&amp;col=7&amp;number=2.1&amp;sourceID=14","2.1")</f>
        <v>2.1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HYPERLINK("http://141.218.60.56/~jnz1568/getInfo.php?workbook=20_14.xlsx&amp;sheet=U0&amp;row=837&amp;col=6&amp;number=4.3&amp;sourceID=14","4.3")</f>
        <v>4.3</v>
      </c>
      <c r="G837" s="4" t="str">
        <f>HYPERLINK("http://141.218.60.56/~jnz1568/getInfo.php?workbook=20_14.xlsx&amp;sheet=U0&amp;row=837&amp;col=7&amp;number=2.11&amp;sourceID=14","2.11")</f>
        <v>2.11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HYPERLINK("http://141.218.60.56/~jnz1568/getInfo.php?workbook=20_14.xlsx&amp;sheet=U0&amp;row=838&amp;col=6&amp;number=4.4&amp;sourceID=14","4.4")</f>
        <v>4.4</v>
      </c>
      <c r="G838" s="4" t="str">
        <f>HYPERLINK("http://141.218.60.56/~jnz1568/getInfo.php?workbook=20_14.xlsx&amp;sheet=U0&amp;row=838&amp;col=7&amp;number=2.12&amp;sourceID=14","2.12")</f>
        <v>2.12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HYPERLINK("http://141.218.60.56/~jnz1568/getInfo.php?workbook=20_14.xlsx&amp;sheet=U0&amp;row=839&amp;col=6&amp;number=4.5&amp;sourceID=14","4.5")</f>
        <v>4.5</v>
      </c>
      <c r="G839" s="4" t="str">
        <f>HYPERLINK("http://141.218.60.56/~jnz1568/getInfo.php?workbook=20_14.xlsx&amp;sheet=U0&amp;row=839&amp;col=7&amp;number=2.13&amp;sourceID=14","2.13")</f>
        <v>2.13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HYPERLINK("http://141.218.60.56/~jnz1568/getInfo.php?workbook=20_14.xlsx&amp;sheet=U0&amp;row=840&amp;col=6&amp;number=4.6&amp;sourceID=14","4.6")</f>
        <v>4.6</v>
      </c>
      <c r="G840" s="4" t="str">
        <f>HYPERLINK("http://141.218.60.56/~jnz1568/getInfo.php?workbook=20_14.xlsx&amp;sheet=U0&amp;row=840&amp;col=7&amp;number=2.14&amp;sourceID=14","2.14")</f>
        <v>2.14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HYPERLINK("http://141.218.60.56/~jnz1568/getInfo.php?workbook=20_14.xlsx&amp;sheet=U0&amp;row=841&amp;col=6&amp;number=4.7&amp;sourceID=14","4.7")</f>
        <v>4.7</v>
      </c>
      <c r="G841" s="4" t="str">
        <f>HYPERLINK("http://141.218.60.56/~jnz1568/getInfo.php?workbook=20_14.xlsx&amp;sheet=U0&amp;row=841&amp;col=7&amp;number=2.16&amp;sourceID=14","2.16")</f>
        <v>2.16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HYPERLINK("http://141.218.60.56/~jnz1568/getInfo.php?workbook=20_14.xlsx&amp;sheet=U0&amp;row=842&amp;col=6&amp;number=4.8&amp;sourceID=14","4.8")</f>
        <v>4.8</v>
      </c>
      <c r="G842" s="4" t="str">
        <f>HYPERLINK("http://141.218.60.56/~jnz1568/getInfo.php?workbook=20_14.xlsx&amp;sheet=U0&amp;row=842&amp;col=7&amp;number=2.18&amp;sourceID=14","2.18")</f>
        <v>2.18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HYPERLINK("http://141.218.60.56/~jnz1568/getInfo.php?workbook=20_14.xlsx&amp;sheet=U0&amp;row=843&amp;col=6&amp;number=4.9&amp;sourceID=14","4.9")</f>
        <v>4.9</v>
      </c>
      <c r="G843" s="4" t="str">
        <f>HYPERLINK("http://141.218.60.56/~jnz1568/getInfo.php?workbook=20_14.xlsx&amp;sheet=U0&amp;row=843&amp;col=7&amp;number=2.21&amp;sourceID=14","2.21")</f>
        <v>2.21</v>
      </c>
    </row>
    <row r="844" spans="1:7">
      <c r="A844" s="3">
        <v>20</v>
      </c>
      <c r="B844" s="3">
        <v>14</v>
      </c>
      <c r="C844" s="3">
        <v>2</v>
      </c>
      <c r="D844" s="3">
        <v>19</v>
      </c>
      <c r="E844" s="3">
        <v>1</v>
      </c>
      <c r="F844" s="4" t="str">
        <f>HYPERLINK("http://141.218.60.56/~jnz1568/getInfo.php?workbook=20_14.xlsx&amp;sheet=U0&amp;row=844&amp;col=6&amp;number=3&amp;sourceID=14","3")</f>
        <v>3</v>
      </c>
      <c r="G844" s="4" t="str">
        <f>HYPERLINK("http://141.218.60.56/~jnz1568/getInfo.php?workbook=20_14.xlsx&amp;sheet=U0&amp;row=844&amp;col=7&amp;number=1.01&amp;sourceID=14","1.01")</f>
        <v>1.01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HYPERLINK("http://141.218.60.56/~jnz1568/getInfo.php?workbook=20_14.xlsx&amp;sheet=U0&amp;row=845&amp;col=6&amp;number=3.1&amp;sourceID=14","3.1")</f>
        <v>3.1</v>
      </c>
      <c r="G845" s="4" t="str">
        <f>HYPERLINK("http://141.218.60.56/~jnz1568/getInfo.php?workbook=20_14.xlsx&amp;sheet=U0&amp;row=845&amp;col=7&amp;number=1.01&amp;sourceID=14","1.01")</f>
        <v>1.01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HYPERLINK("http://141.218.60.56/~jnz1568/getInfo.php?workbook=20_14.xlsx&amp;sheet=U0&amp;row=846&amp;col=6&amp;number=3.2&amp;sourceID=14","3.2")</f>
        <v>3.2</v>
      </c>
      <c r="G846" s="4" t="str">
        <f>HYPERLINK("http://141.218.60.56/~jnz1568/getInfo.php?workbook=20_14.xlsx&amp;sheet=U0&amp;row=846&amp;col=7&amp;number=1.01&amp;sourceID=14","1.01")</f>
        <v>1.01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HYPERLINK("http://141.218.60.56/~jnz1568/getInfo.php?workbook=20_14.xlsx&amp;sheet=U0&amp;row=847&amp;col=6&amp;number=3.3&amp;sourceID=14","3.3")</f>
        <v>3.3</v>
      </c>
      <c r="G847" s="4" t="str">
        <f>HYPERLINK("http://141.218.60.56/~jnz1568/getInfo.php?workbook=20_14.xlsx&amp;sheet=U0&amp;row=847&amp;col=7&amp;number=1.01&amp;sourceID=14","1.01")</f>
        <v>1.01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HYPERLINK("http://141.218.60.56/~jnz1568/getInfo.php?workbook=20_14.xlsx&amp;sheet=U0&amp;row=848&amp;col=6&amp;number=3.4&amp;sourceID=14","3.4")</f>
        <v>3.4</v>
      </c>
      <c r="G848" s="4" t="str">
        <f>HYPERLINK("http://141.218.60.56/~jnz1568/getInfo.php?workbook=20_14.xlsx&amp;sheet=U0&amp;row=848&amp;col=7&amp;number=1.01&amp;sourceID=14","1.01")</f>
        <v>1.01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HYPERLINK("http://141.218.60.56/~jnz1568/getInfo.php?workbook=20_14.xlsx&amp;sheet=U0&amp;row=849&amp;col=6&amp;number=3.5&amp;sourceID=14","3.5")</f>
        <v>3.5</v>
      </c>
      <c r="G849" s="4" t="str">
        <f>HYPERLINK("http://141.218.60.56/~jnz1568/getInfo.php?workbook=20_14.xlsx&amp;sheet=U0&amp;row=849&amp;col=7&amp;number=1.01&amp;sourceID=14","1.01")</f>
        <v>1.01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HYPERLINK("http://141.218.60.56/~jnz1568/getInfo.php?workbook=20_14.xlsx&amp;sheet=U0&amp;row=850&amp;col=6&amp;number=3.6&amp;sourceID=14","3.6")</f>
        <v>3.6</v>
      </c>
      <c r="G850" s="4" t="str">
        <f>HYPERLINK("http://141.218.60.56/~jnz1568/getInfo.php?workbook=20_14.xlsx&amp;sheet=U0&amp;row=850&amp;col=7&amp;number=1.01&amp;sourceID=14","1.01")</f>
        <v>1.01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HYPERLINK("http://141.218.60.56/~jnz1568/getInfo.php?workbook=20_14.xlsx&amp;sheet=U0&amp;row=851&amp;col=6&amp;number=3.7&amp;sourceID=14","3.7")</f>
        <v>3.7</v>
      </c>
      <c r="G851" s="4" t="str">
        <f>HYPERLINK("http://141.218.60.56/~jnz1568/getInfo.php?workbook=20_14.xlsx&amp;sheet=U0&amp;row=851&amp;col=7&amp;number=1.01&amp;sourceID=14","1.01")</f>
        <v>1.01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HYPERLINK("http://141.218.60.56/~jnz1568/getInfo.php?workbook=20_14.xlsx&amp;sheet=U0&amp;row=852&amp;col=6&amp;number=3.8&amp;sourceID=14","3.8")</f>
        <v>3.8</v>
      </c>
      <c r="G852" s="4" t="str">
        <f>HYPERLINK("http://141.218.60.56/~jnz1568/getInfo.php?workbook=20_14.xlsx&amp;sheet=U0&amp;row=852&amp;col=7&amp;number=1.01&amp;sourceID=14","1.01")</f>
        <v>1.01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HYPERLINK("http://141.218.60.56/~jnz1568/getInfo.php?workbook=20_14.xlsx&amp;sheet=U0&amp;row=853&amp;col=6&amp;number=3.9&amp;sourceID=14","3.9")</f>
        <v>3.9</v>
      </c>
      <c r="G853" s="4" t="str">
        <f>HYPERLINK("http://141.218.60.56/~jnz1568/getInfo.php?workbook=20_14.xlsx&amp;sheet=U0&amp;row=853&amp;col=7&amp;number=1.02&amp;sourceID=14","1.02")</f>
        <v>1.02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HYPERLINK("http://141.218.60.56/~jnz1568/getInfo.php?workbook=20_14.xlsx&amp;sheet=U0&amp;row=854&amp;col=6&amp;number=4&amp;sourceID=14","4")</f>
        <v>4</v>
      </c>
      <c r="G854" s="4" t="str">
        <f>HYPERLINK("http://141.218.60.56/~jnz1568/getInfo.php?workbook=20_14.xlsx&amp;sheet=U0&amp;row=854&amp;col=7&amp;number=1.02&amp;sourceID=14","1.02")</f>
        <v>1.02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HYPERLINK("http://141.218.60.56/~jnz1568/getInfo.php?workbook=20_14.xlsx&amp;sheet=U0&amp;row=855&amp;col=6&amp;number=4.1&amp;sourceID=14","4.1")</f>
        <v>4.1</v>
      </c>
      <c r="G855" s="4" t="str">
        <f>HYPERLINK("http://141.218.60.56/~jnz1568/getInfo.php?workbook=20_14.xlsx&amp;sheet=U0&amp;row=855&amp;col=7&amp;number=1.02&amp;sourceID=14","1.02")</f>
        <v>1.02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HYPERLINK("http://141.218.60.56/~jnz1568/getInfo.php?workbook=20_14.xlsx&amp;sheet=U0&amp;row=856&amp;col=6&amp;number=4.2&amp;sourceID=14","4.2")</f>
        <v>4.2</v>
      </c>
      <c r="G856" s="4" t="str">
        <f>HYPERLINK("http://141.218.60.56/~jnz1568/getInfo.php?workbook=20_14.xlsx&amp;sheet=U0&amp;row=856&amp;col=7&amp;number=1.02&amp;sourceID=14","1.02")</f>
        <v>1.02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HYPERLINK("http://141.218.60.56/~jnz1568/getInfo.php?workbook=20_14.xlsx&amp;sheet=U0&amp;row=857&amp;col=6&amp;number=4.3&amp;sourceID=14","4.3")</f>
        <v>4.3</v>
      </c>
      <c r="G857" s="4" t="str">
        <f>HYPERLINK("http://141.218.60.56/~jnz1568/getInfo.php?workbook=20_14.xlsx&amp;sheet=U0&amp;row=857&amp;col=7&amp;number=1.02&amp;sourceID=14","1.02")</f>
        <v>1.02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HYPERLINK("http://141.218.60.56/~jnz1568/getInfo.php?workbook=20_14.xlsx&amp;sheet=U0&amp;row=858&amp;col=6&amp;number=4.4&amp;sourceID=14","4.4")</f>
        <v>4.4</v>
      </c>
      <c r="G858" s="4" t="str">
        <f>HYPERLINK("http://141.218.60.56/~jnz1568/getInfo.php?workbook=20_14.xlsx&amp;sheet=U0&amp;row=858&amp;col=7&amp;number=1.03&amp;sourceID=14","1.03")</f>
        <v>1.03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HYPERLINK("http://141.218.60.56/~jnz1568/getInfo.php?workbook=20_14.xlsx&amp;sheet=U0&amp;row=859&amp;col=6&amp;number=4.5&amp;sourceID=14","4.5")</f>
        <v>4.5</v>
      </c>
      <c r="G859" s="4" t="str">
        <f>HYPERLINK("http://141.218.60.56/~jnz1568/getInfo.php?workbook=20_14.xlsx&amp;sheet=U0&amp;row=859&amp;col=7&amp;number=1.03&amp;sourceID=14","1.03")</f>
        <v>1.03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HYPERLINK("http://141.218.60.56/~jnz1568/getInfo.php?workbook=20_14.xlsx&amp;sheet=U0&amp;row=860&amp;col=6&amp;number=4.6&amp;sourceID=14","4.6")</f>
        <v>4.6</v>
      </c>
      <c r="G860" s="4" t="str">
        <f>HYPERLINK("http://141.218.60.56/~jnz1568/getInfo.php?workbook=20_14.xlsx&amp;sheet=U0&amp;row=860&amp;col=7&amp;number=1.04&amp;sourceID=14","1.04")</f>
        <v>1.04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HYPERLINK("http://141.218.60.56/~jnz1568/getInfo.php?workbook=20_14.xlsx&amp;sheet=U0&amp;row=861&amp;col=6&amp;number=4.7&amp;sourceID=14","4.7")</f>
        <v>4.7</v>
      </c>
      <c r="G861" s="4" t="str">
        <f>HYPERLINK("http://141.218.60.56/~jnz1568/getInfo.php?workbook=20_14.xlsx&amp;sheet=U0&amp;row=861&amp;col=7&amp;number=1.05&amp;sourceID=14","1.05")</f>
        <v>1.05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HYPERLINK("http://141.218.60.56/~jnz1568/getInfo.php?workbook=20_14.xlsx&amp;sheet=U0&amp;row=862&amp;col=6&amp;number=4.8&amp;sourceID=14","4.8")</f>
        <v>4.8</v>
      </c>
      <c r="G862" s="4" t="str">
        <f>HYPERLINK("http://141.218.60.56/~jnz1568/getInfo.php?workbook=20_14.xlsx&amp;sheet=U0&amp;row=862&amp;col=7&amp;number=1.06&amp;sourceID=14","1.06")</f>
        <v>1.06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HYPERLINK("http://141.218.60.56/~jnz1568/getInfo.php?workbook=20_14.xlsx&amp;sheet=U0&amp;row=863&amp;col=6&amp;number=4.9&amp;sourceID=14","4.9")</f>
        <v>4.9</v>
      </c>
      <c r="G863" s="4" t="str">
        <f>HYPERLINK("http://141.218.60.56/~jnz1568/getInfo.php?workbook=20_14.xlsx&amp;sheet=U0&amp;row=863&amp;col=7&amp;number=1.07&amp;sourceID=14","1.07")</f>
        <v>1.07</v>
      </c>
    </row>
    <row r="864" spans="1:7">
      <c r="A864" s="3">
        <v>20</v>
      </c>
      <c r="B864" s="3">
        <v>14</v>
      </c>
      <c r="C864" s="3">
        <v>2</v>
      </c>
      <c r="D864" s="3">
        <v>20</v>
      </c>
      <c r="E864" s="3">
        <v>1</v>
      </c>
      <c r="F864" s="4" t="str">
        <f>HYPERLINK("http://141.218.60.56/~jnz1568/getInfo.php?workbook=20_14.xlsx&amp;sheet=U0&amp;row=864&amp;col=6&amp;number=3&amp;sourceID=14","3")</f>
        <v>3</v>
      </c>
      <c r="G864" s="4" t="str">
        <f>HYPERLINK("http://141.218.60.56/~jnz1568/getInfo.php?workbook=20_14.xlsx&amp;sheet=U0&amp;row=864&amp;col=7&amp;number=0.483&amp;sourceID=14","0.483")</f>
        <v>0.483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HYPERLINK("http://141.218.60.56/~jnz1568/getInfo.php?workbook=20_14.xlsx&amp;sheet=U0&amp;row=865&amp;col=6&amp;number=3.1&amp;sourceID=14","3.1")</f>
        <v>3.1</v>
      </c>
      <c r="G865" s="4" t="str">
        <f>HYPERLINK("http://141.218.60.56/~jnz1568/getInfo.php?workbook=20_14.xlsx&amp;sheet=U0&amp;row=865&amp;col=7&amp;number=0.483&amp;sourceID=14","0.483")</f>
        <v>0.483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HYPERLINK("http://141.218.60.56/~jnz1568/getInfo.php?workbook=20_14.xlsx&amp;sheet=U0&amp;row=866&amp;col=6&amp;number=3.2&amp;sourceID=14","3.2")</f>
        <v>3.2</v>
      </c>
      <c r="G866" s="4" t="str">
        <f>HYPERLINK("http://141.218.60.56/~jnz1568/getInfo.php?workbook=20_14.xlsx&amp;sheet=U0&amp;row=866&amp;col=7&amp;number=0.483&amp;sourceID=14","0.483")</f>
        <v>0.483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HYPERLINK("http://141.218.60.56/~jnz1568/getInfo.php?workbook=20_14.xlsx&amp;sheet=U0&amp;row=867&amp;col=6&amp;number=3.3&amp;sourceID=14","3.3")</f>
        <v>3.3</v>
      </c>
      <c r="G867" s="4" t="str">
        <f>HYPERLINK("http://141.218.60.56/~jnz1568/getInfo.php?workbook=20_14.xlsx&amp;sheet=U0&amp;row=867&amp;col=7&amp;number=0.484&amp;sourceID=14","0.484")</f>
        <v>0.484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HYPERLINK("http://141.218.60.56/~jnz1568/getInfo.php?workbook=20_14.xlsx&amp;sheet=U0&amp;row=868&amp;col=6&amp;number=3.4&amp;sourceID=14","3.4")</f>
        <v>3.4</v>
      </c>
      <c r="G868" s="4" t="str">
        <f>HYPERLINK("http://141.218.60.56/~jnz1568/getInfo.php?workbook=20_14.xlsx&amp;sheet=U0&amp;row=868&amp;col=7&amp;number=0.484&amp;sourceID=14","0.484")</f>
        <v>0.484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HYPERLINK("http://141.218.60.56/~jnz1568/getInfo.php?workbook=20_14.xlsx&amp;sheet=U0&amp;row=869&amp;col=6&amp;number=3.5&amp;sourceID=14","3.5")</f>
        <v>3.5</v>
      </c>
      <c r="G869" s="4" t="str">
        <f>HYPERLINK("http://141.218.60.56/~jnz1568/getInfo.php?workbook=20_14.xlsx&amp;sheet=U0&amp;row=869&amp;col=7&amp;number=0.484&amp;sourceID=14","0.484")</f>
        <v>0.484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HYPERLINK("http://141.218.60.56/~jnz1568/getInfo.php?workbook=20_14.xlsx&amp;sheet=U0&amp;row=870&amp;col=6&amp;number=3.6&amp;sourceID=14","3.6")</f>
        <v>3.6</v>
      </c>
      <c r="G870" s="4" t="str">
        <f>HYPERLINK("http://141.218.60.56/~jnz1568/getInfo.php?workbook=20_14.xlsx&amp;sheet=U0&amp;row=870&amp;col=7&amp;number=0.484&amp;sourceID=14","0.484")</f>
        <v>0.484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HYPERLINK("http://141.218.60.56/~jnz1568/getInfo.php?workbook=20_14.xlsx&amp;sheet=U0&amp;row=871&amp;col=6&amp;number=3.7&amp;sourceID=14","3.7")</f>
        <v>3.7</v>
      </c>
      <c r="G871" s="4" t="str">
        <f>HYPERLINK("http://141.218.60.56/~jnz1568/getInfo.php?workbook=20_14.xlsx&amp;sheet=U0&amp;row=871&amp;col=7&amp;number=0.485&amp;sourceID=14","0.485")</f>
        <v>0.485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HYPERLINK("http://141.218.60.56/~jnz1568/getInfo.php?workbook=20_14.xlsx&amp;sheet=U0&amp;row=872&amp;col=6&amp;number=3.8&amp;sourceID=14","3.8")</f>
        <v>3.8</v>
      </c>
      <c r="G872" s="4" t="str">
        <f>HYPERLINK("http://141.218.60.56/~jnz1568/getInfo.php?workbook=20_14.xlsx&amp;sheet=U0&amp;row=872&amp;col=7&amp;number=0.485&amp;sourceID=14","0.485")</f>
        <v>0.485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HYPERLINK("http://141.218.60.56/~jnz1568/getInfo.php?workbook=20_14.xlsx&amp;sheet=U0&amp;row=873&amp;col=6&amp;number=3.9&amp;sourceID=14","3.9")</f>
        <v>3.9</v>
      </c>
      <c r="G873" s="4" t="str">
        <f>HYPERLINK("http://141.218.60.56/~jnz1568/getInfo.php?workbook=20_14.xlsx&amp;sheet=U0&amp;row=873&amp;col=7&amp;number=0.486&amp;sourceID=14","0.486")</f>
        <v>0.486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HYPERLINK("http://141.218.60.56/~jnz1568/getInfo.php?workbook=20_14.xlsx&amp;sheet=U0&amp;row=874&amp;col=6&amp;number=4&amp;sourceID=14","4")</f>
        <v>4</v>
      </c>
      <c r="G874" s="4" t="str">
        <f>HYPERLINK("http://141.218.60.56/~jnz1568/getInfo.php?workbook=20_14.xlsx&amp;sheet=U0&amp;row=874&amp;col=7&amp;number=0.486&amp;sourceID=14","0.486")</f>
        <v>0.486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HYPERLINK("http://141.218.60.56/~jnz1568/getInfo.php?workbook=20_14.xlsx&amp;sheet=U0&amp;row=875&amp;col=6&amp;number=4.1&amp;sourceID=14","4.1")</f>
        <v>4.1</v>
      </c>
      <c r="G875" s="4" t="str">
        <f>HYPERLINK("http://141.218.60.56/~jnz1568/getInfo.php?workbook=20_14.xlsx&amp;sheet=U0&amp;row=875&amp;col=7&amp;number=0.487&amp;sourceID=14","0.487")</f>
        <v>0.487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HYPERLINK("http://141.218.60.56/~jnz1568/getInfo.php?workbook=20_14.xlsx&amp;sheet=U0&amp;row=876&amp;col=6&amp;number=4.2&amp;sourceID=14","4.2")</f>
        <v>4.2</v>
      </c>
      <c r="G876" s="4" t="str">
        <f>HYPERLINK("http://141.218.60.56/~jnz1568/getInfo.php?workbook=20_14.xlsx&amp;sheet=U0&amp;row=876&amp;col=7&amp;number=0.488&amp;sourceID=14","0.488")</f>
        <v>0.488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HYPERLINK("http://141.218.60.56/~jnz1568/getInfo.php?workbook=20_14.xlsx&amp;sheet=U0&amp;row=877&amp;col=6&amp;number=4.3&amp;sourceID=14","4.3")</f>
        <v>4.3</v>
      </c>
      <c r="G877" s="4" t="str">
        <f>HYPERLINK("http://141.218.60.56/~jnz1568/getInfo.php?workbook=20_14.xlsx&amp;sheet=U0&amp;row=877&amp;col=7&amp;number=0.49&amp;sourceID=14","0.49")</f>
        <v>0.49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HYPERLINK("http://141.218.60.56/~jnz1568/getInfo.php?workbook=20_14.xlsx&amp;sheet=U0&amp;row=878&amp;col=6&amp;number=4.4&amp;sourceID=14","4.4")</f>
        <v>4.4</v>
      </c>
      <c r="G878" s="4" t="str">
        <f>HYPERLINK("http://141.218.60.56/~jnz1568/getInfo.php?workbook=20_14.xlsx&amp;sheet=U0&amp;row=878&amp;col=7&amp;number=0.491&amp;sourceID=14","0.491")</f>
        <v>0.491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HYPERLINK("http://141.218.60.56/~jnz1568/getInfo.php?workbook=20_14.xlsx&amp;sheet=U0&amp;row=879&amp;col=6&amp;number=4.5&amp;sourceID=14","4.5")</f>
        <v>4.5</v>
      </c>
      <c r="G879" s="4" t="str">
        <f>HYPERLINK("http://141.218.60.56/~jnz1568/getInfo.php?workbook=20_14.xlsx&amp;sheet=U0&amp;row=879&amp;col=7&amp;number=0.493&amp;sourceID=14","0.493")</f>
        <v>0.493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HYPERLINK("http://141.218.60.56/~jnz1568/getInfo.php?workbook=20_14.xlsx&amp;sheet=U0&amp;row=880&amp;col=6&amp;number=4.6&amp;sourceID=14","4.6")</f>
        <v>4.6</v>
      </c>
      <c r="G880" s="4" t="str">
        <f>HYPERLINK("http://141.218.60.56/~jnz1568/getInfo.php?workbook=20_14.xlsx&amp;sheet=U0&amp;row=880&amp;col=7&amp;number=0.496&amp;sourceID=14","0.496")</f>
        <v>0.496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HYPERLINK("http://141.218.60.56/~jnz1568/getInfo.php?workbook=20_14.xlsx&amp;sheet=U0&amp;row=881&amp;col=6&amp;number=4.7&amp;sourceID=14","4.7")</f>
        <v>4.7</v>
      </c>
      <c r="G881" s="4" t="str">
        <f>HYPERLINK("http://141.218.60.56/~jnz1568/getInfo.php?workbook=20_14.xlsx&amp;sheet=U0&amp;row=881&amp;col=7&amp;number=0.499&amp;sourceID=14","0.499")</f>
        <v>0.499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HYPERLINK("http://141.218.60.56/~jnz1568/getInfo.php?workbook=20_14.xlsx&amp;sheet=U0&amp;row=882&amp;col=6&amp;number=4.8&amp;sourceID=14","4.8")</f>
        <v>4.8</v>
      </c>
      <c r="G882" s="4" t="str">
        <f>HYPERLINK("http://141.218.60.56/~jnz1568/getInfo.php?workbook=20_14.xlsx&amp;sheet=U0&amp;row=882&amp;col=7&amp;number=0.503&amp;sourceID=14","0.503")</f>
        <v>0.503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HYPERLINK("http://141.218.60.56/~jnz1568/getInfo.php?workbook=20_14.xlsx&amp;sheet=U0&amp;row=883&amp;col=6&amp;number=4.9&amp;sourceID=14","4.9")</f>
        <v>4.9</v>
      </c>
      <c r="G883" s="4" t="str">
        <f>HYPERLINK("http://141.218.60.56/~jnz1568/getInfo.php?workbook=20_14.xlsx&amp;sheet=U0&amp;row=883&amp;col=7&amp;number=0.509&amp;sourceID=14","0.509")</f>
        <v>0.509</v>
      </c>
    </row>
    <row r="884" spans="1:7">
      <c r="A884" s="3">
        <v>20</v>
      </c>
      <c r="B884" s="3">
        <v>14</v>
      </c>
      <c r="C884" s="3">
        <v>2</v>
      </c>
      <c r="D884" s="3">
        <v>21</v>
      </c>
      <c r="E884" s="3">
        <v>1</v>
      </c>
      <c r="F884" s="4" t="str">
        <f>HYPERLINK("http://141.218.60.56/~jnz1568/getInfo.php?workbook=20_14.xlsx&amp;sheet=U0&amp;row=884&amp;col=6&amp;number=3&amp;sourceID=14","3")</f>
        <v>3</v>
      </c>
      <c r="G884" s="4" t="str">
        <f>HYPERLINK("http://141.218.60.56/~jnz1568/getInfo.php?workbook=20_14.xlsx&amp;sheet=U0&amp;row=884&amp;col=7&amp;number=2.04&amp;sourceID=14","2.04")</f>
        <v>2.04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HYPERLINK("http://141.218.60.56/~jnz1568/getInfo.php?workbook=20_14.xlsx&amp;sheet=U0&amp;row=885&amp;col=6&amp;number=3.1&amp;sourceID=14","3.1")</f>
        <v>3.1</v>
      </c>
      <c r="G885" s="4" t="str">
        <f>HYPERLINK("http://141.218.60.56/~jnz1568/getInfo.php?workbook=20_14.xlsx&amp;sheet=U0&amp;row=885&amp;col=7&amp;number=2.04&amp;sourceID=14","2.04")</f>
        <v>2.04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HYPERLINK("http://141.218.60.56/~jnz1568/getInfo.php?workbook=20_14.xlsx&amp;sheet=U0&amp;row=886&amp;col=6&amp;number=3.2&amp;sourceID=14","3.2")</f>
        <v>3.2</v>
      </c>
      <c r="G886" s="4" t="str">
        <f>HYPERLINK("http://141.218.60.56/~jnz1568/getInfo.php?workbook=20_14.xlsx&amp;sheet=U0&amp;row=886&amp;col=7&amp;number=2.04&amp;sourceID=14","2.04")</f>
        <v>2.04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HYPERLINK("http://141.218.60.56/~jnz1568/getInfo.php?workbook=20_14.xlsx&amp;sheet=U0&amp;row=887&amp;col=6&amp;number=3.3&amp;sourceID=14","3.3")</f>
        <v>3.3</v>
      </c>
      <c r="G887" s="4" t="str">
        <f>HYPERLINK("http://141.218.60.56/~jnz1568/getInfo.php?workbook=20_14.xlsx&amp;sheet=U0&amp;row=887&amp;col=7&amp;number=2.04&amp;sourceID=14","2.04")</f>
        <v>2.04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HYPERLINK("http://141.218.60.56/~jnz1568/getInfo.php?workbook=20_14.xlsx&amp;sheet=U0&amp;row=888&amp;col=6&amp;number=3.4&amp;sourceID=14","3.4")</f>
        <v>3.4</v>
      </c>
      <c r="G888" s="4" t="str">
        <f>HYPERLINK("http://141.218.60.56/~jnz1568/getInfo.php?workbook=20_14.xlsx&amp;sheet=U0&amp;row=888&amp;col=7&amp;number=2.04&amp;sourceID=14","2.04")</f>
        <v>2.04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HYPERLINK("http://141.218.60.56/~jnz1568/getInfo.php?workbook=20_14.xlsx&amp;sheet=U0&amp;row=889&amp;col=6&amp;number=3.5&amp;sourceID=14","3.5")</f>
        <v>3.5</v>
      </c>
      <c r="G889" s="4" t="str">
        <f>HYPERLINK("http://141.218.60.56/~jnz1568/getInfo.php?workbook=20_14.xlsx&amp;sheet=U0&amp;row=889&amp;col=7&amp;number=2.04&amp;sourceID=14","2.04")</f>
        <v>2.04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HYPERLINK("http://141.218.60.56/~jnz1568/getInfo.php?workbook=20_14.xlsx&amp;sheet=U0&amp;row=890&amp;col=6&amp;number=3.6&amp;sourceID=14","3.6")</f>
        <v>3.6</v>
      </c>
      <c r="G890" s="4" t="str">
        <f>HYPERLINK("http://141.218.60.56/~jnz1568/getInfo.php?workbook=20_14.xlsx&amp;sheet=U0&amp;row=890&amp;col=7&amp;number=2.04&amp;sourceID=14","2.04")</f>
        <v>2.04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HYPERLINK("http://141.218.60.56/~jnz1568/getInfo.php?workbook=20_14.xlsx&amp;sheet=U0&amp;row=891&amp;col=6&amp;number=3.7&amp;sourceID=14","3.7")</f>
        <v>3.7</v>
      </c>
      <c r="G891" s="4" t="str">
        <f>HYPERLINK("http://141.218.60.56/~jnz1568/getInfo.php?workbook=20_14.xlsx&amp;sheet=U0&amp;row=891&amp;col=7&amp;number=2.04&amp;sourceID=14","2.04")</f>
        <v>2.04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HYPERLINK("http://141.218.60.56/~jnz1568/getInfo.php?workbook=20_14.xlsx&amp;sheet=U0&amp;row=892&amp;col=6&amp;number=3.8&amp;sourceID=14","3.8")</f>
        <v>3.8</v>
      </c>
      <c r="G892" s="4" t="str">
        <f>HYPERLINK("http://141.218.60.56/~jnz1568/getInfo.php?workbook=20_14.xlsx&amp;sheet=U0&amp;row=892&amp;col=7&amp;number=2.05&amp;sourceID=14","2.05")</f>
        <v>2.05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HYPERLINK("http://141.218.60.56/~jnz1568/getInfo.php?workbook=20_14.xlsx&amp;sheet=U0&amp;row=893&amp;col=6&amp;number=3.9&amp;sourceID=14","3.9")</f>
        <v>3.9</v>
      </c>
      <c r="G893" s="4" t="str">
        <f>HYPERLINK("http://141.218.60.56/~jnz1568/getInfo.php?workbook=20_14.xlsx&amp;sheet=U0&amp;row=893&amp;col=7&amp;number=2.05&amp;sourceID=14","2.05")</f>
        <v>2.05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HYPERLINK("http://141.218.60.56/~jnz1568/getInfo.php?workbook=20_14.xlsx&amp;sheet=U0&amp;row=894&amp;col=6&amp;number=4&amp;sourceID=14","4")</f>
        <v>4</v>
      </c>
      <c r="G894" s="4" t="str">
        <f>HYPERLINK("http://141.218.60.56/~jnz1568/getInfo.php?workbook=20_14.xlsx&amp;sheet=U0&amp;row=894&amp;col=7&amp;number=2.05&amp;sourceID=14","2.05")</f>
        <v>2.05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HYPERLINK("http://141.218.60.56/~jnz1568/getInfo.php?workbook=20_14.xlsx&amp;sheet=U0&amp;row=895&amp;col=6&amp;number=4.1&amp;sourceID=14","4.1")</f>
        <v>4.1</v>
      </c>
      <c r="G895" s="4" t="str">
        <f>HYPERLINK("http://141.218.60.56/~jnz1568/getInfo.php?workbook=20_14.xlsx&amp;sheet=U0&amp;row=895&amp;col=7&amp;number=2.06&amp;sourceID=14","2.06")</f>
        <v>2.06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HYPERLINK("http://141.218.60.56/~jnz1568/getInfo.php?workbook=20_14.xlsx&amp;sheet=U0&amp;row=896&amp;col=6&amp;number=4.2&amp;sourceID=14","4.2")</f>
        <v>4.2</v>
      </c>
      <c r="G896" s="4" t="str">
        <f>HYPERLINK("http://141.218.60.56/~jnz1568/getInfo.php?workbook=20_14.xlsx&amp;sheet=U0&amp;row=896&amp;col=7&amp;number=2.06&amp;sourceID=14","2.06")</f>
        <v>2.06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HYPERLINK("http://141.218.60.56/~jnz1568/getInfo.php?workbook=20_14.xlsx&amp;sheet=U0&amp;row=897&amp;col=6&amp;number=4.3&amp;sourceID=14","4.3")</f>
        <v>4.3</v>
      </c>
      <c r="G897" s="4" t="str">
        <f>HYPERLINK("http://141.218.60.56/~jnz1568/getInfo.php?workbook=20_14.xlsx&amp;sheet=U0&amp;row=897&amp;col=7&amp;number=2.07&amp;sourceID=14","2.07")</f>
        <v>2.07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HYPERLINK("http://141.218.60.56/~jnz1568/getInfo.php?workbook=20_14.xlsx&amp;sheet=U0&amp;row=898&amp;col=6&amp;number=4.4&amp;sourceID=14","4.4")</f>
        <v>4.4</v>
      </c>
      <c r="G898" s="4" t="str">
        <f>HYPERLINK("http://141.218.60.56/~jnz1568/getInfo.php?workbook=20_14.xlsx&amp;sheet=U0&amp;row=898&amp;col=7&amp;number=2.08&amp;sourceID=14","2.08")</f>
        <v>2.08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HYPERLINK("http://141.218.60.56/~jnz1568/getInfo.php?workbook=20_14.xlsx&amp;sheet=U0&amp;row=899&amp;col=6&amp;number=4.5&amp;sourceID=14","4.5")</f>
        <v>4.5</v>
      </c>
      <c r="G899" s="4" t="str">
        <f>HYPERLINK("http://141.218.60.56/~jnz1568/getInfo.php?workbook=20_14.xlsx&amp;sheet=U0&amp;row=899&amp;col=7&amp;number=2.09&amp;sourceID=14","2.09")</f>
        <v>2.09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HYPERLINK("http://141.218.60.56/~jnz1568/getInfo.php?workbook=20_14.xlsx&amp;sheet=U0&amp;row=900&amp;col=6&amp;number=4.6&amp;sourceID=14","4.6")</f>
        <v>4.6</v>
      </c>
      <c r="G900" s="4" t="str">
        <f>HYPERLINK("http://141.218.60.56/~jnz1568/getInfo.php?workbook=20_14.xlsx&amp;sheet=U0&amp;row=900&amp;col=7&amp;number=2.1&amp;sourceID=14","2.1")</f>
        <v>2.1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HYPERLINK("http://141.218.60.56/~jnz1568/getInfo.php?workbook=20_14.xlsx&amp;sheet=U0&amp;row=901&amp;col=6&amp;number=4.7&amp;sourceID=14","4.7")</f>
        <v>4.7</v>
      </c>
      <c r="G901" s="4" t="str">
        <f>HYPERLINK("http://141.218.60.56/~jnz1568/getInfo.php?workbook=20_14.xlsx&amp;sheet=U0&amp;row=901&amp;col=7&amp;number=2.11&amp;sourceID=14","2.11")</f>
        <v>2.11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HYPERLINK("http://141.218.60.56/~jnz1568/getInfo.php?workbook=20_14.xlsx&amp;sheet=U0&amp;row=902&amp;col=6&amp;number=4.8&amp;sourceID=14","4.8")</f>
        <v>4.8</v>
      </c>
      <c r="G902" s="4" t="str">
        <f>HYPERLINK("http://141.218.60.56/~jnz1568/getInfo.php?workbook=20_14.xlsx&amp;sheet=U0&amp;row=902&amp;col=7&amp;number=2.13&amp;sourceID=14","2.13")</f>
        <v>2.13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HYPERLINK("http://141.218.60.56/~jnz1568/getInfo.php?workbook=20_14.xlsx&amp;sheet=U0&amp;row=903&amp;col=6&amp;number=4.9&amp;sourceID=14","4.9")</f>
        <v>4.9</v>
      </c>
      <c r="G903" s="4" t="str">
        <f>HYPERLINK("http://141.218.60.56/~jnz1568/getInfo.php?workbook=20_14.xlsx&amp;sheet=U0&amp;row=903&amp;col=7&amp;number=2.16&amp;sourceID=14","2.16")</f>
        <v>2.16</v>
      </c>
    </row>
    <row r="904" spans="1:7">
      <c r="A904" s="3">
        <v>20</v>
      </c>
      <c r="B904" s="3">
        <v>14</v>
      </c>
      <c r="C904" s="3">
        <v>2</v>
      </c>
      <c r="D904" s="3">
        <v>22</v>
      </c>
      <c r="E904" s="3">
        <v>1</v>
      </c>
      <c r="F904" s="4" t="str">
        <f>HYPERLINK("http://141.218.60.56/~jnz1568/getInfo.php?workbook=20_14.xlsx&amp;sheet=U0&amp;row=904&amp;col=6&amp;number=3&amp;sourceID=14","3")</f>
        <v>3</v>
      </c>
      <c r="G904" s="4" t="str">
        <f>HYPERLINK("http://141.218.60.56/~jnz1568/getInfo.php?workbook=20_14.xlsx&amp;sheet=U0&amp;row=904&amp;col=7&amp;number=0.0434&amp;sourceID=14","0.0434")</f>
        <v>0.0434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HYPERLINK("http://141.218.60.56/~jnz1568/getInfo.php?workbook=20_14.xlsx&amp;sheet=U0&amp;row=905&amp;col=6&amp;number=3.1&amp;sourceID=14","3.1")</f>
        <v>3.1</v>
      </c>
      <c r="G905" s="4" t="str">
        <f>HYPERLINK("http://141.218.60.56/~jnz1568/getInfo.php?workbook=20_14.xlsx&amp;sheet=U0&amp;row=905&amp;col=7&amp;number=0.0434&amp;sourceID=14","0.0434")</f>
        <v>0.0434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HYPERLINK("http://141.218.60.56/~jnz1568/getInfo.php?workbook=20_14.xlsx&amp;sheet=U0&amp;row=906&amp;col=6&amp;number=3.2&amp;sourceID=14","3.2")</f>
        <v>3.2</v>
      </c>
      <c r="G906" s="4" t="str">
        <f>HYPERLINK("http://141.218.60.56/~jnz1568/getInfo.php?workbook=20_14.xlsx&amp;sheet=U0&amp;row=906&amp;col=7&amp;number=0.0434&amp;sourceID=14","0.0434")</f>
        <v>0.0434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HYPERLINK("http://141.218.60.56/~jnz1568/getInfo.php?workbook=20_14.xlsx&amp;sheet=U0&amp;row=907&amp;col=6&amp;number=3.3&amp;sourceID=14","3.3")</f>
        <v>3.3</v>
      </c>
      <c r="G907" s="4" t="str">
        <f>HYPERLINK("http://141.218.60.56/~jnz1568/getInfo.php?workbook=20_14.xlsx&amp;sheet=U0&amp;row=907&amp;col=7&amp;number=0.0434&amp;sourceID=14","0.0434")</f>
        <v>0.0434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HYPERLINK("http://141.218.60.56/~jnz1568/getInfo.php?workbook=20_14.xlsx&amp;sheet=U0&amp;row=908&amp;col=6&amp;number=3.4&amp;sourceID=14","3.4")</f>
        <v>3.4</v>
      </c>
      <c r="G908" s="4" t="str">
        <f>HYPERLINK("http://141.218.60.56/~jnz1568/getInfo.php?workbook=20_14.xlsx&amp;sheet=U0&amp;row=908&amp;col=7&amp;number=0.0434&amp;sourceID=14","0.0434")</f>
        <v>0.0434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HYPERLINK("http://141.218.60.56/~jnz1568/getInfo.php?workbook=20_14.xlsx&amp;sheet=U0&amp;row=909&amp;col=6&amp;number=3.5&amp;sourceID=14","3.5")</f>
        <v>3.5</v>
      </c>
      <c r="G909" s="4" t="str">
        <f>HYPERLINK("http://141.218.60.56/~jnz1568/getInfo.php?workbook=20_14.xlsx&amp;sheet=U0&amp;row=909&amp;col=7&amp;number=0.0434&amp;sourceID=14","0.0434")</f>
        <v>0.0434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HYPERLINK("http://141.218.60.56/~jnz1568/getInfo.php?workbook=20_14.xlsx&amp;sheet=U0&amp;row=910&amp;col=6&amp;number=3.6&amp;sourceID=14","3.6")</f>
        <v>3.6</v>
      </c>
      <c r="G910" s="4" t="str">
        <f>HYPERLINK("http://141.218.60.56/~jnz1568/getInfo.php?workbook=20_14.xlsx&amp;sheet=U0&amp;row=910&amp;col=7&amp;number=0.0434&amp;sourceID=14","0.0434")</f>
        <v>0.0434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HYPERLINK("http://141.218.60.56/~jnz1568/getInfo.php?workbook=20_14.xlsx&amp;sheet=U0&amp;row=911&amp;col=6&amp;number=3.7&amp;sourceID=14","3.7")</f>
        <v>3.7</v>
      </c>
      <c r="G911" s="4" t="str">
        <f>HYPERLINK("http://141.218.60.56/~jnz1568/getInfo.php?workbook=20_14.xlsx&amp;sheet=U0&amp;row=911&amp;col=7&amp;number=0.0434&amp;sourceID=14","0.0434")</f>
        <v>0.0434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HYPERLINK("http://141.218.60.56/~jnz1568/getInfo.php?workbook=20_14.xlsx&amp;sheet=U0&amp;row=912&amp;col=6&amp;number=3.8&amp;sourceID=14","3.8")</f>
        <v>3.8</v>
      </c>
      <c r="G912" s="4" t="str">
        <f>HYPERLINK("http://141.218.60.56/~jnz1568/getInfo.php?workbook=20_14.xlsx&amp;sheet=U0&amp;row=912&amp;col=7&amp;number=0.0434&amp;sourceID=14","0.0434")</f>
        <v>0.0434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HYPERLINK("http://141.218.60.56/~jnz1568/getInfo.php?workbook=20_14.xlsx&amp;sheet=U0&amp;row=913&amp;col=6&amp;number=3.9&amp;sourceID=14","3.9")</f>
        <v>3.9</v>
      </c>
      <c r="G913" s="4" t="str">
        <f>HYPERLINK("http://141.218.60.56/~jnz1568/getInfo.php?workbook=20_14.xlsx&amp;sheet=U0&amp;row=913&amp;col=7&amp;number=0.0434&amp;sourceID=14","0.0434")</f>
        <v>0.0434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HYPERLINK("http://141.218.60.56/~jnz1568/getInfo.php?workbook=20_14.xlsx&amp;sheet=U0&amp;row=914&amp;col=6&amp;number=4&amp;sourceID=14","4")</f>
        <v>4</v>
      </c>
      <c r="G914" s="4" t="str">
        <f>HYPERLINK("http://141.218.60.56/~jnz1568/getInfo.php?workbook=20_14.xlsx&amp;sheet=U0&amp;row=914&amp;col=7&amp;number=0.0434&amp;sourceID=14","0.0434")</f>
        <v>0.0434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HYPERLINK("http://141.218.60.56/~jnz1568/getInfo.php?workbook=20_14.xlsx&amp;sheet=U0&amp;row=915&amp;col=6&amp;number=4.1&amp;sourceID=14","4.1")</f>
        <v>4.1</v>
      </c>
      <c r="G915" s="4" t="str">
        <f>HYPERLINK("http://141.218.60.56/~jnz1568/getInfo.php?workbook=20_14.xlsx&amp;sheet=U0&amp;row=915&amp;col=7&amp;number=0.0434&amp;sourceID=14","0.0434")</f>
        <v>0.0434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HYPERLINK("http://141.218.60.56/~jnz1568/getInfo.php?workbook=20_14.xlsx&amp;sheet=U0&amp;row=916&amp;col=6&amp;number=4.2&amp;sourceID=14","4.2")</f>
        <v>4.2</v>
      </c>
      <c r="G916" s="4" t="str">
        <f>HYPERLINK("http://141.218.60.56/~jnz1568/getInfo.php?workbook=20_14.xlsx&amp;sheet=U0&amp;row=916&amp;col=7&amp;number=0.0434&amp;sourceID=14","0.0434")</f>
        <v>0.0434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HYPERLINK("http://141.218.60.56/~jnz1568/getInfo.php?workbook=20_14.xlsx&amp;sheet=U0&amp;row=917&amp;col=6&amp;number=4.3&amp;sourceID=14","4.3")</f>
        <v>4.3</v>
      </c>
      <c r="G917" s="4" t="str">
        <f>HYPERLINK("http://141.218.60.56/~jnz1568/getInfo.php?workbook=20_14.xlsx&amp;sheet=U0&amp;row=917&amp;col=7&amp;number=0.0433&amp;sourceID=14","0.0433")</f>
        <v>0.0433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HYPERLINK("http://141.218.60.56/~jnz1568/getInfo.php?workbook=20_14.xlsx&amp;sheet=U0&amp;row=918&amp;col=6&amp;number=4.4&amp;sourceID=14","4.4")</f>
        <v>4.4</v>
      </c>
      <c r="G918" s="4" t="str">
        <f>HYPERLINK("http://141.218.60.56/~jnz1568/getInfo.php?workbook=20_14.xlsx&amp;sheet=U0&amp;row=918&amp;col=7&amp;number=0.0433&amp;sourceID=14","0.0433")</f>
        <v>0.0433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HYPERLINK("http://141.218.60.56/~jnz1568/getInfo.php?workbook=20_14.xlsx&amp;sheet=U0&amp;row=919&amp;col=6&amp;number=4.5&amp;sourceID=14","4.5")</f>
        <v>4.5</v>
      </c>
      <c r="G919" s="4" t="str">
        <f>HYPERLINK("http://141.218.60.56/~jnz1568/getInfo.php?workbook=20_14.xlsx&amp;sheet=U0&amp;row=919&amp;col=7&amp;number=0.0433&amp;sourceID=14","0.0433")</f>
        <v>0.0433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HYPERLINK("http://141.218.60.56/~jnz1568/getInfo.php?workbook=20_14.xlsx&amp;sheet=U0&amp;row=920&amp;col=6&amp;number=4.6&amp;sourceID=14","4.6")</f>
        <v>4.6</v>
      </c>
      <c r="G920" s="4" t="str">
        <f>HYPERLINK("http://141.218.60.56/~jnz1568/getInfo.php?workbook=20_14.xlsx&amp;sheet=U0&amp;row=920&amp;col=7&amp;number=0.0433&amp;sourceID=14","0.0433")</f>
        <v>0.0433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HYPERLINK("http://141.218.60.56/~jnz1568/getInfo.php?workbook=20_14.xlsx&amp;sheet=U0&amp;row=921&amp;col=6&amp;number=4.7&amp;sourceID=14","4.7")</f>
        <v>4.7</v>
      </c>
      <c r="G921" s="4" t="str">
        <f>HYPERLINK("http://141.218.60.56/~jnz1568/getInfo.php?workbook=20_14.xlsx&amp;sheet=U0&amp;row=921&amp;col=7&amp;number=0.0432&amp;sourceID=14","0.0432")</f>
        <v>0.0432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HYPERLINK("http://141.218.60.56/~jnz1568/getInfo.php?workbook=20_14.xlsx&amp;sheet=U0&amp;row=922&amp;col=6&amp;number=4.8&amp;sourceID=14","4.8")</f>
        <v>4.8</v>
      </c>
      <c r="G922" s="4" t="str">
        <f>HYPERLINK("http://141.218.60.56/~jnz1568/getInfo.php?workbook=20_14.xlsx&amp;sheet=U0&amp;row=922&amp;col=7&amp;number=0.0432&amp;sourceID=14","0.0432")</f>
        <v>0.0432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HYPERLINK("http://141.218.60.56/~jnz1568/getInfo.php?workbook=20_14.xlsx&amp;sheet=U0&amp;row=923&amp;col=6&amp;number=4.9&amp;sourceID=14","4.9")</f>
        <v>4.9</v>
      </c>
      <c r="G923" s="4" t="str">
        <f>HYPERLINK("http://141.218.60.56/~jnz1568/getInfo.php?workbook=20_14.xlsx&amp;sheet=U0&amp;row=923&amp;col=7&amp;number=0.0431&amp;sourceID=14","0.0431")</f>
        <v>0.0431</v>
      </c>
    </row>
    <row r="924" spans="1:7">
      <c r="A924" s="3">
        <v>20</v>
      </c>
      <c r="B924" s="3">
        <v>14</v>
      </c>
      <c r="C924" s="3">
        <v>2</v>
      </c>
      <c r="D924" s="3">
        <v>23</v>
      </c>
      <c r="E924" s="3">
        <v>1</v>
      </c>
      <c r="F924" s="4" t="str">
        <f>HYPERLINK("http://141.218.60.56/~jnz1568/getInfo.php?workbook=20_14.xlsx&amp;sheet=U0&amp;row=924&amp;col=6&amp;number=3&amp;sourceID=14","3")</f>
        <v>3</v>
      </c>
      <c r="G924" s="4" t="str">
        <f>HYPERLINK("http://141.218.60.56/~jnz1568/getInfo.php?workbook=20_14.xlsx&amp;sheet=U0&amp;row=924&amp;col=7&amp;number=2.15&amp;sourceID=14","2.15")</f>
        <v>2.15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HYPERLINK("http://141.218.60.56/~jnz1568/getInfo.php?workbook=20_14.xlsx&amp;sheet=U0&amp;row=925&amp;col=6&amp;number=3.1&amp;sourceID=14","3.1")</f>
        <v>3.1</v>
      </c>
      <c r="G925" s="4" t="str">
        <f>HYPERLINK("http://141.218.60.56/~jnz1568/getInfo.php?workbook=20_14.xlsx&amp;sheet=U0&amp;row=925&amp;col=7&amp;number=2.15&amp;sourceID=14","2.15")</f>
        <v>2.15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HYPERLINK("http://141.218.60.56/~jnz1568/getInfo.php?workbook=20_14.xlsx&amp;sheet=U0&amp;row=926&amp;col=6&amp;number=3.2&amp;sourceID=14","3.2")</f>
        <v>3.2</v>
      </c>
      <c r="G926" s="4" t="str">
        <f>HYPERLINK("http://141.218.60.56/~jnz1568/getInfo.php?workbook=20_14.xlsx&amp;sheet=U0&amp;row=926&amp;col=7&amp;number=2.15&amp;sourceID=14","2.15")</f>
        <v>2.15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HYPERLINK("http://141.218.60.56/~jnz1568/getInfo.php?workbook=20_14.xlsx&amp;sheet=U0&amp;row=927&amp;col=6&amp;number=3.3&amp;sourceID=14","3.3")</f>
        <v>3.3</v>
      </c>
      <c r="G927" s="4" t="str">
        <f>HYPERLINK("http://141.218.60.56/~jnz1568/getInfo.php?workbook=20_14.xlsx&amp;sheet=U0&amp;row=927&amp;col=7&amp;number=2.15&amp;sourceID=14","2.15")</f>
        <v>2.15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HYPERLINK("http://141.218.60.56/~jnz1568/getInfo.php?workbook=20_14.xlsx&amp;sheet=U0&amp;row=928&amp;col=6&amp;number=3.4&amp;sourceID=14","3.4")</f>
        <v>3.4</v>
      </c>
      <c r="G928" s="4" t="str">
        <f>HYPERLINK("http://141.218.60.56/~jnz1568/getInfo.php?workbook=20_14.xlsx&amp;sheet=U0&amp;row=928&amp;col=7&amp;number=2.15&amp;sourceID=14","2.15")</f>
        <v>2.15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HYPERLINK("http://141.218.60.56/~jnz1568/getInfo.php?workbook=20_14.xlsx&amp;sheet=U0&amp;row=929&amp;col=6&amp;number=3.5&amp;sourceID=14","3.5")</f>
        <v>3.5</v>
      </c>
      <c r="G929" s="4" t="str">
        <f>HYPERLINK("http://141.218.60.56/~jnz1568/getInfo.php?workbook=20_14.xlsx&amp;sheet=U0&amp;row=929&amp;col=7&amp;number=2.16&amp;sourceID=14","2.16")</f>
        <v>2.16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HYPERLINK("http://141.218.60.56/~jnz1568/getInfo.php?workbook=20_14.xlsx&amp;sheet=U0&amp;row=930&amp;col=6&amp;number=3.6&amp;sourceID=14","3.6")</f>
        <v>3.6</v>
      </c>
      <c r="G930" s="4" t="str">
        <f>HYPERLINK("http://141.218.60.56/~jnz1568/getInfo.php?workbook=20_14.xlsx&amp;sheet=U0&amp;row=930&amp;col=7&amp;number=2.16&amp;sourceID=14","2.16")</f>
        <v>2.16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HYPERLINK("http://141.218.60.56/~jnz1568/getInfo.php?workbook=20_14.xlsx&amp;sheet=U0&amp;row=931&amp;col=6&amp;number=3.7&amp;sourceID=14","3.7")</f>
        <v>3.7</v>
      </c>
      <c r="G931" s="4" t="str">
        <f>HYPERLINK("http://141.218.60.56/~jnz1568/getInfo.php?workbook=20_14.xlsx&amp;sheet=U0&amp;row=931&amp;col=7&amp;number=2.16&amp;sourceID=14","2.16")</f>
        <v>2.16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HYPERLINK("http://141.218.60.56/~jnz1568/getInfo.php?workbook=20_14.xlsx&amp;sheet=U0&amp;row=932&amp;col=6&amp;number=3.8&amp;sourceID=14","3.8")</f>
        <v>3.8</v>
      </c>
      <c r="G932" s="4" t="str">
        <f>HYPERLINK("http://141.218.60.56/~jnz1568/getInfo.php?workbook=20_14.xlsx&amp;sheet=U0&amp;row=932&amp;col=7&amp;number=2.16&amp;sourceID=14","2.16")</f>
        <v>2.16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HYPERLINK("http://141.218.60.56/~jnz1568/getInfo.php?workbook=20_14.xlsx&amp;sheet=U0&amp;row=933&amp;col=6&amp;number=3.9&amp;sourceID=14","3.9")</f>
        <v>3.9</v>
      </c>
      <c r="G933" s="4" t="str">
        <f>HYPERLINK("http://141.218.60.56/~jnz1568/getInfo.php?workbook=20_14.xlsx&amp;sheet=U0&amp;row=933&amp;col=7&amp;number=2.16&amp;sourceID=14","2.16")</f>
        <v>2.16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HYPERLINK("http://141.218.60.56/~jnz1568/getInfo.php?workbook=20_14.xlsx&amp;sheet=U0&amp;row=934&amp;col=6&amp;number=4&amp;sourceID=14","4")</f>
        <v>4</v>
      </c>
      <c r="G934" s="4" t="str">
        <f>HYPERLINK("http://141.218.60.56/~jnz1568/getInfo.php?workbook=20_14.xlsx&amp;sheet=U0&amp;row=934&amp;col=7&amp;number=2.17&amp;sourceID=14","2.17")</f>
        <v>2.17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HYPERLINK("http://141.218.60.56/~jnz1568/getInfo.php?workbook=20_14.xlsx&amp;sheet=U0&amp;row=935&amp;col=6&amp;number=4.1&amp;sourceID=14","4.1")</f>
        <v>4.1</v>
      </c>
      <c r="G935" s="4" t="str">
        <f>HYPERLINK("http://141.218.60.56/~jnz1568/getInfo.php?workbook=20_14.xlsx&amp;sheet=U0&amp;row=935&amp;col=7&amp;number=2.17&amp;sourceID=14","2.17")</f>
        <v>2.17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HYPERLINK("http://141.218.60.56/~jnz1568/getInfo.php?workbook=20_14.xlsx&amp;sheet=U0&amp;row=936&amp;col=6&amp;number=4.2&amp;sourceID=14","4.2")</f>
        <v>4.2</v>
      </c>
      <c r="G936" s="4" t="str">
        <f>HYPERLINK("http://141.218.60.56/~jnz1568/getInfo.php?workbook=20_14.xlsx&amp;sheet=U0&amp;row=936&amp;col=7&amp;number=2.18&amp;sourceID=14","2.18")</f>
        <v>2.18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HYPERLINK("http://141.218.60.56/~jnz1568/getInfo.php?workbook=20_14.xlsx&amp;sheet=U0&amp;row=937&amp;col=6&amp;number=4.3&amp;sourceID=14","4.3")</f>
        <v>4.3</v>
      </c>
      <c r="G937" s="4" t="str">
        <f>HYPERLINK("http://141.218.60.56/~jnz1568/getInfo.php?workbook=20_14.xlsx&amp;sheet=U0&amp;row=937&amp;col=7&amp;number=2.18&amp;sourceID=14","2.18")</f>
        <v>2.18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HYPERLINK("http://141.218.60.56/~jnz1568/getInfo.php?workbook=20_14.xlsx&amp;sheet=U0&amp;row=938&amp;col=6&amp;number=4.4&amp;sourceID=14","4.4")</f>
        <v>4.4</v>
      </c>
      <c r="G938" s="4" t="str">
        <f>HYPERLINK("http://141.218.60.56/~jnz1568/getInfo.php?workbook=20_14.xlsx&amp;sheet=U0&amp;row=938&amp;col=7&amp;number=2.19&amp;sourceID=14","2.19")</f>
        <v>2.19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HYPERLINK("http://141.218.60.56/~jnz1568/getInfo.php?workbook=20_14.xlsx&amp;sheet=U0&amp;row=939&amp;col=6&amp;number=4.5&amp;sourceID=14","4.5")</f>
        <v>4.5</v>
      </c>
      <c r="G939" s="4" t="str">
        <f>HYPERLINK("http://141.218.60.56/~jnz1568/getInfo.php?workbook=20_14.xlsx&amp;sheet=U0&amp;row=939&amp;col=7&amp;number=2.2&amp;sourceID=14","2.2")</f>
        <v>2.2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HYPERLINK("http://141.218.60.56/~jnz1568/getInfo.php?workbook=20_14.xlsx&amp;sheet=U0&amp;row=940&amp;col=6&amp;number=4.6&amp;sourceID=14","4.6")</f>
        <v>4.6</v>
      </c>
      <c r="G940" s="4" t="str">
        <f>HYPERLINK("http://141.218.60.56/~jnz1568/getInfo.php?workbook=20_14.xlsx&amp;sheet=U0&amp;row=940&amp;col=7&amp;number=2.21&amp;sourceID=14","2.21")</f>
        <v>2.21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HYPERLINK("http://141.218.60.56/~jnz1568/getInfo.php?workbook=20_14.xlsx&amp;sheet=U0&amp;row=941&amp;col=6&amp;number=4.7&amp;sourceID=14","4.7")</f>
        <v>4.7</v>
      </c>
      <c r="G941" s="4" t="str">
        <f>HYPERLINK("http://141.218.60.56/~jnz1568/getInfo.php?workbook=20_14.xlsx&amp;sheet=U0&amp;row=941&amp;col=7&amp;number=2.23&amp;sourceID=14","2.23")</f>
        <v>2.23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HYPERLINK("http://141.218.60.56/~jnz1568/getInfo.php?workbook=20_14.xlsx&amp;sheet=U0&amp;row=942&amp;col=6&amp;number=4.8&amp;sourceID=14","4.8")</f>
        <v>4.8</v>
      </c>
      <c r="G942" s="4" t="str">
        <f>HYPERLINK("http://141.218.60.56/~jnz1568/getInfo.php?workbook=20_14.xlsx&amp;sheet=U0&amp;row=942&amp;col=7&amp;number=2.25&amp;sourceID=14","2.25")</f>
        <v>2.25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HYPERLINK("http://141.218.60.56/~jnz1568/getInfo.php?workbook=20_14.xlsx&amp;sheet=U0&amp;row=943&amp;col=6&amp;number=4.9&amp;sourceID=14","4.9")</f>
        <v>4.9</v>
      </c>
      <c r="G943" s="4" t="str">
        <f>HYPERLINK("http://141.218.60.56/~jnz1568/getInfo.php?workbook=20_14.xlsx&amp;sheet=U0&amp;row=943&amp;col=7&amp;number=2.28&amp;sourceID=14","2.28")</f>
        <v>2.28</v>
      </c>
    </row>
    <row r="944" spans="1:7">
      <c r="A944" s="3">
        <v>20</v>
      </c>
      <c r="B944" s="3">
        <v>14</v>
      </c>
      <c r="C944" s="3">
        <v>2</v>
      </c>
      <c r="D944" s="3">
        <v>24</v>
      </c>
      <c r="E944" s="3">
        <v>1</v>
      </c>
      <c r="F944" s="4" t="str">
        <f>HYPERLINK("http://141.218.60.56/~jnz1568/getInfo.php?workbook=20_14.xlsx&amp;sheet=U0&amp;row=944&amp;col=6&amp;number=3&amp;sourceID=14","3")</f>
        <v>3</v>
      </c>
      <c r="G944" s="4" t="str">
        <f>HYPERLINK("http://141.218.60.56/~jnz1568/getInfo.php?workbook=20_14.xlsx&amp;sheet=U0&amp;row=944&amp;col=7&amp;number=4.79&amp;sourceID=14","4.79")</f>
        <v>4.79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HYPERLINK("http://141.218.60.56/~jnz1568/getInfo.php?workbook=20_14.xlsx&amp;sheet=U0&amp;row=945&amp;col=6&amp;number=3.1&amp;sourceID=14","3.1")</f>
        <v>3.1</v>
      </c>
      <c r="G945" s="4" t="str">
        <f>HYPERLINK("http://141.218.60.56/~jnz1568/getInfo.php?workbook=20_14.xlsx&amp;sheet=U0&amp;row=945&amp;col=7&amp;number=4.8&amp;sourceID=14","4.8")</f>
        <v>4.8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HYPERLINK("http://141.218.60.56/~jnz1568/getInfo.php?workbook=20_14.xlsx&amp;sheet=U0&amp;row=946&amp;col=6&amp;number=3.2&amp;sourceID=14","3.2")</f>
        <v>3.2</v>
      </c>
      <c r="G946" s="4" t="str">
        <f>HYPERLINK("http://141.218.60.56/~jnz1568/getInfo.php?workbook=20_14.xlsx&amp;sheet=U0&amp;row=946&amp;col=7&amp;number=4.8&amp;sourceID=14","4.8")</f>
        <v>4.8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HYPERLINK("http://141.218.60.56/~jnz1568/getInfo.php?workbook=20_14.xlsx&amp;sheet=U0&amp;row=947&amp;col=6&amp;number=3.3&amp;sourceID=14","3.3")</f>
        <v>3.3</v>
      </c>
      <c r="G947" s="4" t="str">
        <f>HYPERLINK("http://141.218.60.56/~jnz1568/getInfo.php?workbook=20_14.xlsx&amp;sheet=U0&amp;row=947&amp;col=7&amp;number=4.8&amp;sourceID=14","4.8")</f>
        <v>4.8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HYPERLINK("http://141.218.60.56/~jnz1568/getInfo.php?workbook=20_14.xlsx&amp;sheet=U0&amp;row=948&amp;col=6&amp;number=3.4&amp;sourceID=14","3.4")</f>
        <v>3.4</v>
      </c>
      <c r="G948" s="4" t="str">
        <f>HYPERLINK("http://141.218.60.56/~jnz1568/getInfo.php?workbook=20_14.xlsx&amp;sheet=U0&amp;row=948&amp;col=7&amp;number=4.8&amp;sourceID=14","4.8")</f>
        <v>4.8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HYPERLINK("http://141.218.60.56/~jnz1568/getInfo.php?workbook=20_14.xlsx&amp;sheet=U0&amp;row=949&amp;col=6&amp;number=3.5&amp;sourceID=14","3.5")</f>
        <v>3.5</v>
      </c>
      <c r="G949" s="4" t="str">
        <f>HYPERLINK("http://141.218.60.56/~jnz1568/getInfo.php?workbook=20_14.xlsx&amp;sheet=U0&amp;row=949&amp;col=7&amp;number=4.8&amp;sourceID=14","4.8")</f>
        <v>4.8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HYPERLINK("http://141.218.60.56/~jnz1568/getInfo.php?workbook=20_14.xlsx&amp;sheet=U0&amp;row=950&amp;col=6&amp;number=3.6&amp;sourceID=14","3.6")</f>
        <v>3.6</v>
      </c>
      <c r="G950" s="4" t="str">
        <f>HYPERLINK("http://141.218.60.56/~jnz1568/getInfo.php?workbook=20_14.xlsx&amp;sheet=U0&amp;row=950&amp;col=7&amp;number=4.81&amp;sourceID=14","4.81")</f>
        <v>4.81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HYPERLINK("http://141.218.60.56/~jnz1568/getInfo.php?workbook=20_14.xlsx&amp;sheet=U0&amp;row=951&amp;col=6&amp;number=3.7&amp;sourceID=14","3.7")</f>
        <v>3.7</v>
      </c>
      <c r="G951" s="4" t="str">
        <f>HYPERLINK("http://141.218.60.56/~jnz1568/getInfo.php?workbook=20_14.xlsx&amp;sheet=U0&amp;row=951&amp;col=7&amp;number=4.81&amp;sourceID=14","4.81")</f>
        <v>4.81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HYPERLINK("http://141.218.60.56/~jnz1568/getInfo.php?workbook=20_14.xlsx&amp;sheet=U0&amp;row=952&amp;col=6&amp;number=3.8&amp;sourceID=14","3.8")</f>
        <v>3.8</v>
      </c>
      <c r="G952" s="4" t="str">
        <f>HYPERLINK("http://141.218.60.56/~jnz1568/getInfo.php?workbook=20_14.xlsx&amp;sheet=U0&amp;row=952&amp;col=7&amp;number=4.81&amp;sourceID=14","4.81")</f>
        <v>4.81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HYPERLINK("http://141.218.60.56/~jnz1568/getInfo.php?workbook=20_14.xlsx&amp;sheet=U0&amp;row=953&amp;col=6&amp;number=3.9&amp;sourceID=14","3.9")</f>
        <v>3.9</v>
      </c>
      <c r="G953" s="4" t="str">
        <f>HYPERLINK("http://141.218.60.56/~jnz1568/getInfo.php?workbook=20_14.xlsx&amp;sheet=U0&amp;row=953&amp;col=7&amp;number=4.82&amp;sourceID=14","4.82")</f>
        <v>4.82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HYPERLINK("http://141.218.60.56/~jnz1568/getInfo.php?workbook=20_14.xlsx&amp;sheet=U0&amp;row=954&amp;col=6&amp;number=4&amp;sourceID=14","4")</f>
        <v>4</v>
      </c>
      <c r="G954" s="4" t="str">
        <f>HYPERLINK("http://141.218.60.56/~jnz1568/getInfo.php?workbook=20_14.xlsx&amp;sheet=U0&amp;row=954&amp;col=7&amp;number=4.83&amp;sourceID=14","4.83")</f>
        <v>4.83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HYPERLINK("http://141.218.60.56/~jnz1568/getInfo.php?workbook=20_14.xlsx&amp;sheet=U0&amp;row=955&amp;col=6&amp;number=4.1&amp;sourceID=14","4.1")</f>
        <v>4.1</v>
      </c>
      <c r="G955" s="4" t="str">
        <f>HYPERLINK("http://141.218.60.56/~jnz1568/getInfo.php?workbook=20_14.xlsx&amp;sheet=U0&amp;row=955&amp;col=7&amp;number=4.84&amp;sourceID=14","4.84")</f>
        <v>4.84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HYPERLINK("http://141.218.60.56/~jnz1568/getInfo.php?workbook=20_14.xlsx&amp;sheet=U0&amp;row=956&amp;col=6&amp;number=4.2&amp;sourceID=14","4.2")</f>
        <v>4.2</v>
      </c>
      <c r="G956" s="4" t="str">
        <f>HYPERLINK("http://141.218.60.56/~jnz1568/getInfo.php?workbook=20_14.xlsx&amp;sheet=U0&amp;row=956&amp;col=7&amp;number=4.85&amp;sourceID=14","4.85")</f>
        <v>4.85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HYPERLINK("http://141.218.60.56/~jnz1568/getInfo.php?workbook=20_14.xlsx&amp;sheet=U0&amp;row=957&amp;col=6&amp;number=4.3&amp;sourceID=14","4.3")</f>
        <v>4.3</v>
      </c>
      <c r="G957" s="4" t="str">
        <f>HYPERLINK("http://141.218.60.56/~jnz1568/getInfo.php?workbook=20_14.xlsx&amp;sheet=U0&amp;row=957&amp;col=7&amp;number=4.87&amp;sourceID=14","4.87")</f>
        <v>4.87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HYPERLINK("http://141.218.60.56/~jnz1568/getInfo.php?workbook=20_14.xlsx&amp;sheet=U0&amp;row=958&amp;col=6&amp;number=4.4&amp;sourceID=14","4.4")</f>
        <v>4.4</v>
      </c>
      <c r="G958" s="4" t="str">
        <f>HYPERLINK("http://141.218.60.56/~jnz1568/getInfo.php?workbook=20_14.xlsx&amp;sheet=U0&amp;row=958&amp;col=7&amp;number=4.88&amp;sourceID=14","4.88")</f>
        <v>4.88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HYPERLINK("http://141.218.60.56/~jnz1568/getInfo.php?workbook=20_14.xlsx&amp;sheet=U0&amp;row=959&amp;col=6&amp;number=4.5&amp;sourceID=14","4.5")</f>
        <v>4.5</v>
      </c>
      <c r="G959" s="4" t="str">
        <f>HYPERLINK("http://141.218.60.56/~jnz1568/getInfo.php?workbook=20_14.xlsx&amp;sheet=U0&amp;row=959&amp;col=7&amp;number=4.91&amp;sourceID=14","4.91")</f>
        <v>4.91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HYPERLINK("http://141.218.60.56/~jnz1568/getInfo.php?workbook=20_14.xlsx&amp;sheet=U0&amp;row=960&amp;col=6&amp;number=4.6&amp;sourceID=14","4.6")</f>
        <v>4.6</v>
      </c>
      <c r="G960" s="4" t="str">
        <f>HYPERLINK("http://141.218.60.56/~jnz1568/getInfo.php?workbook=20_14.xlsx&amp;sheet=U0&amp;row=960&amp;col=7&amp;number=4.94&amp;sourceID=14","4.94")</f>
        <v>4.94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HYPERLINK("http://141.218.60.56/~jnz1568/getInfo.php?workbook=20_14.xlsx&amp;sheet=U0&amp;row=961&amp;col=6&amp;number=4.7&amp;sourceID=14","4.7")</f>
        <v>4.7</v>
      </c>
      <c r="G961" s="4" t="str">
        <f>HYPERLINK("http://141.218.60.56/~jnz1568/getInfo.php?workbook=20_14.xlsx&amp;sheet=U0&amp;row=961&amp;col=7&amp;number=4.98&amp;sourceID=14","4.98")</f>
        <v>4.98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HYPERLINK("http://141.218.60.56/~jnz1568/getInfo.php?workbook=20_14.xlsx&amp;sheet=U0&amp;row=962&amp;col=6&amp;number=4.8&amp;sourceID=14","4.8")</f>
        <v>4.8</v>
      </c>
      <c r="G962" s="4" t="str">
        <f>HYPERLINK("http://141.218.60.56/~jnz1568/getInfo.php?workbook=20_14.xlsx&amp;sheet=U0&amp;row=962&amp;col=7&amp;number=5.02&amp;sourceID=14","5.02")</f>
        <v>5.02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HYPERLINK("http://141.218.60.56/~jnz1568/getInfo.php?workbook=20_14.xlsx&amp;sheet=U0&amp;row=963&amp;col=6&amp;number=4.9&amp;sourceID=14","4.9")</f>
        <v>4.9</v>
      </c>
      <c r="G963" s="4" t="str">
        <f>HYPERLINK("http://141.218.60.56/~jnz1568/getInfo.php?workbook=20_14.xlsx&amp;sheet=U0&amp;row=963&amp;col=7&amp;number=5.08&amp;sourceID=14","5.08")</f>
        <v>5.08</v>
      </c>
    </row>
    <row r="964" spans="1:7">
      <c r="A964" s="3">
        <v>20</v>
      </c>
      <c r="B964" s="3">
        <v>14</v>
      </c>
      <c r="C964" s="3">
        <v>2</v>
      </c>
      <c r="D964" s="3">
        <v>25</v>
      </c>
      <c r="E964" s="3">
        <v>1</v>
      </c>
      <c r="F964" s="4" t="str">
        <f>HYPERLINK("http://141.218.60.56/~jnz1568/getInfo.php?workbook=20_14.xlsx&amp;sheet=U0&amp;row=964&amp;col=6&amp;number=3&amp;sourceID=14","3")</f>
        <v>3</v>
      </c>
      <c r="G964" s="4" t="str">
        <f>HYPERLINK("http://141.218.60.56/~jnz1568/getInfo.php?workbook=20_14.xlsx&amp;sheet=U0&amp;row=964&amp;col=7&amp;number=0.101&amp;sourceID=14","0.101")</f>
        <v>0.101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HYPERLINK("http://141.218.60.56/~jnz1568/getInfo.php?workbook=20_14.xlsx&amp;sheet=U0&amp;row=965&amp;col=6&amp;number=3.1&amp;sourceID=14","3.1")</f>
        <v>3.1</v>
      </c>
      <c r="G965" s="4" t="str">
        <f>HYPERLINK("http://141.218.60.56/~jnz1568/getInfo.php?workbook=20_14.xlsx&amp;sheet=U0&amp;row=965&amp;col=7&amp;number=0.101&amp;sourceID=14","0.101")</f>
        <v>0.101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HYPERLINK("http://141.218.60.56/~jnz1568/getInfo.php?workbook=20_14.xlsx&amp;sheet=U0&amp;row=966&amp;col=6&amp;number=3.2&amp;sourceID=14","3.2")</f>
        <v>3.2</v>
      </c>
      <c r="G966" s="4" t="str">
        <f>HYPERLINK("http://141.218.60.56/~jnz1568/getInfo.php?workbook=20_14.xlsx&amp;sheet=U0&amp;row=966&amp;col=7&amp;number=0.101&amp;sourceID=14","0.101")</f>
        <v>0.101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HYPERLINK("http://141.218.60.56/~jnz1568/getInfo.php?workbook=20_14.xlsx&amp;sheet=U0&amp;row=967&amp;col=6&amp;number=3.3&amp;sourceID=14","3.3")</f>
        <v>3.3</v>
      </c>
      <c r="G967" s="4" t="str">
        <f>HYPERLINK("http://141.218.60.56/~jnz1568/getInfo.php?workbook=20_14.xlsx&amp;sheet=U0&amp;row=967&amp;col=7&amp;number=0.101&amp;sourceID=14","0.101")</f>
        <v>0.101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HYPERLINK("http://141.218.60.56/~jnz1568/getInfo.php?workbook=20_14.xlsx&amp;sheet=U0&amp;row=968&amp;col=6&amp;number=3.4&amp;sourceID=14","3.4")</f>
        <v>3.4</v>
      </c>
      <c r="G968" s="4" t="str">
        <f>HYPERLINK("http://141.218.60.56/~jnz1568/getInfo.php?workbook=20_14.xlsx&amp;sheet=U0&amp;row=968&amp;col=7&amp;number=0.101&amp;sourceID=14","0.101")</f>
        <v>0.101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HYPERLINK("http://141.218.60.56/~jnz1568/getInfo.php?workbook=20_14.xlsx&amp;sheet=U0&amp;row=969&amp;col=6&amp;number=3.5&amp;sourceID=14","3.5")</f>
        <v>3.5</v>
      </c>
      <c r="G969" s="4" t="str">
        <f>HYPERLINK("http://141.218.60.56/~jnz1568/getInfo.php?workbook=20_14.xlsx&amp;sheet=U0&amp;row=969&amp;col=7&amp;number=0.101&amp;sourceID=14","0.101")</f>
        <v>0.101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HYPERLINK("http://141.218.60.56/~jnz1568/getInfo.php?workbook=20_14.xlsx&amp;sheet=U0&amp;row=970&amp;col=6&amp;number=3.6&amp;sourceID=14","3.6")</f>
        <v>3.6</v>
      </c>
      <c r="G970" s="4" t="str">
        <f>HYPERLINK("http://141.218.60.56/~jnz1568/getInfo.php?workbook=20_14.xlsx&amp;sheet=U0&amp;row=970&amp;col=7&amp;number=0.101&amp;sourceID=14","0.101")</f>
        <v>0.101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HYPERLINK("http://141.218.60.56/~jnz1568/getInfo.php?workbook=20_14.xlsx&amp;sheet=U0&amp;row=971&amp;col=6&amp;number=3.7&amp;sourceID=14","3.7")</f>
        <v>3.7</v>
      </c>
      <c r="G971" s="4" t="str">
        <f>HYPERLINK("http://141.218.60.56/~jnz1568/getInfo.php?workbook=20_14.xlsx&amp;sheet=U0&amp;row=971&amp;col=7&amp;number=0.101&amp;sourceID=14","0.101")</f>
        <v>0.101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HYPERLINK("http://141.218.60.56/~jnz1568/getInfo.php?workbook=20_14.xlsx&amp;sheet=U0&amp;row=972&amp;col=6&amp;number=3.8&amp;sourceID=14","3.8")</f>
        <v>3.8</v>
      </c>
      <c r="G972" s="4" t="str">
        <f>HYPERLINK("http://141.218.60.56/~jnz1568/getInfo.php?workbook=20_14.xlsx&amp;sheet=U0&amp;row=972&amp;col=7&amp;number=0.101&amp;sourceID=14","0.101")</f>
        <v>0.101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HYPERLINK("http://141.218.60.56/~jnz1568/getInfo.php?workbook=20_14.xlsx&amp;sheet=U0&amp;row=973&amp;col=6&amp;number=3.9&amp;sourceID=14","3.9")</f>
        <v>3.9</v>
      </c>
      <c r="G973" s="4" t="str">
        <f>HYPERLINK("http://141.218.60.56/~jnz1568/getInfo.php?workbook=20_14.xlsx&amp;sheet=U0&amp;row=973&amp;col=7&amp;number=0.101&amp;sourceID=14","0.101")</f>
        <v>0.101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HYPERLINK("http://141.218.60.56/~jnz1568/getInfo.php?workbook=20_14.xlsx&amp;sheet=U0&amp;row=974&amp;col=6&amp;number=4&amp;sourceID=14","4")</f>
        <v>4</v>
      </c>
      <c r="G974" s="4" t="str">
        <f>HYPERLINK("http://141.218.60.56/~jnz1568/getInfo.php?workbook=20_14.xlsx&amp;sheet=U0&amp;row=974&amp;col=7&amp;number=0.101&amp;sourceID=14","0.101")</f>
        <v>0.101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HYPERLINK("http://141.218.60.56/~jnz1568/getInfo.php?workbook=20_14.xlsx&amp;sheet=U0&amp;row=975&amp;col=6&amp;number=4.1&amp;sourceID=14","4.1")</f>
        <v>4.1</v>
      </c>
      <c r="G975" s="4" t="str">
        <f>HYPERLINK("http://141.218.60.56/~jnz1568/getInfo.php?workbook=20_14.xlsx&amp;sheet=U0&amp;row=975&amp;col=7&amp;number=0.101&amp;sourceID=14","0.101")</f>
        <v>0.101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HYPERLINK("http://141.218.60.56/~jnz1568/getInfo.php?workbook=20_14.xlsx&amp;sheet=U0&amp;row=976&amp;col=6&amp;number=4.2&amp;sourceID=14","4.2")</f>
        <v>4.2</v>
      </c>
      <c r="G976" s="4" t="str">
        <f>HYPERLINK("http://141.218.60.56/~jnz1568/getInfo.php?workbook=20_14.xlsx&amp;sheet=U0&amp;row=976&amp;col=7&amp;number=0.101&amp;sourceID=14","0.101")</f>
        <v>0.101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HYPERLINK("http://141.218.60.56/~jnz1568/getInfo.php?workbook=20_14.xlsx&amp;sheet=U0&amp;row=977&amp;col=6&amp;number=4.3&amp;sourceID=14","4.3")</f>
        <v>4.3</v>
      </c>
      <c r="G977" s="4" t="str">
        <f>HYPERLINK("http://141.218.60.56/~jnz1568/getInfo.php?workbook=20_14.xlsx&amp;sheet=U0&amp;row=977&amp;col=7&amp;number=0.1&amp;sourceID=14","0.1")</f>
        <v>0.1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HYPERLINK("http://141.218.60.56/~jnz1568/getInfo.php?workbook=20_14.xlsx&amp;sheet=U0&amp;row=978&amp;col=6&amp;number=4.4&amp;sourceID=14","4.4")</f>
        <v>4.4</v>
      </c>
      <c r="G978" s="4" t="str">
        <f>HYPERLINK("http://141.218.60.56/~jnz1568/getInfo.php?workbook=20_14.xlsx&amp;sheet=U0&amp;row=978&amp;col=7&amp;number=0.1&amp;sourceID=14","0.1")</f>
        <v>0.1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HYPERLINK("http://141.218.60.56/~jnz1568/getInfo.php?workbook=20_14.xlsx&amp;sheet=U0&amp;row=979&amp;col=6&amp;number=4.5&amp;sourceID=14","4.5")</f>
        <v>4.5</v>
      </c>
      <c r="G979" s="4" t="str">
        <f>HYPERLINK("http://141.218.60.56/~jnz1568/getInfo.php?workbook=20_14.xlsx&amp;sheet=U0&amp;row=979&amp;col=7&amp;number=0.1&amp;sourceID=14","0.1")</f>
        <v>0.1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HYPERLINK("http://141.218.60.56/~jnz1568/getInfo.php?workbook=20_14.xlsx&amp;sheet=U0&amp;row=980&amp;col=6&amp;number=4.6&amp;sourceID=14","4.6")</f>
        <v>4.6</v>
      </c>
      <c r="G980" s="4" t="str">
        <f>HYPERLINK("http://141.218.60.56/~jnz1568/getInfo.php?workbook=20_14.xlsx&amp;sheet=U0&amp;row=980&amp;col=7&amp;number=0.0998&amp;sourceID=14","0.0998")</f>
        <v>0.0998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HYPERLINK("http://141.218.60.56/~jnz1568/getInfo.php?workbook=20_14.xlsx&amp;sheet=U0&amp;row=981&amp;col=6&amp;number=4.7&amp;sourceID=14","4.7")</f>
        <v>4.7</v>
      </c>
      <c r="G981" s="4" t="str">
        <f>HYPERLINK("http://141.218.60.56/~jnz1568/getInfo.php?workbook=20_14.xlsx&amp;sheet=U0&amp;row=981&amp;col=7&amp;number=0.0994&amp;sourceID=14","0.0994")</f>
        <v>0.0994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HYPERLINK("http://141.218.60.56/~jnz1568/getInfo.php?workbook=20_14.xlsx&amp;sheet=U0&amp;row=982&amp;col=6&amp;number=4.8&amp;sourceID=14","4.8")</f>
        <v>4.8</v>
      </c>
      <c r="G982" s="4" t="str">
        <f>HYPERLINK("http://141.218.60.56/~jnz1568/getInfo.php?workbook=20_14.xlsx&amp;sheet=U0&amp;row=982&amp;col=7&amp;number=0.099&amp;sourceID=14","0.099")</f>
        <v>0.099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HYPERLINK("http://141.218.60.56/~jnz1568/getInfo.php?workbook=20_14.xlsx&amp;sheet=U0&amp;row=983&amp;col=6&amp;number=4.9&amp;sourceID=14","4.9")</f>
        <v>4.9</v>
      </c>
      <c r="G983" s="4" t="str">
        <f>HYPERLINK("http://141.218.60.56/~jnz1568/getInfo.php?workbook=20_14.xlsx&amp;sheet=U0&amp;row=983&amp;col=7&amp;number=0.0985&amp;sourceID=14","0.0985")</f>
        <v>0.0985</v>
      </c>
    </row>
    <row r="984" spans="1:7">
      <c r="A984" s="3">
        <v>20</v>
      </c>
      <c r="B984" s="3">
        <v>14</v>
      </c>
      <c r="C984" s="3">
        <v>2</v>
      </c>
      <c r="D984" s="3">
        <v>26</v>
      </c>
      <c r="E984" s="3">
        <v>1</v>
      </c>
      <c r="F984" s="4" t="str">
        <f>HYPERLINK("http://141.218.60.56/~jnz1568/getInfo.php?workbook=20_14.xlsx&amp;sheet=U0&amp;row=984&amp;col=6&amp;number=3&amp;sourceID=14","3")</f>
        <v>3</v>
      </c>
      <c r="G984" s="4" t="str">
        <f>HYPERLINK("http://141.218.60.56/~jnz1568/getInfo.php?workbook=20_14.xlsx&amp;sheet=U0&amp;row=984&amp;col=7&amp;number=0.097&amp;sourceID=14","0.097")</f>
        <v>0.097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HYPERLINK("http://141.218.60.56/~jnz1568/getInfo.php?workbook=20_14.xlsx&amp;sheet=U0&amp;row=985&amp;col=6&amp;number=3.1&amp;sourceID=14","3.1")</f>
        <v>3.1</v>
      </c>
      <c r="G985" s="4" t="str">
        <f>HYPERLINK("http://141.218.60.56/~jnz1568/getInfo.php?workbook=20_14.xlsx&amp;sheet=U0&amp;row=985&amp;col=7&amp;number=0.0969&amp;sourceID=14","0.0969")</f>
        <v>0.0969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HYPERLINK("http://141.218.60.56/~jnz1568/getInfo.php?workbook=20_14.xlsx&amp;sheet=U0&amp;row=986&amp;col=6&amp;number=3.2&amp;sourceID=14","3.2")</f>
        <v>3.2</v>
      </c>
      <c r="G986" s="4" t="str">
        <f>HYPERLINK("http://141.218.60.56/~jnz1568/getInfo.php?workbook=20_14.xlsx&amp;sheet=U0&amp;row=986&amp;col=7&amp;number=0.0969&amp;sourceID=14","0.0969")</f>
        <v>0.0969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HYPERLINK("http://141.218.60.56/~jnz1568/getInfo.php?workbook=20_14.xlsx&amp;sheet=U0&amp;row=987&amp;col=6&amp;number=3.3&amp;sourceID=14","3.3")</f>
        <v>3.3</v>
      </c>
      <c r="G987" s="4" t="str">
        <f>HYPERLINK("http://141.218.60.56/~jnz1568/getInfo.php?workbook=20_14.xlsx&amp;sheet=U0&amp;row=987&amp;col=7&amp;number=0.0968&amp;sourceID=14","0.0968")</f>
        <v>0.0968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HYPERLINK("http://141.218.60.56/~jnz1568/getInfo.php?workbook=20_14.xlsx&amp;sheet=U0&amp;row=988&amp;col=6&amp;number=3.4&amp;sourceID=14","3.4")</f>
        <v>3.4</v>
      </c>
      <c r="G988" s="4" t="str">
        <f>HYPERLINK("http://141.218.60.56/~jnz1568/getInfo.php?workbook=20_14.xlsx&amp;sheet=U0&amp;row=988&amp;col=7&amp;number=0.0967&amp;sourceID=14","0.0967")</f>
        <v>0.0967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HYPERLINK("http://141.218.60.56/~jnz1568/getInfo.php?workbook=20_14.xlsx&amp;sheet=U0&amp;row=989&amp;col=6&amp;number=3.5&amp;sourceID=14","3.5")</f>
        <v>3.5</v>
      </c>
      <c r="G989" s="4" t="str">
        <f>HYPERLINK("http://141.218.60.56/~jnz1568/getInfo.php?workbook=20_14.xlsx&amp;sheet=U0&amp;row=989&amp;col=7&amp;number=0.0966&amp;sourceID=14","0.0966")</f>
        <v>0.0966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HYPERLINK("http://141.218.60.56/~jnz1568/getInfo.php?workbook=20_14.xlsx&amp;sheet=U0&amp;row=990&amp;col=6&amp;number=3.6&amp;sourceID=14","3.6")</f>
        <v>3.6</v>
      </c>
      <c r="G990" s="4" t="str">
        <f>HYPERLINK("http://141.218.60.56/~jnz1568/getInfo.php?workbook=20_14.xlsx&amp;sheet=U0&amp;row=990&amp;col=7&amp;number=0.0965&amp;sourceID=14","0.0965")</f>
        <v>0.0965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HYPERLINK("http://141.218.60.56/~jnz1568/getInfo.php?workbook=20_14.xlsx&amp;sheet=U0&amp;row=991&amp;col=6&amp;number=3.7&amp;sourceID=14","3.7")</f>
        <v>3.7</v>
      </c>
      <c r="G991" s="4" t="str">
        <f>HYPERLINK("http://141.218.60.56/~jnz1568/getInfo.php?workbook=20_14.xlsx&amp;sheet=U0&amp;row=991&amp;col=7&amp;number=0.0964&amp;sourceID=14","0.0964")</f>
        <v>0.0964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HYPERLINK("http://141.218.60.56/~jnz1568/getInfo.php?workbook=20_14.xlsx&amp;sheet=U0&amp;row=992&amp;col=6&amp;number=3.8&amp;sourceID=14","3.8")</f>
        <v>3.8</v>
      </c>
      <c r="G992" s="4" t="str">
        <f>HYPERLINK("http://141.218.60.56/~jnz1568/getInfo.php?workbook=20_14.xlsx&amp;sheet=U0&amp;row=992&amp;col=7&amp;number=0.0962&amp;sourceID=14","0.0962")</f>
        <v>0.0962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HYPERLINK("http://141.218.60.56/~jnz1568/getInfo.php?workbook=20_14.xlsx&amp;sheet=U0&amp;row=993&amp;col=6&amp;number=3.9&amp;sourceID=14","3.9")</f>
        <v>3.9</v>
      </c>
      <c r="G993" s="4" t="str">
        <f>HYPERLINK("http://141.218.60.56/~jnz1568/getInfo.php?workbook=20_14.xlsx&amp;sheet=U0&amp;row=993&amp;col=7&amp;number=0.0959&amp;sourceID=14","0.0959")</f>
        <v>0.0959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HYPERLINK("http://141.218.60.56/~jnz1568/getInfo.php?workbook=20_14.xlsx&amp;sheet=U0&amp;row=994&amp;col=6&amp;number=4&amp;sourceID=14","4")</f>
        <v>4</v>
      </c>
      <c r="G994" s="4" t="str">
        <f>HYPERLINK("http://141.218.60.56/~jnz1568/getInfo.php?workbook=20_14.xlsx&amp;sheet=U0&amp;row=994&amp;col=7&amp;number=0.0956&amp;sourceID=14","0.0956")</f>
        <v>0.0956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HYPERLINK("http://141.218.60.56/~jnz1568/getInfo.php?workbook=20_14.xlsx&amp;sheet=U0&amp;row=995&amp;col=6&amp;number=4.1&amp;sourceID=14","4.1")</f>
        <v>4.1</v>
      </c>
      <c r="G995" s="4" t="str">
        <f>HYPERLINK("http://141.218.60.56/~jnz1568/getInfo.php?workbook=20_14.xlsx&amp;sheet=U0&amp;row=995&amp;col=7&amp;number=0.0952&amp;sourceID=14","0.0952")</f>
        <v>0.0952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HYPERLINK("http://141.218.60.56/~jnz1568/getInfo.php?workbook=20_14.xlsx&amp;sheet=U0&amp;row=996&amp;col=6&amp;number=4.2&amp;sourceID=14","4.2")</f>
        <v>4.2</v>
      </c>
      <c r="G996" s="4" t="str">
        <f>HYPERLINK("http://141.218.60.56/~jnz1568/getInfo.php?workbook=20_14.xlsx&amp;sheet=U0&amp;row=996&amp;col=7&amp;number=0.0947&amp;sourceID=14","0.0947")</f>
        <v>0.0947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HYPERLINK("http://141.218.60.56/~jnz1568/getInfo.php?workbook=20_14.xlsx&amp;sheet=U0&amp;row=997&amp;col=6&amp;number=4.3&amp;sourceID=14","4.3")</f>
        <v>4.3</v>
      </c>
      <c r="G997" s="4" t="str">
        <f>HYPERLINK("http://141.218.60.56/~jnz1568/getInfo.php?workbook=20_14.xlsx&amp;sheet=U0&amp;row=997&amp;col=7&amp;number=0.0941&amp;sourceID=14","0.0941")</f>
        <v>0.0941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HYPERLINK("http://141.218.60.56/~jnz1568/getInfo.php?workbook=20_14.xlsx&amp;sheet=U0&amp;row=998&amp;col=6&amp;number=4.4&amp;sourceID=14","4.4")</f>
        <v>4.4</v>
      </c>
      <c r="G998" s="4" t="str">
        <f>HYPERLINK("http://141.218.60.56/~jnz1568/getInfo.php?workbook=20_14.xlsx&amp;sheet=U0&amp;row=998&amp;col=7&amp;number=0.0934&amp;sourceID=14","0.0934")</f>
        <v>0.0934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HYPERLINK("http://141.218.60.56/~jnz1568/getInfo.php?workbook=20_14.xlsx&amp;sheet=U0&amp;row=999&amp;col=6&amp;number=4.5&amp;sourceID=14","4.5")</f>
        <v>4.5</v>
      </c>
      <c r="G999" s="4" t="str">
        <f>HYPERLINK("http://141.218.60.56/~jnz1568/getInfo.php?workbook=20_14.xlsx&amp;sheet=U0&amp;row=999&amp;col=7&amp;number=0.0924&amp;sourceID=14","0.0924")</f>
        <v>0.0924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HYPERLINK("http://141.218.60.56/~jnz1568/getInfo.php?workbook=20_14.xlsx&amp;sheet=U0&amp;row=1000&amp;col=6&amp;number=4.6&amp;sourceID=14","4.6")</f>
        <v>4.6</v>
      </c>
      <c r="G1000" s="4" t="str">
        <f>HYPERLINK("http://141.218.60.56/~jnz1568/getInfo.php?workbook=20_14.xlsx&amp;sheet=U0&amp;row=1000&amp;col=7&amp;number=0.0913&amp;sourceID=14","0.0913")</f>
        <v>0.0913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HYPERLINK("http://141.218.60.56/~jnz1568/getInfo.php?workbook=20_14.xlsx&amp;sheet=U0&amp;row=1001&amp;col=6&amp;number=4.7&amp;sourceID=14","4.7")</f>
        <v>4.7</v>
      </c>
      <c r="G1001" s="4" t="str">
        <f>HYPERLINK("http://141.218.60.56/~jnz1568/getInfo.php?workbook=20_14.xlsx&amp;sheet=U0&amp;row=1001&amp;col=7&amp;number=0.0899&amp;sourceID=14","0.0899")</f>
        <v>0.0899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HYPERLINK("http://141.218.60.56/~jnz1568/getInfo.php?workbook=20_14.xlsx&amp;sheet=U0&amp;row=1002&amp;col=6&amp;number=4.8&amp;sourceID=14","4.8")</f>
        <v>4.8</v>
      </c>
      <c r="G1002" s="4" t="str">
        <f>HYPERLINK("http://141.218.60.56/~jnz1568/getInfo.php?workbook=20_14.xlsx&amp;sheet=U0&amp;row=1002&amp;col=7&amp;number=0.0883&amp;sourceID=14","0.0883")</f>
        <v>0.0883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HYPERLINK("http://141.218.60.56/~jnz1568/getInfo.php?workbook=20_14.xlsx&amp;sheet=U0&amp;row=1003&amp;col=6&amp;number=4.9&amp;sourceID=14","4.9")</f>
        <v>4.9</v>
      </c>
      <c r="G1003" s="4" t="str">
        <f>HYPERLINK("http://141.218.60.56/~jnz1568/getInfo.php?workbook=20_14.xlsx&amp;sheet=U0&amp;row=1003&amp;col=7&amp;number=0.0863&amp;sourceID=14","0.0863")</f>
        <v>0.0863</v>
      </c>
    </row>
    <row r="1004" spans="1:7">
      <c r="A1004" s="3">
        <v>20</v>
      </c>
      <c r="B1004" s="3">
        <v>14</v>
      </c>
      <c r="C1004" s="3">
        <v>2</v>
      </c>
      <c r="D1004" s="3">
        <v>27</v>
      </c>
      <c r="E1004" s="3">
        <v>1</v>
      </c>
      <c r="F1004" s="4" t="str">
        <f>HYPERLINK("http://141.218.60.56/~jnz1568/getInfo.php?workbook=20_14.xlsx&amp;sheet=U0&amp;row=1004&amp;col=6&amp;number=3&amp;sourceID=14","3")</f>
        <v>3</v>
      </c>
      <c r="G1004" s="4" t="str">
        <f>HYPERLINK("http://141.218.60.56/~jnz1568/getInfo.php?workbook=20_14.xlsx&amp;sheet=U0&amp;row=1004&amp;col=7&amp;number=0.0183&amp;sourceID=14","0.0183")</f>
        <v>0.0183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HYPERLINK("http://141.218.60.56/~jnz1568/getInfo.php?workbook=20_14.xlsx&amp;sheet=U0&amp;row=1005&amp;col=6&amp;number=3.1&amp;sourceID=14","3.1")</f>
        <v>3.1</v>
      </c>
      <c r="G1005" s="4" t="str">
        <f>HYPERLINK("http://141.218.60.56/~jnz1568/getInfo.php?workbook=20_14.xlsx&amp;sheet=U0&amp;row=1005&amp;col=7&amp;number=0.0183&amp;sourceID=14","0.0183")</f>
        <v>0.0183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HYPERLINK("http://141.218.60.56/~jnz1568/getInfo.php?workbook=20_14.xlsx&amp;sheet=U0&amp;row=1006&amp;col=6&amp;number=3.2&amp;sourceID=14","3.2")</f>
        <v>3.2</v>
      </c>
      <c r="G1006" s="4" t="str">
        <f>HYPERLINK("http://141.218.60.56/~jnz1568/getInfo.php?workbook=20_14.xlsx&amp;sheet=U0&amp;row=1006&amp;col=7&amp;number=0.0183&amp;sourceID=14","0.0183")</f>
        <v>0.0183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HYPERLINK("http://141.218.60.56/~jnz1568/getInfo.php?workbook=20_14.xlsx&amp;sheet=U0&amp;row=1007&amp;col=6&amp;number=3.3&amp;sourceID=14","3.3")</f>
        <v>3.3</v>
      </c>
      <c r="G1007" s="4" t="str">
        <f>HYPERLINK("http://141.218.60.56/~jnz1568/getInfo.php?workbook=20_14.xlsx&amp;sheet=U0&amp;row=1007&amp;col=7&amp;number=0.0183&amp;sourceID=14","0.0183")</f>
        <v>0.0183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HYPERLINK("http://141.218.60.56/~jnz1568/getInfo.php?workbook=20_14.xlsx&amp;sheet=U0&amp;row=1008&amp;col=6&amp;number=3.4&amp;sourceID=14","3.4")</f>
        <v>3.4</v>
      </c>
      <c r="G1008" s="4" t="str">
        <f>HYPERLINK("http://141.218.60.56/~jnz1568/getInfo.php?workbook=20_14.xlsx&amp;sheet=U0&amp;row=1008&amp;col=7&amp;number=0.0183&amp;sourceID=14","0.0183")</f>
        <v>0.0183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HYPERLINK("http://141.218.60.56/~jnz1568/getInfo.php?workbook=20_14.xlsx&amp;sheet=U0&amp;row=1009&amp;col=6&amp;number=3.5&amp;sourceID=14","3.5")</f>
        <v>3.5</v>
      </c>
      <c r="G1009" s="4" t="str">
        <f>HYPERLINK("http://141.218.60.56/~jnz1568/getInfo.php?workbook=20_14.xlsx&amp;sheet=U0&amp;row=1009&amp;col=7&amp;number=0.0183&amp;sourceID=14","0.0183")</f>
        <v>0.0183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HYPERLINK("http://141.218.60.56/~jnz1568/getInfo.php?workbook=20_14.xlsx&amp;sheet=U0&amp;row=1010&amp;col=6&amp;number=3.6&amp;sourceID=14","3.6")</f>
        <v>3.6</v>
      </c>
      <c r="G1010" s="4" t="str">
        <f>HYPERLINK("http://141.218.60.56/~jnz1568/getInfo.php?workbook=20_14.xlsx&amp;sheet=U0&amp;row=1010&amp;col=7&amp;number=0.0182&amp;sourceID=14","0.0182")</f>
        <v>0.0182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HYPERLINK("http://141.218.60.56/~jnz1568/getInfo.php?workbook=20_14.xlsx&amp;sheet=U0&amp;row=1011&amp;col=6&amp;number=3.7&amp;sourceID=14","3.7")</f>
        <v>3.7</v>
      </c>
      <c r="G1011" s="4" t="str">
        <f>HYPERLINK("http://141.218.60.56/~jnz1568/getInfo.php?workbook=20_14.xlsx&amp;sheet=U0&amp;row=1011&amp;col=7&amp;number=0.0182&amp;sourceID=14","0.0182")</f>
        <v>0.0182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HYPERLINK("http://141.218.60.56/~jnz1568/getInfo.php?workbook=20_14.xlsx&amp;sheet=U0&amp;row=1012&amp;col=6&amp;number=3.8&amp;sourceID=14","3.8")</f>
        <v>3.8</v>
      </c>
      <c r="G1012" s="4" t="str">
        <f>HYPERLINK("http://141.218.60.56/~jnz1568/getInfo.php?workbook=20_14.xlsx&amp;sheet=U0&amp;row=1012&amp;col=7&amp;number=0.0182&amp;sourceID=14","0.0182")</f>
        <v>0.0182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HYPERLINK("http://141.218.60.56/~jnz1568/getInfo.php?workbook=20_14.xlsx&amp;sheet=U0&amp;row=1013&amp;col=6&amp;number=3.9&amp;sourceID=14","3.9")</f>
        <v>3.9</v>
      </c>
      <c r="G1013" s="4" t="str">
        <f>HYPERLINK("http://141.218.60.56/~jnz1568/getInfo.php?workbook=20_14.xlsx&amp;sheet=U0&amp;row=1013&amp;col=7&amp;number=0.0182&amp;sourceID=14","0.0182")</f>
        <v>0.0182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HYPERLINK("http://141.218.60.56/~jnz1568/getInfo.php?workbook=20_14.xlsx&amp;sheet=U0&amp;row=1014&amp;col=6&amp;number=4&amp;sourceID=14","4")</f>
        <v>4</v>
      </c>
      <c r="G1014" s="4" t="str">
        <f>HYPERLINK("http://141.218.60.56/~jnz1568/getInfo.php?workbook=20_14.xlsx&amp;sheet=U0&amp;row=1014&amp;col=7&amp;number=0.0182&amp;sourceID=14","0.0182")</f>
        <v>0.0182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HYPERLINK("http://141.218.60.56/~jnz1568/getInfo.php?workbook=20_14.xlsx&amp;sheet=U0&amp;row=1015&amp;col=6&amp;number=4.1&amp;sourceID=14","4.1")</f>
        <v>4.1</v>
      </c>
      <c r="G1015" s="4" t="str">
        <f>HYPERLINK("http://141.218.60.56/~jnz1568/getInfo.php?workbook=20_14.xlsx&amp;sheet=U0&amp;row=1015&amp;col=7&amp;number=0.0181&amp;sourceID=14","0.0181")</f>
        <v>0.0181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HYPERLINK("http://141.218.60.56/~jnz1568/getInfo.php?workbook=20_14.xlsx&amp;sheet=U0&amp;row=1016&amp;col=6&amp;number=4.2&amp;sourceID=14","4.2")</f>
        <v>4.2</v>
      </c>
      <c r="G1016" s="4" t="str">
        <f>HYPERLINK("http://141.218.60.56/~jnz1568/getInfo.php?workbook=20_14.xlsx&amp;sheet=U0&amp;row=1016&amp;col=7&amp;number=0.0181&amp;sourceID=14","0.0181")</f>
        <v>0.0181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HYPERLINK("http://141.218.60.56/~jnz1568/getInfo.php?workbook=20_14.xlsx&amp;sheet=U0&amp;row=1017&amp;col=6&amp;number=4.3&amp;sourceID=14","4.3")</f>
        <v>4.3</v>
      </c>
      <c r="G1017" s="4" t="str">
        <f>HYPERLINK("http://141.218.60.56/~jnz1568/getInfo.php?workbook=20_14.xlsx&amp;sheet=U0&amp;row=1017&amp;col=7&amp;number=0.018&amp;sourceID=14","0.018")</f>
        <v>0.018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HYPERLINK("http://141.218.60.56/~jnz1568/getInfo.php?workbook=20_14.xlsx&amp;sheet=U0&amp;row=1018&amp;col=6&amp;number=4.4&amp;sourceID=14","4.4")</f>
        <v>4.4</v>
      </c>
      <c r="G1018" s="4" t="str">
        <f>HYPERLINK("http://141.218.60.56/~jnz1568/getInfo.php?workbook=20_14.xlsx&amp;sheet=U0&amp;row=1018&amp;col=7&amp;number=0.018&amp;sourceID=14","0.018")</f>
        <v>0.018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HYPERLINK("http://141.218.60.56/~jnz1568/getInfo.php?workbook=20_14.xlsx&amp;sheet=U0&amp;row=1019&amp;col=6&amp;number=4.5&amp;sourceID=14","4.5")</f>
        <v>4.5</v>
      </c>
      <c r="G1019" s="4" t="str">
        <f>HYPERLINK("http://141.218.60.56/~jnz1568/getInfo.php?workbook=20_14.xlsx&amp;sheet=U0&amp;row=1019&amp;col=7&amp;number=0.0179&amp;sourceID=14","0.0179")</f>
        <v>0.0179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HYPERLINK("http://141.218.60.56/~jnz1568/getInfo.php?workbook=20_14.xlsx&amp;sheet=U0&amp;row=1020&amp;col=6&amp;number=4.6&amp;sourceID=14","4.6")</f>
        <v>4.6</v>
      </c>
      <c r="G1020" s="4" t="str">
        <f>HYPERLINK("http://141.218.60.56/~jnz1568/getInfo.php?workbook=20_14.xlsx&amp;sheet=U0&amp;row=1020&amp;col=7&amp;number=0.0178&amp;sourceID=14","0.0178")</f>
        <v>0.0178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HYPERLINK("http://141.218.60.56/~jnz1568/getInfo.php?workbook=20_14.xlsx&amp;sheet=U0&amp;row=1021&amp;col=6&amp;number=4.7&amp;sourceID=14","4.7")</f>
        <v>4.7</v>
      </c>
      <c r="G1021" s="4" t="str">
        <f>HYPERLINK("http://141.218.60.56/~jnz1568/getInfo.php?workbook=20_14.xlsx&amp;sheet=U0&amp;row=1021&amp;col=7&amp;number=0.0177&amp;sourceID=14","0.0177")</f>
        <v>0.0177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HYPERLINK("http://141.218.60.56/~jnz1568/getInfo.php?workbook=20_14.xlsx&amp;sheet=U0&amp;row=1022&amp;col=6&amp;number=4.8&amp;sourceID=14","4.8")</f>
        <v>4.8</v>
      </c>
      <c r="G1022" s="4" t="str">
        <f>HYPERLINK("http://141.218.60.56/~jnz1568/getInfo.php?workbook=20_14.xlsx&amp;sheet=U0&amp;row=1022&amp;col=7&amp;number=0.0175&amp;sourceID=14","0.0175")</f>
        <v>0.0175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HYPERLINK("http://141.218.60.56/~jnz1568/getInfo.php?workbook=20_14.xlsx&amp;sheet=U0&amp;row=1023&amp;col=6&amp;number=4.9&amp;sourceID=14","4.9")</f>
        <v>4.9</v>
      </c>
      <c r="G1023" s="4" t="str">
        <f>HYPERLINK("http://141.218.60.56/~jnz1568/getInfo.php?workbook=20_14.xlsx&amp;sheet=U0&amp;row=1023&amp;col=7&amp;number=0.0173&amp;sourceID=14","0.0173")</f>
        <v>0.0173</v>
      </c>
    </row>
    <row r="1024" spans="1:7">
      <c r="A1024" s="3">
        <v>20</v>
      </c>
      <c r="B1024" s="3">
        <v>14</v>
      </c>
      <c r="C1024" s="3">
        <v>3</v>
      </c>
      <c r="D1024" s="3">
        <v>4</v>
      </c>
      <c r="E1024" s="3">
        <v>1</v>
      </c>
      <c r="F1024" s="4" t="str">
        <f>HYPERLINK("http://141.218.60.56/~jnz1568/getInfo.php?workbook=20_14.xlsx&amp;sheet=U0&amp;row=1024&amp;col=6&amp;number=3&amp;sourceID=14","3")</f>
        <v>3</v>
      </c>
      <c r="G1024" s="4" t="str">
        <f>HYPERLINK("http://141.218.60.56/~jnz1568/getInfo.php?workbook=20_14.xlsx&amp;sheet=U0&amp;row=1024&amp;col=7&amp;number=0.242&amp;sourceID=14","0.242")</f>
        <v>0.242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HYPERLINK("http://141.218.60.56/~jnz1568/getInfo.php?workbook=20_14.xlsx&amp;sheet=U0&amp;row=1025&amp;col=6&amp;number=3.1&amp;sourceID=14","3.1")</f>
        <v>3.1</v>
      </c>
      <c r="G1025" s="4" t="str">
        <f>HYPERLINK("http://141.218.60.56/~jnz1568/getInfo.php?workbook=20_14.xlsx&amp;sheet=U0&amp;row=1025&amp;col=7&amp;number=0.242&amp;sourceID=14","0.242")</f>
        <v>0.242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HYPERLINK("http://141.218.60.56/~jnz1568/getInfo.php?workbook=20_14.xlsx&amp;sheet=U0&amp;row=1026&amp;col=6&amp;number=3.2&amp;sourceID=14","3.2")</f>
        <v>3.2</v>
      </c>
      <c r="G1026" s="4" t="str">
        <f>HYPERLINK("http://141.218.60.56/~jnz1568/getInfo.php?workbook=20_14.xlsx&amp;sheet=U0&amp;row=1026&amp;col=7&amp;number=0.242&amp;sourceID=14","0.242")</f>
        <v>0.242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HYPERLINK("http://141.218.60.56/~jnz1568/getInfo.php?workbook=20_14.xlsx&amp;sheet=U0&amp;row=1027&amp;col=6&amp;number=3.3&amp;sourceID=14","3.3")</f>
        <v>3.3</v>
      </c>
      <c r="G1027" s="4" t="str">
        <f>HYPERLINK("http://141.218.60.56/~jnz1568/getInfo.php?workbook=20_14.xlsx&amp;sheet=U0&amp;row=1027&amp;col=7&amp;number=0.242&amp;sourceID=14","0.242")</f>
        <v>0.242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HYPERLINK("http://141.218.60.56/~jnz1568/getInfo.php?workbook=20_14.xlsx&amp;sheet=U0&amp;row=1028&amp;col=6&amp;number=3.4&amp;sourceID=14","3.4")</f>
        <v>3.4</v>
      </c>
      <c r="G1028" s="4" t="str">
        <f>HYPERLINK("http://141.218.60.56/~jnz1568/getInfo.php?workbook=20_14.xlsx&amp;sheet=U0&amp;row=1028&amp;col=7&amp;number=0.242&amp;sourceID=14","0.242")</f>
        <v>0.242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HYPERLINK("http://141.218.60.56/~jnz1568/getInfo.php?workbook=20_14.xlsx&amp;sheet=U0&amp;row=1029&amp;col=6&amp;number=3.5&amp;sourceID=14","3.5")</f>
        <v>3.5</v>
      </c>
      <c r="G1029" s="4" t="str">
        <f>HYPERLINK("http://141.218.60.56/~jnz1568/getInfo.php?workbook=20_14.xlsx&amp;sheet=U0&amp;row=1029&amp;col=7&amp;number=0.242&amp;sourceID=14","0.242")</f>
        <v>0.242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HYPERLINK("http://141.218.60.56/~jnz1568/getInfo.php?workbook=20_14.xlsx&amp;sheet=U0&amp;row=1030&amp;col=6&amp;number=3.6&amp;sourceID=14","3.6")</f>
        <v>3.6</v>
      </c>
      <c r="G1030" s="4" t="str">
        <f>HYPERLINK("http://141.218.60.56/~jnz1568/getInfo.php?workbook=20_14.xlsx&amp;sheet=U0&amp;row=1030&amp;col=7&amp;number=0.242&amp;sourceID=14","0.242")</f>
        <v>0.242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HYPERLINK("http://141.218.60.56/~jnz1568/getInfo.php?workbook=20_14.xlsx&amp;sheet=U0&amp;row=1031&amp;col=6&amp;number=3.7&amp;sourceID=14","3.7")</f>
        <v>3.7</v>
      </c>
      <c r="G1031" s="4" t="str">
        <f>HYPERLINK("http://141.218.60.56/~jnz1568/getInfo.php?workbook=20_14.xlsx&amp;sheet=U0&amp;row=1031&amp;col=7&amp;number=0.242&amp;sourceID=14","0.242")</f>
        <v>0.242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HYPERLINK("http://141.218.60.56/~jnz1568/getInfo.php?workbook=20_14.xlsx&amp;sheet=U0&amp;row=1032&amp;col=6&amp;number=3.8&amp;sourceID=14","3.8")</f>
        <v>3.8</v>
      </c>
      <c r="G1032" s="4" t="str">
        <f>HYPERLINK("http://141.218.60.56/~jnz1568/getInfo.php?workbook=20_14.xlsx&amp;sheet=U0&amp;row=1032&amp;col=7&amp;number=0.241&amp;sourceID=14","0.241")</f>
        <v>0.241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HYPERLINK("http://141.218.60.56/~jnz1568/getInfo.php?workbook=20_14.xlsx&amp;sheet=U0&amp;row=1033&amp;col=6&amp;number=3.9&amp;sourceID=14","3.9")</f>
        <v>3.9</v>
      </c>
      <c r="G1033" s="4" t="str">
        <f>HYPERLINK("http://141.218.60.56/~jnz1568/getInfo.php?workbook=20_14.xlsx&amp;sheet=U0&amp;row=1033&amp;col=7&amp;number=0.241&amp;sourceID=14","0.241")</f>
        <v>0.241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HYPERLINK("http://141.218.60.56/~jnz1568/getInfo.php?workbook=20_14.xlsx&amp;sheet=U0&amp;row=1034&amp;col=6&amp;number=4&amp;sourceID=14","4")</f>
        <v>4</v>
      </c>
      <c r="G1034" s="4" t="str">
        <f>HYPERLINK("http://141.218.60.56/~jnz1568/getInfo.php?workbook=20_14.xlsx&amp;sheet=U0&amp;row=1034&amp;col=7&amp;number=0.241&amp;sourceID=14","0.241")</f>
        <v>0.241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HYPERLINK("http://141.218.60.56/~jnz1568/getInfo.php?workbook=20_14.xlsx&amp;sheet=U0&amp;row=1035&amp;col=6&amp;number=4.1&amp;sourceID=14","4.1")</f>
        <v>4.1</v>
      </c>
      <c r="G1035" s="4" t="str">
        <f>HYPERLINK("http://141.218.60.56/~jnz1568/getInfo.php?workbook=20_14.xlsx&amp;sheet=U0&amp;row=1035&amp;col=7&amp;number=0.241&amp;sourceID=14","0.241")</f>
        <v>0.241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HYPERLINK("http://141.218.60.56/~jnz1568/getInfo.php?workbook=20_14.xlsx&amp;sheet=U0&amp;row=1036&amp;col=6&amp;number=4.2&amp;sourceID=14","4.2")</f>
        <v>4.2</v>
      </c>
      <c r="G1036" s="4" t="str">
        <f>HYPERLINK("http://141.218.60.56/~jnz1568/getInfo.php?workbook=20_14.xlsx&amp;sheet=U0&amp;row=1036&amp;col=7&amp;number=0.24&amp;sourceID=14","0.24")</f>
        <v>0.24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HYPERLINK("http://141.218.60.56/~jnz1568/getInfo.php?workbook=20_14.xlsx&amp;sheet=U0&amp;row=1037&amp;col=6&amp;number=4.3&amp;sourceID=14","4.3")</f>
        <v>4.3</v>
      </c>
      <c r="G1037" s="4" t="str">
        <f>HYPERLINK("http://141.218.60.56/~jnz1568/getInfo.php?workbook=20_14.xlsx&amp;sheet=U0&amp;row=1037&amp;col=7&amp;number=0.24&amp;sourceID=14","0.24")</f>
        <v>0.24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HYPERLINK("http://141.218.60.56/~jnz1568/getInfo.php?workbook=20_14.xlsx&amp;sheet=U0&amp;row=1038&amp;col=6&amp;number=4.4&amp;sourceID=14","4.4")</f>
        <v>4.4</v>
      </c>
      <c r="G1038" s="4" t="str">
        <f>HYPERLINK("http://141.218.60.56/~jnz1568/getInfo.php?workbook=20_14.xlsx&amp;sheet=U0&amp;row=1038&amp;col=7&amp;number=0.239&amp;sourceID=14","0.239")</f>
        <v>0.239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HYPERLINK("http://141.218.60.56/~jnz1568/getInfo.php?workbook=20_14.xlsx&amp;sheet=U0&amp;row=1039&amp;col=6&amp;number=4.5&amp;sourceID=14","4.5")</f>
        <v>4.5</v>
      </c>
      <c r="G1039" s="4" t="str">
        <f>HYPERLINK("http://141.218.60.56/~jnz1568/getInfo.php?workbook=20_14.xlsx&amp;sheet=U0&amp;row=1039&amp;col=7&amp;number=0.239&amp;sourceID=14","0.239")</f>
        <v>0.239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HYPERLINK("http://141.218.60.56/~jnz1568/getInfo.php?workbook=20_14.xlsx&amp;sheet=U0&amp;row=1040&amp;col=6&amp;number=4.6&amp;sourceID=14","4.6")</f>
        <v>4.6</v>
      </c>
      <c r="G1040" s="4" t="str">
        <f>HYPERLINK("http://141.218.60.56/~jnz1568/getInfo.php?workbook=20_14.xlsx&amp;sheet=U0&amp;row=1040&amp;col=7&amp;number=0.238&amp;sourceID=14","0.238")</f>
        <v>0.238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HYPERLINK("http://141.218.60.56/~jnz1568/getInfo.php?workbook=20_14.xlsx&amp;sheet=U0&amp;row=1041&amp;col=6&amp;number=4.7&amp;sourceID=14","4.7")</f>
        <v>4.7</v>
      </c>
      <c r="G1041" s="4" t="str">
        <f>HYPERLINK("http://141.218.60.56/~jnz1568/getInfo.php?workbook=20_14.xlsx&amp;sheet=U0&amp;row=1041&amp;col=7&amp;number=0.236&amp;sourceID=14","0.236")</f>
        <v>0.236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HYPERLINK("http://141.218.60.56/~jnz1568/getInfo.php?workbook=20_14.xlsx&amp;sheet=U0&amp;row=1042&amp;col=6&amp;number=4.8&amp;sourceID=14","4.8")</f>
        <v>4.8</v>
      </c>
      <c r="G1042" s="4" t="str">
        <f>HYPERLINK("http://141.218.60.56/~jnz1568/getInfo.php?workbook=20_14.xlsx&amp;sheet=U0&amp;row=1042&amp;col=7&amp;number=0.235&amp;sourceID=14","0.235")</f>
        <v>0.235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HYPERLINK("http://141.218.60.56/~jnz1568/getInfo.php?workbook=20_14.xlsx&amp;sheet=U0&amp;row=1043&amp;col=6&amp;number=4.9&amp;sourceID=14","4.9")</f>
        <v>4.9</v>
      </c>
      <c r="G1043" s="4" t="str">
        <f>HYPERLINK("http://141.218.60.56/~jnz1568/getInfo.php?workbook=20_14.xlsx&amp;sheet=U0&amp;row=1043&amp;col=7&amp;number=0.233&amp;sourceID=14","0.233")</f>
        <v>0.233</v>
      </c>
    </row>
    <row r="1044" spans="1:7">
      <c r="A1044" s="3">
        <v>20</v>
      </c>
      <c r="B1044" s="3">
        <v>14</v>
      </c>
      <c r="C1044" s="3">
        <v>3</v>
      </c>
      <c r="D1044" s="3">
        <v>5</v>
      </c>
      <c r="E1044" s="3">
        <v>1</v>
      </c>
      <c r="F1044" s="4" t="str">
        <f>HYPERLINK("http://141.218.60.56/~jnz1568/getInfo.php?workbook=20_14.xlsx&amp;sheet=U0&amp;row=1044&amp;col=6&amp;number=3&amp;sourceID=14","3")</f>
        <v>3</v>
      </c>
      <c r="G1044" s="4" t="str">
        <f>HYPERLINK("http://141.218.60.56/~jnz1568/getInfo.php?workbook=20_14.xlsx&amp;sheet=U0&amp;row=1044&amp;col=7&amp;number=0.0233&amp;sourceID=14","0.0233")</f>
        <v>0.0233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HYPERLINK("http://141.218.60.56/~jnz1568/getInfo.php?workbook=20_14.xlsx&amp;sheet=U0&amp;row=1045&amp;col=6&amp;number=3.1&amp;sourceID=14","3.1")</f>
        <v>3.1</v>
      </c>
      <c r="G1045" s="4" t="str">
        <f>HYPERLINK("http://141.218.60.56/~jnz1568/getInfo.php?workbook=20_14.xlsx&amp;sheet=U0&amp;row=1045&amp;col=7&amp;number=0.0233&amp;sourceID=14","0.0233")</f>
        <v>0.0233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HYPERLINK("http://141.218.60.56/~jnz1568/getInfo.php?workbook=20_14.xlsx&amp;sheet=U0&amp;row=1046&amp;col=6&amp;number=3.2&amp;sourceID=14","3.2")</f>
        <v>3.2</v>
      </c>
      <c r="G1046" s="4" t="str">
        <f>HYPERLINK("http://141.218.60.56/~jnz1568/getInfo.php?workbook=20_14.xlsx&amp;sheet=U0&amp;row=1046&amp;col=7&amp;number=0.0233&amp;sourceID=14","0.0233")</f>
        <v>0.0233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HYPERLINK("http://141.218.60.56/~jnz1568/getInfo.php?workbook=20_14.xlsx&amp;sheet=U0&amp;row=1047&amp;col=6&amp;number=3.3&amp;sourceID=14","3.3")</f>
        <v>3.3</v>
      </c>
      <c r="G1047" s="4" t="str">
        <f>HYPERLINK("http://141.218.60.56/~jnz1568/getInfo.php?workbook=20_14.xlsx&amp;sheet=U0&amp;row=1047&amp;col=7&amp;number=0.0233&amp;sourceID=14","0.0233")</f>
        <v>0.0233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HYPERLINK("http://141.218.60.56/~jnz1568/getInfo.php?workbook=20_14.xlsx&amp;sheet=U0&amp;row=1048&amp;col=6&amp;number=3.4&amp;sourceID=14","3.4")</f>
        <v>3.4</v>
      </c>
      <c r="G1048" s="4" t="str">
        <f>HYPERLINK("http://141.218.60.56/~jnz1568/getInfo.php?workbook=20_14.xlsx&amp;sheet=U0&amp;row=1048&amp;col=7&amp;number=0.0233&amp;sourceID=14","0.0233")</f>
        <v>0.0233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HYPERLINK("http://141.218.60.56/~jnz1568/getInfo.php?workbook=20_14.xlsx&amp;sheet=U0&amp;row=1049&amp;col=6&amp;number=3.5&amp;sourceID=14","3.5")</f>
        <v>3.5</v>
      </c>
      <c r="G1049" s="4" t="str">
        <f>HYPERLINK("http://141.218.60.56/~jnz1568/getInfo.php?workbook=20_14.xlsx&amp;sheet=U0&amp;row=1049&amp;col=7&amp;number=0.0233&amp;sourceID=14","0.0233")</f>
        <v>0.0233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HYPERLINK("http://141.218.60.56/~jnz1568/getInfo.php?workbook=20_14.xlsx&amp;sheet=U0&amp;row=1050&amp;col=6&amp;number=3.6&amp;sourceID=14","3.6")</f>
        <v>3.6</v>
      </c>
      <c r="G1050" s="4" t="str">
        <f>HYPERLINK("http://141.218.60.56/~jnz1568/getInfo.php?workbook=20_14.xlsx&amp;sheet=U0&amp;row=1050&amp;col=7&amp;number=0.0233&amp;sourceID=14","0.0233")</f>
        <v>0.0233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HYPERLINK("http://141.218.60.56/~jnz1568/getInfo.php?workbook=20_14.xlsx&amp;sheet=U0&amp;row=1051&amp;col=6&amp;number=3.7&amp;sourceID=14","3.7")</f>
        <v>3.7</v>
      </c>
      <c r="G1051" s="4" t="str">
        <f>HYPERLINK("http://141.218.60.56/~jnz1568/getInfo.php?workbook=20_14.xlsx&amp;sheet=U0&amp;row=1051&amp;col=7&amp;number=0.0233&amp;sourceID=14","0.0233")</f>
        <v>0.0233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HYPERLINK("http://141.218.60.56/~jnz1568/getInfo.php?workbook=20_14.xlsx&amp;sheet=U0&amp;row=1052&amp;col=6&amp;number=3.8&amp;sourceID=14","3.8")</f>
        <v>3.8</v>
      </c>
      <c r="G1052" s="4" t="str">
        <f>HYPERLINK("http://141.218.60.56/~jnz1568/getInfo.php?workbook=20_14.xlsx&amp;sheet=U0&amp;row=1052&amp;col=7&amp;number=0.0233&amp;sourceID=14","0.0233")</f>
        <v>0.0233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HYPERLINK("http://141.218.60.56/~jnz1568/getInfo.php?workbook=20_14.xlsx&amp;sheet=U0&amp;row=1053&amp;col=6&amp;number=3.9&amp;sourceID=14","3.9")</f>
        <v>3.9</v>
      </c>
      <c r="G1053" s="4" t="str">
        <f>HYPERLINK("http://141.218.60.56/~jnz1568/getInfo.php?workbook=20_14.xlsx&amp;sheet=U0&amp;row=1053&amp;col=7&amp;number=0.0233&amp;sourceID=14","0.0233")</f>
        <v>0.0233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HYPERLINK("http://141.218.60.56/~jnz1568/getInfo.php?workbook=20_14.xlsx&amp;sheet=U0&amp;row=1054&amp;col=6&amp;number=4&amp;sourceID=14","4")</f>
        <v>4</v>
      </c>
      <c r="G1054" s="4" t="str">
        <f>HYPERLINK("http://141.218.60.56/~jnz1568/getInfo.php?workbook=20_14.xlsx&amp;sheet=U0&amp;row=1054&amp;col=7&amp;number=0.0232&amp;sourceID=14","0.0232")</f>
        <v>0.0232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HYPERLINK("http://141.218.60.56/~jnz1568/getInfo.php?workbook=20_14.xlsx&amp;sheet=U0&amp;row=1055&amp;col=6&amp;number=4.1&amp;sourceID=14","4.1")</f>
        <v>4.1</v>
      </c>
      <c r="G1055" s="4" t="str">
        <f>HYPERLINK("http://141.218.60.56/~jnz1568/getInfo.php?workbook=20_14.xlsx&amp;sheet=U0&amp;row=1055&amp;col=7&amp;number=0.0232&amp;sourceID=14","0.0232")</f>
        <v>0.0232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HYPERLINK("http://141.218.60.56/~jnz1568/getInfo.php?workbook=20_14.xlsx&amp;sheet=U0&amp;row=1056&amp;col=6&amp;number=4.2&amp;sourceID=14","4.2")</f>
        <v>4.2</v>
      </c>
      <c r="G1056" s="4" t="str">
        <f>HYPERLINK("http://141.218.60.56/~jnz1568/getInfo.php?workbook=20_14.xlsx&amp;sheet=U0&amp;row=1056&amp;col=7&amp;number=0.0231&amp;sourceID=14","0.0231")</f>
        <v>0.0231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HYPERLINK("http://141.218.60.56/~jnz1568/getInfo.php?workbook=20_14.xlsx&amp;sheet=U0&amp;row=1057&amp;col=6&amp;number=4.3&amp;sourceID=14","4.3")</f>
        <v>4.3</v>
      </c>
      <c r="G1057" s="4" t="str">
        <f>HYPERLINK("http://141.218.60.56/~jnz1568/getInfo.php?workbook=20_14.xlsx&amp;sheet=U0&amp;row=1057&amp;col=7&amp;number=0.0231&amp;sourceID=14","0.0231")</f>
        <v>0.0231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HYPERLINK("http://141.218.60.56/~jnz1568/getInfo.php?workbook=20_14.xlsx&amp;sheet=U0&amp;row=1058&amp;col=6&amp;number=4.4&amp;sourceID=14","4.4")</f>
        <v>4.4</v>
      </c>
      <c r="G1058" s="4" t="str">
        <f>HYPERLINK("http://141.218.60.56/~jnz1568/getInfo.php?workbook=20_14.xlsx&amp;sheet=U0&amp;row=1058&amp;col=7&amp;number=0.023&amp;sourceID=14","0.023")</f>
        <v>0.023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HYPERLINK("http://141.218.60.56/~jnz1568/getInfo.php?workbook=20_14.xlsx&amp;sheet=U0&amp;row=1059&amp;col=6&amp;number=4.5&amp;sourceID=14","4.5")</f>
        <v>4.5</v>
      </c>
      <c r="G1059" s="4" t="str">
        <f>HYPERLINK("http://141.218.60.56/~jnz1568/getInfo.php?workbook=20_14.xlsx&amp;sheet=U0&amp;row=1059&amp;col=7&amp;number=0.0229&amp;sourceID=14","0.0229")</f>
        <v>0.0229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HYPERLINK("http://141.218.60.56/~jnz1568/getInfo.php?workbook=20_14.xlsx&amp;sheet=U0&amp;row=1060&amp;col=6&amp;number=4.6&amp;sourceID=14","4.6")</f>
        <v>4.6</v>
      </c>
      <c r="G1060" s="4" t="str">
        <f>HYPERLINK("http://141.218.60.56/~jnz1568/getInfo.php?workbook=20_14.xlsx&amp;sheet=U0&amp;row=1060&amp;col=7&amp;number=0.0228&amp;sourceID=14","0.0228")</f>
        <v>0.0228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HYPERLINK("http://141.218.60.56/~jnz1568/getInfo.php?workbook=20_14.xlsx&amp;sheet=U0&amp;row=1061&amp;col=6&amp;number=4.7&amp;sourceID=14","4.7")</f>
        <v>4.7</v>
      </c>
      <c r="G1061" s="4" t="str">
        <f>HYPERLINK("http://141.218.60.56/~jnz1568/getInfo.php?workbook=20_14.xlsx&amp;sheet=U0&amp;row=1061&amp;col=7&amp;number=0.0227&amp;sourceID=14","0.0227")</f>
        <v>0.0227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HYPERLINK("http://141.218.60.56/~jnz1568/getInfo.php?workbook=20_14.xlsx&amp;sheet=U0&amp;row=1062&amp;col=6&amp;number=4.8&amp;sourceID=14","4.8")</f>
        <v>4.8</v>
      </c>
      <c r="G1062" s="4" t="str">
        <f>HYPERLINK("http://141.218.60.56/~jnz1568/getInfo.php?workbook=20_14.xlsx&amp;sheet=U0&amp;row=1062&amp;col=7&amp;number=0.0225&amp;sourceID=14","0.0225")</f>
        <v>0.0225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HYPERLINK("http://141.218.60.56/~jnz1568/getInfo.php?workbook=20_14.xlsx&amp;sheet=U0&amp;row=1063&amp;col=6&amp;number=4.9&amp;sourceID=14","4.9")</f>
        <v>4.9</v>
      </c>
      <c r="G1063" s="4" t="str">
        <f>HYPERLINK("http://141.218.60.56/~jnz1568/getInfo.php?workbook=20_14.xlsx&amp;sheet=U0&amp;row=1063&amp;col=7&amp;number=0.0223&amp;sourceID=14","0.0223")</f>
        <v>0.0223</v>
      </c>
    </row>
    <row r="1064" spans="1:7">
      <c r="A1064" s="3">
        <v>20</v>
      </c>
      <c r="B1064" s="3">
        <v>14</v>
      </c>
      <c r="C1064" s="3">
        <v>3</v>
      </c>
      <c r="D1064" s="3">
        <v>6</v>
      </c>
      <c r="E1064" s="3">
        <v>1</v>
      </c>
      <c r="F1064" s="4" t="str">
        <f>HYPERLINK("http://141.218.60.56/~jnz1568/getInfo.php?workbook=20_14.xlsx&amp;sheet=U0&amp;row=1064&amp;col=6&amp;number=3&amp;sourceID=14","3")</f>
        <v>3</v>
      </c>
      <c r="G1064" s="4" t="str">
        <f>HYPERLINK("http://141.218.60.56/~jnz1568/getInfo.php?workbook=20_14.xlsx&amp;sheet=U0&amp;row=1064&amp;col=7&amp;number=0.121&amp;sourceID=14","0.121")</f>
        <v>0.121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HYPERLINK("http://141.218.60.56/~jnz1568/getInfo.php?workbook=20_14.xlsx&amp;sheet=U0&amp;row=1065&amp;col=6&amp;number=3.1&amp;sourceID=14","3.1")</f>
        <v>3.1</v>
      </c>
      <c r="G1065" s="4" t="str">
        <f>HYPERLINK("http://141.218.60.56/~jnz1568/getInfo.php?workbook=20_14.xlsx&amp;sheet=U0&amp;row=1065&amp;col=7&amp;number=0.121&amp;sourceID=14","0.121")</f>
        <v>0.121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HYPERLINK("http://141.218.60.56/~jnz1568/getInfo.php?workbook=20_14.xlsx&amp;sheet=U0&amp;row=1066&amp;col=6&amp;number=3.2&amp;sourceID=14","3.2")</f>
        <v>3.2</v>
      </c>
      <c r="G1066" s="4" t="str">
        <f>HYPERLINK("http://141.218.60.56/~jnz1568/getInfo.php?workbook=20_14.xlsx&amp;sheet=U0&amp;row=1066&amp;col=7&amp;number=0.121&amp;sourceID=14","0.121")</f>
        <v>0.121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HYPERLINK("http://141.218.60.56/~jnz1568/getInfo.php?workbook=20_14.xlsx&amp;sheet=U0&amp;row=1067&amp;col=6&amp;number=3.3&amp;sourceID=14","3.3")</f>
        <v>3.3</v>
      </c>
      <c r="G1067" s="4" t="str">
        <f>HYPERLINK("http://141.218.60.56/~jnz1568/getInfo.php?workbook=20_14.xlsx&amp;sheet=U0&amp;row=1067&amp;col=7&amp;number=0.121&amp;sourceID=14","0.121")</f>
        <v>0.121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HYPERLINK("http://141.218.60.56/~jnz1568/getInfo.php?workbook=20_14.xlsx&amp;sheet=U0&amp;row=1068&amp;col=6&amp;number=3.4&amp;sourceID=14","3.4")</f>
        <v>3.4</v>
      </c>
      <c r="G1068" s="4" t="str">
        <f>HYPERLINK("http://141.218.60.56/~jnz1568/getInfo.php?workbook=20_14.xlsx&amp;sheet=U0&amp;row=1068&amp;col=7&amp;number=0.121&amp;sourceID=14","0.121")</f>
        <v>0.121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HYPERLINK("http://141.218.60.56/~jnz1568/getInfo.php?workbook=20_14.xlsx&amp;sheet=U0&amp;row=1069&amp;col=6&amp;number=3.5&amp;sourceID=14","3.5")</f>
        <v>3.5</v>
      </c>
      <c r="G1069" s="4" t="str">
        <f>HYPERLINK("http://141.218.60.56/~jnz1568/getInfo.php?workbook=20_14.xlsx&amp;sheet=U0&amp;row=1069&amp;col=7&amp;number=0.121&amp;sourceID=14","0.121")</f>
        <v>0.121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HYPERLINK("http://141.218.60.56/~jnz1568/getInfo.php?workbook=20_14.xlsx&amp;sheet=U0&amp;row=1070&amp;col=6&amp;number=3.6&amp;sourceID=14","3.6")</f>
        <v>3.6</v>
      </c>
      <c r="G1070" s="4" t="str">
        <f>HYPERLINK("http://141.218.60.56/~jnz1568/getInfo.php?workbook=20_14.xlsx&amp;sheet=U0&amp;row=1070&amp;col=7&amp;number=0.121&amp;sourceID=14","0.121")</f>
        <v>0.121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HYPERLINK("http://141.218.60.56/~jnz1568/getInfo.php?workbook=20_14.xlsx&amp;sheet=U0&amp;row=1071&amp;col=6&amp;number=3.7&amp;sourceID=14","3.7")</f>
        <v>3.7</v>
      </c>
      <c r="G1071" s="4" t="str">
        <f>HYPERLINK("http://141.218.60.56/~jnz1568/getInfo.php?workbook=20_14.xlsx&amp;sheet=U0&amp;row=1071&amp;col=7&amp;number=0.121&amp;sourceID=14","0.121")</f>
        <v>0.121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HYPERLINK("http://141.218.60.56/~jnz1568/getInfo.php?workbook=20_14.xlsx&amp;sheet=U0&amp;row=1072&amp;col=6&amp;number=3.8&amp;sourceID=14","3.8")</f>
        <v>3.8</v>
      </c>
      <c r="G1072" s="4" t="str">
        <f>HYPERLINK("http://141.218.60.56/~jnz1568/getInfo.php?workbook=20_14.xlsx&amp;sheet=U0&amp;row=1072&amp;col=7&amp;number=0.121&amp;sourceID=14","0.121")</f>
        <v>0.121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HYPERLINK("http://141.218.60.56/~jnz1568/getInfo.php?workbook=20_14.xlsx&amp;sheet=U0&amp;row=1073&amp;col=6&amp;number=3.9&amp;sourceID=14","3.9")</f>
        <v>3.9</v>
      </c>
      <c r="G1073" s="4" t="str">
        <f>HYPERLINK("http://141.218.60.56/~jnz1568/getInfo.php?workbook=20_14.xlsx&amp;sheet=U0&amp;row=1073&amp;col=7&amp;number=0.121&amp;sourceID=14","0.121")</f>
        <v>0.121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HYPERLINK("http://141.218.60.56/~jnz1568/getInfo.php?workbook=20_14.xlsx&amp;sheet=U0&amp;row=1074&amp;col=6&amp;number=4&amp;sourceID=14","4")</f>
        <v>4</v>
      </c>
      <c r="G1074" s="4" t="str">
        <f>HYPERLINK("http://141.218.60.56/~jnz1568/getInfo.php?workbook=20_14.xlsx&amp;sheet=U0&amp;row=1074&amp;col=7&amp;number=0.121&amp;sourceID=14","0.121")</f>
        <v>0.121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HYPERLINK("http://141.218.60.56/~jnz1568/getInfo.php?workbook=20_14.xlsx&amp;sheet=U0&amp;row=1075&amp;col=6&amp;number=4.1&amp;sourceID=14","4.1")</f>
        <v>4.1</v>
      </c>
      <c r="G1075" s="4" t="str">
        <f>HYPERLINK("http://141.218.60.56/~jnz1568/getInfo.php?workbook=20_14.xlsx&amp;sheet=U0&amp;row=1075&amp;col=7&amp;number=0.12&amp;sourceID=14","0.12")</f>
        <v>0.12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HYPERLINK("http://141.218.60.56/~jnz1568/getInfo.php?workbook=20_14.xlsx&amp;sheet=U0&amp;row=1076&amp;col=6&amp;number=4.2&amp;sourceID=14","4.2")</f>
        <v>4.2</v>
      </c>
      <c r="G1076" s="4" t="str">
        <f>HYPERLINK("http://141.218.60.56/~jnz1568/getInfo.php?workbook=20_14.xlsx&amp;sheet=U0&amp;row=1076&amp;col=7&amp;number=0.12&amp;sourceID=14","0.12")</f>
        <v>0.12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HYPERLINK("http://141.218.60.56/~jnz1568/getInfo.php?workbook=20_14.xlsx&amp;sheet=U0&amp;row=1077&amp;col=6&amp;number=4.3&amp;sourceID=14","4.3")</f>
        <v>4.3</v>
      </c>
      <c r="G1077" s="4" t="str">
        <f>HYPERLINK("http://141.218.60.56/~jnz1568/getInfo.php?workbook=20_14.xlsx&amp;sheet=U0&amp;row=1077&amp;col=7&amp;number=0.12&amp;sourceID=14","0.12")</f>
        <v>0.12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HYPERLINK("http://141.218.60.56/~jnz1568/getInfo.php?workbook=20_14.xlsx&amp;sheet=U0&amp;row=1078&amp;col=6&amp;number=4.4&amp;sourceID=14","4.4")</f>
        <v>4.4</v>
      </c>
      <c r="G1078" s="4" t="str">
        <f>HYPERLINK("http://141.218.60.56/~jnz1568/getInfo.php?workbook=20_14.xlsx&amp;sheet=U0&amp;row=1078&amp;col=7&amp;number=0.12&amp;sourceID=14","0.12")</f>
        <v>0.12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HYPERLINK("http://141.218.60.56/~jnz1568/getInfo.php?workbook=20_14.xlsx&amp;sheet=U0&amp;row=1079&amp;col=6&amp;number=4.5&amp;sourceID=14","4.5")</f>
        <v>4.5</v>
      </c>
      <c r="G1079" s="4" t="str">
        <f>HYPERLINK("http://141.218.60.56/~jnz1568/getInfo.php?workbook=20_14.xlsx&amp;sheet=U0&amp;row=1079&amp;col=7&amp;number=0.119&amp;sourceID=14","0.119")</f>
        <v>0.119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HYPERLINK("http://141.218.60.56/~jnz1568/getInfo.php?workbook=20_14.xlsx&amp;sheet=U0&amp;row=1080&amp;col=6&amp;number=4.6&amp;sourceID=14","4.6")</f>
        <v>4.6</v>
      </c>
      <c r="G1080" s="4" t="str">
        <f>HYPERLINK("http://141.218.60.56/~jnz1568/getInfo.php?workbook=20_14.xlsx&amp;sheet=U0&amp;row=1080&amp;col=7&amp;number=0.119&amp;sourceID=14","0.119")</f>
        <v>0.119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HYPERLINK("http://141.218.60.56/~jnz1568/getInfo.php?workbook=20_14.xlsx&amp;sheet=U0&amp;row=1081&amp;col=6&amp;number=4.7&amp;sourceID=14","4.7")</f>
        <v>4.7</v>
      </c>
      <c r="G1081" s="4" t="str">
        <f>HYPERLINK("http://141.218.60.56/~jnz1568/getInfo.php?workbook=20_14.xlsx&amp;sheet=U0&amp;row=1081&amp;col=7&amp;number=0.118&amp;sourceID=14","0.118")</f>
        <v>0.118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HYPERLINK("http://141.218.60.56/~jnz1568/getInfo.php?workbook=20_14.xlsx&amp;sheet=U0&amp;row=1082&amp;col=6&amp;number=4.8&amp;sourceID=14","4.8")</f>
        <v>4.8</v>
      </c>
      <c r="G1082" s="4" t="str">
        <f>HYPERLINK("http://141.218.60.56/~jnz1568/getInfo.php?workbook=20_14.xlsx&amp;sheet=U0&amp;row=1082&amp;col=7&amp;number=0.118&amp;sourceID=14","0.118")</f>
        <v>0.118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HYPERLINK("http://141.218.60.56/~jnz1568/getInfo.php?workbook=20_14.xlsx&amp;sheet=U0&amp;row=1083&amp;col=6&amp;number=4.9&amp;sourceID=14","4.9")</f>
        <v>4.9</v>
      </c>
      <c r="G1083" s="4" t="str">
        <f>HYPERLINK("http://141.218.60.56/~jnz1568/getInfo.php?workbook=20_14.xlsx&amp;sheet=U0&amp;row=1083&amp;col=7&amp;number=0.117&amp;sourceID=14","0.117")</f>
        <v>0.117</v>
      </c>
    </row>
    <row r="1084" spans="1:7">
      <c r="A1084" s="3">
        <v>20</v>
      </c>
      <c r="B1084" s="3">
        <v>14</v>
      </c>
      <c r="C1084" s="3">
        <v>3</v>
      </c>
      <c r="D1084" s="3">
        <v>7</v>
      </c>
      <c r="E1084" s="3">
        <v>1</v>
      </c>
      <c r="F1084" s="4" t="str">
        <f>HYPERLINK("http://141.218.60.56/~jnz1568/getInfo.php?workbook=20_14.xlsx&amp;sheet=U0&amp;row=1084&amp;col=6&amp;number=3&amp;sourceID=14","3")</f>
        <v>3</v>
      </c>
      <c r="G1084" s="4" t="str">
        <f>HYPERLINK("http://141.218.60.56/~jnz1568/getInfo.php?workbook=20_14.xlsx&amp;sheet=U0&amp;row=1084&amp;col=7&amp;number=0.0184&amp;sourceID=14","0.0184")</f>
        <v>0.0184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HYPERLINK("http://141.218.60.56/~jnz1568/getInfo.php?workbook=20_14.xlsx&amp;sheet=U0&amp;row=1085&amp;col=6&amp;number=3.1&amp;sourceID=14","3.1")</f>
        <v>3.1</v>
      </c>
      <c r="G1085" s="4" t="str">
        <f>HYPERLINK("http://141.218.60.56/~jnz1568/getInfo.php?workbook=20_14.xlsx&amp;sheet=U0&amp;row=1085&amp;col=7&amp;number=0.0184&amp;sourceID=14","0.0184")</f>
        <v>0.0184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HYPERLINK("http://141.218.60.56/~jnz1568/getInfo.php?workbook=20_14.xlsx&amp;sheet=U0&amp;row=1086&amp;col=6&amp;number=3.2&amp;sourceID=14","3.2")</f>
        <v>3.2</v>
      </c>
      <c r="G1086" s="4" t="str">
        <f>HYPERLINK("http://141.218.60.56/~jnz1568/getInfo.php?workbook=20_14.xlsx&amp;sheet=U0&amp;row=1086&amp;col=7&amp;number=0.0184&amp;sourceID=14","0.0184")</f>
        <v>0.0184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HYPERLINK("http://141.218.60.56/~jnz1568/getInfo.php?workbook=20_14.xlsx&amp;sheet=U0&amp;row=1087&amp;col=6&amp;number=3.3&amp;sourceID=14","3.3")</f>
        <v>3.3</v>
      </c>
      <c r="G1087" s="4" t="str">
        <f>HYPERLINK("http://141.218.60.56/~jnz1568/getInfo.php?workbook=20_14.xlsx&amp;sheet=U0&amp;row=1087&amp;col=7&amp;number=0.0184&amp;sourceID=14","0.0184")</f>
        <v>0.0184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HYPERLINK("http://141.218.60.56/~jnz1568/getInfo.php?workbook=20_14.xlsx&amp;sheet=U0&amp;row=1088&amp;col=6&amp;number=3.4&amp;sourceID=14","3.4")</f>
        <v>3.4</v>
      </c>
      <c r="G1088" s="4" t="str">
        <f>HYPERLINK("http://141.218.60.56/~jnz1568/getInfo.php?workbook=20_14.xlsx&amp;sheet=U0&amp;row=1088&amp;col=7&amp;number=0.0184&amp;sourceID=14","0.0184")</f>
        <v>0.0184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HYPERLINK("http://141.218.60.56/~jnz1568/getInfo.php?workbook=20_14.xlsx&amp;sheet=U0&amp;row=1089&amp;col=6&amp;number=3.5&amp;sourceID=14","3.5")</f>
        <v>3.5</v>
      </c>
      <c r="G1089" s="4" t="str">
        <f>HYPERLINK("http://141.218.60.56/~jnz1568/getInfo.php?workbook=20_14.xlsx&amp;sheet=U0&amp;row=1089&amp;col=7&amp;number=0.0184&amp;sourceID=14","0.0184")</f>
        <v>0.0184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HYPERLINK("http://141.218.60.56/~jnz1568/getInfo.php?workbook=20_14.xlsx&amp;sheet=U0&amp;row=1090&amp;col=6&amp;number=3.6&amp;sourceID=14","3.6")</f>
        <v>3.6</v>
      </c>
      <c r="G1090" s="4" t="str">
        <f>HYPERLINK("http://141.218.60.56/~jnz1568/getInfo.php?workbook=20_14.xlsx&amp;sheet=U0&amp;row=1090&amp;col=7&amp;number=0.0184&amp;sourceID=14","0.0184")</f>
        <v>0.0184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HYPERLINK("http://141.218.60.56/~jnz1568/getInfo.php?workbook=20_14.xlsx&amp;sheet=U0&amp;row=1091&amp;col=6&amp;number=3.7&amp;sourceID=14","3.7")</f>
        <v>3.7</v>
      </c>
      <c r="G1091" s="4" t="str">
        <f>HYPERLINK("http://141.218.60.56/~jnz1568/getInfo.php?workbook=20_14.xlsx&amp;sheet=U0&amp;row=1091&amp;col=7&amp;number=0.0184&amp;sourceID=14","0.0184")</f>
        <v>0.0184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HYPERLINK("http://141.218.60.56/~jnz1568/getInfo.php?workbook=20_14.xlsx&amp;sheet=U0&amp;row=1092&amp;col=6&amp;number=3.8&amp;sourceID=14","3.8")</f>
        <v>3.8</v>
      </c>
      <c r="G1092" s="4" t="str">
        <f>HYPERLINK("http://141.218.60.56/~jnz1568/getInfo.php?workbook=20_14.xlsx&amp;sheet=U0&amp;row=1092&amp;col=7&amp;number=0.0185&amp;sourceID=14","0.0185")</f>
        <v>0.0185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HYPERLINK("http://141.218.60.56/~jnz1568/getInfo.php?workbook=20_14.xlsx&amp;sheet=U0&amp;row=1093&amp;col=6&amp;number=3.9&amp;sourceID=14","3.9")</f>
        <v>3.9</v>
      </c>
      <c r="G1093" s="4" t="str">
        <f>HYPERLINK("http://141.218.60.56/~jnz1568/getInfo.php?workbook=20_14.xlsx&amp;sheet=U0&amp;row=1093&amp;col=7&amp;number=0.0185&amp;sourceID=14","0.0185")</f>
        <v>0.0185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HYPERLINK("http://141.218.60.56/~jnz1568/getInfo.php?workbook=20_14.xlsx&amp;sheet=U0&amp;row=1094&amp;col=6&amp;number=4&amp;sourceID=14","4")</f>
        <v>4</v>
      </c>
      <c r="G1094" s="4" t="str">
        <f>HYPERLINK("http://141.218.60.56/~jnz1568/getInfo.php?workbook=20_14.xlsx&amp;sheet=U0&amp;row=1094&amp;col=7&amp;number=0.0185&amp;sourceID=14","0.0185")</f>
        <v>0.0185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HYPERLINK("http://141.218.60.56/~jnz1568/getInfo.php?workbook=20_14.xlsx&amp;sheet=U0&amp;row=1095&amp;col=6&amp;number=4.1&amp;sourceID=14","4.1")</f>
        <v>4.1</v>
      </c>
      <c r="G1095" s="4" t="str">
        <f>HYPERLINK("http://141.218.60.56/~jnz1568/getInfo.php?workbook=20_14.xlsx&amp;sheet=U0&amp;row=1095&amp;col=7&amp;number=0.0185&amp;sourceID=14","0.0185")</f>
        <v>0.0185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HYPERLINK("http://141.218.60.56/~jnz1568/getInfo.php?workbook=20_14.xlsx&amp;sheet=U0&amp;row=1096&amp;col=6&amp;number=4.2&amp;sourceID=14","4.2")</f>
        <v>4.2</v>
      </c>
      <c r="G1096" s="4" t="str">
        <f>HYPERLINK("http://141.218.60.56/~jnz1568/getInfo.php?workbook=20_14.xlsx&amp;sheet=U0&amp;row=1096&amp;col=7&amp;number=0.0185&amp;sourceID=14","0.0185")</f>
        <v>0.0185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HYPERLINK("http://141.218.60.56/~jnz1568/getInfo.php?workbook=20_14.xlsx&amp;sheet=U0&amp;row=1097&amp;col=6&amp;number=4.3&amp;sourceID=14","4.3")</f>
        <v>4.3</v>
      </c>
      <c r="G1097" s="4" t="str">
        <f>HYPERLINK("http://141.218.60.56/~jnz1568/getInfo.php?workbook=20_14.xlsx&amp;sheet=U0&amp;row=1097&amp;col=7&amp;number=0.0186&amp;sourceID=14","0.0186")</f>
        <v>0.0186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HYPERLINK("http://141.218.60.56/~jnz1568/getInfo.php?workbook=20_14.xlsx&amp;sheet=U0&amp;row=1098&amp;col=6&amp;number=4.4&amp;sourceID=14","4.4")</f>
        <v>4.4</v>
      </c>
      <c r="G1098" s="4" t="str">
        <f>HYPERLINK("http://141.218.60.56/~jnz1568/getInfo.php?workbook=20_14.xlsx&amp;sheet=U0&amp;row=1098&amp;col=7&amp;number=0.0186&amp;sourceID=14","0.0186")</f>
        <v>0.0186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HYPERLINK("http://141.218.60.56/~jnz1568/getInfo.php?workbook=20_14.xlsx&amp;sheet=U0&amp;row=1099&amp;col=6&amp;number=4.5&amp;sourceID=14","4.5")</f>
        <v>4.5</v>
      </c>
      <c r="G1099" s="4" t="str">
        <f>HYPERLINK("http://141.218.60.56/~jnz1568/getInfo.php?workbook=20_14.xlsx&amp;sheet=U0&amp;row=1099&amp;col=7&amp;number=0.0187&amp;sourceID=14","0.0187")</f>
        <v>0.0187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HYPERLINK("http://141.218.60.56/~jnz1568/getInfo.php?workbook=20_14.xlsx&amp;sheet=U0&amp;row=1100&amp;col=6&amp;number=4.6&amp;sourceID=14","4.6")</f>
        <v>4.6</v>
      </c>
      <c r="G1100" s="4" t="str">
        <f>HYPERLINK("http://141.218.60.56/~jnz1568/getInfo.php?workbook=20_14.xlsx&amp;sheet=U0&amp;row=1100&amp;col=7&amp;number=0.0187&amp;sourceID=14","0.0187")</f>
        <v>0.0187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HYPERLINK("http://141.218.60.56/~jnz1568/getInfo.php?workbook=20_14.xlsx&amp;sheet=U0&amp;row=1101&amp;col=6&amp;number=4.7&amp;sourceID=14","4.7")</f>
        <v>4.7</v>
      </c>
      <c r="G1101" s="4" t="str">
        <f>HYPERLINK("http://141.218.60.56/~jnz1568/getInfo.php?workbook=20_14.xlsx&amp;sheet=U0&amp;row=1101&amp;col=7&amp;number=0.0188&amp;sourceID=14","0.0188")</f>
        <v>0.0188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HYPERLINK("http://141.218.60.56/~jnz1568/getInfo.php?workbook=20_14.xlsx&amp;sheet=U0&amp;row=1102&amp;col=6&amp;number=4.8&amp;sourceID=14","4.8")</f>
        <v>4.8</v>
      </c>
      <c r="G1102" s="4" t="str">
        <f>HYPERLINK("http://141.218.60.56/~jnz1568/getInfo.php?workbook=20_14.xlsx&amp;sheet=U0&amp;row=1102&amp;col=7&amp;number=0.0189&amp;sourceID=14","0.0189")</f>
        <v>0.0189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HYPERLINK("http://141.218.60.56/~jnz1568/getInfo.php?workbook=20_14.xlsx&amp;sheet=U0&amp;row=1103&amp;col=6&amp;number=4.9&amp;sourceID=14","4.9")</f>
        <v>4.9</v>
      </c>
      <c r="G1103" s="4" t="str">
        <f>HYPERLINK("http://141.218.60.56/~jnz1568/getInfo.php?workbook=20_14.xlsx&amp;sheet=U0&amp;row=1103&amp;col=7&amp;number=0.019&amp;sourceID=14","0.019")</f>
        <v>0.019</v>
      </c>
    </row>
    <row r="1104" spans="1:7">
      <c r="A1104" s="3">
        <v>20</v>
      </c>
      <c r="B1104" s="3">
        <v>14</v>
      </c>
      <c r="C1104" s="3">
        <v>3</v>
      </c>
      <c r="D1104" s="3">
        <v>8</v>
      </c>
      <c r="E1104" s="3">
        <v>1</v>
      </c>
      <c r="F1104" s="4" t="str">
        <f>HYPERLINK("http://141.218.60.56/~jnz1568/getInfo.php?workbook=20_14.xlsx&amp;sheet=U0&amp;row=1104&amp;col=6&amp;number=3&amp;sourceID=14","3")</f>
        <v>3</v>
      </c>
      <c r="G1104" s="4" t="str">
        <f>HYPERLINK("http://141.218.60.56/~jnz1568/getInfo.php?workbook=20_14.xlsx&amp;sheet=U0&amp;row=1104&amp;col=7&amp;number=0.161&amp;sourceID=14","0.161")</f>
        <v>0.161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HYPERLINK("http://141.218.60.56/~jnz1568/getInfo.php?workbook=20_14.xlsx&amp;sheet=U0&amp;row=1105&amp;col=6&amp;number=3.1&amp;sourceID=14","3.1")</f>
        <v>3.1</v>
      </c>
      <c r="G1105" s="4" t="str">
        <f>HYPERLINK("http://141.218.60.56/~jnz1568/getInfo.php?workbook=20_14.xlsx&amp;sheet=U0&amp;row=1105&amp;col=7&amp;number=0.161&amp;sourceID=14","0.161")</f>
        <v>0.161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HYPERLINK("http://141.218.60.56/~jnz1568/getInfo.php?workbook=20_14.xlsx&amp;sheet=U0&amp;row=1106&amp;col=6&amp;number=3.2&amp;sourceID=14","3.2")</f>
        <v>3.2</v>
      </c>
      <c r="G1106" s="4" t="str">
        <f>HYPERLINK("http://141.218.60.56/~jnz1568/getInfo.php?workbook=20_14.xlsx&amp;sheet=U0&amp;row=1106&amp;col=7&amp;number=0.161&amp;sourceID=14","0.161")</f>
        <v>0.161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HYPERLINK("http://141.218.60.56/~jnz1568/getInfo.php?workbook=20_14.xlsx&amp;sheet=U0&amp;row=1107&amp;col=6&amp;number=3.3&amp;sourceID=14","3.3")</f>
        <v>3.3</v>
      </c>
      <c r="G1107" s="4" t="str">
        <f>HYPERLINK("http://141.218.60.56/~jnz1568/getInfo.php?workbook=20_14.xlsx&amp;sheet=U0&amp;row=1107&amp;col=7&amp;number=0.161&amp;sourceID=14","0.161")</f>
        <v>0.161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HYPERLINK("http://141.218.60.56/~jnz1568/getInfo.php?workbook=20_14.xlsx&amp;sheet=U0&amp;row=1108&amp;col=6&amp;number=3.4&amp;sourceID=14","3.4")</f>
        <v>3.4</v>
      </c>
      <c r="G1108" s="4" t="str">
        <f>HYPERLINK("http://141.218.60.56/~jnz1568/getInfo.php?workbook=20_14.xlsx&amp;sheet=U0&amp;row=1108&amp;col=7&amp;number=0.161&amp;sourceID=14","0.161")</f>
        <v>0.161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HYPERLINK("http://141.218.60.56/~jnz1568/getInfo.php?workbook=20_14.xlsx&amp;sheet=U0&amp;row=1109&amp;col=6&amp;number=3.5&amp;sourceID=14","3.5")</f>
        <v>3.5</v>
      </c>
      <c r="G1109" s="4" t="str">
        <f>HYPERLINK("http://141.218.60.56/~jnz1568/getInfo.php?workbook=20_14.xlsx&amp;sheet=U0&amp;row=1109&amp;col=7&amp;number=0.161&amp;sourceID=14","0.161")</f>
        <v>0.161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HYPERLINK("http://141.218.60.56/~jnz1568/getInfo.php?workbook=20_14.xlsx&amp;sheet=U0&amp;row=1110&amp;col=6&amp;number=3.6&amp;sourceID=14","3.6")</f>
        <v>3.6</v>
      </c>
      <c r="G1110" s="4" t="str">
        <f>HYPERLINK("http://141.218.60.56/~jnz1568/getInfo.php?workbook=20_14.xlsx&amp;sheet=U0&amp;row=1110&amp;col=7&amp;number=0.161&amp;sourceID=14","0.161")</f>
        <v>0.161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HYPERLINK("http://141.218.60.56/~jnz1568/getInfo.php?workbook=20_14.xlsx&amp;sheet=U0&amp;row=1111&amp;col=6&amp;number=3.7&amp;sourceID=14","3.7")</f>
        <v>3.7</v>
      </c>
      <c r="G1111" s="4" t="str">
        <f>HYPERLINK("http://141.218.60.56/~jnz1568/getInfo.php?workbook=20_14.xlsx&amp;sheet=U0&amp;row=1111&amp;col=7&amp;number=0.162&amp;sourceID=14","0.162")</f>
        <v>0.162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HYPERLINK("http://141.218.60.56/~jnz1568/getInfo.php?workbook=20_14.xlsx&amp;sheet=U0&amp;row=1112&amp;col=6&amp;number=3.8&amp;sourceID=14","3.8")</f>
        <v>3.8</v>
      </c>
      <c r="G1112" s="4" t="str">
        <f>HYPERLINK("http://141.218.60.56/~jnz1568/getInfo.php?workbook=20_14.xlsx&amp;sheet=U0&amp;row=1112&amp;col=7&amp;number=0.162&amp;sourceID=14","0.162")</f>
        <v>0.162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HYPERLINK("http://141.218.60.56/~jnz1568/getInfo.php?workbook=20_14.xlsx&amp;sheet=U0&amp;row=1113&amp;col=6&amp;number=3.9&amp;sourceID=14","3.9")</f>
        <v>3.9</v>
      </c>
      <c r="G1113" s="4" t="str">
        <f>HYPERLINK("http://141.218.60.56/~jnz1568/getInfo.php?workbook=20_14.xlsx&amp;sheet=U0&amp;row=1113&amp;col=7&amp;number=0.162&amp;sourceID=14","0.162")</f>
        <v>0.162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HYPERLINK("http://141.218.60.56/~jnz1568/getInfo.php?workbook=20_14.xlsx&amp;sheet=U0&amp;row=1114&amp;col=6&amp;number=4&amp;sourceID=14","4")</f>
        <v>4</v>
      </c>
      <c r="G1114" s="4" t="str">
        <f>HYPERLINK("http://141.218.60.56/~jnz1568/getInfo.php?workbook=20_14.xlsx&amp;sheet=U0&amp;row=1114&amp;col=7&amp;number=0.162&amp;sourceID=14","0.162")</f>
        <v>0.162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HYPERLINK("http://141.218.60.56/~jnz1568/getInfo.php?workbook=20_14.xlsx&amp;sheet=U0&amp;row=1115&amp;col=6&amp;number=4.1&amp;sourceID=14","4.1")</f>
        <v>4.1</v>
      </c>
      <c r="G1115" s="4" t="str">
        <f>HYPERLINK("http://141.218.60.56/~jnz1568/getInfo.php?workbook=20_14.xlsx&amp;sheet=U0&amp;row=1115&amp;col=7&amp;number=0.162&amp;sourceID=14","0.162")</f>
        <v>0.162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HYPERLINK("http://141.218.60.56/~jnz1568/getInfo.php?workbook=20_14.xlsx&amp;sheet=U0&amp;row=1116&amp;col=6&amp;number=4.2&amp;sourceID=14","4.2")</f>
        <v>4.2</v>
      </c>
      <c r="G1116" s="4" t="str">
        <f>HYPERLINK("http://141.218.60.56/~jnz1568/getInfo.php?workbook=20_14.xlsx&amp;sheet=U0&amp;row=1116&amp;col=7&amp;number=0.163&amp;sourceID=14","0.163")</f>
        <v>0.163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HYPERLINK("http://141.218.60.56/~jnz1568/getInfo.php?workbook=20_14.xlsx&amp;sheet=U0&amp;row=1117&amp;col=6&amp;number=4.3&amp;sourceID=14","4.3")</f>
        <v>4.3</v>
      </c>
      <c r="G1117" s="4" t="str">
        <f>HYPERLINK("http://141.218.60.56/~jnz1568/getInfo.php?workbook=20_14.xlsx&amp;sheet=U0&amp;row=1117&amp;col=7&amp;number=0.163&amp;sourceID=14","0.163")</f>
        <v>0.163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HYPERLINK("http://141.218.60.56/~jnz1568/getInfo.php?workbook=20_14.xlsx&amp;sheet=U0&amp;row=1118&amp;col=6&amp;number=4.4&amp;sourceID=14","4.4")</f>
        <v>4.4</v>
      </c>
      <c r="G1118" s="4" t="str">
        <f>HYPERLINK("http://141.218.60.56/~jnz1568/getInfo.php?workbook=20_14.xlsx&amp;sheet=U0&amp;row=1118&amp;col=7&amp;number=0.164&amp;sourceID=14","0.164")</f>
        <v>0.164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HYPERLINK("http://141.218.60.56/~jnz1568/getInfo.php?workbook=20_14.xlsx&amp;sheet=U0&amp;row=1119&amp;col=6&amp;number=4.5&amp;sourceID=14","4.5")</f>
        <v>4.5</v>
      </c>
      <c r="G1119" s="4" t="str">
        <f>HYPERLINK("http://141.218.60.56/~jnz1568/getInfo.php?workbook=20_14.xlsx&amp;sheet=U0&amp;row=1119&amp;col=7&amp;number=0.164&amp;sourceID=14","0.164")</f>
        <v>0.164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HYPERLINK("http://141.218.60.56/~jnz1568/getInfo.php?workbook=20_14.xlsx&amp;sheet=U0&amp;row=1120&amp;col=6&amp;number=4.6&amp;sourceID=14","4.6")</f>
        <v>4.6</v>
      </c>
      <c r="G1120" s="4" t="str">
        <f>HYPERLINK("http://141.218.60.56/~jnz1568/getInfo.php?workbook=20_14.xlsx&amp;sheet=U0&amp;row=1120&amp;col=7&amp;number=0.165&amp;sourceID=14","0.165")</f>
        <v>0.165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HYPERLINK("http://141.218.60.56/~jnz1568/getInfo.php?workbook=20_14.xlsx&amp;sheet=U0&amp;row=1121&amp;col=6&amp;number=4.7&amp;sourceID=14","4.7")</f>
        <v>4.7</v>
      </c>
      <c r="G1121" s="4" t="str">
        <f>HYPERLINK("http://141.218.60.56/~jnz1568/getInfo.php?workbook=20_14.xlsx&amp;sheet=U0&amp;row=1121&amp;col=7&amp;number=0.166&amp;sourceID=14","0.166")</f>
        <v>0.166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HYPERLINK("http://141.218.60.56/~jnz1568/getInfo.php?workbook=20_14.xlsx&amp;sheet=U0&amp;row=1122&amp;col=6&amp;number=4.8&amp;sourceID=14","4.8")</f>
        <v>4.8</v>
      </c>
      <c r="G1122" s="4" t="str">
        <f>HYPERLINK("http://141.218.60.56/~jnz1568/getInfo.php?workbook=20_14.xlsx&amp;sheet=U0&amp;row=1122&amp;col=7&amp;number=0.168&amp;sourceID=14","0.168")</f>
        <v>0.168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HYPERLINK("http://141.218.60.56/~jnz1568/getInfo.php?workbook=20_14.xlsx&amp;sheet=U0&amp;row=1123&amp;col=6&amp;number=4.9&amp;sourceID=14","4.9")</f>
        <v>4.9</v>
      </c>
      <c r="G1123" s="4" t="str">
        <f>HYPERLINK("http://141.218.60.56/~jnz1568/getInfo.php?workbook=20_14.xlsx&amp;sheet=U0&amp;row=1123&amp;col=7&amp;number=0.169&amp;sourceID=14","0.169")</f>
        <v>0.169</v>
      </c>
    </row>
    <row r="1124" spans="1:7">
      <c r="A1124" s="3">
        <v>20</v>
      </c>
      <c r="B1124" s="3">
        <v>14</v>
      </c>
      <c r="C1124" s="3">
        <v>3</v>
      </c>
      <c r="D1124" s="3">
        <v>9</v>
      </c>
      <c r="E1124" s="3">
        <v>1</v>
      </c>
      <c r="F1124" s="4" t="str">
        <f>HYPERLINK("http://141.218.60.56/~jnz1568/getInfo.php?workbook=20_14.xlsx&amp;sheet=U0&amp;row=1124&amp;col=6&amp;number=3&amp;sourceID=14","3")</f>
        <v>3</v>
      </c>
      <c r="G1124" s="4" t="str">
        <f>HYPERLINK("http://141.218.60.56/~jnz1568/getInfo.php?workbook=20_14.xlsx&amp;sheet=U0&amp;row=1124&amp;col=7&amp;number=1.13&amp;sourceID=14","1.13")</f>
        <v>1.13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HYPERLINK("http://141.218.60.56/~jnz1568/getInfo.php?workbook=20_14.xlsx&amp;sheet=U0&amp;row=1125&amp;col=6&amp;number=3.1&amp;sourceID=14","3.1")</f>
        <v>3.1</v>
      </c>
      <c r="G1125" s="4" t="str">
        <f>HYPERLINK("http://141.218.60.56/~jnz1568/getInfo.php?workbook=20_14.xlsx&amp;sheet=U0&amp;row=1125&amp;col=7&amp;number=1.13&amp;sourceID=14","1.13")</f>
        <v>1.13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HYPERLINK("http://141.218.60.56/~jnz1568/getInfo.php?workbook=20_14.xlsx&amp;sheet=U0&amp;row=1126&amp;col=6&amp;number=3.2&amp;sourceID=14","3.2")</f>
        <v>3.2</v>
      </c>
      <c r="G1126" s="4" t="str">
        <f>HYPERLINK("http://141.218.60.56/~jnz1568/getInfo.php?workbook=20_14.xlsx&amp;sheet=U0&amp;row=1126&amp;col=7&amp;number=1.13&amp;sourceID=14","1.13")</f>
        <v>1.13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HYPERLINK("http://141.218.60.56/~jnz1568/getInfo.php?workbook=20_14.xlsx&amp;sheet=U0&amp;row=1127&amp;col=6&amp;number=3.3&amp;sourceID=14","3.3")</f>
        <v>3.3</v>
      </c>
      <c r="G1127" s="4" t="str">
        <f>HYPERLINK("http://141.218.60.56/~jnz1568/getInfo.php?workbook=20_14.xlsx&amp;sheet=U0&amp;row=1127&amp;col=7&amp;number=1.14&amp;sourceID=14","1.14")</f>
        <v>1.14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HYPERLINK("http://141.218.60.56/~jnz1568/getInfo.php?workbook=20_14.xlsx&amp;sheet=U0&amp;row=1128&amp;col=6&amp;number=3.4&amp;sourceID=14","3.4")</f>
        <v>3.4</v>
      </c>
      <c r="G1128" s="4" t="str">
        <f>HYPERLINK("http://141.218.60.56/~jnz1568/getInfo.php?workbook=20_14.xlsx&amp;sheet=U0&amp;row=1128&amp;col=7&amp;number=1.14&amp;sourceID=14","1.14")</f>
        <v>1.14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HYPERLINK("http://141.218.60.56/~jnz1568/getInfo.php?workbook=20_14.xlsx&amp;sheet=U0&amp;row=1129&amp;col=6&amp;number=3.5&amp;sourceID=14","3.5")</f>
        <v>3.5</v>
      </c>
      <c r="G1129" s="4" t="str">
        <f>HYPERLINK("http://141.218.60.56/~jnz1568/getInfo.php?workbook=20_14.xlsx&amp;sheet=U0&amp;row=1129&amp;col=7&amp;number=1.14&amp;sourceID=14","1.14")</f>
        <v>1.14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HYPERLINK("http://141.218.60.56/~jnz1568/getInfo.php?workbook=20_14.xlsx&amp;sheet=U0&amp;row=1130&amp;col=6&amp;number=3.6&amp;sourceID=14","3.6")</f>
        <v>3.6</v>
      </c>
      <c r="G1130" s="4" t="str">
        <f>HYPERLINK("http://141.218.60.56/~jnz1568/getInfo.php?workbook=20_14.xlsx&amp;sheet=U0&amp;row=1130&amp;col=7&amp;number=1.14&amp;sourceID=14","1.14")</f>
        <v>1.14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HYPERLINK("http://141.218.60.56/~jnz1568/getInfo.php?workbook=20_14.xlsx&amp;sheet=U0&amp;row=1131&amp;col=6&amp;number=3.7&amp;sourceID=14","3.7")</f>
        <v>3.7</v>
      </c>
      <c r="G1131" s="4" t="str">
        <f>HYPERLINK("http://141.218.60.56/~jnz1568/getInfo.php?workbook=20_14.xlsx&amp;sheet=U0&amp;row=1131&amp;col=7&amp;number=1.14&amp;sourceID=14","1.14")</f>
        <v>1.14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HYPERLINK("http://141.218.60.56/~jnz1568/getInfo.php?workbook=20_14.xlsx&amp;sheet=U0&amp;row=1132&amp;col=6&amp;number=3.8&amp;sourceID=14","3.8")</f>
        <v>3.8</v>
      </c>
      <c r="G1132" s="4" t="str">
        <f>HYPERLINK("http://141.218.60.56/~jnz1568/getInfo.php?workbook=20_14.xlsx&amp;sheet=U0&amp;row=1132&amp;col=7&amp;number=1.14&amp;sourceID=14","1.14")</f>
        <v>1.14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HYPERLINK("http://141.218.60.56/~jnz1568/getInfo.php?workbook=20_14.xlsx&amp;sheet=U0&amp;row=1133&amp;col=6&amp;number=3.9&amp;sourceID=14","3.9")</f>
        <v>3.9</v>
      </c>
      <c r="G1133" s="4" t="str">
        <f>HYPERLINK("http://141.218.60.56/~jnz1568/getInfo.php?workbook=20_14.xlsx&amp;sheet=U0&amp;row=1133&amp;col=7&amp;number=1.14&amp;sourceID=14","1.14")</f>
        <v>1.14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HYPERLINK("http://141.218.60.56/~jnz1568/getInfo.php?workbook=20_14.xlsx&amp;sheet=U0&amp;row=1134&amp;col=6&amp;number=4&amp;sourceID=14","4")</f>
        <v>4</v>
      </c>
      <c r="G1134" s="4" t="str">
        <f>HYPERLINK("http://141.218.60.56/~jnz1568/getInfo.php?workbook=20_14.xlsx&amp;sheet=U0&amp;row=1134&amp;col=7&amp;number=1.14&amp;sourceID=14","1.14")</f>
        <v>1.14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HYPERLINK("http://141.218.60.56/~jnz1568/getInfo.php?workbook=20_14.xlsx&amp;sheet=U0&amp;row=1135&amp;col=6&amp;number=4.1&amp;sourceID=14","4.1")</f>
        <v>4.1</v>
      </c>
      <c r="G1135" s="4" t="str">
        <f>HYPERLINK("http://141.218.60.56/~jnz1568/getInfo.php?workbook=20_14.xlsx&amp;sheet=U0&amp;row=1135&amp;col=7&amp;number=1.15&amp;sourceID=14","1.15")</f>
        <v>1.15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HYPERLINK("http://141.218.60.56/~jnz1568/getInfo.php?workbook=20_14.xlsx&amp;sheet=U0&amp;row=1136&amp;col=6&amp;number=4.2&amp;sourceID=14","4.2")</f>
        <v>4.2</v>
      </c>
      <c r="G1136" s="4" t="str">
        <f>HYPERLINK("http://141.218.60.56/~jnz1568/getInfo.php?workbook=20_14.xlsx&amp;sheet=U0&amp;row=1136&amp;col=7&amp;number=1.15&amp;sourceID=14","1.15")</f>
        <v>1.15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HYPERLINK("http://141.218.60.56/~jnz1568/getInfo.php?workbook=20_14.xlsx&amp;sheet=U0&amp;row=1137&amp;col=6&amp;number=4.3&amp;sourceID=14","4.3")</f>
        <v>4.3</v>
      </c>
      <c r="G1137" s="4" t="str">
        <f>HYPERLINK("http://141.218.60.56/~jnz1568/getInfo.php?workbook=20_14.xlsx&amp;sheet=U0&amp;row=1137&amp;col=7&amp;number=1.15&amp;sourceID=14","1.15")</f>
        <v>1.15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HYPERLINK("http://141.218.60.56/~jnz1568/getInfo.php?workbook=20_14.xlsx&amp;sheet=U0&amp;row=1138&amp;col=6&amp;number=4.4&amp;sourceID=14","4.4")</f>
        <v>4.4</v>
      </c>
      <c r="G1138" s="4" t="str">
        <f>HYPERLINK("http://141.218.60.56/~jnz1568/getInfo.php?workbook=20_14.xlsx&amp;sheet=U0&amp;row=1138&amp;col=7&amp;number=1.16&amp;sourceID=14","1.16")</f>
        <v>1.16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HYPERLINK("http://141.218.60.56/~jnz1568/getInfo.php?workbook=20_14.xlsx&amp;sheet=U0&amp;row=1139&amp;col=6&amp;number=4.5&amp;sourceID=14","4.5")</f>
        <v>4.5</v>
      </c>
      <c r="G1139" s="4" t="str">
        <f>HYPERLINK("http://141.218.60.56/~jnz1568/getInfo.php?workbook=20_14.xlsx&amp;sheet=U0&amp;row=1139&amp;col=7&amp;number=1.17&amp;sourceID=14","1.17")</f>
        <v>1.17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HYPERLINK("http://141.218.60.56/~jnz1568/getInfo.php?workbook=20_14.xlsx&amp;sheet=U0&amp;row=1140&amp;col=6&amp;number=4.6&amp;sourceID=14","4.6")</f>
        <v>4.6</v>
      </c>
      <c r="G1140" s="4" t="str">
        <f>HYPERLINK("http://141.218.60.56/~jnz1568/getInfo.php?workbook=20_14.xlsx&amp;sheet=U0&amp;row=1140&amp;col=7&amp;number=1.18&amp;sourceID=14","1.18")</f>
        <v>1.18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HYPERLINK("http://141.218.60.56/~jnz1568/getInfo.php?workbook=20_14.xlsx&amp;sheet=U0&amp;row=1141&amp;col=6&amp;number=4.7&amp;sourceID=14","4.7")</f>
        <v>4.7</v>
      </c>
      <c r="G1141" s="4" t="str">
        <f>HYPERLINK("http://141.218.60.56/~jnz1568/getInfo.php?workbook=20_14.xlsx&amp;sheet=U0&amp;row=1141&amp;col=7&amp;number=1.19&amp;sourceID=14","1.19")</f>
        <v>1.19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HYPERLINK("http://141.218.60.56/~jnz1568/getInfo.php?workbook=20_14.xlsx&amp;sheet=U0&amp;row=1142&amp;col=6&amp;number=4.8&amp;sourceID=14","4.8")</f>
        <v>4.8</v>
      </c>
      <c r="G1142" s="4" t="str">
        <f>HYPERLINK("http://141.218.60.56/~jnz1568/getInfo.php?workbook=20_14.xlsx&amp;sheet=U0&amp;row=1142&amp;col=7&amp;number=1.2&amp;sourceID=14","1.2")</f>
        <v>1.2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HYPERLINK("http://141.218.60.56/~jnz1568/getInfo.php?workbook=20_14.xlsx&amp;sheet=U0&amp;row=1143&amp;col=6&amp;number=4.9&amp;sourceID=14","4.9")</f>
        <v>4.9</v>
      </c>
      <c r="G1143" s="4" t="str">
        <f>HYPERLINK("http://141.218.60.56/~jnz1568/getInfo.php?workbook=20_14.xlsx&amp;sheet=U0&amp;row=1143&amp;col=7&amp;number=1.21&amp;sourceID=14","1.21")</f>
        <v>1.21</v>
      </c>
    </row>
    <row r="1144" spans="1:7">
      <c r="A1144" s="3">
        <v>20</v>
      </c>
      <c r="B1144" s="3">
        <v>14</v>
      </c>
      <c r="C1144" s="3">
        <v>3</v>
      </c>
      <c r="D1144" s="3">
        <v>10</v>
      </c>
      <c r="E1144" s="3">
        <v>1</v>
      </c>
      <c r="F1144" s="4" t="str">
        <f>HYPERLINK("http://141.218.60.56/~jnz1568/getInfo.php?workbook=20_14.xlsx&amp;sheet=U0&amp;row=1144&amp;col=6&amp;number=3&amp;sourceID=14","3")</f>
        <v>3</v>
      </c>
      <c r="G1144" s="4" t="str">
        <f>HYPERLINK("http://141.218.60.56/~jnz1568/getInfo.php?workbook=20_14.xlsx&amp;sheet=U0&amp;row=1144&amp;col=7&amp;number=0.00989&amp;sourceID=14","0.00989")</f>
        <v>0.00989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HYPERLINK("http://141.218.60.56/~jnz1568/getInfo.php?workbook=20_14.xlsx&amp;sheet=U0&amp;row=1145&amp;col=6&amp;number=3.1&amp;sourceID=14","3.1")</f>
        <v>3.1</v>
      </c>
      <c r="G1145" s="4" t="str">
        <f>HYPERLINK("http://141.218.60.56/~jnz1568/getInfo.php?workbook=20_14.xlsx&amp;sheet=U0&amp;row=1145&amp;col=7&amp;number=0.00989&amp;sourceID=14","0.00989")</f>
        <v>0.00989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HYPERLINK("http://141.218.60.56/~jnz1568/getInfo.php?workbook=20_14.xlsx&amp;sheet=U0&amp;row=1146&amp;col=6&amp;number=3.2&amp;sourceID=14","3.2")</f>
        <v>3.2</v>
      </c>
      <c r="G1146" s="4" t="str">
        <f>HYPERLINK("http://141.218.60.56/~jnz1568/getInfo.php?workbook=20_14.xlsx&amp;sheet=U0&amp;row=1146&amp;col=7&amp;number=0.00989&amp;sourceID=14","0.00989")</f>
        <v>0.00989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HYPERLINK("http://141.218.60.56/~jnz1568/getInfo.php?workbook=20_14.xlsx&amp;sheet=U0&amp;row=1147&amp;col=6&amp;number=3.3&amp;sourceID=14","3.3")</f>
        <v>3.3</v>
      </c>
      <c r="G1147" s="4" t="str">
        <f>HYPERLINK("http://141.218.60.56/~jnz1568/getInfo.php?workbook=20_14.xlsx&amp;sheet=U0&amp;row=1147&amp;col=7&amp;number=0.00988&amp;sourceID=14","0.00988")</f>
        <v>0.00988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HYPERLINK("http://141.218.60.56/~jnz1568/getInfo.php?workbook=20_14.xlsx&amp;sheet=U0&amp;row=1148&amp;col=6&amp;number=3.4&amp;sourceID=14","3.4")</f>
        <v>3.4</v>
      </c>
      <c r="G1148" s="4" t="str">
        <f>HYPERLINK("http://141.218.60.56/~jnz1568/getInfo.php?workbook=20_14.xlsx&amp;sheet=U0&amp;row=1148&amp;col=7&amp;number=0.00988&amp;sourceID=14","0.00988")</f>
        <v>0.00988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HYPERLINK("http://141.218.60.56/~jnz1568/getInfo.php?workbook=20_14.xlsx&amp;sheet=U0&amp;row=1149&amp;col=6&amp;number=3.5&amp;sourceID=14","3.5")</f>
        <v>3.5</v>
      </c>
      <c r="G1149" s="4" t="str">
        <f>HYPERLINK("http://141.218.60.56/~jnz1568/getInfo.php?workbook=20_14.xlsx&amp;sheet=U0&amp;row=1149&amp;col=7&amp;number=0.00988&amp;sourceID=14","0.00988")</f>
        <v>0.00988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HYPERLINK("http://141.218.60.56/~jnz1568/getInfo.php?workbook=20_14.xlsx&amp;sheet=U0&amp;row=1150&amp;col=6&amp;number=3.6&amp;sourceID=14","3.6")</f>
        <v>3.6</v>
      </c>
      <c r="G1150" s="4" t="str">
        <f>HYPERLINK("http://141.218.60.56/~jnz1568/getInfo.php?workbook=20_14.xlsx&amp;sheet=U0&amp;row=1150&amp;col=7&amp;number=0.00987&amp;sourceID=14","0.00987")</f>
        <v>0.00987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HYPERLINK("http://141.218.60.56/~jnz1568/getInfo.php?workbook=20_14.xlsx&amp;sheet=U0&amp;row=1151&amp;col=6&amp;number=3.7&amp;sourceID=14","3.7")</f>
        <v>3.7</v>
      </c>
      <c r="G1151" s="4" t="str">
        <f>HYPERLINK("http://141.218.60.56/~jnz1568/getInfo.php?workbook=20_14.xlsx&amp;sheet=U0&amp;row=1151&amp;col=7&amp;number=0.00987&amp;sourceID=14","0.00987")</f>
        <v>0.00987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HYPERLINK("http://141.218.60.56/~jnz1568/getInfo.php?workbook=20_14.xlsx&amp;sheet=U0&amp;row=1152&amp;col=6&amp;number=3.8&amp;sourceID=14","3.8")</f>
        <v>3.8</v>
      </c>
      <c r="G1152" s="4" t="str">
        <f>HYPERLINK("http://141.218.60.56/~jnz1568/getInfo.php?workbook=20_14.xlsx&amp;sheet=U0&amp;row=1152&amp;col=7&amp;number=0.00986&amp;sourceID=14","0.00986")</f>
        <v>0.00986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HYPERLINK("http://141.218.60.56/~jnz1568/getInfo.php?workbook=20_14.xlsx&amp;sheet=U0&amp;row=1153&amp;col=6&amp;number=3.9&amp;sourceID=14","3.9")</f>
        <v>3.9</v>
      </c>
      <c r="G1153" s="4" t="str">
        <f>HYPERLINK("http://141.218.60.56/~jnz1568/getInfo.php?workbook=20_14.xlsx&amp;sheet=U0&amp;row=1153&amp;col=7&amp;number=0.00985&amp;sourceID=14","0.00985")</f>
        <v>0.00985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HYPERLINK("http://141.218.60.56/~jnz1568/getInfo.php?workbook=20_14.xlsx&amp;sheet=U0&amp;row=1154&amp;col=6&amp;number=4&amp;sourceID=14","4")</f>
        <v>4</v>
      </c>
      <c r="G1154" s="4" t="str">
        <f>HYPERLINK("http://141.218.60.56/~jnz1568/getInfo.php?workbook=20_14.xlsx&amp;sheet=U0&amp;row=1154&amp;col=7&amp;number=0.00984&amp;sourceID=14","0.00984")</f>
        <v>0.00984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HYPERLINK("http://141.218.60.56/~jnz1568/getInfo.php?workbook=20_14.xlsx&amp;sheet=U0&amp;row=1155&amp;col=6&amp;number=4.1&amp;sourceID=14","4.1")</f>
        <v>4.1</v>
      </c>
      <c r="G1155" s="4" t="str">
        <f>HYPERLINK("http://141.218.60.56/~jnz1568/getInfo.php?workbook=20_14.xlsx&amp;sheet=U0&amp;row=1155&amp;col=7&amp;number=0.00983&amp;sourceID=14","0.00983")</f>
        <v>0.00983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HYPERLINK("http://141.218.60.56/~jnz1568/getInfo.php?workbook=20_14.xlsx&amp;sheet=U0&amp;row=1156&amp;col=6&amp;number=4.2&amp;sourceID=14","4.2")</f>
        <v>4.2</v>
      </c>
      <c r="G1156" s="4" t="str">
        <f>HYPERLINK("http://141.218.60.56/~jnz1568/getInfo.php?workbook=20_14.xlsx&amp;sheet=U0&amp;row=1156&amp;col=7&amp;number=0.00981&amp;sourceID=14","0.00981")</f>
        <v>0.00981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HYPERLINK("http://141.218.60.56/~jnz1568/getInfo.php?workbook=20_14.xlsx&amp;sheet=U0&amp;row=1157&amp;col=6&amp;number=4.3&amp;sourceID=14","4.3")</f>
        <v>4.3</v>
      </c>
      <c r="G1157" s="4" t="str">
        <f>HYPERLINK("http://141.218.60.56/~jnz1568/getInfo.php?workbook=20_14.xlsx&amp;sheet=U0&amp;row=1157&amp;col=7&amp;number=0.00979&amp;sourceID=14","0.00979")</f>
        <v>0.00979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HYPERLINK("http://141.218.60.56/~jnz1568/getInfo.php?workbook=20_14.xlsx&amp;sheet=U0&amp;row=1158&amp;col=6&amp;number=4.4&amp;sourceID=14","4.4")</f>
        <v>4.4</v>
      </c>
      <c r="G1158" s="4" t="str">
        <f>HYPERLINK("http://141.218.60.56/~jnz1568/getInfo.php?workbook=20_14.xlsx&amp;sheet=U0&amp;row=1158&amp;col=7&amp;number=0.00977&amp;sourceID=14","0.00977")</f>
        <v>0.00977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HYPERLINK("http://141.218.60.56/~jnz1568/getInfo.php?workbook=20_14.xlsx&amp;sheet=U0&amp;row=1159&amp;col=6&amp;number=4.5&amp;sourceID=14","4.5")</f>
        <v>4.5</v>
      </c>
      <c r="G1159" s="4" t="str">
        <f>HYPERLINK("http://141.218.60.56/~jnz1568/getInfo.php?workbook=20_14.xlsx&amp;sheet=U0&amp;row=1159&amp;col=7&amp;number=0.00973&amp;sourceID=14","0.00973")</f>
        <v>0.00973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HYPERLINK("http://141.218.60.56/~jnz1568/getInfo.php?workbook=20_14.xlsx&amp;sheet=U0&amp;row=1160&amp;col=6&amp;number=4.6&amp;sourceID=14","4.6")</f>
        <v>4.6</v>
      </c>
      <c r="G1160" s="4" t="str">
        <f>HYPERLINK("http://141.218.60.56/~jnz1568/getInfo.php?workbook=20_14.xlsx&amp;sheet=U0&amp;row=1160&amp;col=7&amp;number=0.00969&amp;sourceID=14","0.00969")</f>
        <v>0.00969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HYPERLINK("http://141.218.60.56/~jnz1568/getInfo.php?workbook=20_14.xlsx&amp;sheet=U0&amp;row=1161&amp;col=6&amp;number=4.7&amp;sourceID=14","4.7")</f>
        <v>4.7</v>
      </c>
      <c r="G1161" s="4" t="str">
        <f>HYPERLINK("http://141.218.60.56/~jnz1568/getInfo.php?workbook=20_14.xlsx&amp;sheet=U0&amp;row=1161&amp;col=7&amp;number=0.00964&amp;sourceID=14","0.00964")</f>
        <v>0.00964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HYPERLINK("http://141.218.60.56/~jnz1568/getInfo.php?workbook=20_14.xlsx&amp;sheet=U0&amp;row=1162&amp;col=6&amp;number=4.8&amp;sourceID=14","4.8")</f>
        <v>4.8</v>
      </c>
      <c r="G1162" s="4" t="str">
        <f>HYPERLINK("http://141.218.60.56/~jnz1568/getInfo.php?workbook=20_14.xlsx&amp;sheet=U0&amp;row=1162&amp;col=7&amp;number=0.00957&amp;sourceID=14","0.00957")</f>
        <v>0.00957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HYPERLINK("http://141.218.60.56/~jnz1568/getInfo.php?workbook=20_14.xlsx&amp;sheet=U0&amp;row=1163&amp;col=6&amp;number=4.9&amp;sourceID=14","4.9")</f>
        <v>4.9</v>
      </c>
      <c r="G1163" s="4" t="str">
        <f>HYPERLINK("http://141.218.60.56/~jnz1568/getInfo.php?workbook=20_14.xlsx&amp;sheet=U0&amp;row=1163&amp;col=7&amp;number=0.00949&amp;sourceID=14","0.00949")</f>
        <v>0.00949</v>
      </c>
    </row>
    <row r="1164" spans="1:7">
      <c r="A1164" s="3">
        <v>20</v>
      </c>
      <c r="B1164" s="3">
        <v>14</v>
      </c>
      <c r="C1164" s="3">
        <v>3</v>
      </c>
      <c r="D1164" s="3">
        <v>11</v>
      </c>
      <c r="E1164" s="3">
        <v>1</v>
      </c>
      <c r="F1164" s="4" t="str">
        <f>HYPERLINK("http://141.218.60.56/~jnz1568/getInfo.php?workbook=20_14.xlsx&amp;sheet=U0&amp;row=1164&amp;col=6&amp;number=3&amp;sourceID=14","3")</f>
        <v>3</v>
      </c>
      <c r="G1164" s="4" t="str">
        <f>HYPERLINK("http://141.218.60.56/~jnz1568/getInfo.php?workbook=20_14.xlsx&amp;sheet=U0&amp;row=1164&amp;col=7&amp;number=0.568&amp;sourceID=14","0.568")</f>
        <v>0.568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HYPERLINK("http://141.218.60.56/~jnz1568/getInfo.php?workbook=20_14.xlsx&amp;sheet=U0&amp;row=1165&amp;col=6&amp;number=3.1&amp;sourceID=14","3.1")</f>
        <v>3.1</v>
      </c>
      <c r="G1165" s="4" t="str">
        <f>HYPERLINK("http://141.218.60.56/~jnz1568/getInfo.php?workbook=20_14.xlsx&amp;sheet=U0&amp;row=1165&amp;col=7&amp;number=0.568&amp;sourceID=14","0.568")</f>
        <v>0.568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HYPERLINK("http://141.218.60.56/~jnz1568/getInfo.php?workbook=20_14.xlsx&amp;sheet=U0&amp;row=1166&amp;col=6&amp;number=3.2&amp;sourceID=14","3.2")</f>
        <v>3.2</v>
      </c>
      <c r="G1166" s="4" t="str">
        <f>HYPERLINK("http://141.218.60.56/~jnz1568/getInfo.php?workbook=20_14.xlsx&amp;sheet=U0&amp;row=1166&amp;col=7&amp;number=0.568&amp;sourceID=14","0.568")</f>
        <v>0.568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HYPERLINK("http://141.218.60.56/~jnz1568/getInfo.php?workbook=20_14.xlsx&amp;sheet=U0&amp;row=1167&amp;col=6&amp;number=3.3&amp;sourceID=14","3.3")</f>
        <v>3.3</v>
      </c>
      <c r="G1167" s="4" t="str">
        <f>HYPERLINK("http://141.218.60.56/~jnz1568/getInfo.php?workbook=20_14.xlsx&amp;sheet=U0&amp;row=1167&amp;col=7&amp;number=0.568&amp;sourceID=14","0.568")</f>
        <v>0.568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HYPERLINK("http://141.218.60.56/~jnz1568/getInfo.php?workbook=20_14.xlsx&amp;sheet=U0&amp;row=1168&amp;col=6&amp;number=3.4&amp;sourceID=14","3.4")</f>
        <v>3.4</v>
      </c>
      <c r="G1168" s="4" t="str">
        <f>HYPERLINK("http://141.218.60.56/~jnz1568/getInfo.php?workbook=20_14.xlsx&amp;sheet=U0&amp;row=1168&amp;col=7&amp;number=0.569&amp;sourceID=14","0.569")</f>
        <v>0.569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HYPERLINK("http://141.218.60.56/~jnz1568/getInfo.php?workbook=20_14.xlsx&amp;sheet=U0&amp;row=1169&amp;col=6&amp;number=3.5&amp;sourceID=14","3.5")</f>
        <v>3.5</v>
      </c>
      <c r="G1169" s="4" t="str">
        <f>HYPERLINK("http://141.218.60.56/~jnz1568/getInfo.php?workbook=20_14.xlsx&amp;sheet=U0&amp;row=1169&amp;col=7&amp;number=0.569&amp;sourceID=14","0.569")</f>
        <v>0.569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HYPERLINK("http://141.218.60.56/~jnz1568/getInfo.php?workbook=20_14.xlsx&amp;sheet=U0&amp;row=1170&amp;col=6&amp;number=3.6&amp;sourceID=14","3.6")</f>
        <v>3.6</v>
      </c>
      <c r="G1170" s="4" t="str">
        <f>HYPERLINK("http://141.218.60.56/~jnz1568/getInfo.php?workbook=20_14.xlsx&amp;sheet=U0&amp;row=1170&amp;col=7&amp;number=0.569&amp;sourceID=14","0.569")</f>
        <v>0.569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HYPERLINK("http://141.218.60.56/~jnz1568/getInfo.php?workbook=20_14.xlsx&amp;sheet=U0&amp;row=1171&amp;col=6&amp;number=3.7&amp;sourceID=14","3.7")</f>
        <v>3.7</v>
      </c>
      <c r="G1171" s="4" t="str">
        <f>HYPERLINK("http://141.218.60.56/~jnz1568/getInfo.php?workbook=20_14.xlsx&amp;sheet=U0&amp;row=1171&amp;col=7&amp;number=0.57&amp;sourceID=14","0.57")</f>
        <v>0.57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HYPERLINK("http://141.218.60.56/~jnz1568/getInfo.php?workbook=20_14.xlsx&amp;sheet=U0&amp;row=1172&amp;col=6&amp;number=3.8&amp;sourceID=14","3.8")</f>
        <v>3.8</v>
      </c>
      <c r="G1172" s="4" t="str">
        <f>HYPERLINK("http://141.218.60.56/~jnz1568/getInfo.php?workbook=20_14.xlsx&amp;sheet=U0&amp;row=1172&amp;col=7&amp;number=0.57&amp;sourceID=14","0.57")</f>
        <v>0.57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HYPERLINK("http://141.218.60.56/~jnz1568/getInfo.php?workbook=20_14.xlsx&amp;sheet=U0&amp;row=1173&amp;col=6&amp;number=3.9&amp;sourceID=14","3.9")</f>
        <v>3.9</v>
      </c>
      <c r="G1173" s="4" t="str">
        <f>HYPERLINK("http://141.218.60.56/~jnz1568/getInfo.php?workbook=20_14.xlsx&amp;sheet=U0&amp;row=1173&amp;col=7&amp;number=0.571&amp;sourceID=14","0.571")</f>
        <v>0.571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HYPERLINK("http://141.218.60.56/~jnz1568/getInfo.php?workbook=20_14.xlsx&amp;sheet=U0&amp;row=1174&amp;col=6&amp;number=4&amp;sourceID=14","4")</f>
        <v>4</v>
      </c>
      <c r="G1174" s="4" t="str">
        <f>HYPERLINK("http://141.218.60.56/~jnz1568/getInfo.php?workbook=20_14.xlsx&amp;sheet=U0&amp;row=1174&amp;col=7&amp;number=0.572&amp;sourceID=14","0.572")</f>
        <v>0.572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HYPERLINK("http://141.218.60.56/~jnz1568/getInfo.php?workbook=20_14.xlsx&amp;sheet=U0&amp;row=1175&amp;col=6&amp;number=4.1&amp;sourceID=14","4.1")</f>
        <v>4.1</v>
      </c>
      <c r="G1175" s="4" t="str">
        <f>HYPERLINK("http://141.218.60.56/~jnz1568/getInfo.php?workbook=20_14.xlsx&amp;sheet=U0&amp;row=1175&amp;col=7&amp;number=0.574&amp;sourceID=14","0.574")</f>
        <v>0.574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HYPERLINK("http://141.218.60.56/~jnz1568/getInfo.php?workbook=20_14.xlsx&amp;sheet=U0&amp;row=1176&amp;col=6&amp;number=4.2&amp;sourceID=14","4.2")</f>
        <v>4.2</v>
      </c>
      <c r="G1176" s="4" t="str">
        <f>HYPERLINK("http://141.218.60.56/~jnz1568/getInfo.php?workbook=20_14.xlsx&amp;sheet=U0&amp;row=1176&amp;col=7&amp;number=0.575&amp;sourceID=14","0.575")</f>
        <v>0.575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HYPERLINK("http://141.218.60.56/~jnz1568/getInfo.php?workbook=20_14.xlsx&amp;sheet=U0&amp;row=1177&amp;col=6&amp;number=4.3&amp;sourceID=14","4.3")</f>
        <v>4.3</v>
      </c>
      <c r="G1177" s="4" t="str">
        <f>HYPERLINK("http://141.218.60.56/~jnz1568/getInfo.php?workbook=20_14.xlsx&amp;sheet=U0&amp;row=1177&amp;col=7&amp;number=0.577&amp;sourceID=14","0.577")</f>
        <v>0.577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HYPERLINK("http://141.218.60.56/~jnz1568/getInfo.php?workbook=20_14.xlsx&amp;sheet=U0&amp;row=1178&amp;col=6&amp;number=4.4&amp;sourceID=14","4.4")</f>
        <v>4.4</v>
      </c>
      <c r="G1178" s="4" t="str">
        <f>HYPERLINK("http://141.218.60.56/~jnz1568/getInfo.php?workbook=20_14.xlsx&amp;sheet=U0&amp;row=1178&amp;col=7&amp;number=0.58&amp;sourceID=14","0.58")</f>
        <v>0.58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HYPERLINK("http://141.218.60.56/~jnz1568/getInfo.php?workbook=20_14.xlsx&amp;sheet=U0&amp;row=1179&amp;col=6&amp;number=4.5&amp;sourceID=14","4.5")</f>
        <v>4.5</v>
      </c>
      <c r="G1179" s="4" t="str">
        <f>HYPERLINK("http://141.218.60.56/~jnz1568/getInfo.php?workbook=20_14.xlsx&amp;sheet=U0&amp;row=1179&amp;col=7&amp;number=0.583&amp;sourceID=14","0.583")</f>
        <v>0.583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HYPERLINK("http://141.218.60.56/~jnz1568/getInfo.php?workbook=20_14.xlsx&amp;sheet=U0&amp;row=1180&amp;col=6&amp;number=4.6&amp;sourceID=14","4.6")</f>
        <v>4.6</v>
      </c>
      <c r="G1180" s="4" t="str">
        <f>HYPERLINK("http://141.218.60.56/~jnz1568/getInfo.php?workbook=20_14.xlsx&amp;sheet=U0&amp;row=1180&amp;col=7&amp;number=0.587&amp;sourceID=14","0.587")</f>
        <v>0.587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HYPERLINK("http://141.218.60.56/~jnz1568/getInfo.php?workbook=20_14.xlsx&amp;sheet=U0&amp;row=1181&amp;col=6&amp;number=4.7&amp;sourceID=14","4.7")</f>
        <v>4.7</v>
      </c>
      <c r="G1181" s="4" t="str">
        <f>HYPERLINK("http://141.218.60.56/~jnz1568/getInfo.php?workbook=20_14.xlsx&amp;sheet=U0&amp;row=1181&amp;col=7&amp;number=0.592&amp;sourceID=14","0.592")</f>
        <v>0.592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HYPERLINK("http://141.218.60.56/~jnz1568/getInfo.php?workbook=20_14.xlsx&amp;sheet=U0&amp;row=1182&amp;col=6&amp;number=4.8&amp;sourceID=14","4.8")</f>
        <v>4.8</v>
      </c>
      <c r="G1182" s="4" t="str">
        <f>HYPERLINK("http://141.218.60.56/~jnz1568/getInfo.php?workbook=20_14.xlsx&amp;sheet=U0&amp;row=1182&amp;col=7&amp;number=0.598&amp;sourceID=14","0.598")</f>
        <v>0.598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HYPERLINK("http://141.218.60.56/~jnz1568/getInfo.php?workbook=20_14.xlsx&amp;sheet=U0&amp;row=1183&amp;col=6&amp;number=4.9&amp;sourceID=14","4.9")</f>
        <v>4.9</v>
      </c>
      <c r="G1183" s="4" t="str">
        <f>HYPERLINK("http://141.218.60.56/~jnz1568/getInfo.php?workbook=20_14.xlsx&amp;sheet=U0&amp;row=1183&amp;col=7&amp;number=0.605&amp;sourceID=14","0.605")</f>
        <v>0.605</v>
      </c>
    </row>
    <row r="1184" spans="1:7">
      <c r="A1184" s="3">
        <v>20</v>
      </c>
      <c r="B1184" s="3">
        <v>14</v>
      </c>
      <c r="C1184" s="3">
        <v>3</v>
      </c>
      <c r="D1184" s="3">
        <v>12</v>
      </c>
      <c r="E1184" s="3">
        <v>1</v>
      </c>
      <c r="F1184" s="4" t="str">
        <f>HYPERLINK("http://141.218.60.56/~jnz1568/getInfo.php?workbook=20_14.xlsx&amp;sheet=U0&amp;row=1184&amp;col=6&amp;number=3&amp;sourceID=14","3")</f>
        <v>3</v>
      </c>
      <c r="G1184" s="4" t="str">
        <f>HYPERLINK("http://141.218.60.56/~jnz1568/getInfo.php?workbook=20_14.xlsx&amp;sheet=U0&amp;row=1184&amp;col=7&amp;number=1.85&amp;sourceID=14","1.85")</f>
        <v>1.85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HYPERLINK("http://141.218.60.56/~jnz1568/getInfo.php?workbook=20_14.xlsx&amp;sheet=U0&amp;row=1185&amp;col=6&amp;number=3.1&amp;sourceID=14","3.1")</f>
        <v>3.1</v>
      </c>
      <c r="G1185" s="4" t="str">
        <f>HYPERLINK("http://141.218.60.56/~jnz1568/getInfo.php?workbook=20_14.xlsx&amp;sheet=U0&amp;row=1185&amp;col=7&amp;number=1.85&amp;sourceID=14","1.85")</f>
        <v>1.85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HYPERLINK("http://141.218.60.56/~jnz1568/getInfo.php?workbook=20_14.xlsx&amp;sheet=U0&amp;row=1186&amp;col=6&amp;number=3.2&amp;sourceID=14","3.2")</f>
        <v>3.2</v>
      </c>
      <c r="G1186" s="4" t="str">
        <f>HYPERLINK("http://141.218.60.56/~jnz1568/getInfo.php?workbook=20_14.xlsx&amp;sheet=U0&amp;row=1186&amp;col=7&amp;number=1.85&amp;sourceID=14","1.85")</f>
        <v>1.85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HYPERLINK("http://141.218.60.56/~jnz1568/getInfo.php?workbook=20_14.xlsx&amp;sheet=U0&amp;row=1187&amp;col=6&amp;number=3.3&amp;sourceID=14","3.3")</f>
        <v>3.3</v>
      </c>
      <c r="G1187" s="4" t="str">
        <f>HYPERLINK("http://141.218.60.56/~jnz1568/getInfo.php?workbook=20_14.xlsx&amp;sheet=U0&amp;row=1187&amp;col=7&amp;number=1.85&amp;sourceID=14","1.85")</f>
        <v>1.85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HYPERLINK("http://141.218.60.56/~jnz1568/getInfo.php?workbook=20_14.xlsx&amp;sheet=U0&amp;row=1188&amp;col=6&amp;number=3.4&amp;sourceID=14","3.4")</f>
        <v>3.4</v>
      </c>
      <c r="G1188" s="4" t="str">
        <f>HYPERLINK("http://141.218.60.56/~jnz1568/getInfo.php?workbook=20_14.xlsx&amp;sheet=U0&amp;row=1188&amp;col=7&amp;number=1.85&amp;sourceID=14","1.85")</f>
        <v>1.85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HYPERLINK("http://141.218.60.56/~jnz1568/getInfo.php?workbook=20_14.xlsx&amp;sheet=U0&amp;row=1189&amp;col=6&amp;number=3.5&amp;sourceID=14","3.5")</f>
        <v>3.5</v>
      </c>
      <c r="G1189" s="4" t="str">
        <f>HYPERLINK("http://141.218.60.56/~jnz1568/getInfo.php?workbook=20_14.xlsx&amp;sheet=U0&amp;row=1189&amp;col=7&amp;number=1.85&amp;sourceID=14","1.85")</f>
        <v>1.85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HYPERLINK("http://141.218.60.56/~jnz1568/getInfo.php?workbook=20_14.xlsx&amp;sheet=U0&amp;row=1190&amp;col=6&amp;number=3.6&amp;sourceID=14","3.6")</f>
        <v>3.6</v>
      </c>
      <c r="G1190" s="4" t="str">
        <f>HYPERLINK("http://141.218.60.56/~jnz1568/getInfo.php?workbook=20_14.xlsx&amp;sheet=U0&amp;row=1190&amp;col=7&amp;number=1.86&amp;sourceID=14","1.86")</f>
        <v>1.86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HYPERLINK("http://141.218.60.56/~jnz1568/getInfo.php?workbook=20_14.xlsx&amp;sheet=U0&amp;row=1191&amp;col=6&amp;number=3.7&amp;sourceID=14","3.7")</f>
        <v>3.7</v>
      </c>
      <c r="G1191" s="4" t="str">
        <f>HYPERLINK("http://141.218.60.56/~jnz1568/getInfo.php?workbook=20_14.xlsx&amp;sheet=U0&amp;row=1191&amp;col=7&amp;number=1.86&amp;sourceID=14","1.86")</f>
        <v>1.86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HYPERLINK("http://141.218.60.56/~jnz1568/getInfo.php?workbook=20_14.xlsx&amp;sheet=U0&amp;row=1192&amp;col=6&amp;number=3.8&amp;sourceID=14","3.8")</f>
        <v>3.8</v>
      </c>
      <c r="G1192" s="4" t="str">
        <f>HYPERLINK("http://141.218.60.56/~jnz1568/getInfo.php?workbook=20_14.xlsx&amp;sheet=U0&amp;row=1192&amp;col=7&amp;number=1.86&amp;sourceID=14","1.86")</f>
        <v>1.86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HYPERLINK("http://141.218.60.56/~jnz1568/getInfo.php?workbook=20_14.xlsx&amp;sheet=U0&amp;row=1193&amp;col=6&amp;number=3.9&amp;sourceID=14","3.9")</f>
        <v>3.9</v>
      </c>
      <c r="G1193" s="4" t="str">
        <f>HYPERLINK("http://141.218.60.56/~jnz1568/getInfo.php?workbook=20_14.xlsx&amp;sheet=U0&amp;row=1193&amp;col=7&amp;number=1.86&amp;sourceID=14","1.86")</f>
        <v>1.86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HYPERLINK("http://141.218.60.56/~jnz1568/getInfo.php?workbook=20_14.xlsx&amp;sheet=U0&amp;row=1194&amp;col=6&amp;number=4&amp;sourceID=14","4")</f>
        <v>4</v>
      </c>
      <c r="G1194" s="4" t="str">
        <f>HYPERLINK("http://141.218.60.56/~jnz1568/getInfo.php?workbook=20_14.xlsx&amp;sheet=U0&amp;row=1194&amp;col=7&amp;number=1.87&amp;sourceID=14","1.87")</f>
        <v>1.87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HYPERLINK("http://141.218.60.56/~jnz1568/getInfo.php?workbook=20_14.xlsx&amp;sheet=U0&amp;row=1195&amp;col=6&amp;number=4.1&amp;sourceID=14","4.1")</f>
        <v>4.1</v>
      </c>
      <c r="G1195" s="4" t="str">
        <f>HYPERLINK("http://141.218.60.56/~jnz1568/getInfo.php?workbook=20_14.xlsx&amp;sheet=U0&amp;row=1195&amp;col=7&amp;number=1.87&amp;sourceID=14","1.87")</f>
        <v>1.87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HYPERLINK("http://141.218.60.56/~jnz1568/getInfo.php?workbook=20_14.xlsx&amp;sheet=U0&amp;row=1196&amp;col=6&amp;number=4.2&amp;sourceID=14","4.2")</f>
        <v>4.2</v>
      </c>
      <c r="G1196" s="4" t="str">
        <f>HYPERLINK("http://141.218.60.56/~jnz1568/getInfo.php?workbook=20_14.xlsx&amp;sheet=U0&amp;row=1196&amp;col=7&amp;number=1.88&amp;sourceID=14","1.88")</f>
        <v>1.88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HYPERLINK("http://141.218.60.56/~jnz1568/getInfo.php?workbook=20_14.xlsx&amp;sheet=U0&amp;row=1197&amp;col=6&amp;number=4.3&amp;sourceID=14","4.3")</f>
        <v>4.3</v>
      </c>
      <c r="G1197" s="4" t="str">
        <f>HYPERLINK("http://141.218.60.56/~jnz1568/getInfo.php?workbook=20_14.xlsx&amp;sheet=U0&amp;row=1197&amp;col=7&amp;number=1.88&amp;sourceID=14","1.88")</f>
        <v>1.88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HYPERLINK("http://141.218.60.56/~jnz1568/getInfo.php?workbook=20_14.xlsx&amp;sheet=U0&amp;row=1198&amp;col=6&amp;number=4.4&amp;sourceID=14","4.4")</f>
        <v>4.4</v>
      </c>
      <c r="G1198" s="4" t="str">
        <f>HYPERLINK("http://141.218.60.56/~jnz1568/getInfo.php?workbook=20_14.xlsx&amp;sheet=U0&amp;row=1198&amp;col=7&amp;number=1.89&amp;sourceID=14","1.89")</f>
        <v>1.89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HYPERLINK("http://141.218.60.56/~jnz1568/getInfo.php?workbook=20_14.xlsx&amp;sheet=U0&amp;row=1199&amp;col=6&amp;number=4.5&amp;sourceID=14","4.5")</f>
        <v>4.5</v>
      </c>
      <c r="G1199" s="4" t="str">
        <f>HYPERLINK("http://141.218.60.56/~jnz1568/getInfo.php?workbook=20_14.xlsx&amp;sheet=U0&amp;row=1199&amp;col=7&amp;number=1.9&amp;sourceID=14","1.9")</f>
        <v>1.9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HYPERLINK("http://141.218.60.56/~jnz1568/getInfo.php?workbook=20_14.xlsx&amp;sheet=U0&amp;row=1200&amp;col=6&amp;number=4.6&amp;sourceID=14","4.6")</f>
        <v>4.6</v>
      </c>
      <c r="G1200" s="4" t="str">
        <f>HYPERLINK("http://141.218.60.56/~jnz1568/getInfo.php?workbook=20_14.xlsx&amp;sheet=U0&amp;row=1200&amp;col=7&amp;number=1.92&amp;sourceID=14","1.92")</f>
        <v>1.92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HYPERLINK("http://141.218.60.56/~jnz1568/getInfo.php?workbook=20_14.xlsx&amp;sheet=U0&amp;row=1201&amp;col=6&amp;number=4.7&amp;sourceID=14","4.7")</f>
        <v>4.7</v>
      </c>
      <c r="G1201" s="4" t="str">
        <f>HYPERLINK("http://141.218.60.56/~jnz1568/getInfo.php?workbook=20_14.xlsx&amp;sheet=U0&amp;row=1201&amp;col=7&amp;number=1.93&amp;sourceID=14","1.93")</f>
        <v>1.93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HYPERLINK("http://141.218.60.56/~jnz1568/getInfo.php?workbook=20_14.xlsx&amp;sheet=U0&amp;row=1202&amp;col=6&amp;number=4.8&amp;sourceID=14","4.8")</f>
        <v>4.8</v>
      </c>
      <c r="G1202" s="4" t="str">
        <f>HYPERLINK("http://141.218.60.56/~jnz1568/getInfo.php?workbook=20_14.xlsx&amp;sheet=U0&amp;row=1202&amp;col=7&amp;number=1.95&amp;sourceID=14","1.95")</f>
        <v>1.95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HYPERLINK("http://141.218.60.56/~jnz1568/getInfo.php?workbook=20_14.xlsx&amp;sheet=U0&amp;row=1203&amp;col=6&amp;number=4.9&amp;sourceID=14","4.9")</f>
        <v>4.9</v>
      </c>
      <c r="G1203" s="4" t="str">
        <f>HYPERLINK("http://141.218.60.56/~jnz1568/getInfo.php?workbook=20_14.xlsx&amp;sheet=U0&amp;row=1203&amp;col=7&amp;number=1.98&amp;sourceID=14","1.98")</f>
        <v>1.98</v>
      </c>
    </row>
    <row r="1204" spans="1:7">
      <c r="A1204" s="3">
        <v>20</v>
      </c>
      <c r="B1204" s="3">
        <v>14</v>
      </c>
      <c r="C1204" s="3">
        <v>3</v>
      </c>
      <c r="D1204" s="3">
        <v>13</v>
      </c>
      <c r="E1204" s="3">
        <v>1</v>
      </c>
      <c r="F1204" s="4" t="str">
        <f>HYPERLINK("http://141.218.60.56/~jnz1568/getInfo.php?workbook=20_14.xlsx&amp;sheet=U0&amp;row=1204&amp;col=6&amp;number=3&amp;sourceID=14","3")</f>
        <v>3</v>
      </c>
      <c r="G1204" s="4" t="str">
        <f>HYPERLINK("http://141.218.60.56/~jnz1568/getInfo.php?workbook=20_14.xlsx&amp;sheet=U0&amp;row=1204&amp;col=7&amp;number=0.185&amp;sourceID=14","0.185")</f>
        <v>0.185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HYPERLINK("http://141.218.60.56/~jnz1568/getInfo.php?workbook=20_14.xlsx&amp;sheet=U0&amp;row=1205&amp;col=6&amp;number=3.1&amp;sourceID=14","3.1")</f>
        <v>3.1</v>
      </c>
      <c r="G1205" s="4" t="str">
        <f>HYPERLINK("http://141.218.60.56/~jnz1568/getInfo.php?workbook=20_14.xlsx&amp;sheet=U0&amp;row=1205&amp;col=7&amp;number=0.185&amp;sourceID=14","0.185")</f>
        <v>0.185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HYPERLINK("http://141.218.60.56/~jnz1568/getInfo.php?workbook=20_14.xlsx&amp;sheet=U0&amp;row=1206&amp;col=6&amp;number=3.2&amp;sourceID=14","3.2")</f>
        <v>3.2</v>
      </c>
      <c r="G1206" s="4" t="str">
        <f>HYPERLINK("http://141.218.60.56/~jnz1568/getInfo.php?workbook=20_14.xlsx&amp;sheet=U0&amp;row=1206&amp;col=7&amp;number=0.185&amp;sourceID=14","0.185")</f>
        <v>0.185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HYPERLINK("http://141.218.60.56/~jnz1568/getInfo.php?workbook=20_14.xlsx&amp;sheet=U0&amp;row=1207&amp;col=6&amp;number=3.3&amp;sourceID=14","3.3")</f>
        <v>3.3</v>
      </c>
      <c r="G1207" s="4" t="str">
        <f>HYPERLINK("http://141.218.60.56/~jnz1568/getInfo.php?workbook=20_14.xlsx&amp;sheet=U0&amp;row=1207&amp;col=7&amp;number=0.185&amp;sourceID=14","0.185")</f>
        <v>0.185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HYPERLINK("http://141.218.60.56/~jnz1568/getInfo.php?workbook=20_14.xlsx&amp;sheet=U0&amp;row=1208&amp;col=6&amp;number=3.4&amp;sourceID=14","3.4")</f>
        <v>3.4</v>
      </c>
      <c r="G1208" s="4" t="str">
        <f>HYPERLINK("http://141.218.60.56/~jnz1568/getInfo.php?workbook=20_14.xlsx&amp;sheet=U0&amp;row=1208&amp;col=7&amp;number=0.185&amp;sourceID=14","0.185")</f>
        <v>0.185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HYPERLINK("http://141.218.60.56/~jnz1568/getInfo.php?workbook=20_14.xlsx&amp;sheet=U0&amp;row=1209&amp;col=6&amp;number=3.5&amp;sourceID=14","3.5")</f>
        <v>3.5</v>
      </c>
      <c r="G1209" s="4" t="str">
        <f>HYPERLINK("http://141.218.60.56/~jnz1568/getInfo.php?workbook=20_14.xlsx&amp;sheet=U0&amp;row=1209&amp;col=7&amp;number=0.185&amp;sourceID=14","0.185")</f>
        <v>0.185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HYPERLINK("http://141.218.60.56/~jnz1568/getInfo.php?workbook=20_14.xlsx&amp;sheet=U0&amp;row=1210&amp;col=6&amp;number=3.6&amp;sourceID=14","3.6")</f>
        <v>3.6</v>
      </c>
      <c r="G1210" s="4" t="str">
        <f>HYPERLINK("http://141.218.60.56/~jnz1568/getInfo.php?workbook=20_14.xlsx&amp;sheet=U0&amp;row=1210&amp;col=7&amp;number=0.185&amp;sourceID=14","0.185")</f>
        <v>0.185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HYPERLINK("http://141.218.60.56/~jnz1568/getInfo.php?workbook=20_14.xlsx&amp;sheet=U0&amp;row=1211&amp;col=6&amp;number=3.7&amp;sourceID=14","3.7")</f>
        <v>3.7</v>
      </c>
      <c r="G1211" s="4" t="str">
        <f>HYPERLINK("http://141.218.60.56/~jnz1568/getInfo.php?workbook=20_14.xlsx&amp;sheet=U0&amp;row=1211&amp;col=7&amp;number=0.185&amp;sourceID=14","0.185")</f>
        <v>0.185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HYPERLINK("http://141.218.60.56/~jnz1568/getInfo.php?workbook=20_14.xlsx&amp;sheet=U0&amp;row=1212&amp;col=6&amp;number=3.8&amp;sourceID=14","3.8")</f>
        <v>3.8</v>
      </c>
      <c r="G1212" s="4" t="str">
        <f>HYPERLINK("http://141.218.60.56/~jnz1568/getInfo.php?workbook=20_14.xlsx&amp;sheet=U0&amp;row=1212&amp;col=7&amp;number=0.185&amp;sourceID=14","0.185")</f>
        <v>0.185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HYPERLINK("http://141.218.60.56/~jnz1568/getInfo.php?workbook=20_14.xlsx&amp;sheet=U0&amp;row=1213&amp;col=6&amp;number=3.9&amp;sourceID=14","3.9")</f>
        <v>3.9</v>
      </c>
      <c r="G1213" s="4" t="str">
        <f>HYPERLINK("http://141.218.60.56/~jnz1568/getInfo.php?workbook=20_14.xlsx&amp;sheet=U0&amp;row=1213&amp;col=7&amp;number=0.185&amp;sourceID=14","0.185")</f>
        <v>0.185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HYPERLINK("http://141.218.60.56/~jnz1568/getInfo.php?workbook=20_14.xlsx&amp;sheet=U0&amp;row=1214&amp;col=6&amp;number=4&amp;sourceID=14","4")</f>
        <v>4</v>
      </c>
      <c r="G1214" s="4" t="str">
        <f>HYPERLINK("http://141.218.60.56/~jnz1568/getInfo.php?workbook=20_14.xlsx&amp;sheet=U0&amp;row=1214&amp;col=7&amp;number=0.184&amp;sourceID=14","0.184")</f>
        <v>0.184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HYPERLINK("http://141.218.60.56/~jnz1568/getInfo.php?workbook=20_14.xlsx&amp;sheet=U0&amp;row=1215&amp;col=6&amp;number=4.1&amp;sourceID=14","4.1")</f>
        <v>4.1</v>
      </c>
      <c r="G1215" s="4" t="str">
        <f>HYPERLINK("http://141.218.60.56/~jnz1568/getInfo.php?workbook=20_14.xlsx&amp;sheet=U0&amp;row=1215&amp;col=7&amp;number=0.184&amp;sourceID=14","0.184")</f>
        <v>0.184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HYPERLINK("http://141.218.60.56/~jnz1568/getInfo.php?workbook=20_14.xlsx&amp;sheet=U0&amp;row=1216&amp;col=6&amp;number=4.2&amp;sourceID=14","4.2")</f>
        <v>4.2</v>
      </c>
      <c r="G1216" s="4" t="str">
        <f>HYPERLINK("http://141.218.60.56/~jnz1568/getInfo.php?workbook=20_14.xlsx&amp;sheet=U0&amp;row=1216&amp;col=7&amp;number=0.184&amp;sourceID=14","0.184")</f>
        <v>0.184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HYPERLINK("http://141.218.60.56/~jnz1568/getInfo.php?workbook=20_14.xlsx&amp;sheet=U0&amp;row=1217&amp;col=6&amp;number=4.3&amp;sourceID=14","4.3")</f>
        <v>4.3</v>
      </c>
      <c r="G1217" s="4" t="str">
        <f>HYPERLINK("http://141.218.60.56/~jnz1568/getInfo.php?workbook=20_14.xlsx&amp;sheet=U0&amp;row=1217&amp;col=7&amp;number=0.183&amp;sourceID=14","0.183")</f>
        <v>0.183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HYPERLINK("http://141.218.60.56/~jnz1568/getInfo.php?workbook=20_14.xlsx&amp;sheet=U0&amp;row=1218&amp;col=6&amp;number=4.4&amp;sourceID=14","4.4")</f>
        <v>4.4</v>
      </c>
      <c r="G1218" s="4" t="str">
        <f>HYPERLINK("http://141.218.60.56/~jnz1568/getInfo.php?workbook=20_14.xlsx&amp;sheet=U0&amp;row=1218&amp;col=7&amp;number=0.183&amp;sourceID=14","0.183")</f>
        <v>0.183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HYPERLINK("http://141.218.60.56/~jnz1568/getInfo.php?workbook=20_14.xlsx&amp;sheet=U0&amp;row=1219&amp;col=6&amp;number=4.5&amp;sourceID=14","4.5")</f>
        <v>4.5</v>
      </c>
      <c r="G1219" s="4" t="str">
        <f>HYPERLINK("http://141.218.60.56/~jnz1568/getInfo.php?workbook=20_14.xlsx&amp;sheet=U0&amp;row=1219&amp;col=7&amp;number=0.182&amp;sourceID=14","0.182")</f>
        <v>0.182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HYPERLINK("http://141.218.60.56/~jnz1568/getInfo.php?workbook=20_14.xlsx&amp;sheet=U0&amp;row=1220&amp;col=6&amp;number=4.6&amp;sourceID=14","4.6")</f>
        <v>4.6</v>
      </c>
      <c r="G1220" s="4" t="str">
        <f>HYPERLINK("http://141.218.60.56/~jnz1568/getInfo.php?workbook=20_14.xlsx&amp;sheet=U0&amp;row=1220&amp;col=7&amp;number=0.181&amp;sourceID=14","0.181")</f>
        <v>0.181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HYPERLINK("http://141.218.60.56/~jnz1568/getInfo.php?workbook=20_14.xlsx&amp;sheet=U0&amp;row=1221&amp;col=6&amp;number=4.7&amp;sourceID=14","4.7")</f>
        <v>4.7</v>
      </c>
      <c r="G1221" s="4" t="str">
        <f>HYPERLINK("http://141.218.60.56/~jnz1568/getInfo.php?workbook=20_14.xlsx&amp;sheet=U0&amp;row=1221&amp;col=7&amp;number=0.18&amp;sourceID=14","0.18")</f>
        <v>0.18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HYPERLINK("http://141.218.60.56/~jnz1568/getInfo.php?workbook=20_14.xlsx&amp;sheet=U0&amp;row=1222&amp;col=6&amp;number=4.8&amp;sourceID=14","4.8")</f>
        <v>4.8</v>
      </c>
      <c r="G1222" s="4" t="str">
        <f>HYPERLINK("http://141.218.60.56/~jnz1568/getInfo.php?workbook=20_14.xlsx&amp;sheet=U0&amp;row=1222&amp;col=7&amp;number=0.179&amp;sourceID=14","0.179")</f>
        <v>0.179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HYPERLINK("http://141.218.60.56/~jnz1568/getInfo.php?workbook=20_14.xlsx&amp;sheet=U0&amp;row=1223&amp;col=6&amp;number=4.9&amp;sourceID=14","4.9")</f>
        <v>4.9</v>
      </c>
      <c r="G1223" s="4" t="str">
        <f>HYPERLINK("http://141.218.60.56/~jnz1568/getInfo.php?workbook=20_14.xlsx&amp;sheet=U0&amp;row=1223&amp;col=7&amp;number=0.177&amp;sourceID=14","0.177")</f>
        <v>0.177</v>
      </c>
    </row>
    <row r="1224" spans="1:7">
      <c r="A1224" s="3">
        <v>20</v>
      </c>
      <c r="B1224" s="3">
        <v>14</v>
      </c>
      <c r="C1224" s="3">
        <v>3</v>
      </c>
      <c r="D1224" s="3">
        <v>14</v>
      </c>
      <c r="E1224" s="3">
        <v>1</v>
      </c>
      <c r="F1224" s="4" t="str">
        <f>HYPERLINK("http://141.218.60.56/~jnz1568/getInfo.php?workbook=20_14.xlsx&amp;sheet=U0&amp;row=1224&amp;col=6&amp;number=3&amp;sourceID=14","3")</f>
        <v>3</v>
      </c>
      <c r="G1224" s="4" t="str">
        <f>HYPERLINK("http://141.218.60.56/~jnz1568/getInfo.php?workbook=20_14.xlsx&amp;sheet=U0&amp;row=1224&amp;col=7&amp;number=0.0721&amp;sourceID=14","0.0721")</f>
        <v>0.0721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HYPERLINK("http://141.218.60.56/~jnz1568/getInfo.php?workbook=20_14.xlsx&amp;sheet=U0&amp;row=1225&amp;col=6&amp;number=3.1&amp;sourceID=14","3.1")</f>
        <v>3.1</v>
      </c>
      <c r="G1225" s="4" t="str">
        <f>HYPERLINK("http://141.218.60.56/~jnz1568/getInfo.php?workbook=20_14.xlsx&amp;sheet=U0&amp;row=1225&amp;col=7&amp;number=0.0721&amp;sourceID=14","0.0721")</f>
        <v>0.0721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HYPERLINK("http://141.218.60.56/~jnz1568/getInfo.php?workbook=20_14.xlsx&amp;sheet=U0&amp;row=1226&amp;col=6&amp;number=3.2&amp;sourceID=14","3.2")</f>
        <v>3.2</v>
      </c>
      <c r="G1226" s="4" t="str">
        <f>HYPERLINK("http://141.218.60.56/~jnz1568/getInfo.php?workbook=20_14.xlsx&amp;sheet=U0&amp;row=1226&amp;col=7&amp;number=0.0721&amp;sourceID=14","0.0721")</f>
        <v>0.0721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HYPERLINK("http://141.218.60.56/~jnz1568/getInfo.php?workbook=20_14.xlsx&amp;sheet=U0&amp;row=1227&amp;col=6&amp;number=3.3&amp;sourceID=14","3.3")</f>
        <v>3.3</v>
      </c>
      <c r="G1227" s="4" t="str">
        <f>HYPERLINK("http://141.218.60.56/~jnz1568/getInfo.php?workbook=20_14.xlsx&amp;sheet=U0&amp;row=1227&amp;col=7&amp;number=0.0721&amp;sourceID=14","0.0721")</f>
        <v>0.0721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HYPERLINK("http://141.218.60.56/~jnz1568/getInfo.php?workbook=20_14.xlsx&amp;sheet=U0&amp;row=1228&amp;col=6&amp;number=3.4&amp;sourceID=14","3.4")</f>
        <v>3.4</v>
      </c>
      <c r="G1228" s="4" t="str">
        <f>HYPERLINK("http://141.218.60.56/~jnz1568/getInfo.php?workbook=20_14.xlsx&amp;sheet=U0&amp;row=1228&amp;col=7&amp;number=0.0721&amp;sourceID=14","0.0721")</f>
        <v>0.0721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HYPERLINK("http://141.218.60.56/~jnz1568/getInfo.php?workbook=20_14.xlsx&amp;sheet=U0&amp;row=1229&amp;col=6&amp;number=3.5&amp;sourceID=14","3.5")</f>
        <v>3.5</v>
      </c>
      <c r="G1229" s="4" t="str">
        <f>HYPERLINK("http://141.218.60.56/~jnz1568/getInfo.php?workbook=20_14.xlsx&amp;sheet=U0&amp;row=1229&amp;col=7&amp;number=0.0721&amp;sourceID=14","0.0721")</f>
        <v>0.0721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HYPERLINK("http://141.218.60.56/~jnz1568/getInfo.php?workbook=20_14.xlsx&amp;sheet=U0&amp;row=1230&amp;col=6&amp;number=3.6&amp;sourceID=14","3.6")</f>
        <v>3.6</v>
      </c>
      <c r="G1230" s="4" t="str">
        <f>HYPERLINK("http://141.218.60.56/~jnz1568/getInfo.php?workbook=20_14.xlsx&amp;sheet=U0&amp;row=1230&amp;col=7&amp;number=0.0721&amp;sourceID=14","0.0721")</f>
        <v>0.0721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HYPERLINK("http://141.218.60.56/~jnz1568/getInfo.php?workbook=20_14.xlsx&amp;sheet=U0&amp;row=1231&amp;col=6&amp;number=3.7&amp;sourceID=14","3.7")</f>
        <v>3.7</v>
      </c>
      <c r="G1231" s="4" t="str">
        <f>HYPERLINK("http://141.218.60.56/~jnz1568/getInfo.php?workbook=20_14.xlsx&amp;sheet=U0&amp;row=1231&amp;col=7&amp;number=0.0721&amp;sourceID=14","0.0721")</f>
        <v>0.0721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HYPERLINK("http://141.218.60.56/~jnz1568/getInfo.php?workbook=20_14.xlsx&amp;sheet=U0&amp;row=1232&amp;col=6&amp;number=3.8&amp;sourceID=14","3.8")</f>
        <v>3.8</v>
      </c>
      <c r="G1232" s="4" t="str">
        <f>HYPERLINK("http://141.218.60.56/~jnz1568/getInfo.php?workbook=20_14.xlsx&amp;sheet=U0&amp;row=1232&amp;col=7&amp;number=0.0721&amp;sourceID=14","0.0721")</f>
        <v>0.0721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HYPERLINK("http://141.218.60.56/~jnz1568/getInfo.php?workbook=20_14.xlsx&amp;sheet=U0&amp;row=1233&amp;col=6&amp;number=3.9&amp;sourceID=14","3.9")</f>
        <v>3.9</v>
      </c>
      <c r="G1233" s="4" t="str">
        <f>HYPERLINK("http://141.218.60.56/~jnz1568/getInfo.php?workbook=20_14.xlsx&amp;sheet=U0&amp;row=1233&amp;col=7&amp;number=0.0721&amp;sourceID=14","0.0721")</f>
        <v>0.0721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HYPERLINK("http://141.218.60.56/~jnz1568/getInfo.php?workbook=20_14.xlsx&amp;sheet=U0&amp;row=1234&amp;col=6&amp;number=4&amp;sourceID=14","4")</f>
        <v>4</v>
      </c>
      <c r="G1234" s="4" t="str">
        <f>HYPERLINK("http://141.218.60.56/~jnz1568/getInfo.php?workbook=20_14.xlsx&amp;sheet=U0&amp;row=1234&amp;col=7&amp;number=0.072&amp;sourceID=14","0.072")</f>
        <v>0.072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HYPERLINK("http://141.218.60.56/~jnz1568/getInfo.php?workbook=20_14.xlsx&amp;sheet=U0&amp;row=1235&amp;col=6&amp;number=4.1&amp;sourceID=14","4.1")</f>
        <v>4.1</v>
      </c>
      <c r="G1235" s="4" t="str">
        <f>HYPERLINK("http://141.218.60.56/~jnz1568/getInfo.php?workbook=20_14.xlsx&amp;sheet=U0&amp;row=1235&amp;col=7&amp;number=0.072&amp;sourceID=14","0.072")</f>
        <v>0.072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HYPERLINK("http://141.218.60.56/~jnz1568/getInfo.php?workbook=20_14.xlsx&amp;sheet=U0&amp;row=1236&amp;col=6&amp;number=4.2&amp;sourceID=14","4.2")</f>
        <v>4.2</v>
      </c>
      <c r="G1236" s="4" t="str">
        <f>HYPERLINK("http://141.218.60.56/~jnz1568/getInfo.php?workbook=20_14.xlsx&amp;sheet=U0&amp;row=1236&amp;col=7&amp;number=0.072&amp;sourceID=14","0.072")</f>
        <v>0.072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HYPERLINK("http://141.218.60.56/~jnz1568/getInfo.php?workbook=20_14.xlsx&amp;sheet=U0&amp;row=1237&amp;col=6&amp;number=4.3&amp;sourceID=14","4.3")</f>
        <v>4.3</v>
      </c>
      <c r="G1237" s="4" t="str">
        <f>HYPERLINK("http://141.218.60.56/~jnz1568/getInfo.php?workbook=20_14.xlsx&amp;sheet=U0&amp;row=1237&amp;col=7&amp;number=0.072&amp;sourceID=14","0.072")</f>
        <v>0.072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HYPERLINK("http://141.218.60.56/~jnz1568/getInfo.php?workbook=20_14.xlsx&amp;sheet=U0&amp;row=1238&amp;col=6&amp;number=4.4&amp;sourceID=14","4.4")</f>
        <v>4.4</v>
      </c>
      <c r="G1238" s="4" t="str">
        <f>HYPERLINK("http://141.218.60.56/~jnz1568/getInfo.php?workbook=20_14.xlsx&amp;sheet=U0&amp;row=1238&amp;col=7&amp;number=0.0719&amp;sourceID=14","0.0719")</f>
        <v>0.0719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HYPERLINK("http://141.218.60.56/~jnz1568/getInfo.php?workbook=20_14.xlsx&amp;sheet=U0&amp;row=1239&amp;col=6&amp;number=4.5&amp;sourceID=14","4.5")</f>
        <v>4.5</v>
      </c>
      <c r="G1239" s="4" t="str">
        <f>HYPERLINK("http://141.218.60.56/~jnz1568/getInfo.php?workbook=20_14.xlsx&amp;sheet=U0&amp;row=1239&amp;col=7&amp;number=0.0719&amp;sourceID=14","0.0719")</f>
        <v>0.0719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HYPERLINK("http://141.218.60.56/~jnz1568/getInfo.php?workbook=20_14.xlsx&amp;sheet=U0&amp;row=1240&amp;col=6&amp;number=4.6&amp;sourceID=14","4.6")</f>
        <v>4.6</v>
      </c>
      <c r="G1240" s="4" t="str">
        <f>HYPERLINK("http://141.218.60.56/~jnz1568/getInfo.php?workbook=20_14.xlsx&amp;sheet=U0&amp;row=1240&amp;col=7&amp;number=0.0718&amp;sourceID=14","0.0718")</f>
        <v>0.0718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HYPERLINK("http://141.218.60.56/~jnz1568/getInfo.php?workbook=20_14.xlsx&amp;sheet=U0&amp;row=1241&amp;col=6&amp;number=4.7&amp;sourceID=14","4.7")</f>
        <v>4.7</v>
      </c>
      <c r="G1241" s="4" t="str">
        <f>HYPERLINK("http://141.218.60.56/~jnz1568/getInfo.php?workbook=20_14.xlsx&amp;sheet=U0&amp;row=1241&amp;col=7&amp;number=0.0718&amp;sourceID=14","0.0718")</f>
        <v>0.0718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HYPERLINK("http://141.218.60.56/~jnz1568/getInfo.php?workbook=20_14.xlsx&amp;sheet=U0&amp;row=1242&amp;col=6&amp;number=4.8&amp;sourceID=14","4.8")</f>
        <v>4.8</v>
      </c>
      <c r="G1242" s="4" t="str">
        <f>HYPERLINK("http://141.218.60.56/~jnz1568/getInfo.php?workbook=20_14.xlsx&amp;sheet=U0&amp;row=1242&amp;col=7&amp;number=0.0717&amp;sourceID=14","0.0717")</f>
        <v>0.0717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HYPERLINK("http://141.218.60.56/~jnz1568/getInfo.php?workbook=20_14.xlsx&amp;sheet=U0&amp;row=1243&amp;col=6&amp;number=4.9&amp;sourceID=14","4.9")</f>
        <v>4.9</v>
      </c>
      <c r="G1243" s="4" t="str">
        <f>HYPERLINK("http://141.218.60.56/~jnz1568/getInfo.php?workbook=20_14.xlsx&amp;sheet=U0&amp;row=1243&amp;col=7&amp;number=0.0715&amp;sourceID=14","0.0715")</f>
        <v>0.0715</v>
      </c>
    </row>
    <row r="1244" spans="1:7">
      <c r="A1244" s="3">
        <v>20</v>
      </c>
      <c r="B1244" s="3">
        <v>14</v>
      </c>
      <c r="C1244" s="3">
        <v>3</v>
      </c>
      <c r="D1244" s="3">
        <v>15</v>
      </c>
      <c r="E1244" s="3">
        <v>1</v>
      </c>
      <c r="F1244" s="4" t="str">
        <f>HYPERLINK("http://141.218.60.56/~jnz1568/getInfo.php?workbook=20_14.xlsx&amp;sheet=U0&amp;row=1244&amp;col=6&amp;number=3&amp;sourceID=14","3")</f>
        <v>3</v>
      </c>
      <c r="G1244" s="4" t="str">
        <f>HYPERLINK("http://141.218.60.56/~jnz1568/getInfo.php?workbook=20_14.xlsx&amp;sheet=U0&amp;row=1244&amp;col=7&amp;number=0.128&amp;sourceID=14","0.128")</f>
        <v>0.128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HYPERLINK("http://141.218.60.56/~jnz1568/getInfo.php?workbook=20_14.xlsx&amp;sheet=U0&amp;row=1245&amp;col=6&amp;number=3.1&amp;sourceID=14","3.1")</f>
        <v>3.1</v>
      </c>
      <c r="G1245" s="4" t="str">
        <f>HYPERLINK("http://141.218.60.56/~jnz1568/getInfo.php?workbook=20_14.xlsx&amp;sheet=U0&amp;row=1245&amp;col=7&amp;number=0.128&amp;sourceID=14","0.128")</f>
        <v>0.128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HYPERLINK("http://141.218.60.56/~jnz1568/getInfo.php?workbook=20_14.xlsx&amp;sheet=U0&amp;row=1246&amp;col=6&amp;number=3.2&amp;sourceID=14","3.2")</f>
        <v>3.2</v>
      </c>
      <c r="G1246" s="4" t="str">
        <f>HYPERLINK("http://141.218.60.56/~jnz1568/getInfo.php?workbook=20_14.xlsx&amp;sheet=U0&amp;row=1246&amp;col=7&amp;number=0.128&amp;sourceID=14","0.128")</f>
        <v>0.128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HYPERLINK("http://141.218.60.56/~jnz1568/getInfo.php?workbook=20_14.xlsx&amp;sheet=U0&amp;row=1247&amp;col=6&amp;number=3.3&amp;sourceID=14","3.3")</f>
        <v>3.3</v>
      </c>
      <c r="G1247" s="4" t="str">
        <f>HYPERLINK("http://141.218.60.56/~jnz1568/getInfo.php?workbook=20_14.xlsx&amp;sheet=U0&amp;row=1247&amp;col=7&amp;number=0.128&amp;sourceID=14","0.128")</f>
        <v>0.128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HYPERLINK("http://141.218.60.56/~jnz1568/getInfo.php?workbook=20_14.xlsx&amp;sheet=U0&amp;row=1248&amp;col=6&amp;number=3.4&amp;sourceID=14","3.4")</f>
        <v>3.4</v>
      </c>
      <c r="G1248" s="4" t="str">
        <f>HYPERLINK("http://141.218.60.56/~jnz1568/getInfo.php?workbook=20_14.xlsx&amp;sheet=U0&amp;row=1248&amp;col=7&amp;number=0.128&amp;sourceID=14","0.128")</f>
        <v>0.128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HYPERLINK("http://141.218.60.56/~jnz1568/getInfo.php?workbook=20_14.xlsx&amp;sheet=U0&amp;row=1249&amp;col=6&amp;number=3.5&amp;sourceID=14","3.5")</f>
        <v>3.5</v>
      </c>
      <c r="G1249" s="4" t="str">
        <f>HYPERLINK("http://141.218.60.56/~jnz1568/getInfo.php?workbook=20_14.xlsx&amp;sheet=U0&amp;row=1249&amp;col=7&amp;number=0.128&amp;sourceID=14","0.128")</f>
        <v>0.128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HYPERLINK("http://141.218.60.56/~jnz1568/getInfo.php?workbook=20_14.xlsx&amp;sheet=U0&amp;row=1250&amp;col=6&amp;number=3.6&amp;sourceID=14","3.6")</f>
        <v>3.6</v>
      </c>
      <c r="G1250" s="4" t="str">
        <f>HYPERLINK("http://141.218.60.56/~jnz1568/getInfo.php?workbook=20_14.xlsx&amp;sheet=U0&amp;row=1250&amp;col=7&amp;number=0.128&amp;sourceID=14","0.128")</f>
        <v>0.128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HYPERLINK("http://141.218.60.56/~jnz1568/getInfo.php?workbook=20_14.xlsx&amp;sheet=U0&amp;row=1251&amp;col=6&amp;number=3.7&amp;sourceID=14","3.7")</f>
        <v>3.7</v>
      </c>
      <c r="G1251" s="4" t="str">
        <f>HYPERLINK("http://141.218.60.56/~jnz1568/getInfo.php?workbook=20_14.xlsx&amp;sheet=U0&amp;row=1251&amp;col=7&amp;number=0.128&amp;sourceID=14","0.128")</f>
        <v>0.128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HYPERLINK("http://141.218.60.56/~jnz1568/getInfo.php?workbook=20_14.xlsx&amp;sheet=U0&amp;row=1252&amp;col=6&amp;number=3.8&amp;sourceID=14","3.8")</f>
        <v>3.8</v>
      </c>
      <c r="G1252" s="4" t="str">
        <f>HYPERLINK("http://141.218.60.56/~jnz1568/getInfo.php?workbook=20_14.xlsx&amp;sheet=U0&amp;row=1252&amp;col=7&amp;number=0.128&amp;sourceID=14","0.128")</f>
        <v>0.128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HYPERLINK("http://141.218.60.56/~jnz1568/getInfo.php?workbook=20_14.xlsx&amp;sheet=U0&amp;row=1253&amp;col=6&amp;number=3.9&amp;sourceID=14","3.9")</f>
        <v>3.9</v>
      </c>
      <c r="G1253" s="4" t="str">
        <f>HYPERLINK("http://141.218.60.56/~jnz1568/getInfo.php?workbook=20_14.xlsx&amp;sheet=U0&amp;row=1253&amp;col=7&amp;number=0.128&amp;sourceID=14","0.128")</f>
        <v>0.128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HYPERLINK("http://141.218.60.56/~jnz1568/getInfo.php?workbook=20_14.xlsx&amp;sheet=U0&amp;row=1254&amp;col=6&amp;number=4&amp;sourceID=14","4")</f>
        <v>4</v>
      </c>
      <c r="G1254" s="4" t="str">
        <f>HYPERLINK("http://141.218.60.56/~jnz1568/getInfo.php?workbook=20_14.xlsx&amp;sheet=U0&amp;row=1254&amp;col=7&amp;number=0.128&amp;sourceID=14","0.128")</f>
        <v>0.128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HYPERLINK("http://141.218.60.56/~jnz1568/getInfo.php?workbook=20_14.xlsx&amp;sheet=U0&amp;row=1255&amp;col=6&amp;number=4.1&amp;sourceID=14","4.1")</f>
        <v>4.1</v>
      </c>
      <c r="G1255" s="4" t="str">
        <f>HYPERLINK("http://141.218.60.56/~jnz1568/getInfo.php?workbook=20_14.xlsx&amp;sheet=U0&amp;row=1255&amp;col=7&amp;number=0.128&amp;sourceID=14","0.128")</f>
        <v>0.128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HYPERLINK("http://141.218.60.56/~jnz1568/getInfo.php?workbook=20_14.xlsx&amp;sheet=U0&amp;row=1256&amp;col=6&amp;number=4.2&amp;sourceID=14","4.2")</f>
        <v>4.2</v>
      </c>
      <c r="G1256" s="4" t="str">
        <f>HYPERLINK("http://141.218.60.56/~jnz1568/getInfo.php?workbook=20_14.xlsx&amp;sheet=U0&amp;row=1256&amp;col=7&amp;number=0.128&amp;sourceID=14","0.128")</f>
        <v>0.128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HYPERLINK("http://141.218.60.56/~jnz1568/getInfo.php?workbook=20_14.xlsx&amp;sheet=U0&amp;row=1257&amp;col=6&amp;number=4.3&amp;sourceID=14","4.3")</f>
        <v>4.3</v>
      </c>
      <c r="G1257" s="4" t="str">
        <f>HYPERLINK("http://141.218.60.56/~jnz1568/getInfo.php?workbook=20_14.xlsx&amp;sheet=U0&amp;row=1257&amp;col=7&amp;number=0.129&amp;sourceID=14","0.129")</f>
        <v>0.129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HYPERLINK("http://141.218.60.56/~jnz1568/getInfo.php?workbook=20_14.xlsx&amp;sheet=U0&amp;row=1258&amp;col=6&amp;number=4.4&amp;sourceID=14","4.4")</f>
        <v>4.4</v>
      </c>
      <c r="G1258" s="4" t="str">
        <f>HYPERLINK("http://141.218.60.56/~jnz1568/getInfo.php?workbook=20_14.xlsx&amp;sheet=U0&amp;row=1258&amp;col=7&amp;number=0.129&amp;sourceID=14","0.129")</f>
        <v>0.129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HYPERLINK("http://141.218.60.56/~jnz1568/getInfo.php?workbook=20_14.xlsx&amp;sheet=U0&amp;row=1259&amp;col=6&amp;number=4.5&amp;sourceID=14","4.5")</f>
        <v>4.5</v>
      </c>
      <c r="G1259" s="4" t="str">
        <f>HYPERLINK("http://141.218.60.56/~jnz1568/getInfo.php?workbook=20_14.xlsx&amp;sheet=U0&amp;row=1259&amp;col=7&amp;number=0.129&amp;sourceID=14","0.129")</f>
        <v>0.129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HYPERLINK("http://141.218.60.56/~jnz1568/getInfo.php?workbook=20_14.xlsx&amp;sheet=U0&amp;row=1260&amp;col=6&amp;number=4.6&amp;sourceID=14","4.6")</f>
        <v>4.6</v>
      </c>
      <c r="G1260" s="4" t="str">
        <f>HYPERLINK("http://141.218.60.56/~jnz1568/getInfo.php?workbook=20_14.xlsx&amp;sheet=U0&amp;row=1260&amp;col=7&amp;number=0.129&amp;sourceID=14","0.129")</f>
        <v>0.129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HYPERLINK("http://141.218.60.56/~jnz1568/getInfo.php?workbook=20_14.xlsx&amp;sheet=U0&amp;row=1261&amp;col=6&amp;number=4.7&amp;sourceID=14","4.7")</f>
        <v>4.7</v>
      </c>
      <c r="G1261" s="4" t="str">
        <f>HYPERLINK("http://141.218.60.56/~jnz1568/getInfo.php?workbook=20_14.xlsx&amp;sheet=U0&amp;row=1261&amp;col=7&amp;number=0.129&amp;sourceID=14","0.129")</f>
        <v>0.129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HYPERLINK("http://141.218.60.56/~jnz1568/getInfo.php?workbook=20_14.xlsx&amp;sheet=U0&amp;row=1262&amp;col=6&amp;number=4.8&amp;sourceID=14","4.8")</f>
        <v>4.8</v>
      </c>
      <c r="G1262" s="4" t="str">
        <f>HYPERLINK("http://141.218.60.56/~jnz1568/getInfo.php?workbook=20_14.xlsx&amp;sheet=U0&amp;row=1262&amp;col=7&amp;number=0.129&amp;sourceID=14","0.129")</f>
        <v>0.129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HYPERLINK("http://141.218.60.56/~jnz1568/getInfo.php?workbook=20_14.xlsx&amp;sheet=U0&amp;row=1263&amp;col=6&amp;number=4.9&amp;sourceID=14","4.9")</f>
        <v>4.9</v>
      </c>
      <c r="G1263" s="4" t="str">
        <f>HYPERLINK("http://141.218.60.56/~jnz1568/getInfo.php?workbook=20_14.xlsx&amp;sheet=U0&amp;row=1263&amp;col=7&amp;number=0.129&amp;sourceID=14","0.129")</f>
        <v>0.129</v>
      </c>
    </row>
    <row r="1264" spans="1:7">
      <c r="A1264" s="3">
        <v>20</v>
      </c>
      <c r="B1264" s="3">
        <v>14</v>
      </c>
      <c r="C1264" s="3">
        <v>3</v>
      </c>
      <c r="D1264" s="3">
        <v>16</v>
      </c>
      <c r="E1264" s="3">
        <v>1</v>
      </c>
      <c r="F1264" s="4" t="str">
        <f>HYPERLINK("http://141.218.60.56/~jnz1568/getInfo.php?workbook=20_14.xlsx&amp;sheet=U0&amp;row=1264&amp;col=6&amp;number=3&amp;sourceID=14","3")</f>
        <v>3</v>
      </c>
      <c r="G1264" s="4" t="str">
        <f>HYPERLINK("http://141.218.60.56/~jnz1568/getInfo.php?workbook=20_14.xlsx&amp;sheet=U0&amp;row=1264&amp;col=7&amp;number=0.205&amp;sourceID=14","0.205")</f>
        <v>0.205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HYPERLINK("http://141.218.60.56/~jnz1568/getInfo.php?workbook=20_14.xlsx&amp;sheet=U0&amp;row=1265&amp;col=6&amp;number=3.1&amp;sourceID=14","3.1")</f>
        <v>3.1</v>
      </c>
      <c r="G1265" s="4" t="str">
        <f>HYPERLINK("http://141.218.60.56/~jnz1568/getInfo.php?workbook=20_14.xlsx&amp;sheet=U0&amp;row=1265&amp;col=7&amp;number=0.205&amp;sourceID=14","0.205")</f>
        <v>0.205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HYPERLINK("http://141.218.60.56/~jnz1568/getInfo.php?workbook=20_14.xlsx&amp;sheet=U0&amp;row=1266&amp;col=6&amp;number=3.2&amp;sourceID=14","3.2")</f>
        <v>3.2</v>
      </c>
      <c r="G1266" s="4" t="str">
        <f>HYPERLINK("http://141.218.60.56/~jnz1568/getInfo.php?workbook=20_14.xlsx&amp;sheet=U0&amp;row=1266&amp;col=7&amp;number=0.205&amp;sourceID=14","0.205")</f>
        <v>0.205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HYPERLINK("http://141.218.60.56/~jnz1568/getInfo.php?workbook=20_14.xlsx&amp;sheet=U0&amp;row=1267&amp;col=6&amp;number=3.3&amp;sourceID=14","3.3")</f>
        <v>3.3</v>
      </c>
      <c r="G1267" s="4" t="str">
        <f>HYPERLINK("http://141.218.60.56/~jnz1568/getInfo.php?workbook=20_14.xlsx&amp;sheet=U0&amp;row=1267&amp;col=7&amp;number=0.205&amp;sourceID=14","0.205")</f>
        <v>0.205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HYPERLINK("http://141.218.60.56/~jnz1568/getInfo.php?workbook=20_14.xlsx&amp;sheet=U0&amp;row=1268&amp;col=6&amp;number=3.4&amp;sourceID=14","3.4")</f>
        <v>3.4</v>
      </c>
      <c r="G1268" s="4" t="str">
        <f>HYPERLINK("http://141.218.60.56/~jnz1568/getInfo.php?workbook=20_14.xlsx&amp;sheet=U0&amp;row=1268&amp;col=7&amp;number=0.205&amp;sourceID=14","0.205")</f>
        <v>0.205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HYPERLINK("http://141.218.60.56/~jnz1568/getInfo.php?workbook=20_14.xlsx&amp;sheet=U0&amp;row=1269&amp;col=6&amp;number=3.5&amp;sourceID=14","3.5")</f>
        <v>3.5</v>
      </c>
      <c r="G1269" s="4" t="str">
        <f>HYPERLINK("http://141.218.60.56/~jnz1568/getInfo.php?workbook=20_14.xlsx&amp;sheet=U0&amp;row=1269&amp;col=7&amp;number=0.205&amp;sourceID=14","0.205")</f>
        <v>0.205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HYPERLINK("http://141.218.60.56/~jnz1568/getInfo.php?workbook=20_14.xlsx&amp;sheet=U0&amp;row=1270&amp;col=6&amp;number=3.6&amp;sourceID=14","3.6")</f>
        <v>3.6</v>
      </c>
      <c r="G1270" s="4" t="str">
        <f>HYPERLINK("http://141.218.60.56/~jnz1568/getInfo.php?workbook=20_14.xlsx&amp;sheet=U0&amp;row=1270&amp;col=7&amp;number=0.205&amp;sourceID=14","0.205")</f>
        <v>0.205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HYPERLINK("http://141.218.60.56/~jnz1568/getInfo.php?workbook=20_14.xlsx&amp;sheet=U0&amp;row=1271&amp;col=6&amp;number=3.7&amp;sourceID=14","3.7")</f>
        <v>3.7</v>
      </c>
      <c r="G1271" s="4" t="str">
        <f>HYPERLINK("http://141.218.60.56/~jnz1568/getInfo.php?workbook=20_14.xlsx&amp;sheet=U0&amp;row=1271&amp;col=7&amp;number=0.205&amp;sourceID=14","0.205")</f>
        <v>0.205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HYPERLINK("http://141.218.60.56/~jnz1568/getInfo.php?workbook=20_14.xlsx&amp;sheet=U0&amp;row=1272&amp;col=6&amp;number=3.8&amp;sourceID=14","3.8")</f>
        <v>3.8</v>
      </c>
      <c r="G1272" s="4" t="str">
        <f>HYPERLINK("http://141.218.60.56/~jnz1568/getInfo.php?workbook=20_14.xlsx&amp;sheet=U0&amp;row=1272&amp;col=7&amp;number=0.205&amp;sourceID=14","0.205")</f>
        <v>0.205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HYPERLINK("http://141.218.60.56/~jnz1568/getInfo.php?workbook=20_14.xlsx&amp;sheet=U0&amp;row=1273&amp;col=6&amp;number=3.9&amp;sourceID=14","3.9")</f>
        <v>3.9</v>
      </c>
      <c r="G1273" s="4" t="str">
        <f>HYPERLINK("http://141.218.60.56/~jnz1568/getInfo.php?workbook=20_14.xlsx&amp;sheet=U0&amp;row=1273&amp;col=7&amp;number=0.205&amp;sourceID=14","0.205")</f>
        <v>0.205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HYPERLINK("http://141.218.60.56/~jnz1568/getInfo.php?workbook=20_14.xlsx&amp;sheet=U0&amp;row=1274&amp;col=6&amp;number=4&amp;sourceID=14","4")</f>
        <v>4</v>
      </c>
      <c r="G1274" s="4" t="str">
        <f>HYPERLINK("http://141.218.60.56/~jnz1568/getInfo.php?workbook=20_14.xlsx&amp;sheet=U0&amp;row=1274&amp;col=7&amp;number=0.204&amp;sourceID=14","0.204")</f>
        <v>0.204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HYPERLINK("http://141.218.60.56/~jnz1568/getInfo.php?workbook=20_14.xlsx&amp;sheet=U0&amp;row=1275&amp;col=6&amp;number=4.1&amp;sourceID=14","4.1")</f>
        <v>4.1</v>
      </c>
      <c r="G1275" s="4" t="str">
        <f>HYPERLINK("http://141.218.60.56/~jnz1568/getInfo.php?workbook=20_14.xlsx&amp;sheet=U0&amp;row=1275&amp;col=7&amp;number=0.204&amp;sourceID=14","0.204")</f>
        <v>0.204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HYPERLINK("http://141.218.60.56/~jnz1568/getInfo.php?workbook=20_14.xlsx&amp;sheet=U0&amp;row=1276&amp;col=6&amp;number=4.2&amp;sourceID=14","4.2")</f>
        <v>4.2</v>
      </c>
      <c r="G1276" s="4" t="str">
        <f>HYPERLINK("http://141.218.60.56/~jnz1568/getInfo.php?workbook=20_14.xlsx&amp;sheet=U0&amp;row=1276&amp;col=7&amp;number=0.204&amp;sourceID=14","0.204")</f>
        <v>0.204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HYPERLINK("http://141.218.60.56/~jnz1568/getInfo.php?workbook=20_14.xlsx&amp;sheet=U0&amp;row=1277&amp;col=6&amp;number=4.3&amp;sourceID=14","4.3")</f>
        <v>4.3</v>
      </c>
      <c r="G1277" s="4" t="str">
        <f>HYPERLINK("http://141.218.60.56/~jnz1568/getInfo.php?workbook=20_14.xlsx&amp;sheet=U0&amp;row=1277&amp;col=7&amp;number=0.204&amp;sourceID=14","0.204")</f>
        <v>0.204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HYPERLINK("http://141.218.60.56/~jnz1568/getInfo.php?workbook=20_14.xlsx&amp;sheet=U0&amp;row=1278&amp;col=6&amp;number=4.4&amp;sourceID=14","4.4")</f>
        <v>4.4</v>
      </c>
      <c r="G1278" s="4" t="str">
        <f>HYPERLINK("http://141.218.60.56/~jnz1568/getInfo.php?workbook=20_14.xlsx&amp;sheet=U0&amp;row=1278&amp;col=7&amp;number=0.204&amp;sourceID=14","0.204")</f>
        <v>0.204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HYPERLINK("http://141.218.60.56/~jnz1568/getInfo.php?workbook=20_14.xlsx&amp;sheet=U0&amp;row=1279&amp;col=6&amp;number=4.5&amp;sourceID=14","4.5")</f>
        <v>4.5</v>
      </c>
      <c r="G1279" s="4" t="str">
        <f>HYPERLINK("http://141.218.60.56/~jnz1568/getInfo.php?workbook=20_14.xlsx&amp;sheet=U0&amp;row=1279&amp;col=7&amp;number=0.204&amp;sourceID=14","0.204")</f>
        <v>0.204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HYPERLINK("http://141.218.60.56/~jnz1568/getInfo.php?workbook=20_14.xlsx&amp;sheet=U0&amp;row=1280&amp;col=6&amp;number=4.6&amp;sourceID=14","4.6")</f>
        <v>4.6</v>
      </c>
      <c r="G1280" s="4" t="str">
        <f>HYPERLINK("http://141.218.60.56/~jnz1568/getInfo.php?workbook=20_14.xlsx&amp;sheet=U0&amp;row=1280&amp;col=7&amp;number=0.203&amp;sourceID=14","0.203")</f>
        <v>0.203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HYPERLINK("http://141.218.60.56/~jnz1568/getInfo.php?workbook=20_14.xlsx&amp;sheet=U0&amp;row=1281&amp;col=6&amp;number=4.7&amp;sourceID=14","4.7")</f>
        <v>4.7</v>
      </c>
      <c r="G1281" s="4" t="str">
        <f>HYPERLINK("http://141.218.60.56/~jnz1568/getInfo.php?workbook=20_14.xlsx&amp;sheet=U0&amp;row=1281&amp;col=7&amp;number=0.203&amp;sourceID=14","0.203")</f>
        <v>0.203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HYPERLINK("http://141.218.60.56/~jnz1568/getInfo.php?workbook=20_14.xlsx&amp;sheet=U0&amp;row=1282&amp;col=6&amp;number=4.8&amp;sourceID=14","4.8")</f>
        <v>4.8</v>
      </c>
      <c r="G1282" s="4" t="str">
        <f>HYPERLINK("http://141.218.60.56/~jnz1568/getInfo.php?workbook=20_14.xlsx&amp;sheet=U0&amp;row=1282&amp;col=7&amp;number=0.202&amp;sourceID=14","0.202")</f>
        <v>0.202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HYPERLINK("http://141.218.60.56/~jnz1568/getInfo.php?workbook=20_14.xlsx&amp;sheet=U0&amp;row=1283&amp;col=6&amp;number=4.9&amp;sourceID=14","4.9")</f>
        <v>4.9</v>
      </c>
      <c r="G1283" s="4" t="str">
        <f>HYPERLINK("http://141.218.60.56/~jnz1568/getInfo.php?workbook=20_14.xlsx&amp;sheet=U0&amp;row=1283&amp;col=7&amp;number=0.202&amp;sourceID=14","0.202")</f>
        <v>0.202</v>
      </c>
    </row>
    <row r="1284" spans="1:7">
      <c r="A1284" s="3">
        <v>20</v>
      </c>
      <c r="B1284" s="3">
        <v>14</v>
      </c>
      <c r="C1284" s="3">
        <v>3</v>
      </c>
      <c r="D1284" s="3">
        <v>17</v>
      </c>
      <c r="E1284" s="3">
        <v>1</v>
      </c>
      <c r="F1284" s="4" t="str">
        <f>HYPERLINK("http://141.218.60.56/~jnz1568/getInfo.php?workbook=20_14.xlsx&amp;sheet=U0&amp;row=1284&amp;col=6&amp;number=3&amp;sourceID=14","3")</f>
        <v>3</v>
      </c>
      <c r="G1284" s="4" t="str">
        <f>HYPERLINK("http://141.218.60.56/~jnz1568/getInfo.php?workbook=20_14.xlsx&amp;sheet=U0&amp;row=1284&amp;col=7&amp;number=0.573&amp;sourceID=14","0.573")</f>
        <v>0.573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HYPERLINK("http://141.218.60.56/~jnz1568/getInfo.php?workbook=20_14.xlsx&amp;sheet=U0&amp;row=1285&amp;col=6&amp;number=3.1&amp;sourceID=14","3.1")</f>
        <v>3.1</v>
      </c>
      <c r="G1285" s="4" t="str">
        <f>HYPERLINK("http://141.218.60.56/~jnz1568/getInfo.php?workbook=20_14.xlsx&amp;sheet=U0&amp;row=1285&amp;col=7&amp;number=0.573&amp;sourceID=14","0.573")</f>
        <v>0.573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HYPERLINK("http://141.218.60.56/~jnz1568/getInfo.php?workbook=20_14.xlsx&amp;sheet=U0&amp;row=1286&amp;col=6&amp;number=3.2&amp;sourceID=14","3.2")</f>
        <v>3.2</v>
      </c>
      <c r="G1286" s="4" t="str">
        <f>HYPERLINK("http://141.218.60.56/~jnz1568/getInfo.php?workbook=20_14.xlsx&amp;sheet=U0&amp;row=1286&amp;col=7&amp;number=0.573&amp;sourceID=14","0.573")</f>
        <v>0.573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HYPERLINK("http://141.218.60.56/~jnz1568/getInfo.php?workbook=20_14.xlsx&amp;sheet=U0&amp;row=1287&amp;col=6&amp;number=3.3&amp;sourceID=14","3.3")</f>
        <v>3.3</v>
      </c>
      <c r="G1287" s="4" t="str">
        <f>HYPERLINK("http://141.218.60.56/~jnz1568/getInfo.php?workbook=20_14.xlsx&amp;sheet=U0&amp;row=1287&amp;col=7&amp;number=0.573&amp;sourceID=14","0.573")</f>
        <v>0.573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HYPERLINK("http://141.218.60.56/~jnz1568/getInfo.php?workbook=20_14.xlsx&amp;sheet=U0&amp;row=1288&amp;col=6&amp;number=3.4&amp;sourceID=14","3.4")</f>
        <v>3.4</v>
      </c>
      <c r="G1288" s="4" t="str">
        <f>HYPERLINK("http://141.218.60.56/~jnz1568/getInfo.php?workbook=20_14.xlsx&amp;sheet=U0&amp;row=1288&amp;col=7&amp;number=0.573&amp;sourceID=14","0.573")</f>
        <v>0.573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HYPERLINK("http://141.218.60.56/~jnz1568/getInfo.php?workbook=20_14.xlsx&amp;sheet=U0&amp;row=1289&amp;col=6&amp;number=3.5&amp;sourceID=14","3.5")</f>
        <v>3.5</v>
      </c>
      <c r="G1289" s="4" t="str">
        <f>HYPERLINK("http://141.218.60.56/~jnz1568/getInfo.php?workbook=20_14.xlsx&amp;sheet=U0&amp;row=1289&amp;col=7&amp;number=0.573&amp;sourceID=14","0.573")</f>
        <v>0.573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HYPERLINK("http://141.218.60.56/~jnz1568/getInfo.php?workbook=20_14.xlsx&amp;sheet=U0&amp;row=1290&amp;col=6&amp;number=3.6&amp;sourceID=14","3.6")</f>
        <v>3.6</v>
      </c>
      <c r="G1290" s="4" t="str">
        <f>HYPERLINK("http://141.218.60.56/~jnz1568/getInfo.php?workbook=20_14.xlsx&amp;sheet=U0&amp;row=1290&amp;col=7&amp;number=0.574&amp;sourceID=14","0.574")</f>
        <v>0.574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HYPERLINK("http://141.218.60.56/~jnz1568/getInfo.php?workbook=20_14.xlsx&amp;sheet=U0&amp;row=1291&amp;col=6&amp;number=3.7&amp;sourceID=14","3.7")</f>
        <v>3.7</v>
      </c>
      <c r="G1291" s="4" t="str">
        <f>HYPERLINK("http://141.218.60.56/~jnz1568/getInfo.php?workbook=20_14.xlsx&amp;sheet=U0&amp;row=1291&amp;col=7&amp;number=0.574&amp;sourceID=14","0.574")</f>
        <v>0.574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HYPERLINK("http://141.218.60.56/~jnz1568/getInfo.php?workbook=20_14.xlsx&amp;sheet=U0&amp;row=1292&amp;col=6&amp;number=3.8&amp;sourceID=14","3.8")</f>
        <v>3.8</v>
      </c>
      <c r="G1292" s="4" t="str">
        <f>HYPERLINK("http://141.218.60.56/~jnz1568/getInfo.php?workbook=20_14.xlsx&amp;sheet=U0&amp;row=1292&amp;col=7&amp;number=0.574&amp;sourceID=14","0.574")</f>
        <v>0.574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HYPERLINK("http://141.218.60.56/~jnz1568/getInfo.php?workbook=20_14.xlsx&amp;sheet=U0&amp;row=1293&amp;col=6&amp;number=3.9&amp;sourceID=14","3.9")</f>
        <v>3.9</v>
      </c>
      <c r="G1293" s="4" t="str">
        <f>HYPERLINK("http://141.218.60.56/~jnz1568/getInfo.php?workbook=20_14.xlsx&amp;sheet=U0&amp;row=1293&amp;col=7&amp;number=0.575&amp;sourceID=14","0.575")</f>
        <v>0.575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HYPERLINK("http://141.218.60.56/~jnz1568/getInfo.php?workbook=20_14.xlsx&amp;sheet=U0&amp;row=1294&amp;col=6&amp;number=4&amp;sourceID=14","4")</f>
        <v>4</v>
      </c>
      <c r="G1294" s="4" t="str">
        <f>HYPERLINK("http://141.218.60.56/~jnz1568/getInfo.php?workbook=20_14.xlsx&amp;sheet=U0&amp;row=1294&amp;col=7&amp;number=0.575&amp;sourceID=14","0.575")</f>
        <v>0.575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HYPERLINK("http://141.218.60.56/~jnz1568/getInfo.php?workbook=20_14.xlsx&amp;sheet=U0&amp;row=1295&amp;col=6&amp;number=4.1&amp;sourceID=14","4.1")</f>
        <v>4.1</v>
      </c>
      <c r="G1295" s="4" t="str">
        <f>HYPERLINK("http://141.218.60.56/~jnz1568/getInfo.php?workbook=20_14.xlsx&amp;sheet=U0&amp;row=1295&amp;col=7&amp;number=0.576&amp;sourceID=14","0.576")</f>
        <v>0.576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HYPERLINK("http://141.218.60.56/~jnz1568/getInfo.php?workbook=20_14.xlsx&amp;sheet=U0&amp;row=1296&amp;col=6&amp;number=4.2&amp;sourceID=14","4.2")</f>
        <v>4.2</v>
      </c>
      <c r="G1296" s="4" t="str">
        <f>HYPERLINK("http://141.218.60.56/~jnz1568/getInfo.php?workbook=20_14.xlsx&amp;sheet=U0&amp;row=1296&amp;col=7&amp;number=0.577&amp;sourceID=14","0.577")</f>
        <v>0.577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HYPERLINK("http://141.218.60.56/~jnz1568/getInfo.php?workbook=20_14.xlsx&amp;sheet=U0&amp;row=1297&amp;col=6&amp;number=4.3&amp;sourceID=14","4.3")</f>
        <v>4.3</v>
      </c>
      <c r="G1297" s="4" t="str">
        <f>HYPERLINK("http://141.218.60.56/~jnz1568/getInfo.php?workbook=20_14.xlsx&amp;sheet=U0&amp;row=1297&amp;col=7&amp;number=0.578&amp;sourceID=14","0.578")</f>
        <v>0.578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HYPERLINK("http://141.218.60.56/~jnz1568/getInfo.php?workbook=20_14.xlsx&amp;sheet=U0&amp;row=1298&amp;col=6&amp;number=4.4&amp;sourceID=14","4.4")</f>
        <v>4.4</v>
      </c>
      <c r="G1298" s="4" t="str">
        <f>HYPERLINK("http://141.218.60.56/~jnz1568/getInfo.php?workbook=20_14.xlsx&amp;sheet=U0&amp;row=1298&amp;col=7&amp;number=0.58&amp;sourceID=14","0.58")</f>
        <v>0.58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HYPERLINK("http://141.218.60.56/~jnz1568/getInfo.php?workbook=20_14.xlsx&amp;sheet=U0&amp;row=1299&amp;col=6&amp;number=4.5&amp;sourceID=14","4.5")</f>
        <v>4.5</v>
      </c>
      <c r="G1299" s="4" t="str">
        <f>HYPERLINK("http://141.218.60.56/~jnz1568/getInfo.php?workbook=20_14.xlsx&amp;sheet=U0&amp;row=1299&amp;col=7&amp;number=0.582&amp;sourceID=14","0.582")</f>
        <v>0.582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HYPERLINK("http://141.218.60.56/~jnz1568/getInfo.php?workbook=20_14.xlsx&amp;sheet=U0&amp;row=1300&amp;col=6&amp;number=4.6&amp;sourceID=14","4.6")</f>
        <v>4.6</v>
      </c>
      <c r="G1300" s="4" t="str">
        <f>HYPERLINK("http://141.218.60.56/~jnz1568/getInfo.php?workbook=20_14.xlsx&amp;sheet=U0&amp;row=1300&amp;col=7&amp;number=0.584&amp;sourceID=14","0.584")</f>
        <v>0.584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HYPERLINK("http://141.218.60.56/~jnz1568/getInfo.php?workbook=20_14.xlsx&amp;sheet=U0&amp;row=1301&amp;col=6&amp;number=4.7&amp;sourceID=14","4.7")</f>
        <v>4.7</v>
      </c>
      <c r="G1301" s="4" t="str">
        <f>HYPERLINK("http://141.218.60.56/~jnz1568/getInfo.php?workbook=20_14.xlsx&amp;sheet=U0&amp;row=1301&amp;col=7&amp;number=0.587&amp;sourceID=14","0.587")</f>
        <v>0.587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HYPERLINK("http://141.218.60.56/~jnz1568/getInfo.php?workbook=20_14.xlsx&amp;sheet=U0&amp;row=1302&amp;col=6&amp;number=4.8&amp;sourceID=14","4.8")</f>
        <v>4.8</v>
      </c>
      <c r="G1302" s="4" t="str">
        <f>HYPERLINK("http://141.218.60.56/~jnz1568/getInfo.php?workbook=20_14.xlsx&amp;sheet=U0&amp;row=1302&amp;col=7&amp;number=0.591&amp;sourceID=14","0.591")</f>
        <v>0.591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HYPERLINK("http://141.218.60.56/~jnz1568/getInfo.php?workbook=20_14.xlsx&amp;sheet=U0&amp;row=1303&amp;col=6&amp;number=4.9&amp;sourceID=14","4.9")</f>
        <v>4.9</v>
      </c>
      <c r="G1303" s="4" t="str">
        <f>HYPERLINK("http://141.218.60.56/~jnz1568/getInfo.php?workbook=20_14.xlsx&amp;sheet=U0&amp;row=1303&amp;col=7&amp;number=0.596&amp;sourceID=14","0.596")</f>
        <v>0.596</v>
      </c>
    </row>
    <row r="1304" spans="1:7">
      <c r="A1304" s="3">
        <v>20</v>
      </c>
      <c r="B1304" s="3">
        <v>14</v>
      </c>
      <c r="C1304" s="3">
        <v>3</v>
      </c>
      <c r="D1304" s="3">
        <v>18</v>
      </c>
      <c r="E1304" s="3">
        <v>1</v>
      </c>
      <c r="F1304" s="4" t="str">
        <f>HYPERLINK("http://141.218.60.56/~jnz1568/getInfo.php?workbook=20_14.xlsx&amp;sheet=U0&amp;row=1304&amp;col=6&amp;number=3&amp;sourceID=14","3")</f>
        <v>3</v>
      </c>
      <c r="G1304" s="4" t="str">
        <f>HYPERLINK("http://141.218.60.56/~jnz1568/getInfo.php?workbook=20_14.xlsx&amp;sheet=U0&amp;row=1304&amp;col=7&amp;number=3.23&amp;sourceID=14","3.23")</f>
        <v>3.23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HYPERLINK("http://141.218.60.56/~jnz1568/getInfo.php?workbook=20_14.xlsx&amp;sheet=U0&amp;row=1305&amp;col=6&amp;number=3.1&amp;sourceID=14","3.1")</f>
        <v>3.1</v>
      </c>
      <c r="G1305" s="4" t="str">
        <f>HYPERLINK("http://141.218.60.56/~jnz1568/getInfo.php?workbook=20_14.xlsx&amp;sheet=U0&amp;row=1305&amp;col=7&amp;number=3.24&amp;sourceID=14","3.24")</f>
        <v>3.24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HYPERLINK("http://141.218.60.56/~jnz1568/getInfo.php?workbook=20_14.xlsx&amp;sheet=U0&amp;row=1306&amp;col=6&amp;number=3.2&amp;sourceID=14","3.2")</f>
        <v>3.2</v>
      </c>
      <c r="G1306" s="4" t="str">
        <f>HYPERLINK("http://141.218.60.56/~jnz1568/getInfo.php?workbook=20_14.xlsx&amp;sheet=U0&amp;row=1306&amp;col=7&amp;number=3.24&amp;sourceID=14","3.24")</f>
        <v>3.24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HYPERLINK("http://141.218.60.56/~jnz1568/getInfo.php?workbook=20_14.xlsx&amp;sheet=U0&amp;row=1307&amp;col=6&amp;number=3.3&amp;sourceID=14","3.3")</f>
        <v>3.3</v>
      </c>
      <c r="G1307" s="4" t="str">
        <f>HYPERLINK("http://141.218.60.56/~jnz1568/getInfo.php?workbook=20_14.xlsx&amp;sheet=U0&amp;row=1307&amp;col=7&amp;number=3.24&amp;sourceID=14","3.24")</f>
        <v>3.24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HYPERLINK("http://141.218.60.56/~jnz1568/getInfo.php?workbook=20_14.xlsx&amp;sheet=U0&amp;row=1308&amp;col=6&amp;number=3.4&amp;sourceID=14","3.4")</f>
        <v>3.4</v>
      </c>
      <c r="G1308" s="4" t="str">
        <f>HYPERLINK("http://141.218.60.56/~jnz1568/getInfo.php?workbook=20_14.xlsx&amp;sheet=U0&amp;row=1308&amp;col=7&amp;number=3.24&amp;sourceID=14","3.24")</f>
        <v>3.24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HYPERLINK("http://141.218.60.56/~jnz1568/getInfo.php?workbook=20_14.xlsx&amp;sheet=U0&amp;row=1309&amp;col=6&amp;number=3.5&amp;sourceID=14","3.5")</f>
        <v>3.5</v>
      </c>
      <c r="G1309" s="4" t="str">
        <f>HYPERLINK("http://141.218.60.56/~jnz1568/getInfo.php?workbook=20_14.xlsx&amp;sheet=U0&amp;row=1309&amp;col=7&amp;number=3.24&amp;sourceID=14","3.24")</f>
        <v>3.24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HYPERLINK("http://141.218.60.56/~jnz1568/getInfo.php?workbook=20_14.xlsx&amp;sheet=U0&amp;row=1310&amp;col=6&amp;number=3.6&amp;sourceID=14","3.6")</f>
        <v>3.6</v>
      </c>
      <c r="G1310" s="4" t="str">
        <f>HYPERLINK("http://141.218.60.56/~jnz1568/getInfo.php?workbook=20_14.xlsx&amp;sheet=U0&amp;row=1310&amp;col=7&amp;number=3.24&amp;sourceID=14","3.24")</f>
        <v>3.24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HYPERLINK("http://141.218.60.56/~jnz1568/getInfo.php?workbook=20_14.xlsx&amp;sheet=U0&amp;row=1311&amp;col=6&amp;number=3.7&amp;sourceID=14","3.7")</f>
        <v>3.7</v>
      </c>
      <c r="G1311" s="4" t="str">
        <f>HYPERLINK("http://141.218.60.56/~jnz1568/getInfo.php?workbook=20_14.xlsx&amp;sheet=U0&amp;row=1311&amp;col=7&amp;number=3.25&amp;sourceID=14","3.25")</f>
        <v>3.25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HYPERLINK("http://141.218.60.56/~jnz1568/getInfo.php?workbook=20_14.xlsx&amp;sheet=U0&amp;row=1312&amp;col=6&amp;number=3.8&amp;sourceID=14","3.8")</f>
        <v>3.8</v>
      </c>
      <c r="G1312" s="4" t="str">
        <f>HYPERLINK("http://141.218.60.56/~jnz1568/getInfo.php?workbook=20_14.xlsx&amp;sheet=U0&amp;row=1312&amp;col=7&amp;number=3.25&amp;sourceID=14","3.25")</f>
        <v>3.25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HYPERLINK("http://141.218.60.56/~jnz1568/getInfo.php?workbook=20_14.xlsx&amp;sheet=U0&amp;row=1313&amp;col=6&amp;number=3.9&amp;sourceID=14","3.9")</f>
        <v>3.9</v>
      </c>
      <c r="G1313" s="4" t="str">
        <f>HYPERLINK("http://141.218.60.56/~jnz1568/getInfo.php?workbook=20_14.xlsx&amp;sheet=U0&amp;row=1313&amp;col=7&amp;number=3.25&amp;sourceID=14","3.25")</f>
        <v>3.25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HYPERLINK("http://141.218.60.56/~jnz1568/getInfo.php?workbook=20_14.xlsx&amp;sheet=U0&amp;row=1314&amp;col=6&amp;number=4&amp;sourceID=14","4")</f>
        <v>4</v>
      </c>
      <c r="G1314" s="4" t="str">
        <f>HYPERLINK("http://141.218.60.56/~jnz1568/getInfo.php?workbook=20_14.xlsx&amp;sheet=U0&amp;row=1314&amp;col=7&amp;number=3.26&amp;sourceID=14","3.26")</f>
        <v>3.26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HYPERLINK("http://141.218.60.56/~jnz1568/getInfo.php?workbook=20_14.xlsx&amp;sheet=U0&amp;row=1315&amp;col=6&amp;number=4.1&amp;sourceID=14","4.1")</f>
        <v>4.1</v>
      </c>
      <c r="G1315" s="4" t="str">
        <f>HYPERLINK("http://141.218.60.56/~jnz1568/getInfo.php?workbook=20_14.xlsx&amp;sheet=U0&amp;row=1315&amp;col=7&amp;number=3.27&amp;sourceID=14","3.27")</f>
        <v>3.27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HYPERLINK("http://141.218.60.56/~jnz1568/getInfo.php?workbook=20_14.xlsx&amp;sheet=U0&amp;row=1316&amp;col=6&amp;number=4.2&amp;sourceID=14","4.2")</f>
        <v>4.2</v>
      </c>
      <c r="G1316" s="4" t="str">
        <f>HYPERLINK("http://141.218.60.56/~jnz1568/getInfo.php?workbook=20_14.xlsx&amp;sheet=U0&amp;row=1316&amp;col=7&amp;number=3.27&amp;sourceID=14","3.27")</f>
        <v>3.27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HYPERLINK("http://141.218.60.56/~jnz1568/getInfo.php?workbook=20_14.xlsx&amp;sheet=U0&amp;row=1317&amp;col=6&amp;number=4.3&amp;sourceID=14","4.3")</f>
        <v>4.3</v>
      </c>
      <c r="G1317" s="4" t="str">
        <f>HYPERLINK("http://141.218.60.56/~jnz1568/getInfo.php?workbook=20_14.xlsx&amp;sheet=U0&amp;row=1317&amp;col=7&amp;number=3.28&amp;sourceID=14","3.28")</f>
        <v>3.28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HYPERLINK("http://141.218.60.56/~jnz1568/getInfo.php?workbook=20_14.xlsx&amp;sheet=U0&amp;row=1318&amp;col=6&amp;number=4.4&amp;sourceID=14","4.4")</f>
        <v>4.4</v>
      </c>
      <c r="G1318" s="4" t="str">
        <f>HYPERLINK("http://141.218.60.56/~jnz1568/getInfo.php?workbook=20_14.xlsx&amp;sheet=U0&amp;row=1318&amp;col=7&amp;number=3.3&amp;sourceID=14","3.3")</f>
        <v>3.3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HYPERLINK("http://141.218.60.56/~jnz1568/getInfo.php?workbook=20_14.xlsx&amp;sheet=U0&amp;row=1319&amp;col=6&amp;number=4.5&amp;sourceID=14","4.5")</f>
        <v>4.5</v>
      </c>
      <c r="G1319" s="4" t="str">
        <f>HYPERLINK("http://141.218.60.56/~jnz1568/getInfo.php?workbook=20_14.xlsx&amp;sheet=U0&amp;row=1319&amp;col=7&amp;number=3.31&amp;sourceID=14","3.31")</f>
        <v>3.31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HYPERLINK("http://141.218.60.56/~jnz1568/getInfo.php?workbook=20_14.xlsx&amp;sheet=U0&amp;row=1320&amp;col=6&amp;number=4.6&amp;sourceID=14","4.6")</f>
        <v>4.6</v>
      </c>
      <c r="G1320" s="4" t="str">
        <f>HYPERLINK("http://141.218.60.56/~jnz1568/getInfo.php?workbook=20_14.xlsx&amp;sheet=U0&amp;row=1320&amp;col=7&amp;number=3.33&amp;sourceID=14","3.33")</f>
        <v>3.33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HYPERLINK("http://141.218.60.56/~jnz1568/getInfo.php?workbook=20_14.xlsx&amp;sheet=U0&amp;row=1321&amp;col=6&amp;number=4.7&amp;sourceID=14","4.7")</f>
        <v>4.7</v>
      </c>
      <c r="G1321" s="4" t="str">
        <f>HYPERLINK("http://141.218.60.56/~jnz1568/getInfo.php?workbook=20_14.xlsx&amp;sheet=U0&amp;row=1321&amp;col=7&amp;number=3.36&amp;sourceID=14","3.36")</f>
        <v>3.36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HYPERLINK("http://141.218.60.56/~jnz1568/getInfo.php?workbook=20_14.xlsx&amp;sheet=U0&amp;row=1322&amp;col=6&amp;number=4.8&amp;sourceID=14","4.8")</f>
        <v>4.8</v>
      </c>
      <c r="G1322" s="4" t="str">
        <f>HYPERLINK("http://141.218.60.56/~jnz1568/getInfo.php?workbook=20_14.xlsx&amp;sheet=U0&amp;row=1322&amp;col=7&amp;number=3.39&amp;sourceID=14","3.39")</f>
        <v>3.39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HYPERLINK("http://141.218.60.56/~jnz1568/getInfo.php?workbook=20_14.xlsx&amp;sheet=U0&amp;row=1323&amp;col=6&amp;number=4.9&amp;sourceID=14","4.9")</f>
        <v>4.9</v>
      </c>
      <c r="G1323" s="4" t="str">
        <f>HYPERLINK("http://141.218.60.56/~jnz1568/getInfo.php?workbook=20_14.xlsx&amp;sheet=U0&amp;row=1323&amp;col=7&amp;number=3.43&amp;sourceID=14","3.43")</f>
        <v>3.43</v>
      </c>
    </row>
    <row r="1324" spans="1:7">
      <c r="A1324" s="3">
        <v>20</v>
      </c>
      <c r="B1324" s="3">
        <v>14</v>
      </c>
      <c r="C1324" s="3">
        <v>3</v>
      </c>
      <c r="D1324" s="3">
        <v>19</v>
      </c>
      <c r="E1324" s="3">
        <v>1</v>
      </c>
      <c r="F1324" s="4" t="str">
        <f>HYPERLINK("http://141.218.60.56/~jnz1568/getInfo.php?workbook=20_14.xlsx&amp;sheet=U0&amp;row=1324&amp;col=6&amp;number=3&amp;sourceID=14","3")</f>
        <v>3</v>
      </c>
      <c r="G1324" s="4" t="str">
        <f>HYPERLINK("http://141.218.60.56/~jnz1568/getInfo.php?workbook=20_14.xlsx&amp;sheet=U0&amp;row=1324&amp;col=7&amp;number=0.0146&amp;sourceID=14","0.0146")</f>
        <v>0.0146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HYPERLINK("http://141.218.60.56/~jnz1568/getInfo.php?workbook=20_14.xlsx&amp;sheet=U0&amp;row=1325&amp;col=6&amp;number=3.1&amp;sourceID=14","3.1")</f>
        <v>3.1</v>
      </c>
      <c r="G1325" s="4" t="str">
        <f>HYPERLINK("http://141.218.60.56/~jnz1568/getInfo.php?workbook=20_14.xlsx&amp;sheet=U0&amp;row=1325&amp;col=7&amp;number=0.0146&amp;sourceID=14","0.0146")</f>
        <v>0.0146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HYPERLINK("http://141.218.60.56/~jnz1568/getInfo.php?workbook=20_14.xlsx&amp;sheet=U0&amp;row=1326&amp;col=6&amp;number=3.2&amp;sourceID=14","3.2")</f>
        <v>3.2</v>
      </c>
      <c r="G1326" s="4" t="str">
        <f>HYPERLINK("http://141.218.60.56/~jnz1568/getInfo.php?workbook=20_14.xlsx&amp;sheet=U0&amp;row=1326&amp;col=7&amp;number=0.0146&amp;sourceID=14","0.0146")</f>
        <v>0.0146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HYPERLINK("http://141.218.60.56/~jnz1568/getInfo.php?workbook=20_14.xlsx&amp;sheet=U0&amp;row=1327&amp;col=6&amp;number=3.3&amp;sourceID=14","3.3")</f>
        <v>3.3</v>
      </c>
      <c r="G1327" s="4" t="str">
        <f>HYPERLINK("http://141.218.60.56/~jnz1568/getInfo.php?workbook=20_14.xlsx&amp;sheet=U0&amp;row=1327&amp;col=7&amp;number=0.0146&amp;sourceID=14","0.0146")</f>
        <v>0.0146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HYPERLINK("http://141.218.60.56/~jnz1568/getInfo.php?workbook=20_14.xlsx&amp;sheet=U0&amp;row=1328&amp;col=6&amp;number=3.4&amp;sourceID=14","3.4")</f>
        <v>3.4</v>
      </c>
      <c r="G1328" s="4" t="str">
        <f>HYPERLINK("http://141.218.60.56/~jnz1568/getInfo.php?workbook=20_14.xlsx&amp;sheet=U0&amp;row=1328&amp;col=7&amp;number=0.0146&amp;sourceID=14","0.0146")</f>
        <v>0.0146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HYPERLINK("http://141.218.60.56/~jnz1568/getInfo.php?workbook=20_14.xlsx&amp;sheet=U0&amp;row=1329&amp;col=6&amp;number=3.5&amp;sourceID=14","3.5")</f>
        <v>3.5</v>
      </c>
      <c r="G1329" s="4" t="str">
        <f>HYPERLINK("http://141.218.60.56/~jnz1568/getInfo.php?workbook=20_14.xlsx&amp;sheet=U0&amp;row=1329&amp;col=7&amp;number=0.0146&amp;sourceID=14","0.0146")</f>
        <v>0.0146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HYPERLINK("http://141.218.60.56/~jnz1568/getInfo.php?workbook=20_14.xlsx&amp;sheet=U0&amp;row=1330&amp;col=6&amp;number=3.6&amp;sourceID=14","3.6")</f>
        <v>3.6</v>
      </c>
      <c r="G1330" s="4" t="str">
        <f>HYPERLINK("http://141.218.60.56/~jnz1568/getInfo.php?workbook=20_14.xlsx&amp;sheet=U0&amp;row=1330&amp;col=7&amp;number=0.0146&amp;sourceID=14","0.0146")</f>
        <v>0.0146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HYPERLINK("http://141.218.60.56/~jnz1568/getInfo.php?workbook=20_14.xlsx&amp;sheet=U0&amp;row=1331&amp;col=6&amp;number=3.7&amp;sourceID=14","3.7")</f>
        <v>3.7</v>
      </c>
      <c r="G1331" s="4" t="str">
        <f>HYPERLINK("http://141.218.60.56/~jnz1568/getInfo.php?workbook=20_14.xlsx&amp;sheet=U0&amp;row=1331&amp;col=7&amp;number=0.0146&amp;sourceID=14","0.0146")</f>
        <v>0.0146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HYPERLINK("http://141.218.60.56/~jnz1568/getInfo.php?workbook=20_14.xlsx&amp;sheet=U0&amp;row=1332&amp;col=6&amp;number=3.8&amp;sourceID=14","3.8")</f>
        <v>3.8</v>
      </c>
      <c r="G1332" s="4" t="str">
        <f>HYPERLINK("http://141.218.60.56/~jnz1568/getInfo.php?workbook=20_14.xlsx&amp;sheet=U0&amp;row=1332&amp;col=7&amp;number=0.0146&amp;sourceID=14","0.0146")</f>
        <v>0.0146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HYPERLINK("http://141.218.60.56/~jnz1568/getInfo.php?workbook=20_14.xlsx&amp;sheet=U0&amp;row=1333&amp;col=6&amp;number=3.9&amp;sourceID=14","3.9")</f>
        <v>3.9</v>
      </c>
      <c r="G1333" s="4" t="str">
        <f>HYPERLINK("http://141.218.60.56/~jnz1568/getInfo.php?workbook=20_14.xlsx&amp;sheet=U0&amp;row=1333&amp;col=7&amp;number=0.0145&amp;sourceID=14","0.0145")</f>
        <v>0.0145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HYPERLINK("http://141.218.60.56/~jnz1568/getInfo.php?workbook=20_14.xlsx&amp;sheet=U0&amp;row=1334&amp;col=6&amp;number=4&amp;sourceID=14","4")</f>
        <v>4</v>
      </c>
      <c r="G1334" s="4" t="str">
        <f>HYPERLINK("http://141.218.60.56/~jnz1568/getInfo.php?workbook=20_14.xlsx&amp;sheet=U0&amp;row=1334&amp;col=7&amp;number=0.0145&amp;sourceID=14","0.0145")</f>
        <v>0.0145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HYPERLINK("http://141.218.60.56/~jnz1568/getInfo.php?workbook=20_14.xlsx&amp;sheet=U0&amp;row=1335&amp;col=6&amp;number=4.1&amp;sourceID=14","4.1")</f>
        <v>4.1</v>
      </c>
      <c r="G1335" s="4" t="str">
        <f>HYPERLINK("http://141.218.60.56/~jnz1568/getInfo.php?workbook=20_14.xlsx&amp;sheet=U0&amp;row=1335&amp;col=7&amp;number=0.0145&amp;sourceID=14","0.0145")</f>
        <v>0.0145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HYPERLINK("http://141.218.60.56/~jnz1568/getInfo.php?workbook=20_14.xlsx&amp;sheet=U0&amp;row=1336&amp;col=6&amp;number=4.2&amp;sourceID=14","4.2")</f>
        <v>4.2</v>
      </c>
      <c r="G1336" s="4" t="str">
        <f>HYPERLINK("http://141.218.60.56/~jnz1568/getInfo.php?workbook=20_14.xlsx&amp;sheet=U0&amp;row=1336&amp;col=7&amp;number=0.0145&amp;sourceID=14","0.0145")</f>
        <v>0.0145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HYPERLINK("http://141.218.60.56/~jnz1568/getInfo.php?workbook=20_14.xlsx&amp;sheet=U0&amp;row=1337&amp;col=6&amp;number=4.3&amp;sourceID=14","4.3")</f>
        <v>4.3</v>
      </c>
      <c r="G1337" s="4" t="str">
        <f>HYPERLINK("http://141.218.60.56/~jnz1568/getInfo.php?workbook=20_14.xlsx&amp;sheet=U0&amp;row=1337&amp;col=7&amp;number=0.0144&amp;sourceID=14","0.0144")</f>
        <v>0.0144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HYPERLINK("http://141.218.60.56/~jnz1568/getInfo.php?workbook=20_14.xlsx&amp;sheet=U0&amp;row=1338&amp;col=6&amp;number=4.4&amp;sourceID=14","4.4")</f>
        <v>4.4</v>
      </c>
      <c r="G1338" s="4" t="str">
        <f>HYPERLINK("http://141.218.60.56/~jnz1568/getInfo.php?workbook=20_14.xlsx&amp;sheet=U0&amp;row=1338&amp;col=7&amp;number=0.0144&amp;sourceID=14","0.0144")</f>
        <v>0.0144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HYPERLINK("http://141.218.60.56/~jnz1568/getInfo.php?workbook=20_14.xlsx&amp;sheet=U0&amp;row=1339&amp;col=6&amp;number=4.5&amp;sourceID=14","4.5")</f>
        <v>4.5</v>
      </c>
      <c r="G1339" s="4" t="str">
        <f>HYPERLINK("http://141.218.60.56/~jnz1568/getInfo.php?workbook=20_14.xlsx&amp;sheet=U0&amp;row=1339&amp;col=7&amp;number=0.0143&amp;sourceID=14","0.0143")</f>
        <v>0.0143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HYPERLINK("http://141.218.60.56/~jnz1568/getInfo.php?workbook=20_14.xlsx&amp;sheet=U0&amp;row=1340&amp;col=6&amp;number=4.6&amp;sourceID=14","4.6")</f>
        <v>4.6</v>
      </c>
      <c r="G1340" s="4" t="str">
        <f>HYPERLINK("http://141.218.60.56/~jnz1568/getInfo.php?workbook=20_14.xlsx&amp;sheet=U0&amp;row=1340&amp;col=7&amp;number=0.0143&amp;sourceID=14","0.0143")</f>
        <v>0.0143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HYPERLINK("http://141.218.60.56/~jnz1568/getInfo.php?workbook=20_14.xlsx&amp;sheet=U0&amp;row=1341&amp;col=6&amp;number=4.7&amp;sourceID=14","4.7")</f>
        <v>4.7</v>
      </c>
      <c r="G1341" s="4" t="str">
        <f>HYPERLINK("http://141.218.60.56/~jnz1568/getInfo.php?workbook=20_14.xlsx&amp;sheet=U0&amp;row=1341&amp;col=7&amp;number=0.0142&amp;sourceID=14","0.0142")</f>
        <v>0.0142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HYPERLINK("http://141.218.60.56/~jnz1568/getInfo.php?workbook=20_14.xlsx&amp;sheet=U0&amp;row=1342&amp;col=6&amp;number=4.8&amp;sourceID=14","4.8")</f>
        <v>4.8</v>
      </c>
      <c r="G1342" s="4" t="str">
        <f>HYPERLINK("http://141.218.60.56/~jnz1568/getInfo.php?workbook=20_14.xlsx&amp;sheet=U0&amp;row=1342&amp;col=7&amp;number=0.0141&amp;sourceID=14","0.0141")</f>
        <v>0.0141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HYPERLINK("http://141.218.60.56/~jnz1568/getInfo.php?workbook=20_14.xlsx&amp;sheet=U0&amp;row=1343&amp;col=6&amp;number=4.9&amp;sourceID=14","4.9")</f>
        <v>4.9</v>
      </c>
      <c r="G1343" s="4" t="str">
        <f>HYPERLINK("http://141.218.60.56/~jnz1568/getInfo.php?workbook=20_14.xlsx&amp;sheet=U0&amp;row=1343&amp;col=7&amp;number=0.0139&amp;sourceID=14","0.0139")</f>
        <v>0.0139</v>
      </c>
    </row>
    <row r="1344" spans="1:7">
      <c r="A1344" s="3">
        <v>20</v>
      </c>
      <c r="B1344" s="3">
        <v>14</v>
      </c>
      <c r="C1344" s="3">
        <v>3</v>
      </c>
      <c r="D1344" s="3">
        <v>20</v>
      </c>
      <c r="E1344" s="3">
        <v>1</v>
      </c>
      <c r="F1344" s="4" t="str">
        <f>HYPERLINK("http://141.218.60.56/~jnz1568/getInfo.php?workbook=20_14.xlsx&amp;sheet=U0&amp;row=1344&amp;col=6&amp;number=3&amp;sourceID=14","3")</f>
        <v>3</v>
      </c>
      <c r="G1344" s="4" t="str">
        <f>HYPERLINK("http://141.218.60.56/~jnz1568/getInfo.php?workbook=20_14.xlsx&amp;sheet=U0&amp;row=1344&amp;col=7&amp;number=1.23&amp;sourceID=14","1.23")</f>
        <v>1.23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HYPERLINK("http://141.218.60.56/~jnz1568/getInfo.php?workbook=20_14.xlsx&amp;sheet=U0&amp;row=1345&amp;col=6&amp;number=3.1&amp;sourceID=14","3.1")</f>
        <v>3.1</v>
      </c>
      <c r="G1345" s="4" t="str">
        <f>HYPERLINK("http://141.218.60.56/~jnz1568/getInfo.php?workbook=20_14.xlsx&amp;sheet=U0&amp;row=1345&amp;col=7&amp;number=1.23&amp;sourceID=14","1.23")</f>
        <v>1.23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HYPERLINK("http://141.218.60.56/~jnz1568/getInfo.php?workbook=20_14.xlsx&amp;sheet=U0&amp;row=1346&amp;col=6&amp;number=3.2&amp;sourceID=14","3.2")</f>
        <v>3.2</v>
      </c>
      <c r="G1346" s="4" t="str">
        <f>HYPERLINK("http://141.218.60.56/~jnz1568/getInfo.php?workbook=20_14.xlsx&amp;sheet=U0&amp;row=1346&amp;col=7&amp;number=1.23&amp;sourceID=14","1.23")</f>
        <v>1.23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HYPERLINK("http://141.218.60.56/~jnz1568/getInfo.php?workbook=20_14.xlsx&amp;sheet=U0&amp;row=1347&amp;col=6&amp;number=3.3&amp;sourceID=14","3.3")</f>
        <v>3.3</v>
      </c>
      <c r="G1347" s="4" t="str">
        <f>HYPERLINK("http://141.218.60.56/~jnz1568/getInfo.php?workbook=20_14.xlsx&amp;sheet=U0&amp;row=1347&amp;col=7&amp;number=1.23&amp;sourceID=14","1.23")</f>
        <v>1.23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HYPERLINK("http://141.218.60.56/~jnz1568/getInfo.php?workbook=20_14.xlsx&amp;sheet=U0&amp;row=1348&amp;col=6&amp;number=3.4&amp;sourceID=14","3.4")</f>
        <v>3.4</v>
      </c>
      <c r="G1348" s="4" t="str">
        <f>HYPERLINK("http://141.218.60.56/~jnz1568/getInfo.php?workbook=20_14.xlsx&amp;sheet=U0&amp;row=1348&amp;col=7&amp;number=1.23&amp;sourceID=14","1.23")</f>
        <v>1.23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HYPERLINK("http://141.218.60.56/~jnz1568/getInfo.php?workbook=20_14.xlsx&amp;sheet=U0&amp;row=1349&amp;col=6&amp;number=3.5&amp;sourceID=14","3.5")</f>
        <v>3.5</v>
      </c>
      <c r="G1349" s="4" t="str">
        <f>HYPERLINK("http://141.218.60.56/~jnz1568/getInfo.php?workbook=20_14.xlsx&amp;sheet=U0&amp;row=1349&amp;col=7&amp;number=1.23&amp;sourceID=14","1.23")</f>
        <v>1.23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HYPERLINK("http://141.218.60.56/~jnz1568/getInfo.php?workbook=20_14.xlsx&amp;sheet=U0&amp;row=1350&amp;col=6&amp;number=3.6&amp;sourceID=14","3.6")</f>
        <v>3.6</v>
      </c>
      <c r="G1350" s="4" t="str">
        <f>HYPERLINK("http://141.218.60.56/~jnz1568/getInfo.php?workbook=20_14.xlsx&amp;sheet=U0&amp;row=1350&amp;col=7&amp;number=1.23&amp;sourceID=14","1.23")</f>
        <v>1.23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HYPERLINK("http://141.218.60.56/~jnz1568/getInfo.php?workbook=20_14.xlsx&amp;sheet=U0&amp;row=1351&amp;col=6&amp;number=3.7&amp;sourceID=14","3.7")</f>
        <v>3.7</v>
      </c>
      <c r="G1351" s="4" t="str">
        <f>HYPERLINK("http://141.218.60.56/~jnz1568/getInfo.php?workbook=20_14.xlsx&amp;sheet=U0&amp;row=1351&amp;col=7&amp;number=1.23&amp;sourceID=14","1.23")</f>
        <v>1.23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HYPERLINK("http://141.218.60.56/~jnz1568/getInfo.php?workbook=20_14.xlsx&amp;sheet=U0&amp;row=1352&amp;col=6&amp;number=3.8&amp;sourceID=14","3.8")</f>
        <v>3.8</v>
      </c>
      <c r="G1352" s="4" t="str">
        <f>HYPERLINK("http://141.218.60.56/~jnz1568/getInfo.php?workbook=20_14.xlsx&amp;sheet=U0&amp;row=1352&amp;col=7&amp;number=1.23&amp;sourceID=14","1.23")</f>
        <v>1.23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HYPERLINK("http://141.218.60.56/~jnz1568/getInfo.php?workbook=20_14.xlsx&amp;sheet=U0&amp;row=1353&amp;col=6&amp;number=3.9&amp;sourceID=14","3.9")</f>
        <v>3.9</v>
      </c>
      <c r="G1353" s="4" t="str">
        <f>HYPERLINK("http://141.218.60.56/~jnz1568/getInfo.php?workbook=20_14.xlsx&amp;sheet=U0&amp;row=1353&amp;col=7&amp;number=1.23&amp;sourceID=14","1.23")</f>
        <v>1.23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HYPERLINK("http://141.218.60.56/~jnz1568/getInfo.php?workbook=20_14.xlsx&amp;sheet=U0&amp;row=1354&amp;col=6&amp;number=4&amp;sourceID=14","4")</f>
        <v>4</v>
      </c>
      <c r="G1354" s="4" t="str">
        <f>HYPERLINK("http://141.218.60.56/~jnz1568/getInfo.php?workbook=20_14.xlsx&amp;sheet=U0&amp;row=1354&amp;col=7&amp;number=1.24&amp;sourceID=14","1.24")</f>
        <v>1.24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HYPERLINK("http://141.218.60.56/~jnz1568/getInfo.php?workbook=20_14.xlsx&amp;sheet=U0&amp;row=1355&amp;col=6&amp;number=4.1&amp;sourceID=14","4.1")</f>
        <v>4.1</v>
      </c>
      <c r="G1355" s="4" t="str">
        <f>HYPERLINK("http://141.218.60.56/~jnz1568/getInfo.php?workbook=20_14.xlsx&amp;sheet=U0&amp;row=1355&amp;col=7&amp;number=1.24&amp;sourceID=14","1.24")</f>
        <v>1.24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HYPERLINK("http://141.218.60.56/~jnz1568/getInfo.php?workbook=20_14.xlsx&amp;sheet=U0&amp;row=1356&amp;col=6&amp;number=4.2&amp;sourceID=14","4.2")</f>
        <v>4.2</v>
      </c>
      <c r="G1356" s="4" t="str">
        <f>HYPERLINK("http://141.218.60.56/~jnz1568/getInfo.php?workbook=20_14.xlsx&amp;sheet=U0&amp;row=1356&amp;col=7&amp;number=1.24&amp;sourceID=14","1.24")</f>
        <v>1.24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HYPERLINK("http://141.218.60.56/~jnz1568/getInfo.php?workbook=20_14.xlsx&amp;sheet=U0&amp;row=1357&amp;col=6&amp;number=4.3&amp;sourceID=14","4.3")</f>
        <v>4.3</v>
      </c>
      <c r="G1357" s="4" t="str">
        <f>HYPERLINK("http://141.218.60.56/~jnz1568/getInfo.php?workbook=20_14.xlsx&amp;sheet=U0&amp;row=1357&amp;col=7&amp;number=1.24&amp;sourceID=14","1.24")</f>
        <v>1.24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HYPERLINK("http://141.218.60.56/~jnz1568/getInfo.php?workbook=20_14.xlsx&amp;sheet=U0&amp;row=1358&amp;col=6&amp;number=4.4&amp;sourceID=14","4.4")</f>
        <v>4.4</v>
      </c>
      <c r="G1358" s="4" t="str">
        <f>HYPERLINK("http://141.218.60.56/~jnz1568/getInfo.php?workbook=20_14.xlsx&amp;sheet=U0&amp;row=1358&amp;col=7&amp;number=1.25&amp;sourceID=14","1.25")</f>
        <v>1.25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HYPERLINK("http://141.218.60.56/~jnz1568/getInfo.php?workbook=20_14.xlsx&amp;sheet=U0&amp;row=1359&amp;col=6&amp;number=4.5&amp;sourceID=14","4.5")</f>
        <v>4.5</v>
      </c>
      <c r="G1359" s="4" t="str">
        <f>HYPERLINK("http://141.218.60.56/~jnz1568/getInfo.php?workbook=20_14.xlsx&amp;sheet=U0&amp;row=1359&amp;col=7&amp;number=1.25&amp;sourceID=14","1.25")</f>
        <v>1.25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HYPERLINK("http://141.218.60.56/~jnz1568/getInfo.php?workbook=20_14.xlsx&amp;sheet=U0&amp;row=1360&amp;col=6&amp;number=4.6&amp;sourceID=14","4.6")</f>
        <v>4.6</v>
      </c>
      <c r="G1360" s="4" t="str">
        <f>HYPERLINK("http://141.218.60.56/~jnz1568/getInfo.php?workbook=20_14.xlsx&amp;sheet=U0&amp;row=1360&amp;col=7&amp;number=1.26&amp;sourceID=14","1.26")</f>
        <v>1.26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HYPERLINK("http://141.218.60.56/~jnz1568/getInfo.php?workbook=20_14.xlsx&amp;sheet=U0&amp;row=1361&amp;col=6&amp;number=4.7&amp;sourceID=14","4.7")</f>
        <v>4.7</v>
      </c>
      <c r="G1361" s="4" t="str">
        <f>HYPERLINK("http://141.218.60.56/~jnz1568/getInfo.php?workbook=20_14.xlsx&amp;sheet=U0&amp;row=1361&amp;col=7&amp;number=1.27&amp;sourceID=14","1.27")</f>
        <v>1.27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HYPERLINK("http://141.218.60.56/~jnz1568/getInfo.php?workbook=20_14.xlsx&amp;sheet=U0&amp;row=1362&amp;col=6&amp;number=4.8&amp;sourceID=14","4.8")</f>
        <v>4.8</v>
      </c>
      <c r="G1362" s="4" t="str">
        <f>HYPERLINK("http://141.218.60.56/~jnz1568/getInfo.php?workbook=20_14.xlsx&amp;sheet=U0&amp;row=1362&amp;col=7&amp;number=1.28&amp;sourceID=14","1.28")</f>
        <v>1.28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HYPERLINK("http://141.218.60.56/~jnz1568/getInfo.php?workbook=20_14.xlsx&amp;sheet=U0&amp;row=1363&amp;col=6&amp;number=4.9&amp;sourceID=14","4.9")</f>
        <v>4.9</v>
      </c>
      <c r="G1363" s="4" t="str">
        <f>HYPERLINK("http://141.218.60.56/~jnz1568/getInfo.php?workbook=20_14.xlsx&amp;sheet=U0&amp;row=1363&amp;col=7&amp;number=1.3&amp;sourceID=14","1.3")</f>
        <v>1.3</v>
      </c>
    </row>
    <row r="1364" spans="1:7">
      <c r="A1364" s="3">
        <v>20</v>
      </c>
      <c r="B1364" s="3">
        <v>14</v>
      </c>
      <c r="C1364" s="3">
        <v>3</v>
      </c>
      <c r="D1364" s="3">
        <v>21</v>
      </c>
      <c r="E1364" s="3">
        <v>1</v>
      </c>
      <c r="F1364" s="4" t="str">
        <f>HYPERLINK("http://141.218.60.56/~jnz1568/getInfo.php?workbook=20_14.xlsx&amp;sheet=U0&amp;row=1364&amp;col=6&amp;number=3&amp;sourceID=14","3")</f>
        <v>3</v>
      </c>
      <c r="G1364" s="4" t="str">
        <f>HYPERLINK("http://141.218.60.56/~jnz1568/getInfo.php?workbook=20_14.xlsx&amp;sheet=U0&amp;row=1364&amp;col=7&amp;number=3.11&amp;sourceID=14","3.11")</f>
        <v>3.11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HYPERLINK("http://141.218.60.56/~jnz1568/getInfo.php?workbook=20_14.xlsx&amp;sheet=U0&amp;row=1365&amp;col=6&amp;number=3.1&amp;sourceID=14","3.1")</f>
        <v>3.1</v>
      </c>
      <c r="G1365" s="4" t="str">
        <f>HYPERLINK("http://141.218.60.56/~jnz1568/getInfo.php?workbook=20_14.xlsx&amp;sheet=U0&amp;row=1365&amp;col=7&amp;number=3.11&amp;sourceID=14","3.11")</f>
        <v>3.11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HYPERLINK("http://141.218.60.56/~jnz1568/getInfo.php?workbook=20_14.xlsx&amp;sheet=U0&amp;row=1366&amp;col=6&amp;number=3.2&amp;sourceID=14","3.2")</f>
        <v>3.2</v>
      </c>
      <c r="G1366" s="4" t="str">
        <f>HYPERLINK("http://141.218.60.56/~jnz1568/getInfo.php?workbook=20_14.xlsx&amp;sheet=U0&amp;row=1366&amp;col=7&amp;number=3.11&amp;sourceID=14","3.11")</f>
        <v>3.11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HYPERLINK("http://141.218.60.56/~jnz1568/getInfo.php?workbook=20_14.xlsx&amp;sheet=U0&amp;row=1367&amp;col=6&amp;number=3.3&amp;sourceID=14","3.3")</f>
        <v>3.3</v>
      </c>
      <c r="G1367" s="4" t="str">
        <f>HYPERLINK("http://141.218.60.56/~jnz1568/getInfo.php?workbook=20_14.xlsx&amp;sheet=U0&amp;row=1367&amp;col=7&amp;number=3.11&amp;sourceID=14","3.11")</f>
        <v>3.11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HYPERLINK("http://141.218.60.56/~jnz1568/getInfo.php?workbook=20_14.xlsx&amp;sheet=U0&amp;row=1368&amp;col=6&amp;number=3.4&amp;sourceID=14","3.4")</f>
        <v>3.4</v>
      </c>
      <c r="G1368" s="4" t="str">
        <f>HYPERLINK("http://141.218.60.56/~jnz1568/getInfo.php?workbook=20_14.xlsx&amp;sheet=U0&amp;row=1368&amp;col=7&amp;number=3.11&amp;sourceID=14","3.11")</f>
        <v>3.11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HYPERLINK("http://141.218.60.56/~jnz1568/getInfo.php?workbook=20_14.xlsx&amp;sheet=U0&amp;row=1369&amp;col=6&amp;number=3.5&amp;sourceID=14","3.5")</f>
        <v>3.5</v>
      </c>
      <c r="G1369" s="4" t="str">
        <f>HYPERLINK("http://141.218.60.56/~jnz1568/getInfo.php?workbook=20_14.xlsx&amp;sheet=U0&amp;row=1369&amp;col=7&amp;number=3.11&amp;sourceID=14","3.11")</f>
        <v>3.11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HYPERLINK("http://141.218.60.56/~jnz1568/getInfo.php?workbook=20_14.xlsx&amp;sheet=U0&amp;row=1370&amp;col=6&amp;number=3.6&amp;sourceID=14","3.6")</f>
        <v>3.6</v>
      </c>
      <c r="G1370" s="4" t="str">
        <f>HYPERLINK("http://141.218.60.56/~jnz1568/getInfo.php?workbook=20_14.xlsx&amp;sheet=U0&amp;row=1370&amp;col=7&amp;number=3.11&amp;sourceID=14","3.11")</f>
        <v>3.11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HYPERLINK("http://141.218.60.56/~jnz1568/getInfo.php?workbook=20_14.xlsx&amp;sheet=U0&amp;row=1371&amp;col=6&amp;number=3.7&amp;sourceID=14","3.7")</f>
        <v>3.7</v>
      </c>
      <c r="G1371" s="4" t="str">
        <f>HYPERLINK("http://141.218.60.56/~jnz1568/getInfo.php?workbook=20_14.xlsx&amp;sheet=U0&amp;row=1371&amp;col=7&amp;number=3.12&amp;sourceID=14","3.12")</f>
        <v>3.12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HYPERLINK("http://141.218.60.56/~jnz1568/getInfo.php?workbook=20_14.xlsx&amp;sheet=U0&amp;row=1372&amp;col=6&amp;number=3.8&amp;sourceID=14","3.8")</f>
        <v>3.8</v>
      </c>
      <c r="G1372" s="4" t="str">
        <f>HYPERLINK("http://141.218.60.56/~jnz1568/getInfo.php?workbook=20_14.xlsx&amp;sheet=U0&amp;row=1372&amp;col=7&amp;number=3.12&amp;sourceID=14","3.12")</f>
        <v>3.12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HYPERLINK("http://141.218.60.56/~jnz1568/getInfo.php?workbook=20_14.xlsx&amp;sheet=U0&amp;row=1373&amp;col=6&amp;number=3.9&amp;sourceID=14","3.9")</f>
        <v>3.9</v>
      </c>
      <c r="G1373" s="4" t="str">
        <f>HYPERLINK("http://141.218.60.56/~jnz1568/getInfo.php?workbook=20_14.xlsx&amp;sheet=U0&amp;row=1373&amp;col=7&amp;number=3.12&amp;sourceID=14","3.12")</f>
        <v>3.12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HYPERLINK("http://141.218.60.56/~jnz1568/getInfo.php?workbook=20_14.xlsx&amp;sheet=U0&amp;row=1374&amp;col=6&amp;number=4&amp;sourceID=14","4")</f>
        <v>4</v>
      </c>
      <c r="G1374" s="4" t="str">
        <f>HYPERLINK("http://141.218.60.56/~jnz1568/getInfo.php?workbook=20_14.xlsx&amp;sheet=U0&amp;row=1374&amp;col=7&amp;number=3.13&amp;sourceID=14","3.13")</f>
        <v>3.13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HYPERLINK("http://141.218.60.56/~jnz1568/getInfo.php?workbook=20_14.xlsx&amp;sheet=U0&amp;row=1375&amp;col=6&amp;number=4.1&amp;sourceID=14","4.1")</f>
        <v>4.1</v>
      </c>
      <c r="G1375" s="4" t="str">
        <f>HYPERLINK("http://141.218.60.56/~jnz1568/getInfo.php?workbook=20_14.xlsx&amp;sheet=U0&amp;row=1375&amp;col=7&amp;number=3.13&amp;sourceID=14","3.13")</f>
        <v>3.13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HYPERLINK("http://141.218.60.56/~jnz1568/getInfo.php?workbook=20_14.xlsx&amp;sheet=U0&amp;row=1376&amp;col=6&amp;number=4.2&amp;sourceID=14","4.2")</f>
        <v>4.2</v>
      </c>
      <c r="G1376" s="4" t="str">
        <f>HYPERLINK("http://141.218.60.56/~jnz1568/getInfo.php?workbook=20_14.xlsx&amp;sheet=U0&amp;row=1376&amp;col=7&amp;number=3.14&amp;sourceID=14","3.14")</f>
        <v>3.14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HYPERLINK("http://141.218.60.56/~jnz1568/getInfo.php?workbook=20_14.xlsx&amp;sheet=U0&amp;row=1377&amp;col=6&amp;number=4.3&amp;sourceID=14","4.3")</f>
        <v>4.3</v>
      </c>
      <c r="G1377" s="4" t="str">
        <f>HYPERLINK("http://141.218.60.56/~jnz1568/getInfo.php?workbook=20_14.xlsx&amp;sheet=U0&amp;row=1377&amp;col=7&amp;number=3.15&amp;sourceID=14","3.15")</f>
        <v>3.15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HYPERLINK("http://141.218.60.56/~jnz1568/getInfo.php?workbook=20_14.xlsx&amp;sheet=U0&amp;row=1378&amp;col=6&amp;number=4.4&amp;sourceID=14","4.4")</f>
        <v>4.4</v>
      </c>
      <c r="G1378" s="4" t="str">
        <f>HYPERLINK("http://141.218.60.56/~jnz1568/getInfo.php?workbook=20_14.xlsx&amp;sheet=U0&amp;row=1378&amp;col=7&amp;number=3.16&amp;sourceID=14","3.16")</f>
        <v>3.16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HYPERLINK("http://141.218.60.56/~jnz1568/getInfo.php?workbook=20_14.xlsx&amp;sheet=U0&amp;row=1379&amp;col=6&amp;number=4.5&amp;sourceID=14","4.5")</f>
        <v>4.5</v>
      </c>
      <c r="G1379" s="4" t="str">
        <f>HYPERLINK("http://141.218.60.56/~jnz1568/getInfo.php?workbook=20_14.xlsx&amp;sheet=U0&amp;row=1379&amp;col=7&amp;number=3.18&amp;sourceID=14","3.18")</f>
        <v>3.18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HYPERLINK("http://141.218.60.56/~jnz1568/getInfo.php?workbook=20_14.xlsx&amp;sheet=U0&amp;row=1380&amp;col=6&amp;number=4.6&amp;sourceID=14","4.6")</f>
        <v>4.6</v>
      </c>
      <c r="G1380" s="4" t="str">
        <f>HYPERLINK("http://141.218.60.56/~jnz1568/getInfo.php?workbook=20_14.xlsx&amp;sheet=U0&amp;row=1380&amp;col=7&amp;number=3.2&amp;sourceID=14","3.2")</f>
        <v>3.2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HYPERLINK("http://141.218.60.56/~jnz1568/getInfo.php?workbook=20_14.xlsx&amp;sheet=U0&amp;row=1381&amp;col=6&amp;number=4.7&amp;sourceID=14","4.7")</f>
        <v>4.7</v>
      </c>
      <c r="G1381" s="4" t="str">
        <f>HYPERLINK("http://141.218.60.56/~jnz1568/getInfo.php?workbook=20_14.xlsx&amp;sheet=U0&amp;row=1381&amp;col=7&amp;number=3.22&amp;sourceID=14","3.22")</f>
        <v>3.22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HYPERLINK("http://141.218.60.56/~jnz1568/getInfo.php?workbook=20_14.xlsx&amp;sheet=U0&amp;row=1382&amp;col=6&amp;number=4.8&amp;sourceID=14","4.8")</f>
        <v>4.8</v>
      </c>
      <c r="G1382" s="4" t="str">
        <f>HYPERLINK("http://141.218.60.56/~jnz1568/getInfo.php?workbook=20_14.xlsx&amp;sheet=U0&amp;row=1382&amp;col=7&amp;number=3.25&amp;sourceID=14","3.25")</f>
        <v>3.25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HYPERLINK("http://141.218.60.56/~jnz1568/getInfo.php?workbook=20_14.xlsx&amp;sheet=U0&amp;row=1383&amp;col=6&amp;number=4.9&amp;sourceID=14","4.9")</f>
        <v>4.9</v>
      </c>
      <c r="G1383" s="4" t="str">
        <f>HYPERLINK("http://141.218.60.56/~jnz1568/getInfo.php?workbook=20_14.xlsx&amp;sheet=U0&amp;row=1383&amp;col=7&amp;number=3.29&amp;sourceID=14","3.29")</f>
        <v>3.29</v>
      </c>
    </row>
    <row r="1384" spans="1:7">
      <c r="A1384" s="3">
        <v>20</v>
      </c>
      <c r="B1384" s="3">
        <v>14</v>
      </c>
      <c r="C1384" s="3">
        <v>3</v>
      </c>
      <c r="D1384" s="3">
        <v>22</v>
      </c>
      <c r="E1384" s="3">
        <v>1</v>
      </c>
      <c r="F1384" s="4" t="str">
        <f>HYPERLINK("http://141.218.60.56/~jnz1568/getInfo.php?workbook=20_14.xlsx&amp;sheet=U0&amp;row=1384&amp;col=6&amp;number=3&amp;sourceID=14","3")</f>
        <v>3</v>
      </c>
      <c r="G1384" s="4" t="str">
        <f>HYPERLINK("http://141.218.60.56/~jnz1568/getInfo.php?workbook=20_14.xlsx&amp;sheet=U0&amp;row=1384&amp;col=7&amp;number=0.0991&amp;sourceID=14","0.0991")</f>
        <v>0.0991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HYPERLINK("http://141.218.60.56/~jnz1568/getInfo.php?workbook=20_14.xlsx&amp;sheet=U0&amp;row=1385&amp;col=6&amp;number=3.1&amp;sourceID=14","3.1")</f>
        <v>3.1</v>
      </c>
      <c r="G1385" s="4" t="str">
        <f>HYPERLINK("http://141.218.60.56/~jnz1568/getInfo.php?workbook=20_14.xlsx&amp;sheet=U0&amp;row=1385&amp;col=7&amp;number=0.0991&amp;sourceID=14","0.0991")</f>
        <v>0.0991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HYPERLINK("http://141.218.60.56/~jnz1568/getInfo.php?workbook=20_14.xlsx&amp;sheet=U0&amp;row=1386&amp;col=6&amp;number=3.2&amp;sourceID=14","3.2")</f>
        <v>3.2</v>
      </c>
      <c r="G1386" s="4" t="str">
        <f>HYPERLINK("http://141.218.60.56/~jnz1568/getInfo.php?workbook=20_14.xlsx&amp;sheet=U0&amp;row=1386&amp;col=7&amp;number=0.0991&amp;sourceID=14","0.0991")</f>
        <v>0.0991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HYPERLINK("http://141.218.60.56/~jnz1568/getInfo.php?workbook=20_14.xlsx&amp;sheet=U0&amp;row=1387&amp;col=6&amp;number=3.3&amp;sourceID=14","3.3")</f>
        <v>3.3</v>
      </c>
      <c r="G1387" s="4" t="str">
        <f>HYPERLINK("http://141.218.60.56/~jnz1568/getInfo.php?workbook=20_14.xlsx&amp;sheet=U0&amp;row=1387&amp;col=7&amp;number=0.0991&amp;sourceID=14","0.0991")</f>
        <v>0.0991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HYPERLINK("http://141.218.60.56/~jnz1568/getInfo.php?workbook=20_14.xlsx&amp;sheet=U0&amp;row=1388&amp;col=6&amp;number=3.4&amp;sourceID=14","3.4")</f>
        <v>3.4</v>
      </c>
      <c r="G1388" s="4" t="str">
        <f>HYPERLINK("http://141.218.60.56/~jnz1568/getInfo.php?workbook=20_14.xlsx&amp;sheet=U0&amp;row=1388&amp;col=7&amp;number=0.0991&amp;sourceID=14","0.0991")</f>
        <v>0.0991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HYPERLINK("http://141.218.60.56/~jnz1568/getInfo.php?workbook=20_14.xlsx&amp;sheet=U0&amp;row=1389&amp;col=6&amp;number=3.5&amp;sourceID=14","3.5")</f>
        <v>3.5</v>
      </c>
      <c r="G1389" s="4" t="str">
        <f>HYPERLINK("http://141.218.60.56/~jnz1568/getInfo.php?workbook=20_14.xlsx&amp;sheet=U0&amp;row=1389&amp;col=7&amp;number=0.0991&amp;sourceID=14","0.0991")</f>
        <v>0.0991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HYPERLINK("http://141.218.60.56/~jnz1568/getInfo.php?workbook=20_14.xlsx&amp;sheet=U0&amp;row=1390&amp;col=6&amp;number=3.6&amp;sourceID=14","3.6")</f>
        <v>3.6</v>
      </c>
      <c r="G1390" s="4" t="str">
        <f>HYPERLINK("http://141.218.60.56/~jnz1568/getInfo.php?workbook=20_14.xlsx&amp;sheet=U0&amp;row=1390&amp;col=7&amp;number=0.0991&amp;sourceID=14","0.0991")</f>
        <v>0.0991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HYPERLINK("http://141.218.60.56/~jnz1568/getInfo.php?workbook=20_14.xlsx&amp;sheet=U0&amp;row=1391&amp;col=6&amp;number=3.7&amp;sourceID=14","3.7")</f>
        <v>3.7</v>
      </c>
      <c r="G1391" s="4" t="str">
        <f>HYPERLINK("http://141.218.60.56/~jnz1568/getInfo.php?workbook=20_14.xlsx&amp;sheet=U0&amp;row=1391&amp;col=7&amp;number=0.0991&amp;sourceID=14","0.0991")</f>
        <v>0.0991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HYPERLINK("http://141.218.60.56/~jnz1568/getInfo.php?workbook=20_14.xlsx&amp;sheet=U0&amp;row=1392&amp;col=6&amp;number=3.8&amp;sourceID=14","3.8")</f>
        <v>3.8</v>
      </c>
      <c r="G1392" s="4" t="str">
        <f>HYPERLINK("http://141.218.60.56/~jnz1568/getInfo.php?workbook=20_14.xlsx&amp;sheet=U0&amp;row=1392&amp;col=7&amp;number=0.0991&amp;sourceID=14","0.0991")</f>
        <v>0.0991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HYPERLINK("http://141.218.60.56/~jnz1568/getInfo.php?workbook=20_14.xlsx&amp;sheet=U0&amp;row=1393&amp;col=6&amp;number=3.9&amp;sourceID=14","3.9")</f>
        <v>3.9</v>
      </c>
      <c r="G1393" s="4" t="str">
        <f>HYPERLINK("http://141.218.60.56/~jnz1568/getInfo.php?workbook=20_14.xlsx&amp;sheet=U0&amp;row=1393&amp;col=7&amp;number=0.0991&amp;sourceID=14","0.0991")</f>
        <v>0.0991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HYPERLINK("http://141.218.60.56/~jnz1568/getInfo.php?workbook=20_14.xlsx&amp;sheet=U0&amp;row=1394&amp;col=6&amp;number=4&amp;sourceID=14","4")</f>
        <v>4</v>
      </c>
      <c r="G1394" s="4" t="str">
        <f>HYPERLINK("http://141.218.60.56/~jnz1568/getInfo.php?workbook=20_14.xlsx&amp;sheet=U0&amp;row=1394&amp;col=7&amp;number=0.0991&amp;sourceID=14","0.0991")</f>
        <v>0.0991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HYPERLINK("http://141.218.60.56/~jnz1568/getInfo.php?workbook=20_14.xlsx&amp;sheet=U0&amp;row=1395&amp;col=6&amp;number=4.1&amp;sourceID=14","4.1")</f>
        <v>4.1</v>
      </c>
      <c r="G1395" s="4" t="str">
        <f>HYPERLINK("http://141.218.60.56/~jnz1568/getInfo.php?workbook=20_14.xlsx&amp;sheet=U0&amp;row=1395&amp;col=7&amp;number=0.0991&amp;sourceID=14","0.0991")</f>
        <v>0.0991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HYPERLINK("http://141.218.60.56/~jnz1568/getInfo.php?workbook=20_14.xlsx&amp;sheet=U0&amp;row=1396&amp;col=6&amp;number=4.2&amp;sourceID=14","4.2")</f>
        <v>4.2</v>
      </c>
      <c r="G1396" s="4" t="str">
        <f>HYPERLINK("http://141.218.60.56/~jnz1568/getInfo.php?workbook=20_14.xlsx&amp;sheet=U0&amp;row=1396&amp;col=7&amp;number=0.0991&amp;sourceID=14","0.0991")</f>
        <v>0.0991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HYPERLINK("http://141.218.60.56/~jnz1568/getInfo.php?workbook=20_14.xlsx&amp;sheet=U0&amp;row=1397&amp;col=6&amp;number=4.3&amp;sourceID=14","4.3")</f>
        <v>4.3</v>
      </c>
      <c r="G1397" s="4" t="str">
        <f>HYPERLINK("http://141.218.60.56/~jnz1568/getInfo.php?workbook=20_14.xlsx&amp;sheet=U0&amp;row=1397&amp;col=7&amp;number=0.0991&amp;sourceID=14","0.0991")</f>
        <v>0.0991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HYPERLINK("http://141.218.60.56/~jnz1568/getInfo.php?workbook=20_14.xlsx&amp;sheet=U0&amp;row=1398&amp;col=6&amp;number=4.4&amp;sourceID=14","4.4")</f>
        <v>4.4</v>
      </c>
      <c r="G1398" s="4" t="str">
        <f>HYPERLINK("http://141.218.60.56/~jnz1568/getInfo.php?workbook=20_14.xlsx&amp;sheet=U0&amp;row=1398&amp;col=7&amp;number=0.0991&amp;sourceID=14","0.0991")</f>
        <v>0.0991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HYPERLINK("http://141.218.60.56/~jnz1568/getInfo.php?workbook=20_14.xlsx&amp;sheet=U0&amp;row=1399&amp;col=6&amp;number=4.5&amp;sourceID=14","4.5")</f>
        <v>4.5</v>
      </c>
      <c r="G1399" s="4" t="str">
        <f>HYPERLINK("http://141.218.60.56/~jnz1568/getInfo.php?workbook=20_14.xlsx&amp;sheet=U0&amp;row=1399&amp;col=7&amp;number=0.0991&amp;sourceID=14","0.0991")</f>
        <v>0.0991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HYPERLINK("http://141.218.60.56/~jnz1568/getInfo.php?workbook=20_14.xlsx&amp;sheet=U0&amp;row=1400&amp;col=6&amp;number=4.6&amp;sourceID=14","4.6")</f>
        <v>4.6</v>
      </c>
      <c r="G1400" s="4" t="str">
        <f>HYPERLINK("http://141.218.60.56/~jnz1568/getInfo.php?workbook=20_14.xlsx&amp;sheet=U0&amp;row=1400&amp;col=7&amp;number=0.0991&amp;sourceID=14","0.0991")</f>
        <v>0.0991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HYPERLINK("http://141.218.60.56/~jnz1568/getInfo.php?workbook=20_14.xlsx&amp;sheet=U0&amp;row=1401&amp;col=6&amp;number=4.7&amp;sourceID=14","4.7")</f>
        <v>4.7</v>
      </c>
      <c r="G1401" s="4" t="str">
        <f>HYPERLINK("http://141.218.60.56/~jnz1568/getInfo.php?workbook=20_14.xlsx&amp;sheet=U0&amp;row=1401&amp;col=7&amp;number=0.099&amp;sourceID=14","0.099")</f>
        <v>0.099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HYPERLINK("http://141.218.60.56/~jnz1568/getInfo.php?workbook=20_14.xlsx&amp;sheet=U0&amp;row=1402&amp;col=6&amp;number=4.8&amp;sourceID=14","4.8")</f>
        <v>4.8</v>
      </c>
      <c r="G1402" s="4" t="str">
        <f>HYPERLINK("http://141.218.60.56/~jnz1568/getInfo.php?workbook=20_14.xlsx&amp;sheet=U0&amp;row=1402&amp;col=7&amp;number=0.099&amp;sourceID=14","0.099")</f>
        <v>0.099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HYPERLINK("http://141.218.60.56/~jnz1568/getInfo.php?workbook=20_14.xlsx&amp;sheet=U0&amp;row=1403&amp;col=6&amp;number=4.9&amp;sourceID=14","4.9")</f>
        <v>4.9</v>
      </c>
      <c r="G1403" s="4" t="str">
        <f>HYPERLINK("http://141.218.60.56/~jnz1568/getInfo.php?workbook=20_14.xlsx&amp;sheet=U0&amp;row=1403&amp;col=7&amp;number=0.099&amp;sourceID=14","0.099")</f>
        <v>0.099</v>
      </c>
    </row>
    <row r="1404" spans="1:7">
      <c r="A1404" s="3">
        <v>20</v>
      </c>
      <c r="B1404" s="3">
        <v>14</v>
      </c>
      <c r="C1404" s="3">
        <v>3</v>
      </c>
      <c r="D1404" s="3">
        <v>23</v>
      </c>
      <c r="E1404" s="3">
        <v>1</v>
      </c>
      <c r="F1404" s="4" t="str">
        <f>HYPERLINK("http://141.218.60.56/~jnz1568/getInfo.php?workbook=20_14.xlsx&amp;sheet=U0&amp;row=1404&amp;col=6&amp;number=3&amp;sourceID=14","3")</f>
        <v>3</v>
      </c>
      <c r="G1404" s="4" t="str">
        <f>HYPERLINK("http://141.218.60.56/~jnz1568/getInfo.php?workbook=20_14.xlsx&amp;sheet=U0&amp;row=1404&amp;col=7&amp;number=0.302&amp;sourceID=14","0.302")</f>
        <v>0.302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HYPERLINK("http://141.218.60.56/~jnz1568/getInfo.php?workbook=20_14.xlsx&amp;sheet=U0&amp;row=1405&amp;col=6&amp;number=3.1&amp;sourceID=14","3.1")</f>
        <v>3.1</v>
      </c>
      <c r="G1405" s="4" t="str">
        <f>HYPERLINK("http://141.218.60.56/~jnz1568/getInfo.php?workbook=20_14.xlsx&amp;sheet=U0&amp;row=1405&amp;col=7&amp;number=0.303&amp;sourceID=14","0.303")</f>
        <v>0.303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HYPERLINK("http://141.218.60.56/~jnz1568/getInfo.php?workbook=20_14.xlsx&amp;sheet=U0&amp;row=1406&amp;col=6&amp;number=3.2&amp;sourceID=14","3.2")</f>
        <v>3.2</v>
      </c>
      <c r="G1406" s="4" t="str">
        <f>HYPERLINK("http://141.218.60.56/~jnz1568/getInfo.php?workbook=20_14.xlsx&amp;sheet=U0&amp;row=1406&amp;col=7&amp;number=0.303&amp;sourceID=14","0.303")</f>
        <v>0.303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HYPERLINK("http://141.218.60.56/~jnz1568/getInfo.php?workbook=20_14.xlsx&amp;sheet=U0&amp;row=1407&amp;col=6&amp;number=3.3&amp;sourceID=14","3.3")</f>
        <v>3.3</v>
      </c>
      <c r="G1407" s="4" t="str">
        <f>HYPERLINK("http://141.218.60.56/~jnz1568/getInfo.php?workbook=20_14.xlsx&amp;sheet=U0&amp;row=1407&amp;col=7&amp;number=0.303&amp;sourceID=14","0.303")</f>
        <v>0.303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HYPERLINK("http://141.218.60.56/~jnz1568/getInfo.php?workbook=20_14.xlsx&amp;sheet=U0&amp;row=1408&amp;col=6&amp;number=3.4&amp;sourceID=14","3.4")</f>
        <v>3.4</v>
      </c>
      <c r="G1408" s="4" t="str">
        <f>HYPERLINK("http://141.218.60.56/~jnz1568/getInfo.php?workbook=20_14.xlsx&amp;sheet=U0&amp;row=1408&amp;col=7&amp;number=0.303&amp;sourceID=14","0.303")</f>
        <v>0.303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HYPERLINK("http://141.218.60.56/~jnz1568/getInfo.php?workbook=20_14.xlsx&amp;sheet=U0&amp;row=1409&amp;col=6&amp;number=3.5&amp;sourceID=14","3.5")</f>
        <v>3.5</v>
      </c>
      <c r="G1409" s="4" t="str">
        <f>HYPERLINK("http://141.218.60.56/~jnz1568/getInfo.php?workbook=20_14.xlsx&amp;sheet=U0&amp;row=1409&amp;col=7&amp;number=0.303&amp;sourceID=14","0.303")</f>
        <v>0.303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HYPERLINK("http://141.218.60.56/~jnz1568/getInfo.php?workbook=20_14.xlsx&amp;sheet=U0&amp;row=1410&amp;col=6&amp;number=3.6&amp;sourceID=14","3.6")</f>
        <v>3.6</v>
      </c>
      <c r="G1410" s="4" t="str">
        <f>HYPERLINK("http://141.218.60.56/~jnz1568/getInfo.php?workbook=20_14.xlsx&amp;sheet=U0&amp;row=1410&amp;col=7&amp;number=0.303&amp;sourceID=14","0.303")</f>
        <v>0.303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HYPERLINK("http://141.218.60.56/~jnz1568/getInfo.php?workbook=20_14.xlsx&amp;sheet=U0&amp;row=1411&amp;col=6&amp;number=3.7&amp;sourceID=14","3.7")</f>
        <v>3.7</v>
      </c>
      <c r="G1411" s="4" t="str">
        <f>HYPERLINK("http://141.218.60.56/~jnz1568/getInfo.php?workbook=20_14.xlsx&amp;sheet=U0&amp;row=1411&amp;col=7&amp;number=0.303&amp;sourceID=14","0.303")</f>
        <v>0.303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HYPERLINK("http://141.218.60.56/~jnz1568/getInfo.php?workbook=20_14.xlsx&amp;sheet=U0&amp;row=1412&amp;col=6&amp;number=3.8&amp;sourceID=14","3.8")</f>
        <v>3.8</v>
      </c>
      <c r="G1412" s="4" t="str">
        <f>HYPERLINK("http://141.218.60.56/~jnz1568/getInfo.php?workbook=20_14.xlsx&amp;sheet=U0&amp;row=1412&amp;col=7&amp;number=0.303&amp;sourceID=14","0.303")</f>
        <v>0.303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HYPERLINK("http://141.218.60.56/~jnz1568/getInfo.php?workbook=20_14.xlsx&amp;sheet=U0&amp;row=1413&amp;col=6&amp;number=3.9&amp;sourceID=14","3.9")</f>
        <v>3.9</v>
      </c>
      <c r="G1413" s="4" t="str">
        <f>HYPERLINK("http://141.218.60.56/~jnz1568/getInfo.php?workbook=20_14.xlsx&amp;sheet=U0&amp;row=1413&amp;col=7&amp;number=0.304&amp;sourceID=14","0.304")</f>
        <v>0.304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HYPERLINK("http://141.218.60.56/~jnz1568/getInfo.php?workbook=20_14.xlsx&amp;sheet=U0&amp;row=1414&amp;col=6&amp;number=4&amp;sourceID=14","4")</f>
        <v>4</v>
      </c>
      <c r="G1414" s="4" t="str">
        <f>HYPERLINK("http://141.218.60.56/~jnz1568/getInfo.php?workbook=20_14.xlsx&amp;sheet=U0&amp;row=1414&amp;col=7&amp;number=0.304&amp;sourceID=14","0.304")</f>
        <v>0.304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HYPERLINK("http://141.218.60.56/~jnz1568/getInfo.php?workbook=20_14.xlsx&amp;sheet=U0&amp;row=1415&amp;col=6&amp;number=4.1&amp;sourceID=14","4.1")</f>
        <v>4.1</v>
      </c>
      <c r="G1415" s="4" t="str">
        <f>HYPERLINK("http://141.218.60.56/~jnz1568/getInfo.php?workbook=20_14.xlsx&amp;sheet=U0&amp;row=1415&amp;col=7&amp;number=0.305&amp;sourceID=14","0.305")</f>
        <v>0.305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HYPERLINK("http://141.218.60.56/~jnz1568/getInfo.php?workbook=20_14.xlsx&amp;sheet=U0&amp;row=1416&amp;col=6&amp;number=4.2&amp;sourceID=14","4.2")</f>
        <v>4.2</v>
      </c>
      <c r="G1416" s="4" t="str">
        <f>HYPERLINK("http://141.218.60.56/~jnz1568/getInfo.php?workbook=20_14.xlsx&amp;sheet=U0&amp;row=1416&amp;col=7&amp;number=0.305&amp;sourceID=14","0.305")</f>
        <v>0.305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HYPERLINK("http://141.218.60.56/~jnz1568/getInfo.php?workbook=20_14.xlsx&amp;sheet=U0&amp;row=1417&amp;col=6&amp;number=4.3&amp;sourceID=14","4.3")</f>
        <v>4.3</v>
      </c>
      <c r="G1417" s="4" t="str">
        <f>HYPERLINK("http://141.218.60.56/~jnz1568/getInfo.php?workbook=20_14.xlsx&amp;sheet=U0&amp;row=1417&amp;col=7&amp;number=0.306&amp;sourceID=14","0.306")</f>
        <v>0.306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HYPERLINK("http://141.218.60.56/~jnz1568/getInfo.php?workbook=20_14.xlsx&amp;sheet=U0&amp;row=1418&amp;col=6&amp;number=4.4&amp;sourceID=14","4.4")</f>
        <v>4.4</v>
      </c>
      <c r="G1418" s="4" t="str">
        <f>HYPERLINK("http://141.218.60.56/~jnz1568/getInfo.php?workbook=20_14.xlsx&amp;sheet=U0&amp;row=1418&amp;col=7&amp;number=0.307&amp;sourceID=14","0.307")</f>
        <v>0.307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HYPERLINK("http://141.218.60.56/~jnz1568/getInfo.php?workbook=20_14.xlsx&amp;sheet=U0&amp;row=1419&amp;col=6&amp;number=4.5&amp;sourceID=14","4.5")</f>
        <v>4.5</v>
      </c>
      <c r="G1419" s="4" t="str">
        <f>HYPERLINK("http://141.218.60.56/~jnz1568/getInfo.php?workbook=20_14.xlsx&amp;sheet=U0&amp;row=1419&amp;col=7&amp;number=0.308&amp;sourceID=14","0.308")</f>
        <v>0.308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HYPERLINK("http://141.218.60.56/~jnz1568/getInfo.php?workbook=20_14.xlsx&amp;sheet=U0&amp;row=1420&amp;col=6&amp;number=4.6&amp;sourceID=14","4.6")</f>
        <v>4.6</v>
      </c>
      <c r="G1420" s="4" t="str">
        <f>HYPERLINK("http://141.218.60.56/~jnz1568/getInfo.php?workbook=20_14.xlsx&amp;sheet=U0&amp;row=1420&amp;col=7&amp;number=0.309&amp;sourceID=14","0.309")</f>
        <v>0.309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HYPERLINK("http://141.218.60.56/~jnz1568/getInfo.php?workbook=20_14.xlsx&amp;sheet=U0&amp;row=1421&amp;col=6&amp;number=4.7&amp;sourceID=14","4.7")</f>
        <v>4.7</v>
      </c>
      <c r="G1421" s="4" t="str">
        <f>HYPERLINK("http://141.218.60.56/~jnz1568/getInfo.php?workbook=20_14.xlsx&amp;sheet=U0&amp;row=1421&amp;col=7&amp;number=0.311&amp;sourceID=14","0.311")</f>
        <v>0.311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HYPERLINK("http://141.218.60.56/~jnz1568/getInfo.php?workbook=20_14.xlsx&amp;sheet=U0&amp;row=1422&amp;col=6&amp;number=4.8&amp;sourceID=14","4.8")</f>
        <v>4.8</v>
      </c>
      <c r="G1422" s="4" t="str">
        <f>HYPERLINK("http://141.218.60.56/~jnz1568/getInfo.php?workbook=20_14.xlsx&amp;sheet=U0&amp;row=1422&amp;col=7&amp;number=0.313&amp;sourceID=14","0.313")</f>
        <v>0.313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HYPERLINK("http://141.218.60.56/~jnz1568/getInfo.php?workbook=20_14.xlsx&amp;sheet=U0&amp;row=1423&amp;col=6&amp;number=4.9&amp;sourceID=14","4.9")</f>
        <v>4.9</v>
      </c>
      <c r="G1423" s="4" t="str">
        <f>HYPERLINK("http://141.218.60.56/~jnz1568/getInfo.php?workbook=20_14.xlsx&amp;sheet=U0&amp;row=1423&amp;col=7&amp;number=0.316&amp;sourceID=14","0.316")</f>
        <v>0.316</v>
      </c>
    </row>
    <row r="1424" spans="1:7">
      <c r="A1424" s="3">
        <v>20</v>
      </c>
      <c r="B1424" s="3">
        <v>14</v>
      </c>
      <c r="C1424" s="3">
        <v>3</v>
      </c>
      <c r="D1424" s="3">
        <v>24</v>
      </c>
      <c r="E1424" s="3">
        <v>1</v>
      </c>
      <c r="F1424" s="4" t="str">
        <f>HYPERLINK("http://141.218.60.56/~jnz1568/getInfo.php?workbook=20_14.xlsx&amp;sheet=U0&amp;row=1424&amp;col=6&amp;number=3&amp;sourceID=14","3")</f>
        <v>3</v>
      </c>
      <c r="G1424" s="4" t="str">
        <f>HYPERLINK("http://141.218.60.56/~jnz1568/getInfo.php?workbook=20_14.xlsx&amp;sheet=U0&amp;row=1424&amp;col=7&amp;number=2.64&amp;sourceID=14","2.64")</f>
        <v>2.64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HYPERLINK("http://141.218.60.56/~jnz1568/getInfo.php?workbook=20_14.xlsx&amp;sheet=U0&amp;row=1425&amp;col=6&amp;number=3.1&amp;sourceID=14","3.1")</f>
        <v>3.1</v>
      </c>
      <c r="G1425" s="4" t="str">
        <f>HYPERLINK("http://141.218.60.56/~jnz1568/getInfo.php?workbook=20_14.xlsx&amp;sheet=U0&amp;row=1425&amp;col=7&amp;number=2.64&amp;sourceID=14","2.64")</f>
        <v>2.64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HYPERLINK("http://141.218.60.56/~jnz1568/getInfo.php?workbook=20_14.xlsx&amp;sheet=U0&amp;row=1426&amp;col=6&amp;number=3.2&amp;sourceID=14","3.2")</f>
        <v>3.2</v>
      </c>
      <c r="G1426" s="4" t="str">
        <f>HYPERLINK("http://141.218.60.56/~jnz1568/getInfo.php?workbook=20_14.xlsx&amp;sheet=U0&amp;row=1426&amp;col=7&amp;number=2.64&amp;sourceID=14","2.64")</f>
        <v>2.64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HYPERLINK("http://141.218.60.56/~jnz1568/getInfo.php?workbook=20_14.xlsx&amp;sheet=U0&amp;row=1427&amp;col=6&amp;number=3.3&amp;sourceID=14","3.3")</f>
        <v>3.3</v>
      </c>
      <c r="G1427" s="4" t="str">
        <f>HYPERLINK("http://141.218.60.56/~jnz1568/getInfo.php?workbook=20_14.xlsx&amp;sheet=U0&amp;row=1427&amp;col=7&amp;number=2.64&amp;sourceID=14","2.64")</f>
        <v>2.64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HYPERLINK("http://141.218.60.56/~jnz1568/getInfo.php?workbook=20_14.xlsx&amp;sheet=U0&amp;row=1428&amp;col=6&amp;number=3.4&amp;sourceID=14","3.4")</f>
        <v>3.4</v>
      </c>
      <c r="G1428" s="4" t="str">
        <f>HYPERLINK("http://141.218.60.56/~jnz1568/getInfo.php?workbook=20_14.xlsx&amp;sheet=U0&amp;row=1428&amp;col=7&amp;number=2.64&amp;sourceID=14","2.64")</f>
        <v>2.64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HYPERLINK("http://141.218.60.56/~jnz1568/getInfo.php?workbook=20_14.xlsx&amp;sheet=U0&amp;row=1429&amp;col=6&amp;number=3.5&amp;sourceID=14","3.5")</f>
        <v>3.5</v>
      </c>
      <c r="G1429" s="4" t="str">
        <f>HYPERLINK("http://141.218.60.56/~jnz1568/getInfo.php?workbook=20_14.xlsx&amp;sheet=U0&amp;row=1429&amp;col=7&amp;number=2.64&amp;sourceID=14","2.64")</f>
        <v>2.64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HYPERLINK("http://141.218.60.56/~jnz1568/getInfo.php?workbook=20_14.xlsx&amp;sheet=U0&amp;row=1430&amp;col=6&amp;number=3.6&amp;sourceID=14","3.6")</f>
        <v>3.6</v>
      </c>
      <c r="G1430" s="4" t="str">
        <f>HYPERLINK("http://141.218.60.56/~jnz1568/getInfo.php?workbook=20_14.xlsx&amp;sheet=U0&amp;row=1430&amp;col=7&amp;number=2.64&amp;sourceID=14","2.64")</f>
        <v>2.64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HYPERLINK("http://141.218.60.56/~jnz1568/getInfo.php?workbook=20_14.xlsx&amp;sheet=U0&amp;row=1431&amp;col=6&amp;number=3.7&amp;sourceID=14","3.7")</f>
        <v>3.7</v>
      </c>
      <c r="G1431" s="4" t="str">
        <f>HYPERLINK("http://141.218.60.56/~jnz1568/getInfo.php?workbook=20_14.xlsx&amp;sheet=U0&amp;row=1431&amp;col=7&amp;number=2.65&amp;sourceID=14","2.65")</f>
        <v>2.65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HYPERLINK("http://141.218.60.56/~jnz1568/getInfo.php?workbook=20_14.xlsx&amp;sheet=U0&amp;row=1432&amp;col=6&amp;number=3.8&amp;sourceID=14","3.8")</f>
        <v>3.8</v>
      </c>
      <c r="G1432" s="4" t="str">
        <f>HYPERLINK("http://141.218.60.56/~jnz1568/getInfo.php?workbook=20_14.xlsx&amp;sheet=U0&amp;row=1432&amp;col=7&amp;number=2.65&amp;sourceID=14","2.65")</f>
        <v>2.65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HYPERLINK("http://141.218.60.56/~jnz1568/getInfo.php?workbook=20_14.xlsx&amp;sheet=U0&amp;row=1433&amp;col=6&amp;number=3.9&amp;sourceID=14","3.9")</f>
        <v>3.9</v>
      </c>
      <c r="G1433" s="4" t="str">
        <f>HYPERLINK("http://141.218.60.56/~jnz1568/getInfo.php?workbook=20_14.xlsx&amp;sheet=U0&amp;row=1433&amp;col=7&amp;number=2.65&amp;sourceID=14","2.65")</f>
        <v>2.65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HYPERLINK("http://141.218.60.56/~jnz1568/getInfo.php?workbook=20_14.xlsx&amp;sheet=U0&amp;row=1434&amp;col=6&amp;number=4&amp;sourceID=14","4")</f>
        <v>4</v>
      </c>
      <c r="G1434" s="4" t="str">
        <f>HYPERLINK("http://141.218.60.56/~jnz1568/getInfo.php?workbook=20_14.xlsx&amp;sheet=U0&amp;row=1434&amp;col=7&amp;number=2.66&amp;sourceID=14","2.66")</f>
        <v>2.66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HYPERLINK("http://141.218.60.56/~jnz1568/getInfo.php?workbook=20_14.xlsx&amp;sheet=U0&amp;row=1435&amp;col=6&amp;number=4.1&amp;sourceID=14","4.1")</f>
        <v>4.1</v>
      </c>
      <c r="G1435" s="4" t="str">
        <f>HYPERLINK("http://141.218.60.56/~jnz1568/getInfo.php?workbook=20_14.xlsx&amp;sheet=U0&amp;row=1435&amp;col=7&amp;number=2.66&amp;sourceID=14","2.66")</f>
        <v>2.66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HYPERLINK("http://141.218.60.56/~jnz1568/getInfo.php?workbook=20_14.xlsx&amp;sheet=U0&amp;row=1436&amp;col=6&amp;number=4.2&amp;sourceID=14","4.2")</f>
        <v>4.2</v>
      </c>
      <c r="G1436" s="4" t="str">
        <f>HYPERLINK("http://141.218.60.56/~jnz1568/getInfo.php?workbook=20_14.xlsx&amp;sheet=U0&amp;row=1436&amp;col=7&amp;number=2.67&amp;sourceID=14","2.67")</f>
        <v>2.67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HYPERLINK("http://141.218.60.56/~jnz1568/getInfo.php?workbook=20_14.xlsx&amp;sheet=U0&amp;row=1437&amp;col=6&amp;number=4.3&amp;sourceID=14","4.3")</f>
        <v>4.3</v>
      </c>
      <c r="G1437" s="4" t="str">
        <f>HYPERLINK("http://141.218.60.56/~jnz1568/getInfo.php?workbook=20_14.xlsx&amp;sheet=U0&amp;row=1437&amp;col=7&amp;number=2.67&amp;sourceID=14","2.67")</f>
        <v>2.67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HYPERLINK("http://141.218.60.56/~jnz1568/getInfo.php?workbook=20_14.xlsx&amp;sheet=U0&amp;row=1438&amp;col=6&amp;number=4.4&amp;sourceID=14","4.4")</f>
        <v>4.4</v>
      </c>
      <c r="G1438" s="4" t="str">
        <f>HYPERLINK("http://141.218.60.56/~jnz1568/getInfo.php?workbook=20_14.xlsx&amp;sheet=U0&amp;row=1438&amp;col=7&amp;number=2.68&amp;sourceID=14","2.68")</f>
        <v>2.68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HYPERLINK("http://141.218.60.56/~jnz1568/getInfo.php?workbook=20_14.xlsx&amp;sheet=U0&amp;row=1439&amp;col=6&amp;number=4.5&amp;sourceID=14","4.5")</f>
        <v>4.5</v>
      </c>
      <c r="G1439" s="4" t="str">
        <f>HYPERLINK("http://141.218.60.56/~jnz1568/getInfo.php?workbook=20_14.xlsx&amp;sheet=U0&amp;row=1439&amp;col=7&amp;number=2.7&amp;sourceID=14","2.7")</f>
        <v>2.7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HYPERLINK("http://141.218.60.56/~jnz1568/getInfo.php?workbook=20_14.xlsx&amp;sheet=U0&amp;row=1440&amp;col=6&amp;number=4.6&amp;sourceID=14","4.6")</f>
        <v>4.6</v>
      </c>
      <c r="G1440" s="4" t="str">
        <f>HYPERLINK("http://141.218.60.56/~jnz1568/getInfo.php?workbook=20_14.xlsx&amp;sheet=U0&amp;row=1440&amp;col=7&amp;number=2.71&amp;sourceID=14","2.71")</f>
        <v>2.71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HYPERLINK("http://141.218.60.56/~jnz1568/getInfo.php?workbook=20_14.xlsx&amp;sheet=U0&amp;row=1441&amp;col=6&amp;number=4.7&amp;sourceID=14","4.7")</f>
        <v>4.7</v>
      </c>
      <c r="G1441" s="4" t="str">
        <f>HYPERLINK("http://141.218.60.56/~jnz1568/getInfo.php?workbook=20_14.xlsx&amp;sheet=U0&amp;row=1441&amp;col=7&amp;number=2.73&amp;sourceID=14","2.73")</f>
        <v>2.73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HYPERLINK("http://141.218.60.56/~jnz1568/getInfo.php?workbook=20_14.xlsx&amp;sheet=U0&amp;row=1442&amp;col=6&amp;number=4.8&amp;sourceID=14","4.8")</f>
        <v>4.8</v>
      </c>
      <c r="G1442" s="4" t="str">
        <f>HYPERLINK("http://141.218.60.56/~jnz1568/getInfo.php?workbook=20_14.xlsx&amp;sheet=U0&amp;row=1442&amp;col=7&amp;number=2.76&amp;sourceID=14","2.76")</f>
        <v>2.76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HYPERLINK("http://141.218.60.56/~jnz1568/getInfo.php?workbook=20_14.xlsx&amp;sheet=U0&amp;row=1443&amp;col=6&amp;number=4.9&amp;sourceID=14","4.9")</f>
        <v>4.9</v>
      </c>
      <c r="G1443" s="4" t="str">
        <f>HYPERLINK("http://141.218.60.56/~jnz1568/getInfo.php?workbook=20_14.xlsx&amp;sheet=U0&amp;row=1443&amp;col=7&amp;number=2.79&amp;sourceID=14","2.79")</f>
        <v>2.79</v>
      </c>
    </row>
    <row r="1444" spans="1:7">
      <c r="A1444" s="3">
        <v>20</v>
      </c>
      <c r="B1444" s="3">
        <v>14</v>
      </c>
      <c r="C1444" s="3">
        <v>3</v>
      </c>
      <c r="D1444" s="3">
        <v>25</v>
      </c>
      <c r="E1444" s="3">
        <v>1</v>
      </c>
      <c r="F1444" s="4" t="str">
        <f>HYPERLINK("http://141.218.60.56/~jnz1568/getInfo.php?workbook=20_14.xlsx&amp;sheet=U0&amp;row=1444&amp;col=6&amp;number=3&amp;sourceID=14","3")</f>
        <v>3</v>
      </c>
      <c r="G1444" s="4" t="str">
        <f>HYPERLINK("http://141.218.60.56/~jnz1568/getInfo.php?workbook=20_14.xlsx&amp;sheet=U0&amp;row=1444&amp;col=7&amp;number=10.4&amp;sourceID=14","10.4")</f>
        <v>10.4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HYPERLINK("http://141.218.60.56/~jnz1568/getInfo.php?workbook=20_14.xlsx&amp;sheet=U0&amp;row=1445&amp;col=6&amp;number=3.1&amp;sourceID=14","3.1")</f>
        <v>3.1</v>
      </c>
      <c r="G1445" s="4" t="str">
        <f>HYPERLINK("http://141.218.60.56/~jnz1568/getInfo.php?workbook=20_14.xlsx&amp;sheet=U0&amp;row=1445&amp;col=7&amp;number=10.4&amp;sourceID=14","10.4")</f>
        <v>10.4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HYPERLINK("http://141.218.60.56/~jnz1568/getInfo.php?workbook=20_14.xlsx&amp;sheet=U0&amp;row=1446&amp;col=6&amp;number=3.2&amp;sourceID=14","3.2")</f>
        <v>3.2</v>
      </c>
      <c r="G1446" s="4" t="str">
        <f>HYPERLINK("http://141.218.60.56/~jnz1568/getInfo.php?workbook=20_14.xlsx&amp;sheet=U0&amp;row=1446&amp;col=7&amp;number=10.4&amp;sourceID=14","10.4")</f>
        <v>10.4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HYPERLINK("http://141.218.60.56/~jnz1568/getInfo.php?workbook=20_14.xlsx&amp;sheet=U0&amp;row=1447&amp;col=6&amp;number=3.3&amp;sourceID=14","3.3")</f>
        <v>3.3</v>
      </c>
      <c r="G1447" s="4" t="str">
        <f>HYPERLINK("http://141.218.60.56/~jnz1568/getInfo.php?workbook=20_14.xlsx&amp;sheet=U0&amp;row=1447&amp;col=7&amp;number=10.4&amp;sourceID=14","10.4")</f>
        <v>10.4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HYPERLINK("http://141.218.60.56/~jnz1568/getInfo.php?workbook=20_14.xlsx&amp;sheet=U0&amp;row=1448&amp;col=6&amp;number=3.4&amp;sourceID=14","3.4")</f>
        <v>3.4</v>
      </c>
      <c r="G1448" s="4" t="str">
        <f>HYPERLINK("http://141.218.60.56/~jnz1568/getInfo.php?workbook=20_14.xlsx&amp;sheet=U0&amp;row=1448&amp;col=7&amp;number=10.4&amp;sourceID=14","10.4")</f>
        <v>10.4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HYPERLINK("http://141.218.60.56/~jnz1568/getInfo.php?workbook=20_14.xlsx&amp;sheet=U0&amp;row=1449&amp;col=6&amp;number=3.5&amp;sourceID=14","3.5")</f>
        <v>3.5</v>
      </c>
      <c r="G1449" s="4" t="str">
        <f>HYPERLINK("http://141.218.60.56/~jnz1568/getInfo.php?workbook=20_14.xlsx&amp;sheet=U0&amp;row=1449&amp;col=7&amp;number=10.4&amp;sourceID=14","10.4")</f>
        <v>10.4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HYPERLINK("http://141.218.60.56/~jnz1568/getInfo.php?workbook=20_14.xlsx&amp;sheet=U0&amp;row=1450&amp;col=6&amp;number=3.6&amp;sourceID=14","3.6")</f>
        <v>3.6</v>
      </c>
      <c r="G1450" s="4" t="str">
        <f>HYPERLINK("http://141.218.60.56/~jnz1568/getInfo.php?workbook=20_14.xlsx&amp;sheet=U0&amp;row=1450&amp;col=7&amp;number=10.4&amp;sourceID=14","10.4")</f>
        <v>10.4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HYPERLINK("http://141.218.60.56/~jnz1568/getInfo.php?workbook=20_14.xlsx&amp;sheet=U0&amp;row=1451&amp;col=6&amp;number=3.7&amp;sourceID=14","3.7")</f>
        <v>3.7</v>
      </c>
      <c r="G1451" s="4" t="str">
        <f>HYPERLINK("http://141.218.60.56/~jnz1568/getInfo.php?workbook=20_14.xlsx&amp;sheet=U0&amp;row=1451&amp;col=7&amp;number=10.4&amp;sourceID=14","10.4")</f>
        <v>10.4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HYPERLINK("http://141.218.60.56/~jnz1568/getInfo.php?workbook=20_14.xlsx&amp;sheet=U0&amp;row=1452&amp;col=6&amp;number=3.8&amp;sourceID=14","3.8")</f>
        <v>3.8</v>
      </c>
      <c r="G1452" s="4" t="str">
        <f>HYPERLINK("http://141.218.60.56/~jnz1568/getInfo.php?workbook=20_14.xlsx&amp;sheet=U0&amp;row=1452&amp;col=7&amp;number=10.4&amp;sourceID=14","10.4")</f>
        <v>10.4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HYPERLINK("http://141.218.60.56/~jnz1568/getInfo.php?workbook=20_14.xlsx&amp;sheet=U0&amp;row=1453&amp;col=6&amp;number=3.9&amp;sourceID=14","3.9")</f>
        <v>3.9</v>
      </c>
      <c r="G1453" s="4" t="str">
        <f>HYPERLINK("http://141.218.60.56/~jnz1568/getInfo.php?workbook=20_14.xlsx&amp;sheet=U0&amp;row=1453&amp;col=7&amp;number=10.4&amp;sourceID=14","10.4")</f>
        <v>10.4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HYPERLINK("http://141.218.60.56/~jnz1568/getInfo.php?workbook=20_14.xlsx&amp;sheet=U0&amp;row=1454&amp;col=6&amp;number=4&amp;sourceID=14","4")</f>
        <v>4</v>
      </c>
      <c r="G1454" s="4" t="str">
        <f>HYPERLINK("http://141.218.60.56/~jnz1568/getInfo.php?workbook=20_14.xlsx&amp;sheet=U0&amp;row=1454&amp;col=7&amp;number=10.4&amp;sourceID=14","10.4")</f>
        <v>10.4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HYPERLINK("http://141.218.60.56/~jnz1568/getInfo.php?workbook=20_14.xlsx&amp;sheet=U0&amp;row=1455&amp;col=6&amp;number=4.1&amp;sourceID=14","4.1")</f>
        <v>4.1</v>
      </c>
      <c r="G1455" s="4" t="str">
        <f>HYPERLINK("http://141.218.60.56/~jnz1568/getInfo.php?workbook=20_14.xlsx&amp;sheet=U0&amp;row=1455&amp;col=7&amp;number=10.5&amp;sourceID=14","10.5")</f>
        <v>10.5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HYPERLINK("http://141.218.60.56/~jnz1568/getInfo.php?workbook=20_14.xlsx&amp;sheet=U0&amp;row=1456&amp;col=6&amp;number=4.2&amp;sourceID=14","4.2")</f>
        <v>4.2</v>
      </c>
      <c r="G1456" s="4" t="str">
        <f>HYPERLINK("http://141.218.60.56/~jnz1568/getInfo.php?workbook=20_14.xlsx&amp;sheet=U0&amp;row=1456&amp;col=7&amp;number=10.5&amp;sourceID=14","10.5")</f>
        <v>10.5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HYPERLINK("http://141.218.60.56/~jnz1568/getInfo.php?workbook=20_14.xlsx&amp;sheet=U0&amp;row=1457&amp;col=6&amp;number=4.3&amp;sourceID=14","4.3")</f>
        <v>4.3</v>
      </c>
      <c r="G1457" s="4" t="str">
        <f>HYPERLINK("http://141.218.60.56/~jnz1568/getInfo.php?workbook=20_14.xlsx&amp;sheet=U0&amp;row=1457&amp;col=7&amp;number=10.5&amp;sourceID=14","10.5")</f>
        <v>10.5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HYPERLINK("http://141.218.60.56/~jnz1568/getInfo.php?workbook=20_14.xlsx&amp;sheet=U0&amp;row=1458&amp;col=6&amp;number=4.4&amp;sourceID=14","4.4")</f>
        <v>4.4</v>
      </c>
      <c r="G1458" s="4" t="str">
        <f>HYPERLINK("http://141.218.60.56/~jnz1568/getInfo.php?workbook=20_14.xlsx&amp;sheet=U0&amp;row=1458&amp;col=7&amp;number=10.6&amp;sourceID=14","10.6")</f>
        <v>10.6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HYPERLINK("http://141.218.60.56/~jnz1568/getInfo.php?workbook=20_14.xlsx&amp;sheet=U0&amp;row=1459&amp;col=6&amp;number=4.5&amp;sourceID=14","4.5")</f>
        <v>4.5</v>
      </c>
      <c r="G1459" s="4" t="str">
        <f>HYPERLINK("http://141.218.60.56/~jnz1568/getInfo.php?workbook=20_14.xlsx&amp;sheet=U0&amp;row=1459&amp;col=7&amp;number=10.6&amp;sourceID=14","10.6")</f>
        <v>10.6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HYPERLINK("http://141.218.60.56/~jnz1568/getInfo.php?workbook=20_14.xlsx&amp;sheet=U0&amp;row=1460&amp;col=6&amp;number=4.6&amp;sourceID=14","4.6")</f>
        <v>4.6</v>
      </c>
      <c r="G1460" s="4" t="str">
        <f>HYPERLINK("http://141.218.60.56/~jnz1568/getInfo.php?workbook=20_14.xlsx&amp;sheet=U0&amp;row=1460&amp;col=7&amp;number=10.7&amp;sourceID=14","10.7")</f>
        <v>10.7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HYPERLINK("http://141.218.60.56/~jnz1568/getInfo.php?workbook=20_14.xlsx&amp;sheet=U0&amp;row=1461&amp;col=6&amp;number=4.7&amp;sourceID=14","4.7")</f>
        <v>4.7</v>
      </c>
      <c r="G1461" s="4" t="str">
        <f>HYPERLINK("http://141.218.60.56/~jnz1568/getInfo.php?workbook=20_14.xlsx&amp;sheet=U0&amp;row=1461&amp;col=7&amp;number=10.8&amp;sourceID=14","10.8")</f>
        <v>10.8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HYPERLINK("http://141.218.60.56/~jnz1568/getInfo.php?workbook=20_14.xlsx&amp;sheet=U0&amp;row=1462&amp;col=6&amp;number=4.8&amp;sourceID=14","4.8")</f>
        <v>4.8</v>
      </c>
      <c r="G1462" s="4" t="str">
        <f>HYPERLINK("http://141.218.60.56/~jnz1568/getInfo.php?workbook=20_14.xlsx&amp;sheet=U0&amp;row=1462&amp;col=7&amp;number=10.9&amp;sourceID=14","10.9")</f>
        <v>10.9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HYPERLINK("http://141.218.60.56/~jnz1568/getInfo.php?workbook=20_14.xlsx&amp;sheet=U0&amp;row=1463&amp;col=6&amp;number=4.9&amp;sourceID=14","4.9")</f>
        <v>4.9</v>
      </c>
      <c r="G1463" s="4" t="str">
        <f>HYPERLINK("http://141.218.60.56/~jnz1568/getInfo.php?workbook=20_14.xlsx&amp;sheet=U0&amp;row=1463&amp;col=7&amp;number=11&amp;sourceID=14","11")</f>
        <v>11</v>
      </c>
    </row>
    <row r="1464" spans="1:7">
      <c r="A1464" s="3">
        <v>20</v>
      </c>
      <c r="B1464" s="3">
        <v>14</v>
      </c>
      <c r="C1464" s="3">
        <v>3</v>
      </c>
      <c r="D1464" s="3">
        <v>26</v>
      </c>
      <c r="E1464" s="3">
        <v>1</v>
      </c>
      <c r="F1464" s="4" t="str">
        <f>HYPERLINK("http://141.218.60.56/~jnz1568/getInfo.php?workbook=20_14.xlsx&amp;sheet=U0&amp;row=1464&amp;col=6&amp;number=3&amp;sourceID=14","3")</f>
        <v>3</v>
      </c>
      <c r="G1464" s="4" t="str">
        <f>HYPERLINK("http://141.218.60.56/~jnz1568/getInfo.php?workbook=20_14.xlsx&amp;sheet=U0&amp;row=1464&amp;col=7&amp;number=0.132&amp;sourceID=14","0.132")</f>
        <v>0.132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HYPERLINK("http://141.218.60.56/~jnz1568/getInfo.php?workbook=20_14.xlsx&amp;sheet=U0&amp;row=1465&amp;col=6&amp;number=3.1&amp;sourceID=14","3.1")</f>
        <v>3.1</v>
      </c>
      <c r="G1465" s="4" t="str">
        <f>HYPERLINK("http://141.218.60.56/~jnz1568/getInfo.php?workbook=20_14.xlsx&amp;sheet=U0&amp;row=1465&amp;col=7&amp;number=0.132&amp;sourceID=14","0.132")</f>
        <v>0.132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HYPERLINK("http://141.218.60.56/~jnz1568/getInfo.php?workbook=20_14.xlsx&amp;sheet=U0&amp;row=1466&amp;col=6&amp;number=3.2&amp;sourceID=14","3.2")</f>
        <v>3.2</v>
      </c>
      <c r="G1466" s="4" t="str">
        <f>HYPERLINK("http://141.218.60.56/~jnz1568/getInfo.php?workbook=20_14.xlsx&amp;sheet=U0&amp;row=1466&amp;col=7&amp;number=0.132&amp;sourceID=14","0.132")</f>
        <v>0.132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HYPERLINK("http://141.218.60.56/~jnz1568/getInfo.php?workbook=20_14.xlsx&amp;sheet=U0&amp;row=1467&amp;col=6&amp;number=3.3&amp;sourceID=14","3.3")</f>
        <v>3.3</v>
      </c>
      <c r="G1467" s="4" t="str">
        <f>HYPERLINK("http://141.218.60.56/~jnz1568/getInfo.php?workbook=20_14.xlsx&amp;sheet=U0&amp;row=1467&amp;col=7&amp;number=0.132&amp;sourceID=14","0.132")</f>
        <v>0.132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HYPERLINK("http://141.218.60.56/~jnz1568/getInfo.php?workbook=20_14.xlsx&amp;sheet=U0&amp;row=1468&amp;col=6&amp;number=3.4&amp;sourceID=14","3.4")</f>
        <v>3.4</v>
      </c>
      <c r="G1468" s="4" t="str">
        <f>HYPERLINK("http://141.218.60.56/~jnz1568/getInfo.php?workbook=20_14.xlsx&amp;sheet=U0&amp;row=1468&amp;col=7&amp;number=0.132&amp;sourceID=14","0.132")</f>
        <v>0.132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HYPERLINK("http://141.218.60.56/~jnz1568/getInfo.php?workbook=20_14.xlsx&amp;sheet=U0&amp;row=1469&amp;col=6&amp;number=3.5&amp;sourceID=14","3.5")</f>
        <v>3.5</v>
      </c>
      <c r="G1469" s="4" t="str">
        <f>HYPERLINK("http://141.218.60.56/~jnz1568/getInfo.php?workbook=20_14.xlsx&amp;sheet=U0&amp;row=1469&amp;col=7&amp;number=0.132&amp;sourceID=14","0.132")</f>
        <v>0.132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HYPERLINK("http://141.218.60.56/~jnz1568/getInfo.php?workbook=20_14.xlsx&amp;sheet=U0&amp;row=1470&amp;col=6&amp;number=3.6&amp;sourceID=14","3.6")</f>
        <v>3.6</v>
      </c>
      <c r="G1470" s="4" t="str">
        <f>HYPERLINK("http://141.218.60.56/~jnz1568/getInfo.php?workbook=20_14.xlsx&amp;sheet=U0&amp;row=1470&amp;col=7&amp;number=0.132&amp;sourceID=14","0.132")</f>
        <v>0.132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HYPERLINK("http://141.218.60.56/~jnz1568/getInfo.php?workbook=20_14.xlsx&amp;sheet=U0&amp;row=1471&amp;col=6&amp;number=3.7&amp;sourceID=14","3.7")</f>
        <v>3.7</v>
      </c>
      <c r="G1471" s="4" t="str">
        <f>HYPERLINK("http://141.218.60.56/~jnz1568/getInfo.php?workbook=20_14.xlsx&amp;sheet=U0&amp;row=1471&amp;col=7&amp;number=0.132&amp;sourceID=14","0.132")</f>
        <v>0.132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HYPERLINK("http://141.218.60.56/~jnz1568/getInfo.php?workbook=20_14.xlsx&amp;sheet=U0&amp;row=1472&amp;col=6&amp;number=3.8&amp;sourceID=14","3.8")</f>
        <v>3.8</v>
      </c>
      <c r="G1472" s="4" t="str">
        <f>HYPERLINK("http://141.218.60.56/~jnz1568/getInfo.php?workbook=20_14.xlsx&amp;sheet=U0&amp;row=1472&amp;col=7&amp;number=0.132&amp;sourceID=14","0.132")</f>
        <v>0.132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HYPERLINK("http://141.218.60.56/~jnz1568/getInfo.php?workbook=20_14.xlsx&amp;sheet=U0&amp;row=1473&amp;col=6&amp;number=3.9&amp;sourceID=14","3.9")</f>
        <v>3.9</v>
      </c>
      <c r="G1473" s="4" t="str">
        <f>HYPERLINK("http://141.218.60.56/~jnz1568/getInfo.php?workbook=20_14.xlsx&amp;sheet=U0&amp;row=1473&amp;col=7&amp;number=0.132&amp;sourceID=14","0.132")</f>
        <v>0.132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HYPERLINK("http://141.218.60.56/~jnz1568/getInfo.php?workbook=20_14.xlsx&amp;sheet=U0&amp;row=1474&amp;col=6&amp;number=4&amp;sourceID=14","4")</f>
        <v>4</v>
      </c>
      <c r="G1474" s="4" t="str">
        <f>HYPERLINK("http://141.218.60.56/~jnz1568/getInfo.php?workbook=20_14.xlsx&amp;sheet=U0&amp;row=1474&amp;col=7&amp;number=0.132&amp;sourceID=14","0.132")</f>
        <v>0.132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HYPERLINK("http://141.218.60.56/~jnz1568/getInfo.php?workbook=20_14.xlsx&amp;sheet=U0&amp;row=1475&amp;col=6&amp;number=4.1&amp;sourceID=14","4.1")</f>
        <v>4.1</v>
      </c>
      <c r="G1475" s="4" t="str">
        <f>HYPERLINK("http://141.218.60.56/~jnz1568/getInfo.php?workbook=20_14.xlsx&amp;sheet=U0&amp;row=1475&amp;col=7&amp;number=0.132&amp;sourceID=14","0.132")</f>
        <v>0.132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HYPERLINK("http://141.218.60.56/~jnz1568/getInfo.php?workbook=20_14.xlsx&amp;sheet=U0&amp;row=1476&amp;col=6&amp;number=4.2&amp;sourceID=14","4.2")</f>
        <v>4.2</v>
      </c>
      <c r="G1476" s="4" t="str">
        <f>HYPERLINK("http://141.218.60.56/~jnz1568/getInfo.php?workbook=20_14.xlsx&amp;sheet=U0&amp;row=1476&amp;col=7&amp;number=0.132&amp;sourceID=14","0.132")</f>
        <v>0.132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HYPERLINK("http://141.218.60.56/~jnz1568/getInfo.php?workbook=20_14.xlsx&amp;sheet=U0&amp;row=1477&amp;col=6&amp;number=4.3&amp;sourceID=14","4.3")</f>
        <v>4.3</v>
      </c>
      <c r="G1477" s="4" t="str">
        <f>HYPERLINK("http://141.218.60.56/~jnz1568/getInfo.php?workbook=20_14.xlsx&amp;sheet=U0&amp;row=1477&amp;col=7&amp;number=0.131&amp;sourceID=14","0.131")</f>
        <v>0.131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HYPERLINK("http://141.218.60.56/~jnz1568/getInfo.php?workbook=20_14.xlsx&amp;sheet=U0&amp;row=1478&amp;col=6&amp;number=4.4&amp;sourceID=14","4.4")</f>
        <v>4.4</v>
      </c>
      <c r="G1478" s="4" t="str">
        <f>HYPERLINK("http://141.218.60.56/~jnz1568/getInfo.php?workbook=20_14.xlsx&amp;sheet=U0&amp;row=1478&amp;col=7&amp;number=0.131&amp;sourceID=14","0.131")</f>
        <v>0.131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HYPERLINK("http://141.218.60.56/~jnz1568/getInfo.php?workbook=20_14.xlsx&amp;sheet=U0&amp;row=1479&amp;col=6&amp;number=4.5&amp;sourceID=14","4.5")</f>
        <v>4.5</v>
      </c>
      <c r="G1479" s="4" t="str">
        <f>HYPERLINK("http://141.218.60.56/~jnz1568/getInfo.php?workbook=20_14.xlsx&amp;sheet=U0&amp;row=1479&amp;col=7&amp;number=0.131&amp;sourceID=14","0.131")</f>
        <v>0.131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HYPERLINK("http://141.218.60.56/~jnz1568/getInfo.php?workbook=20_14.xlsx&amp;sheet=U0&amp;row=1480&amp;col=6&amp;number=4.6&amp;sourceID=14","4.6")</f>
        <v>4.6</v>
      </c>
      <c r="G1480" s="4" t="str">
        <f>HYPERLINK("http://141.218.60.56/~jnz1568/getInfo.php?workbook=20_14.xlsx&amp;sheet=U0&amp;row=1480&amp;col=7&amp;number=0.131&amp;sourceID=14","0.131")</f>
        <v>0.131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HYPERLINK("http://141.218.60.56/~jnz1568/getInfo.php?workbook=20_14.xlsx&amp;sheet=U0&amp;row=1481&amp;col=6&amp;number=4.7&amp;sourceID=14","4.7")</f>
        <v>4.7</v>
      </c>
      <c r="G1481" s="4" t="str">
        <f>HYPERLINK("http://141.218.60.56/~jnz1568/getInfo.php?workbook=20_14.xlsx&amp;sheet=U0&amp;row=1481&amp;col=7&amp;number=0.13&amp;sourceID=14","0.13")</f>
        <v>0.13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HYPERLINK("http://141.218.60.56/~jnz1568/getInfo.php?workbook=20_14.xlsx&amp;sheet=U0&amp;row=1482&amp;col=6&amp;number=4.8&amp;sourceID=14","4.8")</f>
        <v>4.8</v>
      </c>
      <c r="G1482" s="4" t="str">
        <f>HYPERLINK("http://141.218.60.56/~jnz1568/getInfo.php?workbook=20_14.xlsx&amp;sheet=U0&amp;row=1482&amp;col=7&amp;number=0.13&amp;sourceID=14","0.13")</f>
        <v>0.13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HYPERLINK("http://141.218.60.56/~jnz1568/getInfo.php?workbook=20_14.xlsx&amp;sheet=U0&amp;row=1483&amp;col=6&amp;number=4.9&amp;sourceID=14","4.9")</f>
        <v>4.9</v>
      </c>
      <c r="G1483" s="4" t="str">
        <f>HYPERLINK("http://141.218.60.56/~jnz1568/getInfo.php?workbook=20_14.xlsx&amp;sheet=U0&amp;row=1483&amp;col=7&amp;number=0.129&amp;sourceID=14","0.129")</f>
        <v>0.129</v>
      </c>
    </row>
    <row r="1484" spans="1:7">
      <c r="A1484" s="3">
        <v>20</v>
      </c>
      <c r="B1484" s="3">
        <v>14</v>
      </c>
      <c r="C1484" s="3">
        <v>3</v>
      </c>
      <c r="D1484" s="3">
        <v>27</v>
      </c>
      <c r="E1484" s="3">
        <v>1</v>
      </c>
      <c r="F1484" s="4" t="str">
        <f>HYPERLINK("http://141.218.60.56/~jnz1568/getInfo.php?workbook=20_14.xlsx&amp;sheet=U0&amp;row=1484&amp;col=6&amp;number=3&amp;sourceID=14","3")</f>
        <v>3</v>
      </c>
      <c r="G1484" s="4" t="str">
        <f>HYPERLINK("http://141.218.60.56/~jnz1568/getInfo.php?workbook=20_14.xlsx&amp;sheet=U0&amp;row=1484&amp;col=7&amp;number=0.0324&amp;sourceID=14","0.0324")</f>
        <v>0.0324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HYPERLINK("http://141.218.60.56/~jnz1568/getInfo.php?workbook=20_14.xlsx&amp;sheet=U0&amp;row=1485&amp;col=6&amp;number=3.1&amp;sourceID=14","3.1")</f>
        <v>3.1</v>
      </c>
      <c r="G1485" s="4" t="str">
        <f>HYPERLINK("http://141.218.60.56/~jnz1568/getInfo.php?workbook=20_14.xlsx&amp;sheet=U0&amp;row=1485&amp;col=7&amp;number=0.0324&amp;sourceID=14","0.0324")</f>
        <v>0.0324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HYPERLINK("http://141.218.60.56/~jnz1568/getInfo.php?workbook=20_14.xlsx&amp;sheet=U0&amp;row=1486&amp;col=6&amp;number=3.2&amp;sourceID=14","3.2")</f>
        <v>3.2</v>
      </c>
      <c r="G1486" s="4" t="str">
        <f>HYPERLINK("http://141.218.60.56/~jnz1568/getInfo.php?workbook=20_14.xlsx&amp;sheet=U0&amp;row=1486&amp;col=7&amp;number=0.0324&amp;sourceID=14","0.0324")</f>
        <v>0.0324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HYPERLINK("http://141.218.60.56/~jnz1568/getInfo.php?workbook=20_14.xlsx&amp;sheet=U0&amp;row=1487&amp;col=6&amp;number=3.3&amp;sourceID=14","3.3")</f>
        <v>3.3</v>
      </c>
      <c r="G1487" s="4" t="str">
        <f>HYPERLINK("http://141.218.60.56/~jnz1568/getInfo.php?workbook=20_14.xlsx&amp;sheet=U0&amp;row=1487&amp;col=7&amp;number=0.0324&amp;sourceID=14","0.0324")</f>
        <v>0.0324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HYPERLINK("http://141.218.60.56/~jnz1568/getInfo.php?workbook=20_14.xlsx&amp;sheet=U0&amp;row=1488&amp;col=6&amp;number=3.4&amp;sourceID=14","3.4")</f>
        <v>3.4</v>
      </c>
      <c r="G1488" s="4" t="str">
        <f>HYPERLINK("http://141.218.60.56/~jnz1568/getInfo.php?workbook=20_14.xlsx&amp;sheet=U0&amp;row=1488&amp;col=7&amp;number=0.0324&amp;sourceID=14","0.0324")</f>
        <v>0.0324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HYPERLINK("http://141.218.60.56/~jnz1568/getInfo.php?workbook=20_14.xlsx&amp;sheet=U0&amp;row=1489&amp;col=6&amp;number=3.5&amp;sourceID=14","3.5")</f>
        <v>3.5</v>
      </c>
      <c r="G1489" s="4" t="str">
        <f>HYPERLINK("http://141.218.60.56/~jnz1568/getInfo.php?workbook=20_14.xlsx&amp;sheet=U0&amp;row=1489&amp;col=7&amp;number=0.0324&amp;sourceID=14","0.0324")</f>
        <v>0.0324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HYPERLINK("http://141.218.60.56/~jnz1568/getInfo.php?workbook=20_14.xlsx&amp;sheet=U0&amp;row=1490&amp;col=6&amp;number=3.6&amp;sourceID=14","3.6")</f>
        <v>3.6</v>
      </c>
      <c r="G1490" s="4" t="str">
        <f>HYPERLINK("http://141.218.60.56/~jnz1568/getInfo.php?workbook=20_14.xlsx&amp;sheet=U0&amp;row=1490&amp;col=7&amp;number=0.0324&amp;sourceID=14","0.0324")</f>
        <v>0.0324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HYPERLINK("http://141.218.60.56/~jnz1568/getInfo.php?workbook=20_14.xlsx&amp;sheet=U0&amp;row=1491&amp;col=6&amp;number=3.7&amp;sourceID=14","3.7")</f>
        <v>3.7</v>
      </c>
      <c r="G1491" s="4" t="str">
        <f>HYPERLINK("http://141.218.60.56/~jnz1568/getInfo.php?workbook=20_14.xlsx&amp;sheet=U0&amp;row=1491&amp;col=7&amp;number=0.0324&amp;sourceID=14","0.0324")</f>
        <v>0.0324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HYPERLINK("http://141.218.60.56/~jnz1568/getInfo.php?workbook=20_14.xlsx&amp;sheet=U0&amp;row=1492&amp;col=6&amp;number=3.8&amp;sourceID=14","3.8")</f>
        <v>3.8</v>
      </c>
      <c r="G1492" s="4" t="str">
        <f>HYPERLINK("http://141.218.60.56/~jnz1568/getInfo.php?workbook=20_14.xlsx&amp;sheet=U0&amp;row=1492&amp;col=7&amp;number=0.0323&amp;sourceID=14","0.0323")</f>
        <v>0.0323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HYPERLINK("http://141.218.60.56/~jnz1568/getInfo.php?workbook=20_14.xlsx&amp;sheet=U0&amp;row=1493&amp;col=6&amp;number=3.9&amp;sourceID=14","3.9")</f>
        <v>3.9</v>
      </c>
      <c r="G1493" s="4" t="str">
        <f>HYPERLINK("http://141.218.60.56/~jnz1568/getInfo.php?workbook=20_14.xlsx&amp;sheet=U0&amp;row=1493&amp;col=7&amp;number=0.0323&amp;sourceID=14","0.0323")</f>
        <v>0.0323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HYPERLINK("http://141.218.60.56/~jnz1568/getInfo.php?workbook=20_14.xlsx&amp;sheet=U0&amp;row=1494&amp;col=6&amp;number=4&amp;sourceID=14","4")</f>
        <v>4</v>
      </c>
      <c r="G1494" s="4" t="str">
        <f>HYPERLINK("http://141.218.60.56/~jnz1568/getInfo.php?workbook=20_14.xlsx&amp;sheet=U0&amp;row=1494&amp;col=7&amp;number=0.0323&amp;sourceID=14","0.0323")</f>
        <v>0.0323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HYPERLINK("http://141.218.60.56/~jnz1568/getInfo.php?workbook=20_14.xlsx&amp;sheet=U0&amp;row=1495&amp;col=6&amp;number=4.1&amp;sourceID=14","4.1")</f>
        <v>4.1</v>
      </c>
      <c r="G1495" s="4" t="str">
        <f>HYPERLINK("http://141.218.60.56/~jnz1568/getInfo.php?workbook=20_14.xlsx&amp;sheet=U0&amp;row=1495&amp;col=7&amp;number=0.0322&amp;sourceID=14","0.0322")</f>
        <v>0.0322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HYPERLINK("http://141.218.60.56/~jnz1568/getInfo.php?workbook=20_14.xlsx&amp;sheet=U0&amp;row=1496&amp;col=6&amp;number=4.2&amp;sourceID=14","4.2")</f>
        <v>4.2</v>
      </c>
      <c r="G1496" s="4" t="str">
        <f>HYPERLINK("http://141.218.60.56/~jnz1568/getInfo.php?workbook=20_14.xlsx&amp;sheet=U0&amp;row=1496&amp;col=7&amp;number=0.0321&amp;sourceID=14","0.0321")</f>
        <v>0.0321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HYPERLINK("http://141.218.60.56/~jnz1568/getInfo.php?workbook=20_14.xlsx&amp;sheet=U0&amp;row=1497&amp;col=6&amp;number=4.3&amp;sourceID=14","4.3")</f>
        <v>4.3</v>
      </c>
      <c r="G1497" s="4" t="str">
        <f>HYPERLINK("http://141.218.60.56/~jnz1568/getInfo.php?workbook=20_14.xlsx&amp;sheet=U0&amp;row=1497&amp;col=7&amp;number=0.032&amp;sourceID=14","0.032")</f>
        <v>0.032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HYPERLINK("http://141.218.60.56/~jnz1568/getInfo.php?workbook=20_14.xlsx&amp;sheet=U0&amp;row=1498&amp;col=6&amp;number=4.4&amp;sourceID=14","4.4")</f>
        <v>4.4</v>
      </c>
      <c r="G1498" s="4" t="str">
        <f>HYPERLINK("http://141.218.60.56/~jnz1568/getInfo.php?workbook=20_14.xlsx&amp;sheet=U0&amp;row=1498&amp;col=7&amp;number=0.0319&amp;sourceID=14","0.0319")</f>
        <v>0.0319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HYPERLINK("http://141.218.60.56/~jnz1568/getInfo.php?workbook=20_14.xlsx&amp;sheet=U0&amp;row=1499&amp;col=6&amp;number=4.5&amp;sourceID=14","4.5")</f>
        <v>4.5</v>
      </c>
      <c r="G1499" s="4" t="str">
        <f>HYPERLINK("http://141.218.60.56/~jnz1568/getInfo.php?workbook=20_14.xlsx&amp;sheet=U0&amp;row=1499&amp;col=7&amp;number=0.0318&amp;sourceID=14","0.0318")</f>
        <v>0.0318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HYPERLINK("http://141.218.60.56/~jnz1568/getInfo.php?workbook=20_14.xlsx&amp;sheet=U0&amp;row=1500&amp;col=6&amp;number=4.6&amp;sourceID=14","4.6")</f>
        <v>4.6</v>
      </c>
      <c r="G1500" s="4" t="str">
        <f>HYPERLINK("http://141.218.60.56/~jnz1568/getInfo.php?workbook=20_14.xlsx&amp;sheet=U0&amp;row=1500&amp;col=7&amp;number=0.0316&amp;sourceID=14","0.0316")</f>
        <v>0.0316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HYPERLINK("http://141.218.60.56/~jnz1568/getInfo.php?workbook=20_14.xlsx&amp;sheet=U0&amp;row=1501&amp;col=6&amp;number=4.7&amp;sourceID=14","4.7")</f>
        <v>4.7</v>
      </c>
      <c r="G1501" s="4" t="str">
        <f>HYPERLINK("http://141.218.60.56/~jnz1568/getInfo.php?workbook=20_14.xlsx&amp;sheet=U0&amp;row=1501&amp;col=7&amp;number=0.0314&amp;sourceID=14","0.0314")</f>
        <v>0.0314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HYPERLINK("http://141.218.60.56/~jnz1568/getInfo.php?workbook=20_14.xlsx&amp;sheet=U0&amp;row=1502&amp;col=6&amp;number=4.8&amp;sourceID=14","4.8")</f>
        <v>4.8</v>
      </c>
      <c r="G1502" s="4" t="str">
        <f>HYPERLINK("http://141.218.60.56/~jnz1568/getInfo.php?workbook=20_14.xlsx&amp;sheet=U0&amp;row=1502&amp;col=7&amp;number=0.0312&amp;sourceID=14","0.0312")</f>
        <v>0.0312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HYPERLINK("http://141.218.60.56/~jnz1568/getInfo.php?workbook=20_14.xlsx&amp;sheet=U0&amp;row=1503&amp;col=6&amp;number=4.9&amp;sourceID=14","4.9")</f>
        <v>4.9</v>
      </c>
      <c r="G1503" s="4" t="str">
        <f>HYPERLINK("http://141.218.60.56/~jnz1568/getInfo.php?workbook=20_14.xlsx&amp;sheet=U0&amp;row=1503&amp;col=7&amp;number=0.0308&amp;sourceID=14","0.0308")</f>
        <v>0.0308</v>
      </c>
    </row>
    <row r="1504" spans="1:7">
      <c r="A1504" s="3">
        <v>20</v>
      </c>
      <c r="B1504" s="3">
        <v>14</v>
      </c>
      <c r="C1504" s="3">
        <v>4</v>
      </c>
      <c r="D1504" s="3">
        <v>5</v>
      </c>
      <c r="E1504" s="3">
        <v>1</v>
      </c>
      <c r="F1504" s="4" t="str">
        <f>HYPERLINK("http://141.218.60.56/~jnz1568/getInfo.php?workbook=20_14.xlsx&amp;sheet=U0&amp;row=1504&amp;col=6&amp;number=3&amp;sourceID=14","3")</f>
        <v>3</v>
      </c>
      <c r="G1504" s="4" t="str">
        <f>HYPERLINK("http://141.218.60.56/~jnz1568/getInfo.php?workbook=20_14.xlsx&amp;sheet=U0&amp;row=1504&amp;col=7&amp;number=0.758&amp;sourceID=14","0.758")</f>
        <v>0.758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HYPERLINK("http://141.218.60.56/~jnz1568/getInfo.php?workbook=20_14.xlsx&amp;sheet=U0&amp;row=1505&amp;col=6&amp;number=3.1&amp;sourceID=14","3.1")</f>
        <v>3.1</v>
      </c>
      <c r="G1505" s="4" t="str">
        <f>HYPERLINK("http://141.218.60.56/~jnz1568/getInfo.php?workbook=20_14.xlsx&amp;sheet=U0&amp;row=1505&amp;col=7&amp;number=0.758&amp;sourceID=14","0.758")</f>
        <v>0.758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HYPERLINK("http://141.218.60.56/~jnz1568/getInfo.php?workbook=20_14.xlsx&amp;sheet=U0&amp;row=1506&amp;col=6&amp;number=3.2&amp;sourceID=14","3.2")</f>
        <v>3.2</v>
      </c>
      <c r="G1506" s="4" t="str">
        <f>HYPERLINK("http://141.218.60.56/~jnz1568/getInfo.php?workbook=20_14.xlsx&amp;sheet=U0&amp;row=1506&amp;col=7&amp;number=0.758&amp;sourceID=14","0.758")</f>
        <v>0.758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HYPERLINK("http://141.218.60.56/~jnz1568/getInfo.php?workbook=20_14.xlsx&amp;sheet=U0&amp;row=1507&amp;col=6&amp;number=3.3&amp;sourceID=14","3.3")</f>
        <v>3.3</v>
      </c>
      <c r="G1507" s="4" t="str">
        <f>HYPERLINK("http://141.218.60.56/~jnz1568/getInfo.php?workbook=20_14.xlsx&amp;sheet=U0&amp;row=1507&amp;col=7&amp;number=0.758&amp;sourceID=14","0.758")</f>
        <v>0.758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HYPERLINK("http://141.218.60.56/~jnz1568/getInfo.php?workbook=20_14.xlsx&amp;sheet=U0&amp;row=1508&amp;col=6&amp;number=3.4&amp;sourceID=14","3.4")</f>
        <v>3.4</v>
      </c>
      <c r="G1508" s="4" t="str">
        <f>HYPERLINK("http://141.218.60.56/~jnz1568/getInfo.php?workbook=20_14.xlsx&amp;sheet=U0&amp;row=1508&amp;col=7&amp;number=0.758&amp;sourceID=14","0.758")</f>
        <v>0.758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HYPERLINK("http://141.218.60.56/~jnz1568/getInfo.php?workbook=20_14.xlsx&amp;sheet=U0&amp;row=1509&amp;col=6&amp;number=3.5&amp;sourceID=14","3.5")</f>
        <v>3.5</v>
      </c>
      <c r="G1509" s="4" t="str">
        <f>HYPERLINK("http://141.218.60.56/~jnz1568/getInfo.php?workbook=20_14.xlsx&amp;sheet=U0&amp;row=1509&amp;col=7&amp;number=0.758&amp;sourceID=14","0.758")</f>
        <v>0.758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HYPERLINK("http://141.218.60.56/~jnz1568/getInfo.php?workbook=20_14.xlsx&amp;sheet=U0&amp;row=1510&amp;col=6&amp;number=3.6&amp;sourceID=14","3.6")</f>
        <v>3.6</v>
      </c>
      <c r="G1510" s="4" t="str">
        <f>HYPERLINK("http://141.218.60.56/~jnz1568/getInfo.php?workbook=20_14.xlsx&amp;sheet=U0&amp;row=1510&amp;col=7&amp;number=0.758&amp;sourceID=14","0.758")</f>
        <v>0.758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HYPERLINK("http://141.218.60.56/~jnz1568/getInfo.php?workbook=20_14.xlsx&amp;sheet=U0&amp;row=1511&amp;col=6&amp;number=3.7&amp;sourceID=14","3.7")</f>
        <v>3.7</v>
      </c>
      <c r="G1511" s="4" t="str">
        <f>HYPERLINK("http://141.218.60.56/~jnz1568/getInfo.php?workbook=20_14.xlsx&amp;sheet=U0&amp;row=1511&amp;col=7&amp;number=0.758&amp;sourceID=14","0.758")</f>
        <v>0.758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HYPERLINK("http://141.218.60.56/~jnz1568/getInfo.php?workbook=20_14.xlsx&amp;sheet=U0&amp;row=1512&amp;col=6&amp;number=3.8&amp;sourceID=14","3.8")</f>
        <v>3.8</v>
      </c>
      <c r="G1512" s="4" t="str">
        <f>HYPERLINK("http://141.218.60.56/~jnz1568/getInfo.php?workbook=20_14.xlsx&amp;sheet=U0&amp;row=1512&amp;col=7&amp;number=0.758&amp;sourceID=14","0.758")</f>
        <v>0.758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HYPERLINK("http://141.218.60.56/~jnz1568/getInfo.php?workbook=20_14.xlsx&amp;sheet=U0&amp;row=1513&amp;col=6&amp;number=3.9&amp;sourceID=14","3.9")</f>
        <v>3.9</v>
      </c>
      <c r="G1513" s="4" t="str">
        <f>HYPERLINK("http://141.218.60.56/~jnz1568/getInfo.php?workbook=20_14.xlsx&amp;sheet=U0&amp;row=1513&amp;col=7&amp;number=0.758&amp;sourceID=14","0.758")</f>
        <v>0.758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HYPERLINK("http://141.218.60.56/~jnz1568/getInfo.php?workbook=20_14.xlsx&amp;sheet=U0&amp;row=1514&amp;col=6&amp;number=4&amp;sourceID=14","4")</f>
        <v>4</v>
      </c>
      <c r="G1514" s="4" t="str">
        <f>HYPERLINK("http://141.218.60.56/~jnz1568/getInfo.php?workbook=20_14.xlsx&amp;sheet=U0&amp;row=1514&amp;col=7&amp;number=0.758&amp;sourceID=14","0.758")</f>
        <v>0.758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HYPERLINK("http://141.218.60.56/~jnz1568/getInfo.php?workbook=20_14.xlsx&amp;sheet=U0&amp;row=1515&amp;col=6&amp;number=4.1&amp;sourceID=14","4.1")</f>
        <v>4.1</v>
      </c>
      <c r="G1515" s="4" t="str">
        <f>HYPERLINK("http://141.218.60.56/~jnz1568/getInfo.php?workbook=20_14.xlsx&amp;sheet=U0&amp;row=1515&amp;col=7&amp;number=0.759&amp;sourceID=14","0.759")</f>
        <v>0.759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HYPERLINK("http://141.218.60.56/~jnz1568/getInfo.php?workbook=20_14.xlsx&amp;sheet=U0&amp;row=1516&amp;col=6&amp;number=4.2&amp;sourceID=14","4.2")</f>
        <v>4.2</v>
      </c>
      <c r="G1516" s="4" t="str">
        <f>HYPERLINK("http://141.218.60.56/~jnz1568/getInfo.php?workbook=20_14.xlsx&amp;sheet=U0&amp;row=1516&amp;col=7&amp;number=0.759&amp;sourceID=14","0.759")</f>
        <v>0.759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HYPERLINK("http://141.218.60.56/~jnz1568/getInfo.php?workbook=20_14.xlsx&amp;sheet=U0&amp;row=1517&amp;col=6&amp;number=4.3&amp;sourceID=14","4.3")</f>
        <v>4.3</v>
      </c>
      <c r="G1517" s="4" t="str">
        <f>HYPERLINK("http://141.218.60.56/~jnz1568/getInfo.php?workbook=20_14.xlsx&amp;sheet=U0&amp;row=1517&amp;col=7&amp;number=0.759&amp;sourceID=14","0.759")</f>
        <v>0.759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HYPERLINK("http://141.218.60.56/~jnz1568/getInfo.php?workbook=20_14.xlsx&amp;sheet=U0&amp;row=1518&amp;col=6&amp;number=4.4&amp;sourceID=14","4.4")</f>
        <v>4.4</v>
      </c>
      <c r="G1518" s="4" t="str">
        <f>HYPERLINK("http://141.218.60.56/~jnz1568/getInfo.php?workbook=20_14.xlsx&amp;sheet=U0&amp;row=1518&amp;col=7&amp;number=0.759&amp;sourceID=14","0.759")</f>
        <v>0.759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HYPERLINK("http://141.218.60.56/~jnz1568/getInfo.php?workbook=20_14.xlsx&amp;sheet=U0&amp;row=1519&amp;col=6&amp;number=4.5&amp;sourceID=14","4.5")</f>
        <v>4.5</v>
      </c>
      <c r="G1519" s="4" t="str">
        <f>HYPERLINK("http://141.218.60.56/~jnz1568/getInfo.php?workbook=20_14.xlsx&amp;sheet=U0&amp;row=1519&amp;col=7&amp;number=0.76&amp;sourceID=14","0.76")</f>
        <v>0.76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HYPERLINK("http://141.218.60.56/~jnz1568/getInfo.php?workbook=20_14.xlsx&amp;sheet=U0&amp;row=1520&amp;col=6&amp;number=4.6&amp;sourceID=14","4.6")</f>
        <v>4.6</v>
      </c>
      <c r="G1520" s="4" t="str">
        <f>HYPERLINK("http://141.218.60.56/~jnz1568/getInfo.php?workbook=20_14.xlsx&amp;sheet=U0&amp;row=1520&amp;col=7&amp;number=0.76&amp;sourceID=14","0.76")</f>
        <v>0.76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HYPERLINK("http://141.218.60.56/~jnz1568/getInfo.php?workbook=20_14.xlsx&amp;sheet=U0&amp;row=1521&amp;col=6&amp;number=4.7&amp;sourceID=14","4.7")</f>
        <v>4.7</v>
      </c>
      <c r="G1521" s="4" t="str">
        <f>HYPERLINK("http://141.218.60.56/~jnz1568/getInfo.php?workbook=20_14.xlsx&amp;sheet=U0&amp;row=1521&amp;col=7&amp;number=0.761&amp;sourceID=14","0.761")</f>
        <v>0.761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HYPERLINK("http://141.218.60.56/~jnz1568/getInfo.php?workbook=20_14.xlsx&amp;sheet=U0&amp;row=1522&amp;col=6&amp;number=4.8&amp;sourceID=14","4.8")</f>
        <v>4.8</v>
      </c>
      <c r="G1522" s="4" t="str">
        <f>HYPERLINK("http://141.218.60.56/~jnz1568/getInfo.php?workbook=20_14.xlsx&amp;sheet=U0&amp;row=1522&amp;col=7&amp;number=0.762&amp;sourceID=14","0.762")</f>
        <v>0.762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HYPERLINK("http://141.218.60.56/~jnz1568/getInfo.php?workbook=20_14.xlsx&amp;sheet=U0&amp;row=1523&amp;col=6&amp;number=4.9&amp;sourceID=14","4.9")</f>
        <v>4.9</v>
      </c>
      <c r="G1523" s="4" t="str">
        <f>HYPERLINK("http://141.218.60.56/~jnz1568/getInfo.php?workbook=20_14.xlsx&amp;sheet=U0&amp;row=1523&amp;col=7&amp;number=0.763&amp;sourceID=14","0.763")</f>
        <v>0.763</v>
      </c>
    </row>
    <row r="1524" spans="1:7">
      <c r="A1524" s="3">
        <v>20</v>
      </c>
      <c r="B1524" s="3">
        <v>14</v>
      </c>
      <c r="C1524" s="3">
        <v>4</v>
      </c>
      <c r="D1524" s="3">
        <v>6</v>
      </c>
      <c r="E1524" s="3">
        <v>1</v>
      </c>
      <c r="F1524" s="4" t="str">
        <f>HYPERLINK("http://141.218.60.56/~jnz1568/getInfo.php?workbook=20_14.xlsx&amp;sheet=U0&amp;row=1524&amp;col=6&amp;number=3&amp;sourceID=14","3")</f>
        <v>3</v>
      </c>
      <c r="G1524" s="4" t="str">
        <f>HYPERLINK("http://141.218.60.56/~jnz1568/getInfo.php?workbook=20_14.xlsx&amp;sheet=U0&amp;row=1524&amp;col=7&amp;number=0.000564&amp;sourceID=14","0.000564")</f>
        <v>0.000564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HYPERLINK("http://141.218.60.56/~jnz1568/getInfo.php?workbook=20_14.xlsx&amp;sheet=U0&amp;row=1525&amp;col=6&amp;number=3.1&amp;sourceID=14","3.1")</f>
        <v>3.1</v>
      </c>
      <c r="G1525" s="4" t="str">
        <f>HYPERLINK("http://141.218.60.56/~jnz1568/getInfo.php?workbook=20_14.xlsx&amp;sheet=U0&amp;row=1525&amp;col=7&amp;number=0.000564&amp;sourceID=14","0.000564")</f>
        <v>0.000564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HYPERLINK("http://141.218.60.56/~jnz1568/getInfo.php?workbook=20_14.xlsx&amp;sheet=U0&amp;row=1526&amp;col=6&amp;number=3.2&amp;sourceID=14","3.2")</f>
        <v>3.2</v>
      </c>
      <c r="G1526" s="4" t="str">
        <f>HYPERLINK("http://141.218.60.56/~jnz1568/getInfo.php?workbook=20_14.xlsx&amp;sheet=U0&amp;row=1526&amp;col=7&amp;number=0.000564&amp;sourceID=14","0.000564")</f>
        <v>0.000564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HYPERLINK("http://141.218.60.56/~jnz1568/getInfo.php?workbook=20_14.xlsx&amp;sheet=U0&amp;row=1527&amp;col=6&amp;number=3.3&amp;sourceID=14","3.3")</f>
        <v>3.3</v>
      </c>
      <c r="G1527" s="4" t="str">
        <f>HYPERLINK("http://141.218.60.56/~jnz1568/getInfo.php?workbook=20_14.xlsx&amp;sheet=U0&amp;row=1527&amp;col=7&amp;number=0.000564&amp;sourceID=14","0.000564")</f>
        <v>0.000564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HYPERLINK("http://141.218.60.56/~jnz1568/getInfo.php?workbook=20_14.xlsx&amp;sheet=U0&amp;row=1528&amp;col=6&amp;number=3.4&amp;sourceID=14","3.4")</f>
        <v>3.4</v>
      </c>
      <c r="G1528" s="4" t="str">
        <f>HYPERLINK("http://141.218.60.56/~jnz1568/getInfo.php?workbook=20_14.xlsx&amp;sheet=U0&amp;row=1528&amp;col=7&amp;number=0.000564&amp;sourceID=14","0.000564")</f>
        <v>0.000564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HYPERLINK("http://141.218.60.56/~jnz1568/getInfo.php?workbook=20_14.xlsx&amp;sheet=U0&amp;row=1529&amp;col=6&amp;number=3.5&amp;sourceID=14","3.5")</f>
        <v>3.5</v>
      </c>
      <c r="G1529" s="4" t="str">
        <f>HYPERLINK("http://141.218.60.56/~jnz1568/getInfo.php?workbook=20_14.xlsx&amp;sheet=U0&amp;row=1529&amp;col=7&amp;number=0.000564&amp;sourceID=14","0.000564")</f>
        <v>0.000564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HYPERLINK("http://141.218.60.56/~jnz1568/getInfo.php?workbook=20_14.xlsx&amp;sheet=U0&amp;row=1530&amp;col=6&amp;number=3.6&amp;sourceID=14","3.6")</f>
        <v>3.6</v>
      </c>
      <c r="G1530" s="4" t="str">
        <f>HYPERLINK("http://141.218.60.56/~jnz1568/getInfo.php?workbook=20_14.xlsx&amp;sheet=U0&amp;row=1530&amp;col=7&amp;number=0.000564&amp;sourceID=14","0.000564")</f>
        <v>0.000564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HYPERLINK("http://141.218.60.56/~jnz1568/getInfo.php?workbook=20_14.xlsx&amp;sheet=U0&amp;row=1531&amp;col=6&amp;number=3.7&amp;sourceID=14","3.7")</f>
        <v>3.7</v>
      </c>
      <c r="G1531" s="4" t="str">
        <f>HYPERLINK("http://141.218.60.56/~jnz1568/getInfo.php?workbook=20_14.xlsx&amp;sheet=U0&amp;row=1531&amp;col=7&amp;number=0.000563&amp;sourceID=14","0.000563")</f>
        <v>0.000563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HYPERLINK("http://141.218.60.56/~jnz1568/getInfo.php?workbook=20_14.xlsx&amp;sheet=U0&amp;row=1532&amp;col=6&amp;number=3.8&amp;sourceID=14","3.8")</f>
        <v>3.8</v>
      </c>
      <c r="G1532" s="4" t="str">
        <f>HYPERLINK("http://141.218.60.56/~jnz1568/getInfo.php?workbook=20_14.xlsx&amp;sheet=U0&amp;row=1532&amp;col=7&amp;number=0.000563&amp;sourceID=14","0.000563")</f>
        <v>0.000563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HYPERLINK("http://141.218.60.56/~jnz1568/getInfo.php?workbook=20_14.xlsx&amp;sheet=U0&amp;row=1533&amp;col=6&amp;number=3.9&amp;sourceID=14","3.9")</f>
        <v>3.9</v>
      </c>
      <c r="G1533" s="4" t="str">
        <f>HYPERLINK("http://141.218.60.56/~jnz1568/getInfo.php?workbook=20_14.xlsx&amp;sheet=U0&amp;row=1533&amp;col=7&amp;number=0.000563&amp;sourceID=14","0.000563")</f>
        <v>0.000563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HYPERLINK("http://141.218.60.56/~jnz1568/getInfo.php?workbook=20_14.xlsx&amp;sheet=U0&amp;row=1534&amp;col=6&amp;number=4&amp;sourceID=14","4")</f>
        <v>4</v>
      </c>
      <c r="G1534" s="4" t="str">
        <f>HYPERLINK("http://141.218.60.56/~jnz1568/getInfo.php?workbook=20_14.xlsx&amp;sheet=U0&amp;row=1534&amp;col=7&amp;number=0.000562&amp;sourceID=14","0.000562")</f>
        <v>0.000562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HYPERLINK("http://141.218.60.56/~jnz1568/getInfo.php?workbook=20_14.xlsx&amp;sheet=U0&amp;row=1535&amp;col=6&amp;number=4.1&amp;sourceID=14","4.1")</f>
        <v>4.1</v>
      </c>
      <c r="G1535" s="4" t="str">
        <f>HYPERLINK("http://141.218.60.56/~jnz1568/getInfo.php?workbook=20_14.xlsx&amp;sheet=U0&amp;row=1535&amp;col=7&amp;number=0.000561&amp;sourceID=14","0.000561")</f>
        <v>0.000561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HYPERLINK("http://141.218.60.56/~jnz1568/getInfo.php?workbook=20_14.xlsx&amp;sheet=U0&amp;row=1536&amp;col=6&amp;number=4.2&amp;sourceID=14","4.2")</f>
        <v>4.2</v>
      </c>
      <c r="G1536" s="4" t="str">
        <f>HYPERLINK("http://141.218.60.56/~jnz1568/getInfo.php?workbook=20_14.xlsx&amp;sheet=U0&amp;row=1536&amp;col=7&amp;number=0.000561&amp;sourceID=14","0.000561")</f>
        <v>0.000561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HYPERLINK("http://141.218.60.56/~jnz1568/getInfo.php?workbook=20_14.xlsx&amp;sheet=U0&amp;row=1537&amp;col=6&amp;number=4.3&amp;sourceID=14","4.3")</f>
        <v>4.3</v>
      </c>
      <c r="G1537" s="4" t="str">
        <f>HYPERLINK("http://141.218.60.56/~jnz1568/getInfo.php?workbook=20_14.xlsx&amp;sheet=U0&amp;row=1537&amp;col=7&amp;number=0.00056&amp;sourceID=14","0.00056")</f>
        <v>0.00056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HYPERLINK("http://141.218.60.56/~jnz1568/getInfo.php?workbook=20_14.xlsx&amp;sheet=U0&amp;row=1538&amp;col=6&amp;number=4.4&amp;sourceID=14","4.4")</f>
        <v>4.4</v>
      </c>
      <c r="G1538" s="4" t="str">
        <f>HYPERLINK("http://141.218.60.56/~jnz1568/getInfo.php?workbook=20_14.xlsx&amp;sheet=U0&amp;row=1538&amp;col=7&amp;number=0.000558&amp;sourceID=14","0.000558")</f>
        <v>0.000558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HYPERLINK("http://141.218.60.56/~jnz1568/getInfo.php?workbook=20_14.xlsx&amp;sheet=U0&amp;row=1539&amp;col=6&amp;number=4.5&amp;sourceID=14","4.5")</f>
        <v>4.5</v>
      </c>
      <c r="G1539" s="4" t="str">
        <f>HYPERLINK("http://141.218.60.56/~jnz1568/getInfo.php?workbook=20_14.xlsx&amp;sheet=U0&amp;row=1539&amp;col=7&amp;number=0.000557&amp;sourceID=14","0.000557")</f>
        <v>0.000557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HYPERLINK("http://141.218.60.56/~jnz1568/getInfo.php?workbook=20_14.xlsx&amp;sheet=U0&amp;row=1540&amp;col=6&amp;number=4.6&amp;sourceID=14","4.6")</f>
        <v>4.6</v>
      </c>
      <c r="G1540" s="4" t="str">
        <f>HYPERLINK("http://141.218.60.56/~jnz1568/getInfo.php?workbook=20_14.xlsx&amp;sheet=U0&amp;row=1540&amp;col=7&amp;number=0.000554&amp;sourceID=14","0.000554")</f>
        <v>0.000554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HYPERLINK("http://141.218.60.56/~jnz1568/getInfo.php?workbook=20_14.xlsx&amp;sheet=U0&amp;row=1541&amp;col=6&amp;number=4.7&amp;sourceID=14","4.7")</f>
        <v>4.7</v>
      </c>
      <c r="G1541" s="4" t="str">
        <f>HYPERLINK("http://141.218.60.56/~jnz1568/getInfo.php?workbook=20_14.xlsx&amp;sheet=U0&amp;row=1541&amp;col=7&amp;number=0.000552&amp;sourceID=14","0.000552")</f>
        <v>0.000552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HYPERLINK("http://141.218.60.56/~jnz1568/getInfo.php?workbook=20_14.xlsx&amp;sheet=U0&amp;row=1542&amp;col=6&amp;number=4.8&amp;sourceID=14","4.8")</f>
        <v>4.8</v>
      </c>
      <c r="G1542" s="4" t="str">
        <f>HYPERLINK("http://141.218.60.56/~jnz1568/getInfo.php?workbook=20_14.xlsx&amp;sheet=U0&amp;row=1542&amp;col=7&amp;number=0.000549&amp;sourceID=14","0.000549")</f>
        <v>0.000549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HYPERLINK("http://141.218.60.56/~jnz1568/getInfo.php?workbook=20_14.xlsx&amp;sheet=U0&amp;row=1543&amp;col=6&amp;number=4.9&amp;sourceID=14","4.9")</f>
        <v>4.9</v>
      </c>
      <c r="G1543" s="4" t="str">
        <f>HYPERLINK("http://141.218.60.56/~jnz1568/getInfo.php?workbook=20_14.xlsx&amp;sheet=U0&amp;row=1543&amp;col=7&amp;number=0.000545&amp;sourceID=14","0.000545")</f>
        <v>0.000545</v>
      </c>
    </row>
    <row r="1544" spans="1:7">
      <c r="A1544" s="3">
        <v>20</v>
      </c>
      <c r="B1544" s="3">
        <v>14</v>
      </c>
      <c r="C1544" s="3">
        <v>4</v>
      </c>
      <c r="D1544" s="3">
        <v>7</v>
      </c>
      <c r="E1544" s="3">
        <v>1</v>
      </c>
      <c r="F1544" s="4" t="str">
        <f>HYPERLINK("http://141.218.60.56/~jnz1568/getInfo.php?workbook=20_14.xlsx&amp;sheet=U0&amp;row=1544&amp;col=6&amp;number=3&amp;sourceID=14","3")</f>
        <v>3</v>
      </c>
      <c r="G1544" s="4" t="str">
        <f>HYPERLINK("http://141.218.60.56/~jnz1568/getInfo.php?workbook=20_14.xlsx&amp;sheet=U0&amp;row=1544&amp;col=7&amp;number=0.0869&amp;sourceID=14","0.0869")</f>
        <v>0.0869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HYPERLINK("http://141.218.60.56/~jnz1568/getInfo.php?workbook=20_14.xlsx&amp;sheet=U0&amp;row=1545&amp;col=6&amp;number=3.1&amp;sourceID=14","3.1")</f>
        <v>3.1</v>
      </c>
      <c r="G1545" s="4" t="str">
        <f>HYPERLINK("http://141.218.60.56/~jnz1568/getInfo.php?workbook=20_14.xlsx&amp;sheet=U0&amp;row=1545&amp;col=7&amp;number=0.0869&amp;sourceID=14","0.0869")</f>
        <v>0.0869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HYPERLINK("http://141.218.60.56/~jnz1568/getInfo.php?workbook=20_14.xlsx&amp;sheet=U0&amp;row=1546&amp;col=6&amp;number=3.2&amp;sourceID=14","3.2")</f>
        <v>3.2</v>
      </c>
      <c r="G1546" s="4" t="str">
        <f>HYPERLINK("http://141.218.60.56/~jnz1568/getInfo.php?workbook=20_14.xlsx&amp;sheet=U0&amp;row=1546&amp;col=7&amp;number=0.0869&amp;sourceID=14","0.0869")</f>
        <v>0.0869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HYPERLINK("http://141.218.60.56/~jnz1568/getInfo.php?workbook=20_14.xlsx&amp;sheet=U0&amp;row=1547&amp;col=6&amp;number=3.3&amp;sourceID=14","3.3")</f>
        <v>3.3</v>
      </c>
      <c r="G1547" s="4" t="str">
        <f>HYPERLINK("http://141.218.60.56/~jnz1568/getInfo.php?workbook=20_14.xlsx&amp;sheet=U0&amp;row=1547&amp;col=7&amp;number=0.0869&amp;sourceID=14","0.0869")</f>
        <v>0.0869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HYPERLINK("http://141.218.60.56/~jnz1568/getInfo.php?workbook=20_14.xlsx&amp;sheet=U0&amp;row=1548&amp;col=6&amp;number=3.4&amp;sourceID=14","3.4")</f>
        <v>3.4</v>
      </c>
      <c r="G1548" s="4" t="str">
        <f>HYPERLINK("http://141.218.60.56/~jnz1568/getInfo.php?workbook=20_14.xlsx&amp;sheet=U0&amp;row=1548&amp;col=7&amp;number=0.0869&amp;sourceID=14","0.0869")</f>
        <v>0.0869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HYPERLINK("http://141.218.60.56/~jnz1568/getInfo.php?workbook=20_14.xlsx&amp;sheet=U0&amp;row=1549&amp;col=6&amp;number=3.5&amp;sourceID=14","3.5")</f>
        <v>3.5</v>
      </c>
      <c r="G1549" s="4" t="str">
        <f>HYPERLINK("http://141.218.60.56/~jnz1568/getInfo.php?workbook=20_14.xlsx&amp;sheet=U0&amp;row=1549&amp;col=7&amp;number=0.0868&amp;sourceID=14","0.0868")</f>
        <v>0.0868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HYPERLINK("http://141.218.60.56/~jnz1568/getInfo.php?workbook=20_14.xlsx&amp;sheet=U0&amp;row=1550&amp;col=6&amp;number=3.6&amp;sourceID=14","3.6")</f>
        <v>3.6</v>
      </c>
      <c r="G1550" s="4" t="str">
        <f>HYPERLINK("http://141.218.60.56/~jnz1568/getInfo.php?workbook=20_14.xlsx&amp;sheet=U0&amp;row=1550&amp;col=7&amp;number=0.0868&amp;sourceID=14","0.0868")</f>
        <v>0.0868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HYPERLINK("http://141.218.60.56/~jnz1568/getInfo.php?workbook=20_14.xlsx&amp;sheet=U0&amp;row=1551&amp;col=6&amp;number=3.7&amp;sourceID=14","3.7")</f>
        <v>3.7</v>
      </c>
      <c r="G1551" s="4" t="str">
        <f>HYPERLINK("http://141.218.60.56/~jnz1568/getInfo.php?workbook=20_14.xlsx&amp;sheet=U0&amp;row=1551&amp;col=7&amp;number=0.0868&amp;sourceID=14","0.0868")</f>
        <v>0.0868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HYPERLINK("http://141.218.60.56/~jnz1568/getInfo.php?workbook=20_14.xlsx&amp;sheet=U0&amp;row=1552&amp;col=6&amp;number=3.8&amp;sourceID=14","3.8")</f>
        <v>3.8</v>
      </c>
      <c r="G1552" s="4" t="str">
        <f>HYPERLINK("http://141.218.60.56/~jnz1568/getInfo.php?workbook=20_14.xlsx&amp;sheet=U0&amp;row=1552&amp;col=7&amp;number=0.0867&amp;sourceID=14","0.0867")</f>
        <v>0.0867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HYPERLINK("http://141.218.60.56/~jnz1568/getInfo.php?workbook=20_14.xlsx&amp;sheet=U0&amp;row=1553&amp;col=6&amp;number=3.9&amp;sourceID=14","3.9")</f>
        <v>3.9</v>
      </c>
      <c r="G1553" s="4" t="str">
        <f>HYPERLINK("http://141.218.60.56/~jnz1568/getInfo.php?workbook=20_14.xlsx&amp;sheet=U0&amp;row=1553&amp;col=7&amp;number=0.0866&amp;sourceID=14","0.0866")</f>
        <v>0.0866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HYPERLINK("http://141.218.60.56/~jnz1568/getInfo.php?workbook=20_14.xlsx&amp;sheet=U0&amp;row=1554&amp;col=6&amp;number=4&amp;sourceID=14","4")</f>
        <v>4</v>
      </c>
      <c r="G1554" s="4" t="str">
        <f>HYPERLINK("http://141.218.60.56/~jnz1568/getInfo.php?workbook=20_14.xlsx&amp;sheet=U0&amp;row=1554&amp;col=7&amp;number=0.0866&amp;sourceID=14","0.0866")</f>
        <v>0.0866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HYPERLINK("http://141.218.60.56/~jnz1568/getInfo.php?workbook=20_14.xlsx&amp;sheet=U0&amp;row=1555&amp;col=6&amp;number=4.1&amp;sourceID=14","4.1")</f>
        <v>4.1</v>
      </c>
      <c r="G1555" s="4" t="str">
        <f>HYPERLINK("http://141.218.60.56/~jnz1568/getInfo.php?workbook=20_14.xlsx&amp;sheet=U0&amp;row=1555&amp;col=7&amp;number=0.0864&amp;sourceID=14","0.0864")</f>
        <v>0.0864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HYPERLINK("http://141.218.60.56/~jnz1568/getInfo.php?workbook=20_14.xlsx&amp;sheet=U0&amp;row=1556&amp;col=6&amp;number=4.2&amp;sourceID=14","4.2")</f>
        <v>4.2</v>
      </c>
      <c r="G1556" s="4" t="str">
        <f>HYPERLINK("http://141.218.60.56/~jnz1568/getInfo.php?workbook=20_14.xlsx&amp;sheet=U0&amp;row=1556&amp;col=7&amp;number=0.0863&amp;sourceID=14","0.0863")</f>
        <v>0.0863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HYPERLINK("http://141.218.60.56/~jnz1568/getInfo.php?workbook=20_14.xlsx&amp;sheet=U0&amp;row=1557&amp;col=6&amp;number=4.3&amp;sourceID=14","4.3")</f>
        <v>4.3</v>
      </c>
      <c r="G1557" s="4" t="str">
        <f>HYPERLINK("http://141.218.60.56/~jnz1568/getInfo.php?workbook=20_14.xlsx&amp;sheet=U0&amp;row=1557&amp;col=7&amp;number=0.0861&amp;sourceID=14","0.0861")</f>
        <v>0.0861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HYPERLINK("http://141.218.60.56/~jnz1568/getInfo.php?workbook=20_14.xlsx&amp;sheet=U0&amp;row=1558&amp;col=6&amp;number=4.4&amp;sourceID=14","4.4")</f>
        <v>4.4</v>
      </c>
      <c r="G1558" s="4" t="str">
        <f>HYPERLINK("http://141.218.60.56/~jnz1568/getInfo.php?workbook=20_14.xlsx&amp;sheet=U0&amp;row=1558&amp;col=7&amp;number=0.0859&amp;sourceID=14","0.0859")</f>
        <v>0.0859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HYPERLINK("http://141.218.60.56/~jnz1568/getInfo.php?workbook=20_14.xlsx&amp;sheet=U0&amp;row=1559&amp;col=6&amp;number=4.5&amp;sourceID=14","4.5")</f>
        <v>4.5</v>
      </c>
      <c r="G1559" s="4" t="str">
        <f>HYPERLINK("http://141.218.60.56/~jnz1568/getInfo.php?workbook=20_14.xlsx&amp;sheet=U0&amp;row=1559&amp;col=7&amp;number=0.0857&amp;sourceID=14","0.0857")</f>
        <v>0.0857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HYPERLINK("http://141.218.60.56/~jnz1568/getInfo.php?workbook=20_14.xlsx&amp;sheet=U0&amp;row=1560&amp;col=6&amp;number=4.6&amp;sourceID=14","4.6")</f>
        <v>4.6</v>
      </c>
      <c r="G1560" s="4" t="str">
        <f>HYPERLINK("http://141.218.60.56/~jnz1568/getInfo.php?workbook=20_14.xlsx&amp;sheet=U0&amp;row=1560&amp;col=7&amp;number=0.0853&amp;sourceID=14","0.0853")</f>
        <v>0.0853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HYPERLINK("http://141.218.60.56/~jnz1568/getInfo.php?workbook=20_14.xlsx&amp;sheet=U0&amp;row=1561&amp;col=6&amp;number=4.7&amp;sourceID=14","4.7")</f>
        <v>4.7</v>
      </c>
      <c r="G1561" s="4" t="str">
        <f>HYPERLINK("http://141.218.60.56/~jnz1568/getInfo.php?workbook=20_14.xlsx&amp;sheet=U0&amp;row=1561&amp;col=7&amp;number=0.0849&amp;sourceID=14","0.0849")</f>
        <v>0.0849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HYPERLINK("http://141.218.60.56/~jnz1568/getInfo.php?workbook=20_14.xlsx&amp;sheet=U0&amp;row=1562&amp;col=6&amp;number=4.8&amp;sourceID=14","4.8")</f>
        <v>4.8</v>
      </c>
      <c r="G1562" s="4" t="str">
        <f>HYPERLINK("http://141.218.60.56/~jnz1568/getInfo.php?workbook=20_14.xlsx&amp;sheet=U0&amp;row=1562&amp;col=7&amp;number=0.0844&amp;sourceID=14","0.0844")</f>
        <v>0.0844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HYPERLINK("http://141.218.60.56/~jnz1568/getInfo.php?workbook=20_14.xlsx&amp;sheet=U0&amp;row=1563&amp;col=6&amp;number=4.9&amp;sourceID=14","4.9")</f>
        <v>4.9</v>
      </c>
      <c r="G1563" s="4" t="str">
        <f>HYPERLINK("http://141.218.60.56/~jnz1568/getInfo.php?workbook=20_14.xlsx&amp;sheet=U0&amp;row=1563&amp;col=7&amp;number=0.0837&amp;sourceID=14","0.0837")</f>
        <v>0.0837</v>
      </c>
    </row>
    <row r="1564" spans="1:7">
      <c r="A1564" s="3">
        <v>20</v>
      </c>
      <c r="B1564" s="3">
        <v>14</v>
      </c>
      <c r="C1564" s="3">
        <v>4</v>
      </c>
      <c r="D1564" s="3">
        <v>8</v>
      </c>
      <c r="E1564" s="3">
        <v>1</v>
      </c>
      <c r="F1564" s="4" t="str">
        <f>HYPERLINK("http://141.218.60.56/~jnz1568/getInfo.php?workbook=20_14.xlsx&amp;sheet=U0&amp;row=1564&amp;col=6&amp;number=3&amp;sourceID=14","3")</f>
        <v>3</v>
      </c>
      <c r="G1564" s="4" t="str">
        <f>HYPERLINK("http://141.218.60.56/~jnz1568/getInfo.php?workbook=20_14.xlsx&amp;sheet=U0&amp;row=1564&amp;col=7&amp;number=0.138&amp;sourceID=14","0.138")</f>
        <v>0.138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HYPERLINK("http://141.218.60.56/~jnz1568/getInfo.php?workbook=20_14.xlsx&amp;sheet=U0&amp;row=1565&amp;col=6&amp;number=3.1&amp;sourceID=14","3.1")</f>
        <v>3.1</v>
      </c>
      <c r="G1565" s="4" t="str">
        <f>HYPERLINK("http://141.218.60.56/~jnz1568/getInfo.php?workbook=20_14.xlsx&amp;sheet=U0&amp;row=1565&amp;col=7&amp;number=0.138&amp;sourceID=14","0.138")</f>
        <v>0.138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HYPERLINK("http://141.218.60.56/~jnz1568/getInfo.php?workbook=20_14.xlsx&amp;sheet=U0&amp;row=1566&amp;col=6&amp;number=3.2&amp;sourceID=14","3.2")</f>
        <v>3.2</v>
      </c>
      <c r="G1566" s="4" t="str">
        <f>HYPERLINK("http://141.218.60.56/~jnz1568/getInfo.php?workbook=20_14.xlsx&amp;sheet=U0&amp;row=1566&amp;col=7&amp;number=0.138&amp;sourceID=14","0.138")</f>
        <v>0.138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HYPERLINK("http://141.218.60.56/~jnz1568/getInfo.php?workbook=20_14.xlsx&amp;sheet=U0&amp;row=1567&amp;col=6&amp;number=3.3&amp;sourceID=14","3.3")</f>
        <v>3.3</v>
      </c>
      <c r="G1567" s="4" t="str">
        <f>HYPERLINK("http://141.218.60.56/~jnz1568/getInfo.php?workbook=20_14.xlsx&amp;sheet=U0&amp;row=1567&amp;col=7&amp;number=0.138&amp;sourceID=14","0.138")</f>
        <v>0.138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HYPERLINK("http://141.218.60.56/~jnz1568/getInfo.php?workbook=20_14.xlsx&amp;sheet=U0&amp;row=1568&amp;col=6&amp;number=3.4&amp;sourceID=14","3.4")</f>
        <v>3.4</v>
      </c>
      <c r="G1568" s="4" t="str">
        <f>HYPERLINK("http://141.218.60.56/~jnz1568/getInfo.php?workbook=20_14.xlsx&amp;sheet=U0&amp;row=1568&amp;col=7&amp;number=0.138&amp;sourceID=14","0.138")</f>
        <v>0.138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HYPERLINK("http://141.218.60.56/~jnz1568/getInfo.php?workbook=20_14.xlsx&amp;sheet=U0&amp;row=1569&amp;col=6&amp;number=3.5&amp;sourceID=14","3.5")</f>
        <v>3.5</v>
      </c>
      <c r="G1569" s="4" t="str">
        <f>HYPERLINK("http://141.218.60.56/~jnz1568/getInfo.php?workbook=20_14.xlsx&amp;sheet=U0&amp;row=1569&amp;col=7&amp;number=0.138&amp;sourceID=14","0.138")</f>
        <v>0.138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HYPERLINK("http://141.218.60.56/~jnz1568/getInfo.php?workbook=20_14.xlsx&amp;sheet=U0&amp;row=1570&amp;col=6&amp;number=3.6&amp;sourceID=14","3.6")</f>
        <v>3.6</v>
      </c>
      <c r="G1570" s="4" t="str">
        <f>HYPERLINK("http://141.218.60.56/~jnz1568/getInfo.php?workbook=20_14.xlsx&amp;sheet=U0&amp;row=1570&amp;col=7&amp;number=0.138&amp;sourceID=14","0.138")</f>
        <v>0.138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HYPERLINK("http://141.218.60.56/~jnz1568/getInfo.php?workbook=20_14.xlsx&amp;sheet=U0&amp;row=1571&amp;col=6&amp;number=3.7&amp;sourceID=14","3.7")</f>
        <v>3.7</v>
      </c>
      <c r="G1571" s="4" t="str">
        <f>HYPERLINK("http://141.218.60.56/~jnz1568/getInfo.php?workbook=20_14.xlsx&amp;sheet=U0&amp;row=1571&amp;col=7&amp;number=0.138&amp;sourceID=14","0.138")</f>
        <v>0.138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HYPERLINK("http://141.218.60.56/~jnz1568/getInfo.php?workbook=20_14.xlsx&amp;sheet=U0&amp;row=1572&amp;col=6&amp;number=3.8&amp;sourceID=14","3.8")</f>
        <v>3.8</v>
      </c>
      <c r="G1572" s="4" t="str">
        <f>HYPERLINK("http://141.218.60.56/~jnz1568/getInfo.php?workbook=20_14.xlsx&amp;sheet=U0&amp;row=1572&amp;col=7&amp;number=0.138&amp;sourceID=14","0.138")</f>
        <v>0.138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HYPERLINK("http://141.218.60.56/~jnz1568/getInfo.php?workbook=20_14.xlsx&amp;sheet=U0&amp;row=1573&amp;col=6&amp;number=3.9&amp;sourceID=14","3.9")</f>
        <v>3.9</v>
      </c>
      <c r="G1573" s="4" t="str">
        <f>HYPERLINK("http://141.218.60.56/~jnz1568/getInfo.php?workbook=20_14.xlsx&amp;sheet=U0&amp;row=1573&amp;col=7&amp;number=0.138&amp;sourceID=14","0.138")</f>
        <v>0.138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HYPERLINK("http://141.218.60.56/~jnz1568/getInfo.php?workbook=20_14.xlsx&amp;sheet=U0&amp;row=1574&amp;col=6&amp;number=4&amp;sourceID=14","4")</f>
        <v>4</v>
      </c>
      <c r="G1574" s="4" t="str">
        <f>HYPERLINK("http://141.218.60.56/~jnz1568/getInfo.php?workbook=20_14.xlsx&amp;sheet=U0&amp;row=1574&amp;col=7&amp;number=0.137&amp;sourceID=14","0.137")</f>
        <v>0.137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HYPERLINK("http://141.218.60.56/~jnz1568/getInfo.php?workbook=20_14.xlsx&amp;sheet=U0&amp;row=1575&amp;col=6&amp;number=4.1&amp;sourceID=14","4.1")</f>
        <v>4.1</v>
      </c>
      <c r="G1575" s="4" t="str">
        <f>HYPERLINK("http://141.218.60.56/~jnz1568/getInfo.php?workbook=20_14.xlsx&amp;sheet=U0&amp;row=1575&amp;col=7&amp;number=0.137&amp;sourceID=14","0.137")</f>
        <v>0.137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HYPERLINK("http://141.218.60.56/~jnz1568/getInfo.php?workbook=20_14.xlsx&amp;sheet=U0&amp;row=1576&amp;col=6&amp;number=4.2&amp;sourceID=14","4.2")</f>
        <v>4.2</v>
      </c>
      <c r="G1576" s="4" t="str">
        <f>HYPERLINK("http://141.218.60.56/~jnz1568/getInfo.php?workbook=20_14.xlsx&amp;sheet=U0&amp;row=1576&amp;col=7&amp;number=0.137&amp;sourceID=14","0.137")</f>
        <v>0.137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HYPERLINK("http://141.218.60.56/~jnz1568/getInfo.php?workbook=20_14.xlsx&amp;sheet=U0&amp;row=1577&amp;col=6&amp;number=4.3&amp;sourceID=14","4.3")</f>
        <v>4.3</v>
      </c>
      <c r="G1577" s="4" t="str">
        <f>HYPERLINK("http://141.218.60.56/~jnz1568/getInfo.php?workbook=20_14.xlsx&amp;sheet=U0&amp;row=1577&amp;col=7&amp;number=0.137&amp;sourceID=14","0.137")</f>
        <v>0.137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HYPERLINK("http://141.218.60.56/~jnz1568/getInfo.php?workbook=20_14.xlsx&amp;sheet=U0&amp;row=1578&amp;col=6&amp;number=4.4&amp;sourceID=14","4.4")</f>
        <v>4.4</v>
      </c>
      <c r="G1578" s="4" t="str">
        <f>HYPERLINK("http://141.218.60.56/~jnz1568/getInfo.php?workbook=20_14.xlsx&amp;sheet=U0&amp;row=1578&amp;col=7&amp;number=0.136&amp;sourceID=14","0.136")</f>
        <v>0.136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HYPERLINK("http://141.218.60.56/~jnz1568/getInfo.php?workbook=20_14.xlsx&amp;sheet=U0&amp;row=1579&amp;col=6&amp;number=4.5&amp;sourceID=14","4.5")</f>
        <v>4.5</v>
      </c>
      <c r="G1579" s="4" t="str">
        <f>HYPERLINK("http://141.218.60.56/~jnz1568/getInfo.php?workbook=20_14.xlsx&amp;sheet=U0&amp;row=1579&amp;col=7&amp;number=0.136&amp;sourceID=14","0.136")</f>
        <v>0.136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HYPERLINK("http://141.218.60.56/~jnz1568/getInfo.php?workbook=20_14.xlsx&amp;sheet=U0&amp;row=1580&amp;col=6&amp;number=4.6&amp;sourceID=14","4.6")</f>
        <v>4.6</v>
      </c>
      <c r="G1580" s="4" t="str">
        <f>HYPERLINK("http://141.218.60.56/~jnz1568/getInfo.php?workbook=20_14.xlsx&amp;sheet=U0&amp;row=1580&amp;col=7&amp;number=0.135&amp;sourceID=14","0.135")</f>
        <v>0.135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HYPERLINK("http://141.218.60.56/~jnz1568/getInfo.php?workbook=20_14.xlsx&amp;sheet=U0&amp;row=1581&amp;col=6&amp;number=4.7&amp;sourceID=14","4.7")</f>
        <v>4.7</v>
      </c>
      <c r="G1581" s="4" t="str">
        <f>HYPERLINK("http://141.218.60.56/~jnz1568/getInfo.php?workbook=20_14.xlsx&amp;sheet=U0&amp;row=1581&amp;col=7&amp;number=0.135&amp;sourceID=14","0.135")</f>
        <v>0.135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HYPERLINK("http://141.218.60.56/~jnz1568/getInfo.php?workbook=20_14.xlsx&amp;sheet=U0&amp;row=1582&amp;col=6&amp;number=4.8&amp;sourceID=14","4.8")</f>
        <v>4.8</v>
      </c>
      <c r="G1582" s="4" t="str">
        <f>HYPERLINK("http://141.218.60.56/~jnz1568/getInfo.php?workbook=20_14.xlsx&amp;sheet=U0&amp;row=1582&amp;col=7&amp;number=0.134&amp;sourceID=14","0.134")</f>
        <v>0.134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HYPERLINK("http://141.218.60.56/~jnz1568/getInfo.php?workbook=20_14.xlsx&amp;sheet=U0&amp;row=1583&amp;col=6&amp;number=4.9&amp;sourceID=14","4.9")</f>
        <v>4.9</v>
      </c>
      <c r="G1583" s="4" t="str">
        <f>HYPERLINK("http://141.218.60.56/~jnz1568/getInfo.php?workbook=20_14.xlsx&amp;sheet=U0&amp;row=1583&amp;col=7&amp;number=0.133&amp;sourceID=14","0.133")</f>
        <v>0.133</v>
      </c>
    </row>
    <row r="1584" spans="1:7">
      <c r="A1584" s="3">
        <v>20</v>
      </c>
      <c r="B1584" s="3">
        <v>14</v>
      </c>
      <c r="C1584" s="3">
        <v>4</v>
      </c>
      <c r="D1584" s="3">
        <v>9</v>
      </c>
      <c r="E1584" s="3">
        <v>1</v>
      </c>
      <c r="F1584" s="4" t="str">
        <f>HYPERLINK("http://141.218.60.56/~jnz1568/getInfo.php?workbook=20_14.xlsx&amp;sheet=U0&amp;row=1584&amp;col=6&amp;number=3&amp;sourceID=14","3")</f>
        <v>3</v>
      </c>
      <c r="G1584" s="4" t="str">
        <f>HYPERLINK("http://141.218.60.56/~jnz1568/getInfo.php?workbook=20_14.xlsx&amp;sheet=U0&amp;row=1584&amp;col=7&amp;number=0.192&amp;sourceID=14","0.192")</f>
        <v>0.192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HYPERLINK("http://141.218.60.56/~jnz1568/getInfo.php?workbook=20_14.xlsx&amp;sheet=U0&amp;row=1585&amp;col=6&amp;number=3.1&amp;sourceID=14","3.1")</f>
        <v>3.1</v>
      </c>
      <c r="G1585" s="4" t="str">
        <f>HYPERLINK("http://141.218.60.56/~jnz1568/getInfo.php?workbook=20_14.xlsx&amp;sheet=U0&amp;row=1585&amp;col=7&amp;number=0.192&amp;sourceID=14","0.192")</f>
        <v>0.192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HYPERLINK("http://141.218.60.56/~jnz1568/getInfo.php?workbook=20_14.xlsx&amp;sheet=U0&amp;row=1586&amp;col=6&amp;number=3.2&amp;sourceID=14","3.2")</f>
        <v>3.2</v>
      </c>
      <c r="G1586" s="4" t="str">
        <f>HYPERLINK("http://141.218.60.56/~jnz1568/getInfo.php?workbook=20_14.xlsx&amp;sheet=U0&amp;row=1586&amp;col=7&amp;number=0.192&amp;sourceID=14","0.192")</f>
        <v>0.192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HYPERLINK("http://141.218.60.56/~jnz1568/getInfo.php?workbook=20_14.xlsx&amp;sheet=U0&amp;row=1587&amp;col=6&amp;number=3.3&amp;sourceID=14","3.3")</f>
        <v>3.3</v>
      </c>
      <c r="G1587" s="4" t="str">
        <f>HYPERLINK("http://141.218.60.56/~jnz1568/getInfo.php?workbook=20_14.xlsx&amp;sheet=U0&amp;row=1587&amp;col=7&amp;number=0.192&amp;sourceID=14","0.192")</f>
        <v>0.192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HYPERLINK("http://141.218.60.56/~jnz1568/getInfo.php?workbook=20_14.xlsx&amp;sheet=U0&amp;row=1588&amp;col=6&amp;number=3.4&amp;sourceID=14","3.4")</f>
        <v>3.4</v>
      </c>
      <c r="G1588" s="4" t="str">
        <f>HYPERLINK("http://141.218.60.56/~jnz1568/getInfo.php?workbook=20_14.xlsx&amp;sheet=U0&amp;row=1588&amp;col=7&amp;number=0.192&amp;sourceID=14","0.192")</f>
        <v>0.192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HYPERLINK("http://141.218.60.56/~jnz1568/getInfo.php?workbook=20_14.xlsx&amp;sheet=U0&amp;row=1589&amp;col=6&amp;number=3.5&amp;sourceID=14","3.5")</f>
        <v>3.5</v>
      </c>
      <c r="G1589" s="4" t="str">
        <f>HYPERLINK("http://141.218.60.56/~jnz1568/getInfo.php?workbook=20_14.xlsx&amp;sheet=U0&amp;row=1589&amp;col=7&amp;number=0.192&amp;sourceID=14","0.192")</f>
        <v>0.192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HYPERLINK("http://141.218.60.56/~jnz1568/getInfo.php?workbook=20_14.xlsx&amp;sheet=U0&amp;row=1590&amp;col=6&amp;number=3.6&amp;sourceID=14","3.6")</f>
        <v>3.6</v>
      </c>
      <c r="G1590" s="4" t="str">
        <f>HYPERLINK("http://141.218.60.56/~jnz1568/getInfo.php?workbook=20_14.xlsx&amp;sheet=U0&amp;row=1590&amp;col=7&amp;number=0.192&amp;sourceID=14","0.192")</f>
        <v>0.192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HYPERLINK("http://141.218.60.56/~jnz1568/getInfo.php?workbook=20_14.xlsx&amp;sheet=U0&amp;row=1591&amp;col=6&amp;number=3.7&amp;sourceID=14","3.7")</f>
        <v>3.7</v>
      </c>
      <c r="G1591" s="4" t="str">
        <f>HYPERLINK("http://141.218.60.56/~jnz1568/getInfo.php?workbook=20_14.xlsx&amp;sheet=U0&amp;row=1591&amp;col=7&amp;number=0.191&amp;sourceID=14","0.191")</f>
        <v>0.191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HYPERLINK("http://141.218.60.56/~jnz1568/getInfo.php?workbook=20_14.xlsx&amp;sheet=U0&amp;row=1592&amp;col=6&amp;number=3.8&amp;sourceID=14","3.8")</f>
        <v>3.8</v>
      </c>
      <c r="G1592" s="4" t="str">
        <f>HYPERLINK("http://141.218.60.56/~jnz1568/getInfo.php?workbook=20_14.xlsx&amp;sheet=U0&amp;row=1592&amp;col=7&amp;number=0.191&amp;sourceID=14","0.191")</f>
        <v>0.191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HYPERLINK("http://141.218.60.56/~jnz1568/getInfo.php?workbook=20_14.xlsx&amp;sheet=U0&amp;row=1593&amp;col=6&amp;number=3.9&amp;sourceID=14","3.9")</f>
        <v>3.9</v>
      </c>
      <c r="G1593" s="4" t="str">
        <f>HYPERLINK("http://141.218.60.56/~jnz1568/getInfo.php?workbook=20_14.xlsx&amp;sheet=U0&amp;row=1593&amp;col=7&amp;number=0.191&amp;sourceID=14","0.191")</f>
        <v>0.191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HYPERLINK("http://141.218.60.56/~jnz1568/getInfo.php?workbook=20_14.xlsx&amp;sheet=U0&amp;row=1594&amp;col=6&amp;number=4&amp;sourceID=14","4")</f>
        <v>4</v>
      </c>
      <c r="G1594" s="4" t="str">
        <f>HYPERLINK("http://141.218.60.56/~jnz1568/getInfo.php?workbook=20_14.xlsx&amp;sheet=U0&amp;row=1594&amp;col=7&amp;number=0.191&amp;sourceID=14","0.191")</f>
        <v>0.191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HYPERLINK("http://141.218.60.56/~jnz1568/getInfo.php?workbook=20_14.xlsx&amp;sheet=U0&amp;row=1595&amp;col=6&amp;number=4.1&amp;sourceID=14","4.1")</f>
        <v>4.1</v>
      </c>
      <c r="G1595" s="4" t="str">
        <f>HYPERLINK("http://141.218.60.56/~jnz1568/getInfo.php?workbook=20_14.xlsx&amp;sheet=U0&amp;row=1595&amp;col=7&amp;number=0.191&amp;sourceID=14","0.191")</f>
        <v>0.191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HYPERLINK("http://141.218.60.56/~jnz1568/getInfo.php?workbook=20_14.xlsx&amp;sheet=U0&amp;row=1596&amp;col=6&amp;number=4.2&amp;sourceID=14","4.2")</f>
        <v>4.2</v>
      </c>
      <c r="G1596" s="4" t="str">
        <f>HYPERLINK("http://141.218.60.56/~jnz1568/getInfo.php?workbook=20_14.xlsx&amp;sheet=U0&amp;row=1596&amp;col=7&amp;number=0.19&amp;sourceID=14","0.19")</f>
        <v>0.19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HYPERLINK("http://141.218.60.56/~jnz1568/getInfo.php?workbook=20_14.xlsx&amp;sheet=U0&amp;row=1597&amp;col=6&amp;number=4.3&amp;sourceID=14","4.3")</f>
        <v>4.3</v>
      </c>
      <c r="G1597" s="4" t="str">
        <f>HYPERLINK("http://141.218.60.56/~jnz1568/getInfo.php?workbook=20_14.xlsx&amp;sheet=U0&amp;row=1597&amp;col=7&amp;number=0.19&amp;sourceID=14","0.19")</f>
        <v>0.19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HYPERLINK("http://141.218.60.56/~jnz1568/getInfo.php?workbook=20_14.xlsx&amp;sheet=U0&amp;row=1598&amp;col=6&amp;number=4.4&amp;sourceID=14","4.4")</f>
        <v>4.4</v>
      </c>
      <c r="G1598" s="4" t="str">
        <f>HYPERLINK("http://141.218.60.56/~jnz1568/getInfo.php?workbook=20_14.xlsx&amp;sheet=U0&amp;row=1598&amp;col=7&amp;number=0.19&amp;sourceID=14","0.19")</f>
        <v>0.19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HYPERLINK("http://141.218.60.56/~jnz1568/getInfo.php?workbook=20_14.xlsx&amp;sheet=U0&amp;row=1599&amp;col=6&amp;number=4.5&amp;sourceID=14","4.5")</f>
        <v>4.5</v>
      </c>
      <c r="G1599" s="4" t="str">
        <f>HYPERLINK("http://141.218.60.56/~jnz1568/getInfo.php?workbook=20_14.xlsx&amp;sheet=U0&amp;row=1599&amp;col=7&amp;number=0.189&amp;sourceID=14","0.189")</f>
        <v>0.189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HYPERLINK("http://141.218.60.56/~jnz1568/getInfo.php?workbook=20_14.xlsx&amp;sheet=U0&amp;row=1600&amp;col=6&amp;number=4.6&amp;sourceID=14","4.6")</f>
        <v>4.6</v>
      </c>
      <c r="G1600" s="4" t="str">
        <f>HYPERLINK("http://141.218.60.56/~jnz1568/getInfo.php?workbook=20_14.xlsx&amp;sheet=U0&amp;row=1600&amp;col=7&amp;number=0.188&amp;sourceID=14","0.188")</f>
        <v>0.188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HYPERLINK("http://141.218.60.56/~jnz1568/getInfo.php?workbook=20_14.xlsx&amp;sheet=U0&amp;row=1601&amp;col=6&amp;number=4.7&amp;sourceID=14","4.7")</f>
        <v>4.7</v>
      </c>
      <c r="G1601" s="4" t="str">
        <f>HYPERLINK("http://141.218.60.56/~jnz1568/getInfo.php?workbook=20_14.xlsx&amp;sheet=U0&amp;row=1601&amp;col=7&amp;number=0.187&amp;sourceID=14","0.187")</f>
        <v>0.187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HYPERLINK("http://141.218.60.56/~jnz1568/getInfo.php?workbook=20_14.xlsx&amp;sheet=U0&amp;row=1602&amp;col=6&amp;number=4.8&amp;sourceID=14","4.8")</f>
        <v>4.8</v>
      </c>
      <c r="G1602" s="4" t="str">
        <f>HYPERLINK("http://141.218.60.56/~jnz1568/getInfo.php?workbook=20_14.xlsx&amp;sheet=U0&amp;row=1602&amp;col=7&amp;number=0.186&amp;sourceID=14","0.186")</f>
        <v>0.186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HYPERLINK("http://141.218.60.56/~jnz1568/getInfo.php?workbook=20_14.xlsx&amp;sheet=U0&amp;row=1603&amp;col=6&amp;number=4.9&amp;sourceID=14","4.9")</f>
        <v>4.9</v>
      </c>
      <c r="G1603" s="4" t="str">
        <f>HYPERLINK("http://141.218.60.56/~jnz1568/getInfo.php?workbook=20_14.xlsx&amp;sheet=U0&amp;row=1603&amp;col=7&amp;number=0.185&amp;sourceID=14","0.185")</f>
        <v>0.185</v>
      </c>
    </row>
    <row r="1604" spans="1:7">
      <c r="A1604" s="3">
        <v>20</v>
      </c>
      <c r="B1604" s="3">
        <v>14</v>
      </c>
      <c r="C1604" s="3">
        <v>4</v>
      </c>
      <c r="D1604" s="3">
        <v>10</v>
      </c>
      <c r="E1604" s="3">
        <v>1</v>
      </c>
      <c r="F1604" s="4" t="str">
        <f>HYPERLINK("http://141.218.60.56/~jnz1568/getInfo.php?workbook=20_14.xlsx&amp;sheet=U0&amp;row=1604&amp;col=6&amp;number=3&amp;sourceID=14","3")</f>
        <v>3</v>
      </c>
      <c r="G1604" s="4" t="str">
        <f>HYPERLINK("http://141.218.60.56/~jnz1568/getInfo.php?workbook=20_14.xlsx&amp;sheet=U0&amp;row=1604&amp;col=7&amp;number=0.00729&amp;sourceID=14","0.00729")</f>
        <v>0.00729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HYPERLINK("http://141.218.60.56/~jnz1568/getInfo.php?workbook=20_14.xlsx&amp;sheet=U0&amp;row=1605&amp;col=6&amp;number=3.1&amp;sourceID=14","3.1")</f>
        <v>3.1</v>
      </c>
      <c r="G1605" s="4" t="str">
        <f>HYPERLINK("http://141.218.60.56/~jnz1568/getInfo.php?workbook=20_14.xlsx&amp;sheet=U0&amp;row=1605&amp;col=7&amp;number=0.00728&amp;sourceID=14","0.00728")</f>
        <v>0.00728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HYPERLINK("http://141.218.60.56/~jnz1568/getInfo.php?workbook=20_14.xlsx&amp;sheet=U0&amp;row=1606&amp;col=6&amp;number=3.2&amp;sourceID=14","3.2")</f>
        <v>3.2</v>
      </c>
      <c r="G1606" s="4" t="str">
        <f>HYPERLINK("http://141.218.60.56/~jnz1568/getInfo.php?workbook=20_14.xlsx&amp;sheet=U0&amp;row=1606&amp;col=7&amp;number=0.00728&amp;sourceID=14","0.00728")</f>
        <v>0.00728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HYPERLINK("http://141.218.60.56/~jnz1568/getInfo.php?workbook=20_14.xlsx&amp;sheet=U0&amp;row=1607&amp;col=6&amp;number=3.3&amp;sourceID=14","3.3")</f>
        <v>3.3</v>
      </c>
      <c r="G1607" s="4" t="str">
        <f>HYPERLINK("http://141.218.60.56/~jnz1568/getInfo.php?workbook=20_14.xlsx&amp;sheet=U0&amp;row=1607&amp;col=7&amp;number=0.00728&amp;sourceID=14","0.00728")</f>
        <v>0.00728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HYPERLINK("http://141.218.60.56/~jnz1568/getInfo.php?workbook=20_14.xlsx&amp;sheet=U0&amp;row=1608&amp;col=6&amp;number=3.4&amp;sourceID=14","3.4")</f>
        <v>3.4</v>
      </c>
      <c r="G1608" s="4" t="str">
        <f>HYPERLINK("http://141.218.60.56/~jnz1568/getInfo.php?workbook=20_14.xlsx&amp;sheet=U0&amp;row=1608&amp;col=7&amp;number=0.00728&amp;sourceID=14","0.00728")</f>
        <v>0.00728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HYPERLINK("http://141.218.60.56/~jnz1568/getInfo.php?workbook=20_14.xlsx&amp;sheet=U0&amp;row=1609&amp;col=6&amp;number=3.5&amp;sourceID=14","3.5")</f>
        <v>3.5</v>
      </c>
      <c r="G1609" s="4" t="str">
        <f>HYPERLINK("http://141.218.60.56/~jnz1568/getInfo.php?workbook=20_14.xlsx&amp;sheet=U0&amp;row=1609&amp;col=7&amp;number=0.00728&amp;sourceID=14","0.00728")</f>
        <v>0.00728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HYPERLINK("http://141.218.60.56/~jnz1568/getInfo.php?workbook=20_14.xlsx&amp;sheet=U0&amp;row=1610&amp;col=6&amp;number=3.6&amp;sourceID=14","3.6")</f>
        <v>3.6</v>
      </c>
      <c r="G1610" s="4" t="str">
        <f>HYPERLINK("http://141.218.60.56/~jnz1568/getInfo.php?workbook=20_14.xlsx&amp;sheet=U0&amp;row=1610&amp;col=7&amp;number=0.00727&amp;sourceID=14","0.00727")</f>
        <v>0.00727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HYPERLINK("http://141.218.60.56/~jnz1568/getInfo.php?workbook=20_14.xlsx&amp;sheet=U0&amp;row=1611&amp;col=6&amp;number=3.7&amp;sourceID=14","3.7")</f>
        <v>3.7</v>
      </c>
      <c r="G1611" s="4" t="str">
        <f>HYPERLINK("http://141.218.60.56/~jnz1568/getInfo.php?workbook=20_14.xlsx&amp;sheet=U0&amp;row=1611&amp;col=7&amp;number=0.00727&amp;sourceID=14","0.00727")</f>
        <v>0.00727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HYPERLINK("http://141.218.60.56/~jnz1568/getInfo.php?workbook=20_14.xlsx&amp;sheet=U0&amp;row=1612&amp;col=6&amp;number=3.8&amp;sourceID=14","3.8")</f>
        <v>3.8</v>
      </c>
      <c r="G1612" s="4" t="str">
        <f>HYPERLINK("http://141.218.60.56/~jnz1568/getInfo.php?workbook=20_14.xlsx&amp;sheet=U0&amp;row=1612&amp;col=7&amp;number=0.00726&amp;sourceID=14","0.00726")</f>
        <v>0.00726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HYPERLINK("http://141.218.60.56/~jnz1568/getInfo.php?workbook=20_14.xlsx&amp;sheet=U0&amp;row=1613&amp;col=6&amp;number=3.9&amp;sourceID=14","3.9")</f>
        <v>3.9</v>
      </c>
      <c r="G1613" s="4" t="str">
        <f>HYPERLINK("http://141.218.60.56/~jnz1568/getInfo.php?workbook=20_14.xlsx&amp;sheet=U0&amp;row=1613&amp;col=7&amp;number=0.00726&amp;sourceID=14","0.00726")</f>
        <v>0.00726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HYPERLINK("http://141.218.60.56/~jnz1568/getInfo.php?workbook=20_14.xlsx&amp;sheet=U0&amp;row=1614&amp;col=6&amp;number=4&amp;sourceID=14","4")</f>
        <v>4</v>
      </c>
      <c r="G1614" s="4" t="str">
        <f>HYPERLINK("http://141.218.60.56/~jnz1568/getInfo.php?workbook=20_14.xlsx&amp;sheet=U0&amp;row=1614&amp;col=7&amp;number=0.00725&amp;sourceID=14","0.00725")</f>
        <v>0.00725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HYPERLINK("http://141.218.60.56/~jnz1568/getInfo.php?workbook=20_14.xlsx&amp;sheet=U0&amp;row=1615&amp;col=6&amp;number=4.1&amp;sourceID=14","4.1")</f>
        <v>4.1</v>
      </c>
      <c r="G1615" s="4" t="str">
        <f>HYPERLINK("http://141.218.60.56/~jnz1568/getInfo.php?workbook=20_14.xlsx&amp;sheet=U0&amp;row=1615&amp;col=7&amp;number=0.00724&amp;sourceID=14","0.00724")</f>
        <v>0.00724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HYPERLINK("http://141.218.60.56/~jnz1568/getInfo.php?workbook=20_14.xlsx&amp;sheet=U0&amp;row=1616&amp;col=6&amp;number=4.2&amp;sourceID=14","4.2")</f>
        <v>4.2</v>
      </c>
      <c r="G1616" s="4" t="str">
        <f>HYPERLINK("http://141.218.60.56/~jnz1568/getInfo.php?workbook=20_14.xlsx&amp;sheet=U0&amp;row=1616&amp;col=7&amp;number=0.00723&amp;sourceID=14","0.00723")</f>
        <v>0.00723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HYPERLINK("http://141.218.60.56/~jnz1568/getInfo.php?workbook=20_14.xlsx&amp;sheet=U0&amp;row=1617&amp;col=6&amp;number=4.3&amp;sourceID=14","4.3")</f>
        <v>4.3</v>
      </c>
      <c r="G1617" s="4" t="str">
        <f>HYPERLINK("http://141.218.60.56/~jnz1568/getInfo.php?workbook=20_14.xlsx&amp;sheet=U0&amp;row=1617&amp;col=7&amp;number=0.00721&amp;sourceID=14","0.00721")</f>
        <v>0.00721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HYPERLINK("http://141.218.60.56/~jnz1568/getInfo.php?workbook=20_14.xlsx&amp;sheet=U0&amp;row=1618&amp;col=6&amp;number=4.4&amp;sourceID=14","4.4")</f>
        <v>4.4</v>
      </c>
      <c r="G1618" s="4" t="str">
        <f>HYPERLINK("http://141.218.60.56/~jnz1568/getInfo.php?workbook=20_14.xlsx&amp;sheet=U0&amp;row=1618&amp;col=7&amp;number=0.00719&amp;sourceID=14","0.00719")</f>
        <v>0.00719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HYPERLINK("http://141.218.60.56/~jnz1568/getInfo.php?workbook=20_14.xlsx&amp;sheet=U0&amp;row=1619&amp;col=6&amp;number=4.5&amp;sourceID=14","4.5")</f>
        <v>4.5</v>
      </c>
      <c r="G1619" s="4" t="str">
        <f>HYPERLINK("http://141.218.60.56/~jnz1568/getInfo.php?workbook=20_14.xlsx&amp;sheet=U0&amp;row=1619&amp;col=7&amp;number=0.00717&amp;sourceID=14","0.00717")</f>
        <v>0.00717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HYPERLINK("http://141.218.60.56/~jnz1568/getInfo.php?workbook=20_14.xlsx&amp;sheet=U0&amp;row=1620&amp;col=6&amp;number=4.6&amp;sourceID=14","4.6")</f>
        <v>4.6</v>
      </c>
      <c r="G1620" s="4" t="str">
        <f>HYPERLINK("http://141.218.60.56/~jnz1568/getInfo.php?workbook=20_14.xlsx&amp;sheet=U0&amp;row=1620&amp;col=7&amp;number=0.00714&amp;sourceID=14","0.00714")</f>
        <v>0.00714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HYPERLINK("http://141.218.60.56/~jnz1568/getInfo.php?workbook=20_14.xlsx&amp;sheet=U0&amp;row=1621&amp;col=6&amp;number=4.7&amp;sourceID=14","4.7")</f>
        <v>4.7</v>
      </c>
      <c r="G1621" s="4" t="str">
        <f>HYPERLINK("http://141.218.60.56/~jnz1568/getInfo.php?workbook=20_14.xlsx&amp;sheet=U0&amp;row=1621&amp;col=7&amp;number=0.0071&amp;sourceID=14","0.0071")</f>
        <v>0.0071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HYPERLINK("http://141.218.60.56/~jnz1568/getInfo.php?workbook=20_14.xlsx&amp;sheet=U0&amp;row=1622&amp;col=6&amp;number=4.8&amp;sourceID=14","4.8")</f>
        <v>4.8</v>
      </c>
      <c r="G1622" s="4" t="str">
        <f>HYPERLINK("http://141.218.60.56/~jnz1568/getInfo.php?workbook=20_14.xlsx&amp;sheet=U0&amp;row=1622&amp;col=7&amp;number=0.00705&amp;sourceID=14","0.00705")</f>
        <v>0.00705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HYPERLINK("http://141.218.60.56/~jnz1568/getInfo.php?workbook=20_14.xlsx&amp;sheet=U0&amp;row=1623&amp;col=6&amp;number=4.9&amp;sourceID=14","4.9")</f>
        <v>4.9</v>
      </c>
      <c r="G1623" s="4" t="str">
        <f>HYPERLINK("http://141.218.60.56/~jnz1568/getInfo.php?workbook=20_14.xlsx&amp;sheet=U0&amp;row=1623&amp;col=7&amp;number=0.00699&amp;sourceID=14","0.00699")</f>
        <v>0.00699</v>
      </c>
    </row>
    <row r="1624" spans="1:7">
      <c r="A1624" s="3">
        <v>20</v>
      </c>
      <c r="B1624" s="3">
        <v>14</v>
      </c>
      <c r="C1624" s="3">
        <v>4</v>
      </c>
      <c r="D1624" s="3">
        <v>11</v>
      </c>
      <c r="E1624" s="3">
        <v>1</v>
      </c>
      <c r="F1624" s="4" t="str">
        <f>HYPERLINK("http://141.218.60.56/~jnz1568/getInfo.php?workbook=20_14.xlsx&amp;sheet=U0&amp;row=1624&amp;col=6&amp;number=3&amp;sourceID=14","3")</f>
        <v>3</v>
      </c>
      <c r="G1624" s="4" t="str">
        <f>HYPERLINK("http://141.218.60.56/~jnz1568/getInfo.php?workbook=20_14.xlsx&amp;sheet=U0&amp;row=1624&amp;col=7&amp;number=0.0283&amp;sourceID=14","0.0283")</f>
        <v>0.0283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HYPERLINK("http://141.218.60.56/~jnz1568/getInfo.php?workbook=20_14.xlsx&amp;sheet=U0&amp;row=1625&amp;col=6&amp;number=3.1&amp;sourceID=14","3.1")</f>
        <v>3.1</v>
      </c>
      <c r="G1625" s="4" t="str">
        <f>HYPERLINK("http://141.218.60.56/~jnz1568/getInfo.php?workbook=20_14.xlsx&amp;sheet=U0&amp;row=1625&amp;col=7&amp;number=0.0283&amp;sourceID=14","0.0283")</f>
        <v>0.0283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HYPERLINK("http://141.218.60.56/~jnz1568/getInfo.php?workbook=20_14.xlsx&amp;sheet=U0&amp;row=1626&amp;col=6&amp;number=3.2&amp;sourceID=14","3.2")</f>
        <v>3.2</v>
      </c>
      <c r="G1626" s="4" t="str">
        <f>HYPERLINK("http://141.218.60.56/~jnz1568/getInfo.php?workbook=20_14.xlsx&amp;sheet=U0&amp;row=1626&amp;col=7&amp;number=0.0283&amp;sourceID=14","0.0283")</f>
        <v>0.0283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HYPERLINK("http://141.218.60.56/~jnz1568/getInfo.php?workbook=20_14.xlsx&amp;sheet=U0&amp;row=1627&amp;col=6&amp;number=3.3&amp;sourceID=14","3.3")</f>
        <v>3.3</v>
      </c>
      <c r="G1627" s="4" t="str">
        <f>HYPERLINK("http://141.218.60.56/~jnz1568/getInfo.php?workbook=20_14.xlsx&amp;sheet=U0&amp;row=1627&amp;col=7&amp;number=0.0283&amp;sourceID=14","0.0283")</f>
        <v>0.0283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HYPERLINK("http://141.218.60.56/~jnz1568/getInfo.php?workbook=20_14.xlsx&amp;sheet=U0&amp;row=1628&amp;col=6&amp;number=3.4&amp;sourceID=14","3.4")</f>
        <v>3.4</v>
      </c>
      <c r="G1628" s="4" t="str">
        <f>HYPERLINK("http://141.218.60.56/~jnz1568/getInfo.php?workbook=20_14.xlsx&amp;sheet=U0&amp;row=1628&amp;col=7&amp;number=0.0283&amp;sourceID=14","0.0283")</f>
        <v>0.0283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HYPERLINK("http://141.218.60.56/~jnz1568/getInfo.php?workbook=20_14.xlsx&amp;sheet=U0&amp;row=1629&amp;col=6&amp;number=3.5&amp;sourceID=14","3.5")</f>
        <v>3.5</v>
      </c>
      <c r="G1629" s="4" t="str">
        <f>HYPERLINK("http://141.218.60.56/~jnz1568/getInfo.php?workbook=20_14.xlsx&amp;sheet=U0&amp;row=1629&amp;col=7&amp;number=0.0283&amp;sourceID=14","0.0283")</f>
        <v>0.0283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HYPERLINK("http://141.218.60.56/~jnz1568/getInfo.php?workbook=20_14.xlsx&amp;sheet=U0&amp;row=1630&amp;col=6&amp;number=3.6&amp;sourceID=14","3.6")</f>
        <v>3.6</v>
      </c>
      <c r="G1630" s="4" t="str">
        <f>HYPERLINK("http://141.218.60.56/~jnz1568/getInfo.php?workbook=20_14.xlsx&amp;sheet=U0&amp;row=1630&amp;col=7&amp;number=0.0282&amp;sourceID=14","0.0282")</f>
        <v>0.0282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HYPERLINK("http://141.218.60.56/~jnz1568/getInfo.php?workbook=20_14.xlsx&amp;sheet=U0&amp;row=1631&amp;col=6&amp;number=3.7&amp;sourceID=14","3.7")</f>
        <v>3.7</v>
      </c>
      <c r="G1631" s="4" t="str">
        <f>HYPERLINK("http://141.218.60.56/~jnz1568/getInfo.php?workbook=20_14.xlsx&amp;sheet=U0&amp;row=1631&amp;col=7&amp;number=0.0282&amp;sourceID=14","0.0282")</f>
        <v>0.0282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HYPERLINK("http://141.218.60.56/~jnz1568/getInfo.php?workbook=20_14.xlsx&amp;sheet=U0&amp;row=1632&amp;col=6&amp;number=3.8&amp;sourceID=14","3.8")</f>
        <v>3.8</v>
      </c>
      <c r="G1632" s="4" t="str">
        <f>HYPERLINK("http://141.218.60.56/~jnz1568/getInfo.php?workbook=20_14.xlsx&amp;sheet=U0&amp;row=1632&amp;col=7&amp;number=0.0282&amp;sourceID=14","0.0282")</f>
        <v>0.0282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HYPERLINK("http://141.218.60.56/~jnz1568/getInfo.php?workbook=20_14.xlsx&amp;sheet=U0&amp;row=1633&amp;col=6&amp;number=3.9&amp;sourceID=14","3.9")</f>
        <v>3.9</v>
      </c>
      <c r="G1633" s="4" t="str">
        <f>HYPERLINK("http://141.218.60.56/~jnz1568/getInfo.php?workbook=20_14.xlsx&amp;sheet=U0&amp;row=1633&amp;col=7&amp;number=0.0282&amp;sourceID=14","0.0282")</f>
        <v>0.0282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HYPERLINK("http://141.218.60.56/~jnz1568/getInfo.php?workbook=20_14.xlsx&amp;sheet=U0&amp;row=1634&amp;col=6&amp;number=4&amp;sourceID=14","4")</f>
        <v>4</v>
      </c>
      <c r="G1634" s="4" t="str">
        <f>HYPERLINK("http://141.218.60.56/~jnz1568/getInfo.php?workbook=20_14.xlsx&amp;sheet=U0&amp;row=1634&amp;col=7&amp;number=0.0282&amp;sourceID=14","0.0282")</f>
        <v>0.0282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HYPERLINK("http://141.218.60.56/~jnz1568/getInfo.php?workbook=20_14.xlsx&amp;sheet=U0&amp;row=1635&amp;col=6&amp;number=4.1&amp;sourceID=14","4.1")</f>
        <v>4.1</v>
      </c>
      <c r="G1635" s="4" t="str">
        <f>HYPERLINK("http://141.218.60.56/~jnz1568/getInfo.php?workbook=20_14.xlsx&amp;sheet=U0&amp;row=1635&amp;col=7&amp;number=0.0282&amp;sourceID=14","0.0282")</f>
        <v>0.0282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HYPERLINK("http://141.218.60.56/~jnz1568/getInfo.php?workbook=20_14.xlsx&amp;sheet=U0&amp;row=1636&amp;col=6&amp;number=4.2&amp;sourceID=14","4.2")</f>
        <v>4.2</v>
      </c>
      <c r="G1636" s="4" t="str">
        <f>HYPERLINK("http://141.218.60.56/~jnz1568/getInfo.php?workbook=20_14.xlsx&amp;sheet=U0&amp;row=1636&amp;col=7&amp;number=0.0281&amp;sourceID=14","0.0281")</f>
        <v>0.0281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HYPERLINK("http://141.218.60.56/~jnz1568/getInfo.php?workbook=20_14.xlsx&amp;sheet=U0&amp;row=1637&amp;col=6&amp;number=4.3&amp;sourceID=14","4.3")</f>
        <v>4.3</v>
      </c>
      <c r="G1637" s="4" t="str">
        <f>HYPERLINK("http://141.218.60.56/~jnz1568/getInfo.php?workbook=20_14.xlsx&amp;sheet=U0&amp;row=1637&amp;col=7&amp;number=0.0281&amp;sourceID=14","0.0281")</f>
        <v>0.0281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HYPERLINK("http://141.218.60.56/~jnz1568/getInfo.php?workbook=20_14.xlsx&amp;sheet=U0&amp;row=1638&amp;col=6&amp;number=4.4&amp;sourceID=14","4.4")</f>
        <v>4.4</v>
      </c>
      <c r="G1638" s="4" t="str">
        <f>HYPERLINK("http://141.218.60.56/~jnz1568/getInfo.php?workbook=20_14.xlsx&amp;sheet=U0&amp;row=1638&amp;col=7&amp;number=0.028&amp;sourceID=14","0.028")</f>
        <v>0.028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HYPERLINK("http://141.218.60.56/~jnz1568/getInfo.php?workbook=20_14.xlsx&amp;sheet=U0&amp;row=1639&amp;col=6&amp;number=4.5&amp;sourceID=14","4.5")</f>
        <v>4.5</v>
      </c>
      <c r="G1639" s="4" t="str">
        <f>HYPERLINK("http://141.218.60.56/~jnz1568/getInfo.php?workbook=20_14.xlsx&amp;sheet=U0&amp;row=1639&amp;col=7&amp;number=0.028&amp;sourceID=14","0.028")</f>
        <v>0.028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HYPERLINK("http://141.218.60.56/~jnz1568/getInfo.php?workbook=20_14.xlsx&amp;sheet=U0&amp;row=1640&amp;col=6&amp;number=4.6&amp;sourceID=14","4.6")</f>
        <v>4.6</v>
      </c>
      <c r="G1640" s="4" t="str">
        <f>HYPERLINK("http://141.218.60.56/~jnz1568/getInfo.php?workbook=20_14.xlsx&amp;sheet=U0&amp;row=1640&amp;col=7&amp;number=0.0279&amp;sourceID=14","0.0279")</f>
        <v>0.0279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HYPERLINK("http://141.218.60.56/~jnz1568/getInfo.php?workbook=20_14.xlsx&amp;sheet=U0&amp;row=1641&amp;col=6&amp;number=4.7&amp;sourceID=14","4.7")</f>
        <v>4.7</v>
      </c>
      <c r="G1641" s="4" t="str">
        <f>HYPERLINK("http://141.218.60.56/~jnz1568/getInfo.php?workbook=20_14.xlsx&amp;sheet=U0&amp;row=1641&amp;col=7&amp;number=0.0278&amp;sourceID=14","0.0278")</f>
        <v>0.0278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HYPERLINK("http://141.218.60.56/~jnz1568/getInfo.php?workbook=20_14.xlsx&amp;sheet=U0&amp;row=1642&amp;col=6&amp;number=4.8&amp;sourceID=14","4.8")</f>
        <v>4.8</v>
      </c>
      <c r="G1642" s="4" t="str">
        <f>HYPERLINK("http://141.218.60.56/~jnz1568/getInfo.php?workbook=20_14.xlsx&amp;sheet=U0&amp;row=1642&amp;col=7&amp;number=0.0277&amp;sourceID=14","0.0277")</f>
        <v>0.0277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HYPERLINK("http://141.218.60.56/~jnz1568/getInfo.php?workbook=20_14.xlsx&amp;sheet=U0&amp;row=1643&amp;col=6&amp;number=4.9&amp;sourceID=14","4.9")</f>
        <v>4.9</v>
      </c>
      <c r="G1643" s="4" t="str">
        <f>HYPERLINK("http://141.218.60.56/~jnz1568/getInfo.php?workbook=20_14.xlsx&amp;sheet=U0&amp;row=1643&amp;col=7&amp;number=0.0275&amp;sourceID=14","0.0275")</f>
        <v>0.0275</v>
      </c>
    </row>
    <row r="1644" spans="1:7">
      <c r="A1644" s="3">
        <v>20</v>
      </c>
      <c r="B1644" s="3">
        <v>14</v>
      </c>
      <c r="C1644" s="3">
        <v>4</v>
      </c>
      <c r="D1644" s="3">
        <v>12</v>
      </c>
      <c r="E1644" s="3">
        <v>1</v>
      </c>
      <c r="F1644" s="4" t="str">
        <f>HYPERLINK("http://141.218.60.56/~jnz1568/getInfo.php?workbook=20_14.xlsx&amp;sheet=U0&amp;row=1644&amp;col=6&amp;number=3&amp;sourceID=14","3")</f>
        <v>3</v>
      </c>
      <c r="G1644" s="4" t="str">
        <f>HYPERLINK("http://141.218.60.56/~jnz1568/getInfo.php?workbook=20_14.xlsx&amp;sheet=U0&amp;row=1644&amp;col=7&amp;number=0.0462&amp;sourceID=14","0.0462")</f>
        <v>0.0462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HYPERLINK("http://141.218.60.56/~jnz1568/getInfo.php?workbook=20_14.xlsx&amp;sheet=U0&amp;row=1645&amp;col=6&amp;number=3.1&amp;sourceID=14","3.1")</f>
        <v>3.1</v>
      </c>
      <c r="G1645" s="4" t="str">
        <f>HYPERLINK("http://141.218.60.56/~jnz1568/getInfo.php?workbook=20_14.xlsx&amp;sheet=U0&amp;row=1645&amp;col=7&amp;number=0.0462&amp;sourceID=14","0.0462")</f>
        <v>0.0462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HYPERLINK("http://141.218.60.56/~jnz1568/getInfo.php?workbook=20_14.xlsx&amp;sheet=U0&amp;row=1646&amp;col=6&amp;number=3.2&amp;sourceID=14","3.2")</f>
        <v>3.2</v>
      </c>
      <c r="G1646" s="4" t="str">
        <f>HYPERLINK("http://141.218.60.56/~jnz1568/getInfo.php?workbook=20_14.xlsx&amp;sheet=U0&amp;row=1646&amp;col=7&amp;number=0.0462&amp;sourceID=14","0.0462")</f>
        <v>0.0462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HYPERLINK("http://141.218.60.56/~jnz1568/getInfo.php?workbook=20_14.xlsx&amp;sheet=U0&amp;row=1647&amp;col=6&amp;number=3.3&amp;sourceID=14","3.3")</f>
        <v>3.3</v>
      </c>
      <c r="G1647" s="4" t="str">
        <f>HYPERLINK("http://141.218.60.56/~jnz1568/getInfo.php?workbook=20_14.xlsx&amp;sheet=U0&amp;row=1647&amp;col=7&amp;number=0.0462&amp;sourceID=14","0.0462")</f>
        <v>0.0462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HYPERLINK("http://141.218.60.56/~jnz1568/getInfo.php?workbook=20_14.xlsx&amp;sheet=U0&amp;row=1648&amp;col=6&amp;number=3.4&amp;sourceID=14","3.4")</f>
        <v>3.4</v>
      </c>
      <c r="G1648" s="4" t="str">
        <f>HYPERLINK("http://141.218.60.56/~jnz1568/getInfo.php?workbook=20_14.xlsx&amp;sheet=U0&amp;row=1648&amp;col=7&amp;number=0.0461&amp;sourceID=14","0.0461")</f>
        <v>0.0461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HYPERLINK("http://141.218.60.56/~jnz1568/getInfo.php?workbook=20_14.xlsx&amp;sheet=U0&amp;row=1649&amp;col=6&amp;number=3.5&amp;sourceID=14","3.5")</f>
        <v>3.5</v>
      </c>
      <c r="G1649" s="4" t="str">
        <f>HYPERLINK("http://141.218.60.56/~jnz1568/getInfo.php?workbook=20_14.xlsx&amp;sheet=U0&amp;row=1649&amp;col=7&amp;number=0.0461&amp;sourceID=14","0.0461")</f>
        <v>0.0461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HYPERLINK("http://141.218.60.56/~jnz1568/getInfo.php?workbook=20_14.xlsx&amp;sheet=U0&amp;row=1650&amp;col=6&amp;number=3.6&amp;sourceID=14","3.6")</f>
        <v>3.6</v>
      </c>
      <c r="G1650" s="4" t="str">
        <f>HYPERLINK("http://141.218.60.56/~jnz1568/getInfo.php?workbook=20_14.xlsx&amp;sheet=U0&amp;row=1650&amp;col=7&amp;number=0.0461&amp;sourceID=14","0.0461")</f>
        <v>0.0461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HYPERLINK("http://141.218.60.56/~jnz1568/getInfo.php?workbook=20_14.xlsx&amp;sheet=U0&amp;row=1651&amp;col=6&amp;number=3.7&amp;sourceID=14","3.7")</f>
        <v>3.7</v>
      </c>
      <c r="G1651" s="4" t="str">
        <f>HYPERLINK("http://141.218.60.56/~jnz1568/getInfo.php?workbook=20_14.xlsx&amp;sheet=U0&amp;row=1651&amp;col=7&amp;number=0.0461&amp;sourceID=14","0.0461")</f>
        <v>0.0461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HYPERLINK("http://141.218.60.56/~jnz1568/getInfo.php?workbook=20_14.xlsx&amp;sheet=U0&amp;row=1652&amp;col=6&amp;number=3.8&amp;sourceID=14","3.8")</f>
        <v>3.8</v>
      </c>
      <c r="G1652" s="4" t="str">
        <f>HYPERLINK("http://141.218.60.56/~jnz1568/getInfo.php?workbook=20_14.xlsx&amp;sheet=U0&amp;row=1652&amp;col=7&amp;number=0.0461&amp;sourceID=14","0.0461")</f>
        <v>0.0461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HYPERLINK("http://141.218.60.56/~jnz1568/getInfo.php?workbook=20_14.xlsx&amp;sheet=U0&amp;row=1653&amp;col=6&amp;number=3.9&amp;sourceID=14","3.9")</f>
        <v>3.9</v>
      </c>
      <c r="G1653" s="4" t="str">
        <f>HYPERLINK("http://141.218.60.56/~jnz1568/getInfo.php?workbook=20_14.xlsx&amp;sheet=U0&amp;row=1653&amp;col=7&amp;number=0.046&amp;sourceID=14","0.046")</f>
        <v>0.046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HYPERLINK("http://141.218.60.56/~jnz1568/getInfo.php?workbook=20_14.xlsx&amp;sheet=U0&amp;row=1654&amp;col=6&amp;number=4&amp;sourceID=14","4")</f>
        <v>4</v>
      </c>
      <c r="G1654" s="4" t="str">
        <f>HYPERLINK("http://141.218.60.56/~jnz1568/getInfo.php?workbook=20_14.xlsx&amp;sheet=U0&amp;row=1654&amp;col=7&amp;number=0.046&amp;sourceID=14","0.046")</f>
        <v>0.046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HYPERLINK("http://141.218.60.56/~jnz1568/getInfo.php?workbook=20_14.xlsx&amp;sheet=U0&amp;row=1655&amp;col=6&amp;number=4.1&amp;sourceID=14","4.1")</f>
        <v>4.1</v>
      </c>
      <c r="G1655" s="4" t="str">
        <f>HYPERLINK("http://141.218.60.56/~jnz1568/getInfo.php?workbook=20_14.xlsx&amp;sheet=U0&amp;row=1655&amp;col=7&amp;number=0.0459&amp;sourceID=14","0.0459")</f>
        <v>0.0459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HYPERLINK("http://141.218.60.56/~jnz1568/getInfo.php?workbook=20_14.xlsx&amp;sheet=U0&amp;row=1656&amp;col=6&amp;number=4.2&amp;sourceID=14","4.2")</f>
        <v>4.2</v>
      </c>
      <c r="G1656" s="4" t="str">
        <f>HYPERLINK("http://141.218.60.56/~jnz1568/getInfo.php?workbook=20_14.xlsx&amp;sheet=U0&amp;row=1656&amp;col=7&amp;number=0.0458&amp;sourceID=14","0.0458")</f>
        <v>0.0458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HYPERLINK("http://141.218.60.56/~jnz1568/getInfo.php?workbook=20_14.xlsx&amp;sheet=U0&amp;row=1657&amp;col=6&amp;number=4.3&amp;sourceID=14","4.3")</f>
        <v>4.3</v>
      </c>
      <c r="G1657" s="4" t="str">
        <f>HYPERLINK("http://141.218.60.56/~jnz1568/getInfo.php?workbook=20_14.xlsx&amp;sheet=U0&amp;row=1657&amp;col=7&amp;number=0.0457&amp;sourceID=14","0.0457")</f>
        <v>0.0457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HYPERLINK("http://141.218.60.56/~jnz1568/getInfo.php?workbook=20_14.xlsx&amp;sheet=U0&amp;row=1658&amp;col=6&amp;number=4.4&amp;sourceID=14","4.4")</f>
        <v>4.4</v>
      </c>
      <c r="G1658" s="4" t="str">
        <f>HYPERLINK("http://141.218.60.56/~jnz1568/getInfo.php?workbook=20_14.xlsx&amp;sheet=U0&amp;row=1658&amp;col=7&amp;number=0.0456&amp;sourceID=14","0.0456")</f>
        <v>0.0456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HYPERLINK("http://141.218.60.56/~jnz1568/getInfo.php?workbook=20_14.xlsx&amp;sheet=U0&amp;row=1659&amp;col=6&amp;number=4.5&amp;sourceID=14","4.5")</f>
        <v>4.5</v>
      </c>
      <c r="G1659" s="4" t="str">
        <f>HYPERLINK("http://141.218.60.56/~jnz1568/getInfo.php?workbook=20_14.xlsx&amp;sheet=U0&amp;row=1659&amp;col=7&amp;number=0.0455&amp;sourceID=14","0.0455")</f>
        <v>0.0455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HYPERLINK("http://141.218.60.56/~jnz1568/getInfo.php?workbook=20_14.xlsx&amp;sheet=U0&amp;row=1660&amp;col=6&amp;number=4.6&amp;sourceID=14","4.6")</f>
        <v>4.6</v>
      </c>
      <c r="G1660" s="4" t="str">
        <f>HYPERLINK("http://141.218.60.56/~jnz1568/getInfo.php?workbook=20_14.xlsx&amp;sheet=U0&amp;row=1660&amp;col=7&amp;number=0.0453&amp;sourceID=14","0.0453")</f>
        <v>0.0453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HYPERLINK("http://141.218.60.56/~jnz1568/getInfo.php?workbook=20_14.xlsx&amp;sheet=U0&amp;row=1661&amp;col=6&amp;number=4.7&amp;sourceID=14","4.7")</f>
        <v>4.7</v>
      </c>
      <c r="G1661" s="4" t="str">
        <f>HYPERLINK("http://141.218.60.56/~jnz1568/getInfo.php?workbook=20_14.xlsx&amp;sheet=U0&amp;row=1661&amp;col=7&amp;number=0.045&amp;sourceID=14","0.045")</f>
        <v>0.045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HYPERLINK("http://141.218.60.56/~jnz1568/getInfo.php?workbook=20_14.xlsx&amp;sheet=U0&amp;row=1662&amp;col=6&amp;number=4.8&amp;sourceID=14","4.8")</f>
        <v>4.8</v>
      </c>
      <c r="G1662" s="4" t="str">
        <f>HYPERLINK("http://141.218.60.56/~jnz1568/getInfo.php?workbook=20_14.xlsx&amp;sheet=U0&amp;row=1662&amp;col=7&amp;number=0.0447&amp;sourceID=14","0.0447")</f>
        <v>0.0447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HYPERLINK("http://141.218.60.56/~jnz1568/getInfo.php?workbook=20_14.xlsx&amp;sheet=U0&amp;row=1663&amp;col=6&amp;number=4.9&amp;sourceID=14","4.9")</f>
        <v>4.9</v>
      </c>
      <c r="G1663" s="4" t="str">
        <f>HYPERLINK("http://141.218.60.56/~jnz1568/getInfo.php?workbook=20_14.xlsx&amp;sheet=U0&amp;row=1663&amp;col=7&amp;number=0.0444&amp;sourceID=14","0.0444")</f>
        <v>0.0444</v>
      </c>
    </row>
    <row r="1664" spans="1:7">
      <c r="A1664" s="3">
        <v>20</v>
      </c>
      <c r="B1664" s="3">
        <v>14</v>
      </c>
      <c r="C1664" s="3">
        <v>4</v>
      </c>
      <c r="D1664" s="3">
        <v>13</v>
      </c>
      <c r="E1664" s="3">
        <v>1</v>
      </c>
      <c r="F1664" s="4" t="str">
        <f>HYPERLINK("http://141.218.60.56/~jnz1568/getInfo.php?workbook=20_14.xlsx&amp;sheet=U0&amp;row=1664&amp;col=6&amp;number=3&amp;sourceID=14","3")</f>
        <v>3</v>
      </c>
      <c r="G1664" s="4" t="str">
        <f>HYPERLINK("http://141.218.60.56/~jnz1568/getInfo.php?workbook=20_14.xlsx&amp;sheet=U0&amp;row=1664&amp;col=7&amp;number=1.67&amp;sourceID=14","1.67")</f>
        <v>1.67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HYPERLINK("http://141.218.60.56/~jnz1568/getInfo.php?workbook=20_14.xlsx&amp;sheet=U0&amp;row=1665&amp;col=6&amp;number=3.1&amp;sourceID=14","3.1")</f>
        <v>3.1</v>
      </c>
      <c r="G1665" s="4" t="str">
        <f>HYPERLINK("http://141.218.60.56/~jnz1568/getInfo.php?workbook=20_14.xlsx&amp;sheet=U0&amp;row=1665&amp;col=7&amp;number=1.67&amp;sourceID=14","1.67")</f>
        <v>1.67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HYPERLINK("http://141.218.60.56/~jnz1568/getInfo.php?workbook=20_14.xlsx&amp;sheet=U0&amp;row=1666&amp;col=6&amp;number=3.2&amp;sourceID=14","3.2")</f>
        <v>3.2</v>
      </c>
      <c r="G1666" s="4" t="str">
        <f>HYPERLINK("http://141.218.60.56/~jnz1568/getInfo.php?workbook=20_14.xlsx&amp;sheet=U0&amp;row=1666&amp;col=7&amp;number=1.67&amp;sourceID=14","1.67")</f>
        <v>1.67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HYPERLINK("http://141.218.60.56/~jnz1568/getInfo.php?workbook=20_14.xlsx&amp;sheet=U0&amp;row=1667&amp;col=6&amp;number=3.3&amp;sourceID=14","3.3")</f>
        <v>3.3</v>
      </c>
      <c r="G1667" s="4" t="str">
        <f>HYPERLINK("http://141.218.60.56/~jnz1568/getInfo.php?workbook=20_14.xlsx&amp;sheet=U0&amp;row=1667&amp;col=7&amp;number=1.67&amp;sourceID=14","1.67")</f>
        <v>1.67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HYPERLINK("http://141.218.60.56/~jnz1568/getInfo.php?workbook=20_14.xlsx&amp;sheet=U0&amp;row=1668&amp;col=6&amp;number=3.4&amp;sourceID=14","3.4")</f>
        <v>3.4</v>
      </c>
      <c r="G1668" s="4" t="str">
        <f>HYPERLINK("http://141.218.60.56/~jnz1568/getInfo.php?workbook=20_14.xlsx&amp;sheet=U0&amp;row=1668&amp;col=7&amp;number=1.67&amp;sourceID=14","1.67")</f>
        <v>1.67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HYPERLINK("http://141.218.60.56/~jnz1568/getInfo.php?workbook=20_14.xlsx&amp;sheet=U0&amp;row=1669&amp;col=6&amp;number=3.5&amp;sourceID=14","3.5")</f>
        <v>3.5</v>
      </c>
      <c r="G1669" s="4" t="str">
        <f>HYPERLINK("http://141.218.60.56/~jnz1568/getInfo.php?workbook=20_14.xlsx&amp;sheet=U0&amp;row=1669&amp;col=7&amp;number=1.67&amp;sourceID=14","1.67")</f>
        <v>1.67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HYPERLINK("http://141.218.60.56/~jnz1568/getInfo.php?workbook=20_14.xlsx&amp;sheet=U0&amp;row=1670&amp;col=6&amp;number=3.6&amp;sourceID=14","3.6")</f>
        <v>3.6</v>
      </c>
      <c r="G1670" s="4" t="str">
        <f>HYPERLINK("http://141.218.60.56/~jnz1568/getInfo.php?workbook=20_14.xlsx&amp;sheet=U0&amp;row=1670&amp;col=7&amp;number=1.67&amp;sourceID=14","1.67")</f>
        <v>1.67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HYPERLINK("http://141.218.60.56/~jnz1568/getInfo.php?workbook=20_14.xlsx&amp;sheet=U0&amp;row=1671&amp;col=6&amp;number=3.7&amp;sourceID=14","3.7")</f>
        <v>3.7</v>
      </c>
      <c r="G1671" s="4" t="str">
        <f>HYPERLINK("http://141.218.60.56/~jnz1568/getInfo.php?workbook=20_14.xlsx&amp;sheet=U0&amp;row=1671&amp;col=7&amp;number=1.67&amp;sourceID=14","1.67")</f>
        <v>1.67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HYPERLINK("http://141.218.60.56/~jnz1568/getInfo.php?workbook=20_14.xlsx&amp;sheet=U0&amp;row=1672&amp;col=6&amp;number=3.8&amp;sourceID=14","3.8")</f>
        <v>3.8</v>
      </c>
      <c r="G1672" s="4" t="str">
        <f>HYPERLINK("http://141.218.60.56/~jnz1568/getInfo.php?workbook=20_14.xlsx&amp;sheet=U0&amp;row=1672&amp;col=7&amp;number=1.67&amp;sourceID=14","1.67")</f>
        <v>1.67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HYPERLINK("http://141.218.60.56/~jnz1568/getInfo.php?workbook=20_14.xlsx&amp;sheet=U0&amp;row=1673&amp;col=6&amp;number=3.9&amp;sourceID=14","3.9")</f>
        <v>3.9</v>
      </c>
      <c r="G1673" s="4" t="str">
        <f>HYPERLINK("http://141.218.60.56/~jnz1568/getInfo.php?workbook=20_14.xlsx&amp;sheet=U0&amp;row=1673&amp;col=7&amp;number=1.68&amp;sourceID=14","1.68")</f>
        <v>1.68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HYPERLINK("http://141.218.60.56/~jnz1568/getInfo.php?workbook=20_14.xlsx&amp;sheet=U0&amp;row=1674&amp;col=6&amp;number=4&amp;sourceID=14","4")</f>
        <v>4</v>
      </c>
      <c r="G1674" s="4" t="str">
        <f>HYPERLINK("http://141.218.60.56/~jnz1568/getInfo.php?workbook=20_14.xlsx&amp;sheet=U0&amp;row=1674&amp;col=7&amp;number=1.68&amp;sourceID=14","1.68")</f>
        <v>1.68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HYPERLINK("http://141.218.60.56/~jnz1568/getInfo.php?workbook=20_14.xlsx&amp;sheet=U0&amp;row=1675&amp;col=6&amp;number=4.1&amp;sourceID=14","4.1")</f>
        <v>4.1</v>
      </c>
      <c r="G1675" s="4" t="str">
        <f>HYPERLINK("http://141.218.60.56/~jnz1568/getInfo.php?workbook=20_14.xlsx&amp;sheet=U0&amp;row=1675&amp;col=7&amp;number=1.68&amp;sourceID=14","1.68")</f>
        <v>1.68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HYPERLINK("http://141.218.60.56/~jnz1568/getInfo.php?workbook=20_14.xlsx&amp;sheet=U0&amp;row=1676&amp;col=6&amp;number=4.2&amp;sourceID=14","4.2")</f>
        <v>4.2</v>
      </c>
      <c r="G1676" s="4" t="str">
        <f>HYPERLINK("http://141.218.60.56/~jnz1568/getInfo.php?workbook=20_14.xlsx&amp;sheet=U0&amp;row=1676&amp;col=7&amp;number=1.69&amp;sourceID=14","1.69")</f>
        <v>1.69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HYPERLINK("http://141.218.60.56/~jnz1568/getInfo.php?workbook=20_14.xlsx&amp;sheet=U0&amp;row=1677&amp;col=6&amp;number=4.3&amp;sourceID=14","4.3")</f>
        <v>4.3</v>
      </c>
      <c r="G1677" s="4" t="str">
        <f>HYPERLINK("http://141.218.60.56/~jnz1568/getInfo.php?workbook=20_14.xlsx&amp;sheet=U0&amp;row=1677&amp;col=7&amp;number=1.7&amp;sourceID=14","1.7")</f>
        <v>1.7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HYPERLINK("http://141.218.60.56/~jnz1568/getInfo.php?workbook=20_14.xlsx&amp;sheet=U0&amp;row=1678&amp;col=6&amp;number=4.4&amp;sourceID=14","4.4")</f>
        <v>4.4</v>
      </c>
      <c r="G1678" s="4" t="str">
        <f>HYPERLINK("http://141.218.60.56/~jnz1568/getInfo.php?workbook=20_14.xlsx&amp;sheet=U0&amp;row=1678&amp;col=7&amp;number=1.71&amp;sourceID=14","1.71")</f>
        <v>1.71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HYPERLINK("http://141.218.60.56/~jnz1568/getInfo.php?workbook=20_14.xlsx&amp;sheet=U0&amp;row=1679&amp;col=6&amp;number=4.5&amp;sourceID=14","4.5")</f>
        <v>4.5</v>
      </c>
      <c r="G1679" s="4" t="str">
        <f>HYPERLINK("http://141.218.60.56/~jnz1568/getInfo.php?workbook=20_14.xlsx&amp;sheet=U0&amp;row=1679&amp;col=7&amp;number=1.72&amp;sourceID=14","1.72")</f>
        <v>1.72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HYPERLINK("http://141.218.60.56/~jnz1568/getInfo.php?workbook=20_14.xlsx&amp;sheet=U0&amp;row=1680&amp;col=6&amp;number=4.6&amp;sourceID=14","4.6")</f>
        <v>4.6</v>
      </c>
      <c r="G1680" s="4" t="str">
        <f>HYPERLINK("http://141.218.60.56/~jnz1568/getInfo.php?workbook=20_14.xlsx&amp;sheet=U0&amp;row=1680&amp;col=7&amp;number=1.73&amp;sourceID=14","1.73")</f>
        <v>1.73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HYPERLINK("http://141.218.60.56/~jnz1568/getInfo.php?workbook=20_14.xlsx&amp;sheet=U0&amp;row=1681&amp;col=6&amp;number=4.7&amp;sourceID=14","4.7")</f>
        <v>4.7</v>
      </c>
      <c r="G1681" s="4" t="str">
        <f>HYPERLINK("http://141.218.60.56/~jnz1568/getInfo.php?workbook=20_14.xlsx&amp;sheet=U0&amp;row=1681&amp;col=7&amp;number=1.74&amp;sourceID=14","1.74")</f>
        <v>1.74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HYPERLINK("http://141.218.60.56/~jnz1568/getInfo.php?workbook=20_14.xlsx&amp;sheet=U0&amp;row=1682&amp;col=6&amp;number=4.8&amp;sourceID=14","4.8")</f>
        <v>4.8</v>
      </c>
      <c r="G1682" s="4" t="str">
        <f>HYPERLINK("http://141.218.60.56/~jnz1568/getInfo.php?workbook=20_14.xlsx&amp;sheet=U0&amp;row=1682&amp;col=7&amp;number=1.76&amp;sourceID=14","1.76")</f>
        <v>1.76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HYPERLINK("http://141.218.60.56/~jnz1568/getInfo.php?workbook=20_14.xlsx&amp;sheet=U0&amp;row=1683&amp;col=6&amp;number=4.9&amp;sourceID=14","4.9")</f>
        <v>4.9</v>
      </c>
      <c r="G1683" s="4" t="str">
        <f>HYPERLINK("http://141.218.60.56/~jnz1568/getInfo.php?workbook=20_14.xlsx&amp;sheet=U0&amp;row=1683&amp;col=7&amp;number=1.79&amp;sourceID=14","1.79")</f>
        <v>1.79</v>
      </c>
    </row>
    <row r="1684" spans="1:7">
      <c r="A1684" s="3">
        <v>20</v>
      </c>
      <c r="B1684" s="3">
        <v>14</v>
      </c>
      <c r="C1684" s="3">
        <v>4</v>
      </c>
      <c r="D1684" s="3">
        <v>14</v>
      </c>
      <c r="E1684" s="3">
        <v>1</v>
      </c>
      <c r="F1684" s="4" t="str">
        <f>HYPERLINK("http://141.218.60.56/~jnz1568/getInfo.php?workbook=20_14.xlsx&amp;sheet=U0&amp;row=1684&amp;col=6&amp;number=3&amp;sourceID=14","3")</f>
        <v>3</v>
      </c>
      <c r="G1684" s="4" t="str">
        <f>HYPERLINK("http://141.218.60.56/~jnz1568/getInfo.php?workbook=20_14.xlsx&amp;sheet=U0&amp;row=1684&amp;col=7&amp;number=0.137&amp;sourceID=14","0.137")</f>
        <v>0.137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HYPERLINK("http://141.218.60.56/~jnz1568/getInfo.php?workbook=20_14.xlsx&amp;sheet=U0&amp;row=1685&amp;col=6&amp;number=3.1&amp;sourceID=14","3.1")</f>
        <v>3.1</v>
      </c>
      <c r="G1685" s="4" t="str">
        <f>HYPERLINK("http://141.218.60.56/~jnz1568/getInfo.php?workbook=20_14.xlsx&amp;sheet=U0&amp;row=1685&amp;col=7&amp;number=0.137&amp;sourceID=14","0.137")</f>
        <v>0.137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HYPERLINK("http://141.218.60.56/~jnz1568/getInfo.php?workbook=20_14.xlsx&amp;sheet=U0&amp;row=1686&amp;col=6&amp;number=3.2&amp;sourceID=14","3.2")</f>
        <v>3.2</v>
      </c>
      <c r="G1686" s="4" t="str">
        <f>HYPERLINK("http://141.218.60.56/~jnz1568/getInfo.php?workbook=20_14.xlsx&amp;sheet=U0&amp;row=1686&amp;col=7&amp;number=0.137&amp;sourceID=14","0.137")</f>
        <v>0.137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HYPERLINK("http://141.218.60.56/~jnz1568/getInfo.php?workbook=20_14.xlsx&amp;sheet=U0&amp;row=1687&amp;col=6&amp;number=3.3&amp;sourceID=14","3.3")</f>
        <v>3.3</v>
      </c>
      <c r="G1687" s="4" t="str">
        <f>HYPERLINK("http://141.218.60.56/~jnz1568/getInfo.php?workbook=20_14.xlsx&amp;sheet=U0&amp;row=1687&amp;col=7&amp;number=0.137&amp;sourceID=14","0.137")</f>
        <v>0.137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HYPERLINK("http://141.218.60.56/~jnz1568/getInfo.php?workbook=20_14.xlsx&amp;sheet=U0&amp;row=1688&amp;col=6&amp;number=3.4&amp;sourceID=14","3.4")</f>
        <v>3.4</v>
      </c>
      <c r="G1688" s="4" t="str">
        <f>HYPERLINK("http://141.218.60.56/~jnz1568/getInfo.php?workbook=20_14.xlsx&amp;sheet=U0&amp;row=1688&amp;col=7&amp;number=0.137&amp;sourceID=14","0.137")</f>
        <v>0.137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HYPERLINK("http://141.218.60.56/~jnz1568/getInfo.php?workbook=20_14.xlsx&amp;sheet=U0&amp;row=1689&amp;col=6&amp;number=3.5&amp;sourceID=14","3.5")</f>
        <v>3.5</v>
      </c>
      <c r="G1689" s="4" t="str">
        <f>HYPERLINK("http://141.218.60.56/~jnz1568/getInfo.php?workbook=20_14.xlsx&amp;sheet=U0&amp;row=1689&amp;col=7&amp;number=0.137&amp;sourceID=14","0.137")</f>
        <v>0.137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HYPERLINK("http://141.218.60.56/~jnz1568/getInfo.php?workbook=20_14.xlsx&amp;sheet=U0&amp;row=1690&amp;col=6&amp;number=3.6&amp;sourceID=14","3.6")</f>
        <v>3.6</v>
      </c>
      <c r="G1690" s="4" t="str">
        <f>HYPERLINK("http://141.218.60.56/~jnz1568/getInfo.php?workbook=20_14.xlsx&amp;sheet=U0&amp;row=1690&amp;col=7&amp;number=0.136&amp;sourceID=14","0.136")</f>
        <v>0.136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HYPERLINK("http://141.218.60.56/~jnz1568/getInfo.php?workbook=20_14.xlsx&amp;sheet=U0&amp;row=1691&amp;col=6&amp;number=3.7&amp;sourceID=14","3.7")</f>
        <v>3.7</v>
      </c>
      <c r="G1691" s="4" t="str">
        <f>HYPERLINK("http://141.218.60.56/~jnz1568/getInfo.php?workbook=20_14.xlsx&amp;sheet=U0&amp;row=1691&amp;col=7&amp;number=0.136&amp;sourceID=14","0.136")</f>
        <v>0.136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HYPERLINK("http://141.218.60.56/~jnz1568/getInfo.php?workbook=20_14.xlsx&amp;sheet=U0&amp;row=1692&amp;col=6&amp;number=3.8&amp;sourceID=14","3.8")</f>
        <v>3.8</v>
      </c>
      <c r="G1692" s="4" t="str">
        <f>HYPERLINK("http://141.218.60.56/~jnz1568/getInfo.php?workbook=20_14.xlsx&amp;sheet=U0&amp;row=1692&amp;col=7&amp;number=0.136&amp;sourceID=14","0.136")</f>
        <v>0.136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HYPERLINK("http://141.218.60.56/~jnz1568/getInfo.php?workbook=20_14.xlsx&amp;sheet=U0&amp;row=1693&amp;col=6&amp;number=3.9&amp;sourceID=14","3.9")</f>
        <v>3.9</v>
      </c>
      <c r="G1693" s="4" t="str">
        <f>HYPERLINK("http://141.218.60.56/~jnz1568/getInfo.php?workbook=20_14.xlsx&amp;sheet=U0&amp;row=1693&amp;col=7&amp;number=0.136&amp;sourceID=14","0.136")</f>
        <v>0.136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HYPERLINK("http://141.218.60.56/~jnz1568/getInfo.php?workbook=20_14.xlsx&amp;sheet=U0&amp;row=1694&amp;col=6&amp;number=4&amp;sourceID=14","4")</f>
        <v>4</v>
      </c>
      <c r="G1694" s="4" t="str">
        <f>HYPERLINK("http://141.218.60.56/~jnz1568/getInfo.php?workbook=20_14.xlsx&amp;sheet=U0&amp;row=1694&amp;col=7&amp;number=0.136&amp;sourceID=14","0.136")</f>
        <v>0.136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HYPERLINK("http://141.218.60.56/~jnz1568/getInfo.php?workbook=20_14.xlsx&amp;sheet=U0&amp;row=1695&amp;col=6&amp;number=4.1&amp;sourceID=14","4.1")</f>
        <v>4.1</v>
      </c>
      <c r="G1695" s="4" t="str">
        <f>HYPERLINK("http://141.218.60.56/~jnz1568/getInfo.php?workbook=20_14.xlsx&amp;sheet=U0&amp;row=1695&amp;col=7&amp;number=0.136&amp;sourceID=14","0.136")</f>
        <v>0.136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HYPERLINK("http://141.218.60.56/~jnz1568/getInfo.php?workbook=20_14.xlsx&amp;sheet=U0&amp;row=1696&amp;col=6&amp;number=4.2&amp;sourceID=14","4.2")</f>
        <v>4.2</v>
      </c>
      <c r="G1696" s="4" t="str">
        <f>HYPERLINK("http://141.218.60.56/~jnz1568/getInfo.php?workbook=20_14.xlsx&amp;sheet=U0&amp;row=1696&amp;col=7&amp;number=0.136&amp;sourceID=14","0.136")</f>
        <v>0.136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HYPERLINK("http://141.218.60.56/~jnz1568/getInfo.php?workbook=20_14.xlsx&amp;sheet=U0&amp;row=1697&amp;col=6&amp;number=4.3&amp;sourceID=14","4.3")</f>
        <v>4.3</v>
      </c>
      <c r="G1697" s="4" t="str">
        <f>HYPERLINK("http://141.218.60.56/~jnz1568/getInfo.php?workbook=20_14.xlsx&amp;sheet=U0&amp;row=1697&amp;col=7&amp;number=0.135&amp;sourceID=14","0.135")</f>
        <v>0.135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HYPERLINK("http://141.218.60.56/~jnz1568/getInfo.php?workbook=20_14.xlsx&amp;sheet=U0&amp;row=1698&amp;col=6&amp;number=4.4&amp;sourceID=14","4.4")</f>
        <v>4.4</v>
      </c>
      <c r="G1698" s="4" t="str">
        <f>HYPERLINK("http://141.218.60.56/~jnz1568/getInfo.php?workbook=20_14.xlsx&amp;sheet=U0&amp;row=1698&amp;col=7&amp;number=0.135&amp;sourceID=14","0.135")</f>
        <v>0.135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HYPERLINK("http://141.218.60.56/~jnz1568/getInfo.php?workbook=20_14.xlsx&amp;sheet=U0&amp;row=1699&amp;col=6&amp;number=4.5&amp;sourceID=14","4.5")</f>
        <v>4.5</v>
      </c>
      <c r="G1699" s="4" t="str">
        <f>HYPERLINK("http://141.218.60.56/~jnz1568/getInfo.php?workbook=20_14.xlsx&amp;sheet=U0&amp;row=1699&amp;col=7&amp;number=0.134&amp;sourceID=14","0.134")</f>
        <v>0.134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HYPERLINK("http://141.218.60.56/~jnz1568/getInfo.php?workbook=20_14.xlsx&amp;sheet=U0&amp;row=1700&amp;col=6&amp;number=4.6&amp;sourceID=14","4.6")</f>
        <v>4.6</v>
      </c>
      <c r="G1700" s="4" t="str">
        <f>HYPERLINK("http://141.218.60.56/~jnz1568/getInfo.php?workbook=20_14.xlsx&amp;sheet=U0&amp;row=1700&amp;col=7&amp;number=0.134&amp;sourceID=14","0.134")</f>
        <v>0.134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HYPERLINK("http://141.218.60.56/~jnz1568/getInfo.php?workbook=20_14.xlsx&amp;sheet=U0&amp;row=1701&amp;col=6&amp;number=4.7&amp;sourceID=14","4.7")</f>
        <v>4.7</v>
      </c>
      <c r="G1701" s="4" t="str">
        <f>HYPERLINK("http://141.218.60.56/~jnz1568/getInfo.php?workbook=20_14.xlsx&amp;sheet=U0&amp;row=1701&amp;col=7&amp;number=0.133&amp;sourceID=14","0.133")</f>
        <v>0.133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HYPERLINK("http://141.218.60.56/~jnz1568/getInfo.php?workbook=20_14.xlsx&amp;sheet=U0&amp;row=1702&amp;col=6&amp;number=4.8&amp;sourceID=14","4.8")</f>
        <v>4.8</v>
      </c>
      <c r="G1702" s="4" t="str">
        <f>HYPERLINK("http://141.218.60.56/~jnz1568/getInfo.php?workbook=20_14.xlsx&amp;sheet=U0&amp;row=1702&amp;col=7&amp;number=0.132&amp;sourceID=14","0.132")</f>
        <v>0.132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HYPERLINK("http://141.218.60.56/~jnz1568/getInfo.php?workbook=20_14.xlsx&amp;sheet=U0&amp;row=1703&amp;col=6&amp;number=4.9&amp;sourceID=14","4.9")</f>
        <v>4.9</v>
      </c>
      <c r="G1703" s="4" t="str">
        <f>HYPERLINK("http://141.218.60.56/~jnz1568/getInfo.php?workbook=20_14.xlsx&amp;sheet=U0&amp;row=1703&amp;col=7&amp;number=0.131&amp;sourceID=14","0.131")</f>
        <v>0.131</v>
      </c>
    </row>
    <row r="1704" spans="1:7">
      <c r="A1704" s="3">
        <v>20</v>
      </c>
      <c r="B1704" s="3">
        <v>14</v>
      </c>
      <c r="C1704" s="3">
        <v>4</v>
      </c>
      <c r="D1704" s="3">
        <v>15</v>
      </c>
      <c r="E1704" s="3">
        <v>1</v>
      </c>
      <c r="F1704" s="4" t="str">
        <f>HYPERLINK("http://141.218.60.56/~jnz1568/getInfo.php?workbook=20_14.xlsx&amp;sheet=U0&amp;row=1704&amp;col=6&amp;number=3&amp;sourceID=14","3")</f>
        <v>3</v>
      </c>
      <c r="G1704" s="4" t="str">
        <f>HYPERLINK("http://141.218.60.56/~jnz1568/getInfo.php?workbook=20_14.xlsx&amp;sheet=U0&amp;row=1704&amp;col=7&amp;number=0.192&amp;sourceID=14","0.192")</f>
        <v>0.192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HYPERLINK("http://141.218.60.56/~jnz1568/getInfo.php?workbook=20_14.xlsx&amp;sheet=U0&amp;row=1705&amp;col=6&amp;number=3.1&amp;sourceID=14","3.1")</f>
        <v>3.1</v>
      </c>
      <c r="G1705" s="4" t="str">
        <f>HYPERLINK("http://141.218.60.56/~jnz1568/getInfo.php?workbook=20_14.xlsx&amp;sheet=U0&amp;row=1705&amp;col=7&amp;number=0.192&amp;sourceID=14","0.192")</f>
        <v>0.192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HYPERLINK("http://141.218.60.56/~jnz1568/getInfo.php?workbook=20_14.xlsx&amp;sheet=U0&amp;row=1706&amp;col=6&amp;number=3.2&amp;sourceID=14","3.2")</f>
        <v>3.2</v>
      </c>
      <c r="G1706" s="4" t="str">
        <f>HYPERLINK("http://141.218.60.56/~jnz1568/getInfo.php?workbook=20_14.xlsx&amp;sheet=U0&amp;row=1706&amp;col=7&amp;number=0.192&amp;sourceID=14","0.192")</f>
        <v>0.192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HYPERLINK("http://141.218.60.56/~jnz1568/getInfo.php?workbook=20_14.xlsx&amp;sheet=U0&amp;row=1707&amp;col=6&amp;number=3.3&amp;sourceID=14","3.3")</f>
        <v>3.3</v>
      </c>
      <c r="G1707" s="4" t="str">
        <f>HYPERLINK("http://141.218.60.56/~jnz1568/getInfo.php?workbook=20_14.xlsx&amp;sheet=U0&amp;row=1707&amp;col=7&amp;number=0.192&amp;sourceID=14","0.192")</f>
        <v>0.192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HYPERLINK("http://141.218.60.56/~jnz1568/getInfo.php?workbook=20_14.xlsx&amp;sheet=U0&amp;row=1708&amp;col=6&amp;number=3.4&amp;sourceID=14","3.4")</f>
        <v>3.4</v>
      </c>
      <c r="G1708" s="4" t="str">
        <f>HYPERLINK("http://141.218.60.56/~jnz1568/getInfo.php?workbook=20_14.xlsx&amp;sheet=U0&amp;row=1708&amp;col=7&amp;number=0.192&amp;sourceID=14","0.192")</f>
        <v>0.192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HYPERLINK("http://141.218.60.56/~jnz1568/getInfo.php?workbook=20_14.xlsx&amp;sheet=U0&amp;row=1709&amp;col=6&amp;number=3.5&amp;sourceID=14","3.5")</f>
        <v>3.5</v>
      </c>
      <c r="G1709" s="4" t="str">
        <f>HYPERLINK("http://141.218.60.56/~jnz1568/getInfo.php?workbook=20_14.xlsx&amp;sheet=U0&amp;row=1709&amp;col=7&amp;number=0.192&amp;sourceID=14","0.192")</f>
        <v>0.192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HYPERLINK("http://141.218.60.56/~jnz1568/getInfo.php?workbook=20_14.xlsx&amp;sheet=U0&amp;row=1710&amp;col=6&amp;number=3.6&amp;sourceID=14","3.6")</f>
        <v>3.6</v>
      </c>
      <c r="G1710" s="4" t="str">
        <f>HYPERLINK("http://141.218.60.56/~jnz1568/getInfo.php?workbook=20_14.xlsx&amp;sheet=U0&amp;row=1710&amp;col=7&amp;number=0.191&amp;sourceID=14","0.191")</f>
        <v>0.191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HYPERLINK("http://141.218.60.56/~jnz1568/getInfo.php?workbook=20_14.xlsx&amp;sheet=U0&amp;row=1711&amp;col=6&amp;number=3.7&amp;sourceID=14","3.7")</f>
        <v>3.7</v>
      </c>
      <c r="G1711" s="4" t="str">
        <f>HYPERLINK("http://141.218.60.56/~jnz1568/getInfo.php?workbook=20_14.xlsx&amp;sheet=U0&amp;row=1711&amp;col=7&amp;number=0.191&amp;sourceID=14","0.191")</f>
        <v>0.191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HYPERLINK("http://141.218.60.56/~jnz1568/getInfo.php?workbook=20_14.xlsx&amp;sheet=U0&amp;row=1712&amp;col=6&amp;number=3.8&amp;sourceID=14","3.8")</f>
        <v>3.8</v>
      </c>
      <c r="G1712" s="4" t="str">
        <f>HYPERLINK("http://141.218.60.56/~jnz1568/getInfo.php?workbook=20_14.xlsx&amp;sheet=U0&amp;row=1712&amp;col=7&amp;number=0.191&amp;sourceID=14","0.191")</f>
        <v>0.191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HYPERLINK("http://141.218.60.56/~jnz1568/getInfo.php?workbook=20_14.xlsx&amp;sheet=U0&amp;row=1713&amp;col=6&amp;number=3.9&amp;sourceID=14","3.9")</f>
        <v>3.9</v>
      </c>
      <c r="G1713" s="4" t="str">
        <f>HYPERLINK("http://141.218.60.56/~jnz1568/getInfo.php?workbook=20_14.xlsx&amp;sheet=U0&amp;row=1713&amp;col=7&amp;number=0.191&amp;sourceID=14","0.191")</f>
        <v>0.191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HYPERLINK("http://141.218.60.56/~jnz1568/getInfo.php?workbook=20_14.xlsx&amp;sheet=U0&amp;row=1714&amp;col=6&amp;number=4&amp;sourceID=14","4")</f>
        <v>4</v>
      </c>
      <c r="G1714" s="4" t="str">
        <f>HYPERLINK("http://141.218.60.56/~jnz1568/getInfo.php?workbook=20_14.xlsx&amp;sheet=U0&amp;row=1714&amp;col=7&amp;number=0.191&amp;sourceID=14","0.191")</f>
        <v>0.191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HYPERLINK("http://141.218.60.56/~jnz1568/getInfo.php?workbook=20_14.xlsx&amp;sheet=U0&amp;row=1715&amp;col=6&amp;number=4.1&amp;sourceID=14","4.1")</f>
        <v>4.1</v>
      </c>
      <c r="G1715" s="4" t="str">
        <f>HYPERLINK("http://141.218.60.56/~jnz1568/getInfo.php?workbook=20_14.xlsx&amp;sheet=U0&amp;row=1715&amp;col=7&amp;number=0.19&amp;sourceID=14","0.19")</f>
        <v>0.19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HYPERLINK("http://141.218.60.56/~jnz1568/getInfo.php?workbook=20_14.xlsx&amp;sheet=U0&amp;row=1716&amp;col=6&amp;number=4.2&amp;sourceID=14","4.2")</f>
        <v>4.2</v>
      </c>
      <c r="G1716" s="4" t="str">
        <f>HYPERLINK("http://141.218.60.56/~jnz1568/getInfo.php?workbook=20_14.xlsx&amp;sheet=U0&amp;row=1716&amp;col=7&amp;number=0.19&amp;sourceID=14","0.19")</f>
        <v>0.19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HYPERLINK("http://141.218.60.56/~jnz1568/getInfo.php?workbook=20_14.xlsx&amp;sheet=U0&amp;row=1717&amp;col=6&amp;number=4.3&amp;sourceID=14","4.3")</f>
        <v>4.3</v>
      </c>
      <c r="G1717" s="4" t="str">
        <f>HYPERLINK("http://141.218.60.56/~jnz1568/getInfo.php?workbook=20_14.xlsx&amp;sheet=U0&amp;row=1717&amp;col=7&amp;number=0.19&amp;sourceID=14","0.19")</f>
        <v>0.19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HYPERLINK("http://141.218.60.56/~jnz1568/getInfo.php?workbook=20_14.xlsx&amp;sheet=U0&amp;row=1718&amp;col=6&amp;number=4.4&amp;sourceID=14","4.4")</f>
        <v>4.4</v>
      </c>
      <c r="G1718" s="4" t="str">
        <f>HYPERLINK("http://141.218.60.56/~jnz1568/getInfo.php?workbook=20_14.xlsx&amp;sheet=U0&amp;row=1718&amp;col=7&amp;number=0.189&amp;sourceID=14","0.189")</f>
        <v>0.189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HYPERLINK("http://141.218.60.56/~jnz1568/getInfo.php?workbook=20_14.xlsx&amp;sheet=U0&amp;row=1719&amp;col=6&amp;number=4.5&amp;sourceID=14","4.5")</f>
        <v>4.5</v>
      </c>
      <c r="G1719" s="4" t="str">
        <f>HYPERLINK("http://141.218.60.56/~jnz1568/getInfo.php?workbook=20_14.xlsx&amp;sheet=U0&amp;row=1719&amp;col=7&amp;number=0.188&amp;sourceID=14","0.188")</f>
        <v>0.188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HYPERLINK("http://141.218.60.56/~jnz1568/getInfo.php?workbook=20_14.xlsx&amp;sheet=U0&amp;row=1720&amp;col=6&amp;number=4.6&amp;sourceID=14","4.6")</f>
        <v>4.6</v>
      </c>
      <c r="G1720" s="4" t="str">
        <f>HYPERLINK("http://141.218.60.56/~jnz1568/getInfo.php?workbook=20_14.xlsx&amp;sheet=U0&amp;row=1720&amp;col=7&amp;number=0.187&amp;sourceID=14","0.187")</f>
        <v>0.187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HYPERLINK("http://141.218.60.56/~jnz1568/getInfo.php?workbook=20_14.xlsx&amp;sheet=U0&amp;row=1721&amp;col=6&amp;number=4.7&amp;sourceID=14","4.7")</f>
        <v>4.7</v>
      </c>
      <c r="G1721" s="4" t="str">
        <f>HYPERLINK("http://141.218.60.56/~jnz1568/getInfo.php?workbook=20_14.xlsx&amp;sheet=U0&amp;row=1721&amp;col=7&amp;number=0.186&amp;sourceID=14","0.186")</f>
        <v>0.186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HYPERLINK("http://141.218.60.56/~jnz1568/getInfo.php?workbook=20_14.xlsx&amp;sheet=U0&amp;row=1722&amp;col=6&amp;number=4.8&amp;sourceID=14","4.8")</f>
        <v>4.8</v>
      </c>
      <c r="G1722" s="4" t="str">
        <f>HYPERLINK("http://141.218.60.56/~jnz1568/getInfo.php?workbook=20_14.xlsx&amp;sheet=U0&amp;row=1722&amp;col=7&amp;number=0.185&amp;sourceID=14","0.185")</f>
        <v>0.185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HYPERLINK("http://141.218.60.56/~jnz1568/getInfo.php?workbook=20_14.xlsx&amp;sheet=U0&amp;row=1723&amp;col=6&amp;number=4.9&amp;sourceID=14","4.9")</f>
        <v>4.9</v>
      </c>
      <c r="G1723" s="4" t="str">
        <f>HYPERLINK("http://141.218.60.56/~jnz1568/getInfo.php?workbook=20_14.xlsx&amp;sheet=U0&amp;row=1723&amp;col=7&amp;number=0.183&amp;sourceID=14","0.183")</f>
        <v>0.183</v>
      </c>
    </row>
    <row r="1724" spans="1:7">
      <c r="A1724" s="3">
        <v>20</v>
      </c>
      <c r="B1724" s="3">
        <v>14</v>
      </c>
      <c r="C1724" s="3">
        <v>4</v>
      </c>
      <c r="D1724" s="3">
        <v>16</v>
      </c>
      <c r="E1724" s="3">
        <v>1</v>
      </c>
      <c r="F1724" s="4" t="str">
        <f>HYPERLINK("http://141.218.60.56/~jnz1568/getInfo.php?workbook=20_14.xlsx&amp;sheet=U0&amp;row=1724&amp;col=6&amp;number=3&amp;sourceID=14","3")</f>
        <v>3</v>
      </c>
      <c r="G1724" s="4" t="str">
        <f>HYPERLINK("http://141.218.60.56/~jnz1568/getInfo.php?workbook=20_14.xlsx&amp;sheet=U0&amp;row=1724&amp;col=7&amp;number=0.257&amp;sourceID=14","0.257")</f>
        <v>0.257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HYPERLINK("http://141.218.60.56/~jnz1568/getInfo.php?workbook=20_14.xlsx&amp;sheet=U0&amp;row=1725&amp;col=6&amp;number=3.1&amp;sourceID=14","3.1")</f>
        <v>3.1</v>
      </c>
      <c r="G1725" s="4" t="str">
        <f>HYPERLINK("http://141.218.60.56/~jnz1568/getInfo.php?workbook=20_14.xlsx&amp;sheet=U0&amp;row=1725&amp;col=7&amp;number=0.257&amp;sourceID=14","0.257")</f>
        <v>0.257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HYPERLINK("http://141.218.60.56/~jnz1568/getInfo.php?workbook=20_14.xlsx&amp;sheet=U0&amp;row=1726&amp;col=6&amp;number=3.2&amp;sourceID=14","3.2")</f>
        <v>3.2</v>
      </c>
      <c r="G1726" s="4" t="str">
        <f>HYPERLINK("http://141.218.60.56/~jnz1568/getInfo.php?workbook=20_14.xlsx&amp;sheet=U0&amp;row=1726&amp;col=7&amp;number=0.257&amp;sourceID=14","0.257")</f>
        <v>0.257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HYPERLINK("http://141.218.60.56/~jnz1568/getInfo.php?workbook=20_14.xlsx&amp;sheet=U0&amp;row=1727&amp;col=6&amp;number=3.3&amp;sourceID=14","3.3")</f>
        <v>3.3</v>
      </c>
      <c r="G1727" s="4" t="str">
        <f>HYPERLINK("http://141.218.60.56/~jnz1568/getInfo.php?workbook=20_14.xlsx&amp;sheet=U0&amp;row=1727&amp;col=7&amp;number=0.257&amp;sourceID=14","0.257")</f>
        <v>0.257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HYPERLINK("http://141.218.60.56/~jnz1568/getInfo.php?workbook=20_14.xlsx&amp;sheet=U0&amp;row=1728&amp;col=6&amp;number=3.4&amp;sourceID=14","3.4")</f>
        <v>3.4</v>
      </c>
      <c r="G1728" s="4" t="str">
        <f>HYPERLINK("http://141.218.60.56/~jnz1568/getInfo.php?workbook=20_14.xlsx&amp;sheet=U0&amp;row=1728&amp;col=7&amp;number=0.257&amp;sourceID=14","0.257")</f>
        <v>0.257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HYPERLINK("http://141.218.60.56/~jnz1568/getInfo.php?workbook=20_14.xlsx&amp;sheet=U0&amp;row=1729&amp;col=6&amp;number=3.5&amp;sourceID=14","3.5")</f>
        <v>3.5</v>
      </c>
      <c r="G1729" s="4" t="str">
        <f>HYPERLINK("http://141.218.60.56/~jnz1568/getInfo.php?workbook=20_14.xlsx&amp;sheet=U0&amp;row=1729&amp;col=7&amp;number=0.257&amp;sourceID=14","0.257")</f>
        <v>0.257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HYPERLINK("http://141.218.60.56/~jnz1568/getInfo.php?workbook=20_14.xlsx&amp;sheet=U0&amp;row=1730&amp;col=6&amp;number=3.6&amp;sourceID=14","3.6")</f>
        <v>3.6</v>
      </c>
      <c r="G1730" s="4" t="str">
        <f>HYPERLINK("http://141.218.60.56/~jnz1568/getInfo.php?workbook=20_14.xlsx&amp;sheet=U0&amp;row=1730&amp;col=7&amp;number=0.257&amp;sourceID=14","0.257")</f>
        <v>0.257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HYPERLINK("http://141.218.60.56/~jnz1568/getInfo.php?workbook=20_14.xlsx&amp;sheet=U0&amp;row=1731&amp;col=6&amp;number=3.7&amp;sourceID=14","3.7")</f>
        <v>3.7</v>
      </c>
      <c r="G1731" s="4" t="str">
        <f>HYPERLINK("http://141.218.60.56/~jnz1568/getInfo.php?workbook=20_14.xlsx&amp;sheet=U0&amp;row=1731&amp;col=7&amp;number=0.257&amp;sourceID=14","0.257")</f>
        <v>0.257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HYPERLINK("http://141.218.60.56/~jnz1568/getInfo.php?workbook=20_14.xlsx&amp;sheet=U0&amp;row=1732&amp;col=6&amp;number=3.8&amp;sourceID=14","3.8")</f>
        <v>3.8</v>
      </c>
      <c r="G1732" s="4" t="str">
        <f>HYPERLINK("http://141.218.60.56/~jnz1568/getInfo.php?workbook=20_14.xlsx&amp;sheet=U0&amp;row=1732&amp;col=7&amp;number=0.256&amp;sourceID=14","0.256")</f>
        <v>0.256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HYPERLINK("http://141.218.60.56/~jnz1568/getInfo.php?workbook=20_14.xlsx&amp;sheet=U0&amp;row=1733&amp;col=6&amp;number=3.9&amp;sourceID=14","3.9")</f>
        <v>3.9</v>
      </c>
      <c r="G1733" s="4" t="str">
        <f>HYPERLINK("http://141.218.60.56/~jnz1568/getInfo.php?workbook=20_14.xlsx&amp;sheet=U0&amp;row=1733&amp;col=7&amp;number=0.256&amp;sourceID=14","0.256")</f>
        <v>0.256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HYPERLINK("http://141.218.60.56/~jnz1568/getInfo.php?workbook=20_14.xlsx&amp;sheet=U0&amp;row=1734&amp;col=6&amp;number=4&amp;sourceID=14","4")</f>
        <v>4</v>
      </c>
      <c r="G1734" s="4" t="str">
        <f>HYPERLINK("http://141.218.60.56/~jnz1568/getInfo.php?workbook=20_14.xlsx&amp;sheet=U0&amp;row=1734&amp;col=7&amp;number=0.256&amp;sourceID=14","0.256")</f>
        <v>0.256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HYPERLINK("http://141.218.60.56/~jnz1568/getInfo.php?workbook=20_14.xlsx&amp;sheet=U0&amp;row=1735&amp;col=6&amp;number=4.1&amp;sourceID=14","4.1")</f>
        <v>4.1</v>
      </c>
      <c r="G1735" s="4" t="str">
        <f>HYPERLINK("http://141.218.60.56/~jnz1568/getInfo.php?workbook=20_14.xlsx&amp;sheet=U0&amp;row=1735&amp;col=7&amp;number=0.255&amp;sourceID=14","0.255")</f>
        <v>0.255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HYPERLINK("http://141.218.60.56/~jnz1568/getInfo.php?workbook=20_14.xlsx&amp;sheet=U0&amp;row=1736&amp;col=6&amp;number=4.2&amp;sourceID=14","4.2")</f>
        <v>4.2</v>
      </c>
      <c r="G1736" s="4" t="str">
        <f>HYPERLINK("http://141.218.60.56/~jnz1568/getInfo.php?workbook=20_14.xlsx&amp;sheet=U0&amp;row=1736&amp;col=7&amp;number=0.255&amp;sourceID=14","0.255")</f>
        <v>0.255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HYPERLINK("http://141.218.60.56/~jnz1568/getInfo.php?workbook=20_14.xlsx&amp;sheet=U0&amp;row=1737&amp;col=6&amp;number=4.3&amp;sourceID=14","4.3")</f>
        <v>4.3</v>
      </c>
      <c r="G1737" s="4" t="str">
        <f>HYPERLINK("http://141.218.60.56/~jnz1568/getInfo.php?workbook=20_14.xlsx&amp;sheet=U0&amp;row=1737&amp;col=7&amp;number=0.254&amp;sourceID=14","0.254")</f>
        <v>0.254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HYPERLINK("http://141.218.60.56/~jnz1568/getInfo.php?workbook=20_14.xlsx&amp;sheet=U0&amp;row=1738&amp;col=6&amp;number=4.4&amp;sourceID=14","4.4")</f>
        <v>4.4</v>
      </c>
      <c r="G1738" s="4" t="str">
        <f>HYPERLINK("http://141.218.60.56/~jnz1568/getInfo.php?workbook=20_14.xlsx&amp;sheet=U0&amp;row=1738&amp;col=7&amp;number=0.253&amp;sourceID=14","0.253")</f>
        <v>0.253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HYPERLINK("http://141.218.60.56/~jnz1568/getInfo.php?workbook=20_14.xlsx&amp;sheet=U0&amp;row=1739&amp;col=6&amp;number=4.5&amp;sourceID=14","4.5")</f>
        <v>4.5</v>
      </c>
      <c r="G1739" s="4" t="str">
        <f>HYPERLINK("http://141.218.60.56/~jnz1568/getInfo.php?workbook=20_14.xlsx&amp;sheet=U0&amp;row=1739&amp;col=7&amp;number=0.252&amp;sourceID=14","0.252")</f>
        <v>0.252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HYPERLINK("http://141.218.60.56/~jnz1568/getInfo.php?workbook=20_14.xlsx&amp;sheet=U0&amp;row=1740&amp;col=6&amp;number=4.6&amp;sourceID=14","4.6")</f>
        <v>4.6</v>
      </c>
      <c r="G1740" s="4" t="str">
        <f>HYPERLINK("http://141.218.60.56/~jnz1568/getInfo.php?workbook=20_14.xlsx&amp;sheet=U0&amp;row=1740&amp;col=7&amp;number=0.251&amp;sourceID=14","0.251")</f>
        <v>0.251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HYPERLINK("http://141.218.60.56/~jnz1568/getInfo.php?workbook=20_14.xlsx&amp;sheet=U0&amp;row=1741&amp;col=6&amp;number=4.7&amp;sourceID=14","4.7")</f>
        <v>4.7</v>
      </c>
      <c r="G1741" s="4" t="str">
        <f>HYPERLINK("http://141.218.60.56/~jnz1568/getInfo.php?workbook=20_14.xlsx&amp;sheet=U0&amp;row=1741&amp;col=7&amp;number=0.249&amp;sourceID=14","0.249")</f>
        <v>0.249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HYPERLINK("http://141.218.60.56/~jnz1568/getInfo.php?workbook=20_14.xlsx&amp;sheet=U0&amp;row=1742&amp;col=6&amp;number=4.8&amp;sourceID=14","4.8")</f>
        <v>4.8</v>
      </c>
      <c r="G1742" s="4" t="str">
        <f>HYPERLINK("http://141.218.60.56/~jnz1568/getInfo.php?workbook=20_14.xlsx&amp;sheet=U0&amp;row=1742&amp;col=7&amp;number=0.248&amp;sourceID=14","0.248")</f>
        <v>0.248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HYPERLINK("http://141.218.60.56/~jnz1568/getInfo.php?workbook=20_14.xlsx&amp;sheet=U0&amp;row=1743&amp;col=6&amp;number=4.9&amp;sourceID=14","4.9")</f>
        <v>4.9</v>
      </c>
      <c r="G1743" s="4" t="str">
        <f>HYPERLINK("http://141.218.60.56/~jnz1568/getInfo.php?workbook=20_14.xlsx&amp;sheet=U0&amp;row=1743&amp;col=7&amp;number=0.245&amp;sourceID=14","0.245")</f>
        <v>0.245</v>
      </c>
    </row>
    <row r="1744" spans="1:7">
      <c r="A1744" s="3">
        <v>20</v>
      </c>
      <c r="B1744" s="3">
        <v>14</v>
      </c>
      <c r="C1744" s="3">
        <v>4</v>
      </c>
      <c r="D1744" s="3">
        <v>17</v>
      </c>
      <c r="E1744" s="3">
        <v>1</v>
      </c>
      <c r="F1744" s="4" t="str">
        <f>HYPERLINK("http://141.218.60.56/~jnz1568/getInfo.php?workbook=20_14.xlsx&amp;sheet=U0&amp;row=1744&amp;col=6&amp;number=3&amp;sourceID=14","3")</f>
        <v>3</v>
      </c>
      <c r="G1744" s="4" t="str">
        <f>HYPERLINK("http://141.218.60.56/~jnz1568/getInfo.php?workbook=20_14.xlsx&amp;sheet=U0&amp;row=1744&amp;col=7&amp;number=3.56&amp;sourceID=14","3.56")</f>
        <v>3.56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HYPERLINK("http://141.218.60.56/~jnz1568/getInfo.php?workbook=20_14.xlsx&amp;sheet=U0&amp;row=1745&amp;col=6&amp;number=3.1&amp;sourceID=14","3.1")</f>
        <v>3.1</v>
      </c>
      <c r="G1745" s="4" t="str">
        <f>HYPERLINK("http://141.218.60.56/~jnz1568/getInfo.php?workbook=20_14.xlsx&amp;sheet=U0&amp;row=1745&amp;col=7&amp;number=3.56&amp;sourceID=14","3.56")</f>
        <v>3.56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HYPERLINK("http://141.218.60.56/~jnz1568/getInfo.php?workbook=20_14.xlsx&amp;sheet=U0&amp;row=1746&amp;col=6&amp;number=3.2&amp;sourceID=14","3.2")</f>
        <v>3.2</v>
      </c>
      <c r="G1746" s="4" t="str">
        <f>HYPERLINK("http://141.218.60.56/~jnz1568/getInfo.php?workbook=20_14.xlsx&amp;sheet=U0&amp;row=1746&amp;col=7&amp;number=3.56&amp;sourceID=14","3.56")</f>
        <v>3.56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HYPERLINK("http://141.218.60.56/~jnz1568/getInfo.php?workbook=20_14.xlsx&amp;sheet=U0&amp;row=1747&amp;col=6&amp;number=3.3&amp;sourceID=14","3.3")</f>
        <v>3.3</v>
      </c>
      <c r="G1747" s="4" t="str">
        <f>HYPERLINK("http://141.218.60.56/~jnz1568/getInfo.php?workbook=20_14.xlsx&amp;sheet=U0&amp;row=1747&amp;col=7&amp;number=3.56&amp;sourceID=14","3.56")</f>
        <v>3.56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HYPERLINK("http://141.218.60.56/~jnz1568/getInfo.php?workbook=20_14.xlsx&amp;sheet=U0&amp;row=1748&amp;col=6&amp;number=3.4&amp;sourceID=14","3.4")</f>
        <v>3.4</v>
      </c>
      <c r="G1748" s="4" t="str">
        <f>HYPERLINK("http://141.218.60.56/~jnz1568/getInfo.php?workbook=20_14.xlsx&amp;sheet=U0&amp;row=1748&amp;col=7&amp;number=3.57&amp;sourceID=14","3.57")</f>
        <v>3.57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HYPERLINK("http://141.218.60.56/~jnz1568/getInfo.php?workbook=20_14.xlsx&amp;sheet=U0&amp;row=1749&amp;col=6&amp;number=3.5&amp;sourceID=14","3.5")</f>
        <v>3.5</v>
      </c>
      <c r="G1749" s="4" t="str">
        <f>HYPERLINK("http://141.218.60.56/~jnz1568/getInfo.php?workbook=20_14.xlsx&amp;sheet=U0&amp;row=1749&amp;col=7&amp;number=3.57&amp;sourceID=14","3.57")</f>
        <v>3.57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HYPERLINK("http://141.218.60.56/~jnz1568/getInfo.php?workbook=20_14.xlsx&amp;sheet=U0&amp;row=1750&amp;col=6&amp;number=3.6&amp;sourceID=14","3.6")</f>
        <v>3.6</v>
      </c>
      <c r="G1750" s="4" t="str">
        <f>HYPERLINK("http://141.218.60.56/~jnz1568/getInfo.php?workbook=20_14.xlsx&amp;sheet=U0&amp;row=1750&amp;col=7&amp;number=3.57&amp;sourceID=14","3.57")</f>
        <v>3.57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HYPERLINK("http://141.218.60.56/~jnz1568/getInfo.php?workbook=20_14.xlsx&amp;sheet=U0&amp;row=1751&amp;col=6&amp;number=3.7&amp;sourceID=14","3.7")</f>
        <v>3.7</v>
      </c>
      <c r="G1751" s="4" t="str">
        <f>HYPERLINK("http://141.218.60.56/~jnz1568/getInfo.php?workbook=20_14.xlsx&amp;sheet=U0&amp;row=1751&amp;col=7&amp;number=3.57&amp;sourceID=14","3.57")</f>
        <v>3.57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HYPERLINK("http://141.218.60.56/~jnz1568/getInfo.php?workbook=20_14.xlsx&amp;sheet=U0&amp;row=1752&amp;col=6&amp;number=3.8&amp;sourceID=14","3.8")</f>
        <v>3.8</v>
      </c>
      <c r="G1752" s="4" t="str">
        <f>HYPERLINK("http://141.218.60.56/~jnz1568/getInfo.php?workbook=20_14.xlsx&amp;sheet=U0&amp;row=1752&amp;col=7&amp;number=3.58&amp;sourceID=14","3.58")</f>
        <v>3.58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HYPERLINK("http://141.218.60.56/~jnz1568/getInfo.php?workbook=20_14.xlsx&amp;sheet=U0&amp;row=1753&amp;col=6&amp;number=3.9&amp;sourceID=14","3.9")</f>
        <v>3.9</v>
      </c>
      <c r="G1753" s="4" t="str">
        <f>HYPERLINK("http://141.218.60.56/~jnz1568/getInfo.php?workbook=20_14.xlsx&amp;sheet=U0&amp;row=1753&amp;col=7&amp;number=3.58&amp;sourceID=14","3.58")</f>
        <v>3.58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HYPERLINK("http://141.218.60.56/~jnz1568/getInfo.php?workbook=20_14.xlsx&amp;sheet=U0&amp;row=1754&amp;col=6&amp;number=4&amp;sourceID=14","4")</f>
        <v>4</v>
      </c>
      <c r="G1754" s="4" t="str">
        <f>HYPERLINK("http://141.218.60.56/~jnz1568/getInfo.php?workbook=20_14.xlsx&amp;sheet=U0&amp;row=1754&amp;col=7&amp;number=3.59&amp;sourceID=14","3.59")</f>
        <v>3.59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HYPERLINK("http://141.218.60.56/~jnz1568/getInfo.php?workbook=20_14.xlsx&amp;sheet=U0&amp;row=1755&amp;col=6&amp;number=4.1&amp;sourceID=14","4.1")</f>
        <v>4.1</v>
      </c>
      <c r="G1755" s="4" t="str">
        <f>HYPERLINK("http://141.218.60.56/~jnz1568/getInfo.php?workbook=20_14.xlsx&amp;sheet=U0&amp;row=1755&amp;col=7&amp;number=3.6&amp;sourceID=14","3.6")</f>
        <v>3.6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HYPERLINK("http://141.218.60.56/~jnz1568/getInfo.php?workbook=20_14.xlsx&amp;sheet=U0&amp;row=1756&amp;col=6&amp;number=4.2&amp;sourceID=14","4.2")</f>
        <v>4.2</v>
      </c>
      <c r="G1756" s="4" t="str">
        <f>HYPERLINK("http://141.218.60.56/~jnz1568/getInfo.php?workbook=20_14.xlsx&amp;sheet=U0&amp;row=1756&amp;col=7&amp;number=3.61&amp;sourceID=14","3.61")</f>
        <v>3.61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HYPERLINK("http://141.218.60.56/~jnz1568/getInfo.php?workbook=20_14.xlsx&amp;sheet=U0&amp;row=1757&amp;col=6&amp;number=4.3&amp;sourceID=14","4.3")</f>
        <v>4.3</v>
      </c>
      <c r="G1757" s="4" t="str">
        <f>HYPERLINK("http://141.218.60.56/~jnz1568/getInfo.php?workbook=20_14.xlsx&amp;sheet=U0&amp;row=1757&amp;col=7&amp;number=3.62&amp;sourceID=14","3.62")</f>
        <v>3.62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HYPERLINK("http://141.218.60.56/~jnz1568/getInfo.php?workbook=20_14.xlsx&amp;sheet=U0&amp;row=1758&amp;col=6&amp;number=4.4&amp;sourceID=14","4.4")</f>
        <v>4.4</v>
      </c>
      <c r="G1758" s="4" t="str">
        <f>HYPERLINK("http://141.218.60.56/~jnz1568/getInfo.php?workbook=20_14.xlsx&amp;sheet=U0&amp;row=1758&amp;col=7&amp;number=3.63&amp;sourceID=14","3.63")</f>
        <v>3.63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HYPERLINK("http://141.218.60.56/~jnz1568/getInfo.php?workbook=20_14.xlsx&amp;sheet=U0&amp;row=1759&amp;col=6&amp;number=4.5&amp;sourceID=14","4.5")</f>
        <v>4.5</v>
      </c>
      <c r="G1759" s="4" t="str">
        <f>HYPERLINK("http://141.218.60.56/~jnz1568/getInfo.php?workbook=20_14.xlsx&amp;sheet=U0&amp;row=1759&amp;col=7&amp;number=3.65&amp;sourceID=14","3.65")</f>
        <v>3.65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HYPERLINK("http://141.218.60.56/~jnz1568/getInfo.php?workbook=20_14.xlsx&amp;sheet=U0&amp;row=1760&amp;col=6&amp;number=4.6&amp;sourceID=14","4.6")</f>
        <v>4.6</v>
      </c>
      <c r="G1760" s="4" t="str">
        <f>HYPERLINK("http://141.218.60.56/~jnz1568/getInfo.php?workbook=20_14.xlsx&amp;sheet=U0&amp;row=1760&amp;col=7&amp;number=3.68&amp;sourceID=14","3.68")</f>
        <v>3.68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HYPERLINK("http://141.218.60.56/~jnz1568/getInfo.php?workbook=20_14.xlsx&amp;sheet=U0&amp;row=1761&amp;col=6&amp;number=4.7&amp;sourceID=14","4.7")</f>
        <v>4.7</v>
      </c>
      <c r="G1761" s="4" t="str">
        <f>HYPERLINK("http://141.218.60.56/~jnz1568/getInfo.php?workbook=20_14.xlsx&amp;sheet=U0&amp;row=1761&amp;col=7&amp;number=3.71&amp;sourceID=14","3.71")</f>
        <v>3.71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HYPERLINK("http://141.218.60.56/~jnz1568/getInfo.php?workbook=20_14.xlsx&amp;sheet=U0&amp;row=1762&amp;col=6&amp;number=4.8&amp;sourceID=14","4.8")</f>
        <v>4.8</v>
      </c>
      <c r="G1762" s="4" t="str">
        <f>HYPERLINK("http://141.218.60.56/~jnz1568/getInfo.php?workbook=20_14.xlsx&amp;sheet=U0&amp;row=1762&amp;col=7&amp;number=3.74&amp;sourceID=14","3.74")</f>
        <v>3.74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HYPERLINK("http://141.218.60.56/~jnz1568/getInfo.php?workbook=20_14.xlsx&amp;sheet=U0&amp;row=1763&amp;col=6&amp;number=4.9&amp;sourceID=14","4.9")</f>
        <v>4.9</v>
      </c>
      <c r="G1763" s="4" t="str">
        <f>HYPERLINK("http://141.218.60.56/~jnz1568/getInfo.php?workbook=20_14.xlsx&amp;sheet=U0&amp;row=1763&amp;col=7&amp;number=3.79&amp;sourceID=14","3.79")</f>
        <v>3.79</v>
      </c>
    </row>
    <row r="1764" spans="1:7">
      <c r="A1764" s="3">
        <v>20</v>
      </c>
      <c r="B1764" s="3">
        <v>14</v>
      </c>
      <c r="C1764" s="3">
        <v>4</v>
      </c>
      <c r="D1764" s="3">
        <v>18</v>
      </c>
      <c r="E1764" s="3">
        <v>1</v>
      </c>
      <c r="F1764" s="4" t="str">
        <f>HYPERLINK("http://141.218.60.56/~jnz1568/getInfo.php?workbook=20_14.xlsx&amp;sheet=U0&amp;row=1764&amp;col=6&amp;number=3&amp;sourceID=14","3")</f>
        <v>3</v>
      </c>
      <c r="G1764" s="4" t="str">
        <f>HYPERLINK("http://141.218.60.56/~jnz1568/getInfo.php?workbook=20_14.xlsx&amp;sheet=U0&amp;row=1764&amp;col=7&amp;number=0.538&amp;sourceID=14","0.538")</f>
        <v>0.538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HYPERLINK("http://141.218.60.56/~jnz1568/getInfo.php?workbook=20_14.xlsx&amp;sheet=U0&amp;row=1765&amp;col=6&amp;number=3.1&amp;sourceID=14","3.1")</f>
        <v>3.1</v>
      </c>
      <c r="G1765" s="4" t="str">
        <f>HYPERLINK("http://141.218.60.56/~jnz1568/getInfo.php?workbook=20_14.xlsx&amp;sheet=U0&amp;row=1765&amp;col=7&amp;number=0.538&amp;sourceID=14","0.538")</f>
        <v>0.538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HYPERLINK("http://141.218.60.56/~jnz1568/getInfo.php?workbook=20_14.xlsx&amp;sheet=U0&amp;row=1766&amp;col=6&amp;number=3.2&amp;sourceID=14","3.2")</f>
        <v>3.2</v>
      </c>
      <c r="G1766" s="4" t="str">
        <f>HYPERLINK("http://141.218.60.56/~jnz1568/getInfo.php?workbook=20_14.xlsx&amp;sheet=U0&amp;row=1766&amp;col=7&amp;number=0.538&amp;sourceID=14","0.538")</f>
        <v>0.538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HYPERLINK("http://141.218.60.56/~jnz1568/getInfo.php?workbook=20_14.xlsx&amp;sheet=U0&amp;row=1767&amp;col=6&amp;number=3.3&amp;sourceID=14","3.3")</f>
        <v>3.3</v>
      </c>
      <c r="G1767" s="4" t="str">
        <f>HYPERLINK("http://141.218.60.56/~jnz1568/getInfo.php?workbook=20_14.xlsx&amp;sheet=U0&amp;row=1767&amp;col=7&amp;number=0.538&amp;sourceID=14","0.538")</f>
        <v>0.538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HYPERLINK("http://141.218.60.56/~jnz1568/getInfo.php?workbook=20_14.xlsx&amp;sheet=U0&amp;row=1768&amp;col=6&amp;number=3.4&amp;sourceID=14","3.4")</f>
        <v>3.4</v>
      </c>
      <c r="G1768" s="4" t="str">
        <f>HYPERLINK("http://141.218.60.56/~jnz1568/getInfo.php?workbook=20_14.xlsx&amp;sheet=U0&amp;row=1768&amp;col=7&amp;number=0.538&amp;sourceID=14","0.538")</f>
        <v>0.538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HYPERLINK("http://141.218.60.56/~jnz1568/getInfo.php?workbook=20_14.xlsx&amp;sheet=U0&amp;row=1769&amp;col=6&amp;number=3.5&amp;sourceID=14","3.5")</f>
        <v>3.5</v>
      </c>
      <c r="G1769" s="4" t="str">
        <f>HYPERLINK("http://141.218.60.56/~jnz1568/getInfo.php?workbook=20_14.xlsx&amp;sheet=U0&amp;row=1769&amp;col=7&amp;number=0.539&amp;sourceID=14","0.539")</f>
        <v>0.539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HYPERLINK("http://141.218.60.56/~jnz1568/getInfo.php?workbook=20_14.xlsx&amp;sheet=U0&amp;row=1770&amp;col=6&amp;number=3.6&amp;sourceID=14","3.6")</f>
        <v>3.6</v>
      </c>
      <c r="G1770" s="4" t="str">
        <f>HYPERLINK("http://141.218.60.56/~jnz1568/getInfo.php?workbook=20_14.xlsx&amp;sheet=U0&amp;row=1770&amp;col=7&amp;number=0.539&amp;sourceID=14","0.539")</f>
        <v>0.539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HYPERLINK("http://141.218.60.56/~jnz1568/getInfo.php?workbook=20_14.xlsx&amp;sheet=U0&amp;row=1771&amp;col=6&amp;number=3.7&amp;sourceID=14","3.7")</f>
        <v>3.7</v>
      </c>
      <c r="G1771" s="4" t="str">
        <f>HYPERLINK("http://141.218.60.56/~jnz1568/getInfo.php?workbook=20_14.xlsx&amp;sheet=U0&amp;row=1771&amp;col=7&amp;number=0.539&amp;sourceID=14","0.539")</f>
        <v>0.539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HYPERLINK("http://141.218.60.56/~jnz1568/getInfo.php?workbook=20_14.xlsx&amp;sheet=U0&amp;row=1772&amp;col=6&amp;number=3.8&amp;sourceID=14","3.8")</f>
        <v>3.8</v>
      </c>
      <c r="G1772" s="4" t="str">
        <f>HYPERLINK("http://141.218.60.56/~jnz1568/getInfo.php?workbook=20_14.xlsx&amp;sheet=U0&amp;row=1772&amp;col=7&amp;number=0.54&amp;sourceID=14","0.54")</f>
        <v>0.54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HYPERLINK("http://141.218.60.56/~jnz1568/getInfo.php?workbook=20_14.xlsx&amp;sheet=U0&amp;row=1773&amp;col=6&amp;number=3.9&amp;sourceID=14","3.9")</f>
        <v>3.9</v>
      </c>
      <c r="G1773" s="4" t="str">
        <f>HYPERLINK("http://141.218.60.56/~jnz1568/getInfo.php?workbook=20_14.xlsx&amp;sheet=U0&amp;row=1773&amp;col=7&amp;number=0.54&amp;sourceID=14","0.54")</f>
        <v>0.54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HYPERLINK("http://141.218.60.56/~jnz1568/getInfo.php?workbook=20_14.xlsx&amp;sheet=U0&amp;row=1774&amp;col=6&amp;number=4&amp;sourceID=14","4")</f>
        <v>4</v>
      </c>
      <c r="G1774" s="4" t="str">
        <f>HYPERLINK("http://141.218.60.56/~jnz1568/getInfo.php?workbook=20_14.xlsx&amp;sheet=U0&amp;row=1774&amp;col=7&amp;number=0.541&amp;sourceID=14","0.541")</f>
        <v>0.541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HYPERLINK("http://141.218.60.56/~jnz1568/getInfo.php?workbook=20_14.xlsx&amp;sheet=U0&amp;row=1775&amp;col=6&amp;number=4.1&amp;sourceID=14","4.1")</f>
        <v>4.1</v>
      </c>
      <c r="G1775" s="4" t="str">
        <f>HYPERLINK("http://141.218.60.56/~jnz1568/getInfo.php?workbook=20_14.xlsx&amp;sheet=U0&amp;row=1775&amp;col=7&amp;number=0.542&amp;sourceID=14","0.542")</f>
        <v>0.542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HYPERLINK("http://141.218.60.56/~jnz1568/getInfo.php?workbook=20_14.xlsx&amp;sheet=U0&amp;row=1776&amp;col=6&amp;number=4.2&amp;sourceID=14","4.2")</f>
        <v>4.2</v>
      </c>
      <c r="G1776" s="4" t="str">
        <f>HYPERLINK("http://141.218.60.56/~jnz1568/getInfo.php?workbook=20_14.xlsx&amp;sheet=U0&amp;row=1776&amp;col=7&amp;number=0.543&amp;sourceID=14","0.543")</f>
        <v>0.543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HYPERLINK("http://141.218.60.56/~jnz1568/getInfo.php?workbook=20_14.xlsx&amp;sheet=U0&amp;row=1777&amp;col=6&amp;number=4.3&amp;sourceID=14","4.3")</f>
        <v>4.3</v>
      </c>
      <c r="G1777" s="4" t="str">
        <f>HYPERLINK("http://141.218.60.56/~jnz1568/getInfo.php?workbook=20_14.xlsx&amp;sheet=U0&amp;row=1777&amp;col=7&amp;number=0.544&amp;sourceID=14","0.544")</f>
        <v>0.544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HYPERLINK("http://141.218.60.56/~jnz1568/getInfo.php?workbook=20_14.xlsx&amp;sheet=U0&amp;row=1778&amp;col=6&amp;number=4.4&amp;sourceID=14","4.4")</f>
        <v>4.4</v>
      </c>
      <c r="G1778" s="4" t="str">
        <f>HYPERLINK("http://141.218.60.56/~jnz1568/getInfo.php?workbook=20_14.xlsx&amp;sheet=U0&amp;row=1778&amp;col=7&amp;number=0.545&amp;sourceID=14","0.545")</f>
        <v>0.545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HYPERLINK("http://141.218.60.56/~jnz1568/getInfo.php?workbook=20_14.xlsx&amp;sheet=U0&amp;row=1779&amp;col=6&amp;number=4.5&amp;sourceID=14","4.5")</f>
        <v>4.5</v>
      </c>
      <c r="G1779" s="4" t="str">
        <f>HYPERLINK("http://141.218.60.56/~jnz1568/getInfo.php?workbook=20_14.xlsx&amp;sheet=U0&amp;row=1779&amp;col=7&amp;number=0.547&amp;sourceID=14","0.547")</f>
        <v>0.547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HYPERLINK("http://141.218.60.56/~jnz1568/getInfo.php?workbook=20_14.xlsx&amp;sheet=U0&amp;row=1780&amp;col=6&amp;number=4.6&amp;sourceID=14","4.6")</f>
        <v>4.6</v>
      </c>
      <c r="G1780" s="4" t="str">
        <f>HYPERLINK("http://141.218.60.56/~jnz1568/getInfo.php?workbook=20_14.xlsx&amp;sheet=U0&amp;row=1780&amp;col=7&amp;number=0.55&amp;sourceID=14","0.55")</f>
        <v>0.55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HYPERLINK("http://141.218.60.56/~jnz1568/getInfo.php?workbook=20_14.xlsx&amp;sheet=U0&amp;row=1781&amp;col=6&amp;number=4.7&amp;sourceID=14","4.7")</f>
        <v>4.7</v>
      </c>
      <c r="G1781" s="4" t="str">
        <f>HYPERLINK("http://141.218.60.56/~jnz1568/getInfo.php?workbook=20_14.xlsx&amp;sheet=U0&amp;row=1781&amp;col=7&amp;number=0.553&amp;sourceID=14","0.553")</f>
        <v>0.553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HYPERLINK("http://141.218.60.56/~jnz1568/getInfo.php?workbook=20_14.xlsx&amp;sheet=U0&amp;row=1782&amp;col=6&amp;number=4.8&amp;sourceID=14","4.8")</f>
        <v>4.8</v>
      </c>
      <c r="G1782" s="4" t="str">
        <f>HYPERLINK("http://141.218.60.56/~jnz1568/getInfo.php?workbook=20_14.xlsx&amp;sheet=U0&amp;row=1782&amp;col=7&amp;number=0.557&amp;sourceID=14","0.557")</f>
        <v>0.557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HYPERLINK("http://141.218.60.56/~jnz1568/getInfo.php?workbook=20_14.xlsx&amp;sheet=U0&amp;row=1783&amp;col=6&amp;number=4.9&amp;sourceID=14","4.9")</f>
        <v>4.9</v>
      </c>
      <c r="G1783" s="4" t="str">
        <f>HYPERLINK("http://141.218.60.56/~jnz1568/getInfo.php?workbook=20_14.xlsx&amp;sheet=U0&amp;row=1783&amp;col=7&amp;number=0.562&amp;sourceID=14","0.562")</f>
        <v>0.562</v>
      </c>
    </row>
    <row r="1784" spans="1:7">
      <c r="A1784" s="3">
        <v>20</v>
      </c>
      <c r="B1784" s="3">
        <v>14</v>
      </c>
      <c r="C1784" s="3">
        <v>4</v>
      </c>
      <c r="D1784" s="3">
        <v>19</v>
      </c>
      <c r="E1784" s="3">
        <v>1</v>
      </c>
      <c r="F1784" s="4" t="str">
        <f>HYPERLINK("http://141.218.60.56/~jnz1568/getInfo.php?workbook=20_14.xlsx&amp;sheet=U0&amp;row=1784&amp;col=6&amp;number=3&amp;sourceID=14","3")</f>
        <v>3</v>
      </c>
      <c r="G1784" s="4" t="str">
        <f>HYPERLINK("http://141.218.60.56/~jnz1568/getInfo.php?workbook=20_14.xlsx&amp;sheet=U0&amp;row=1784&amp;col=7&amp;number=0.0205&amp;sourceID=14","0.0205")</f>
        <v>0.0205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HYPERLINK("http://141.218.60.56/~jnz1568/getInfo.php?workbook=20_14.xlsx&amp;sheet=U0&amp;row=1785&amp;col=6&amp;number=3.1&amp;sourceID=14","3.1")</f>
        <v>3.1</v>
      </c>
      <c r="G1785" s="4" t="str">
        <f>HYPERLINK("http://141.218.60.56/~jnz1568/getInfo.php?workbook=20_14.xlsx&amp;sheet=U0&amp;row=1785&amp;col=7&amp;number=0.0205&amp;sourceID=14","0.0205")</f>
        <v>0.0205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HYPERLINK("http://141.218.60.56/~jnz1568/getInfo.php?workbook=20_14.xlsx&amp;sheet=U0&amp;row=1786&amp;col=6&amp;number=3.2&amp;sourceID=14","3.2")</f>
        <v>3.2</v>
      </c>
      <c r="G1786" s="4" t="str">
        <f>HYPERLINK("http://141.218.60.56/~jnz1568/getInfo.php?workbook=20_14.xlsx&amp;sheet=U0&amp;row=1786&amp;col=7&amp;number=0.0205&amp;sourceID=14","0.0205")</f>
        <v>0.0205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HYPERLINK("http://141.218.60.56/~jnz1568/getInfo.php?workbook=20_14.xlsx&amp;sheet=U0&amp;row=1787&amp;col=6&amp;number=3.3&amp;sourceID=14","3.3")</f>
        <v>3.3</v>
      </c>
      <c r="G1787" s="4" t="str">
        <f>HYPERLINK("http://141.218.60.56/~jnz1568/getInfo.php?workbook=20_14.xlsx&amp;sheet=U0&amp;row=1787&amp;col=7&amp;number=0.0205&amp;sourceID=14","0.0205")</f>
        <v>0.0205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HYPERLINK("http://141.218.60.56/~jnz1568/getInfo.php?workbook=20_14.xlsx&amp;sheet=U0&amp;row=1788&amp;col=6&amp;number=3.4&amp;sourceID=14","3.4")</f>
        <v>3.4</v>
      </c>
      <c r="G1788" s="4" t="str">
        <f>HYPERLINK("http://141.218.60.56/~jnz1568/getInfo.php?workbook=20_14.xlsx&amp;sheet=U0&amp;row=1788&amp;col=7&amp;number=0.0205&amp;sourceID=14","0.0205")</f>
        <v>0.0205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HYPERLINK("http://141.218.60.56/~jnz1568/getInfo.php?workbook=20_14.xlsx&amp;sheet=U0&amp;row=1789&amp;col=6&amp;number=3.5&amp;sourceID=14","3.5")</f>
        <v>3.5</v>
      </c>
      <c r="G1789" s="4" t="str">
        <f>HYPERLINK("http://141.218.60.56/~jnz1568/getInfo.php?workbook=20_14.xlsx&amp;sheet=U0&amp;row=1789&amp;col=7&amp;number=0.0205&amp;sourceID=14","0.0205")</f>
        <v>0.0205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HYPERLINK("http://141.218.60.56/~jnz1568/getInfo.php?workbook=20_14.xlsx&amp;sheet=U0&amp;row=1790&amp;col=6&amp;number=3.6&amp;sourceID=14","3.6")</f>
        <v>3.6</v>
      </c>
      <c r="G1790" s="4" t="str">
        <f>HYPERLINK("http://141.218.60.56/~jnz1568/getInfo.php?workbook=20_14.xlsx&amp;sheet=U0&amp;row=1790&amp;col=7&amp;number=0.0204&amp;sourceID=14","0.0204")</f>
        <v>0.0204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HYPERLINK("http://141.218.60.56/~jnz1568/getInfo.php?workbook=20_14.xlsx&amp;sheet=U0&amp;row=1791&amp;col=6&amp;number=3.7&amp;sourceID=14","3.7")</f>
        <v>3.7</v>
      </c>
      <c r="G1791" s="4" t="str">
        <f>HYPERLINK("http://141.218.60.56/~jnz1568/getInfo.php?workbook=20_14.xlsx&amp;sheet=U0&amp;row=1791&amp;col=7&amp;number=0.0204&amp;sourceID=14","0.0204")</f>
        <v>0.0204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HYPERLINK("http://141.218.60.56/~jnz1568/getInfo.php?workbook=20_14.xlsx&amp;sheet=U0&amp;row=1792&amp;col=6&amp;number=3.8&amp;sourceID=14","3.8")</f>
        <v>3.8</v>
      </c>
      <c r="G1792" s="4" t="str">
        <f>HYPERLINK("http://141.218.60.56/~jnz1568/getInfo.php?workbook=20_14.xlsx&amp;sheet=U0&amp;row=1792&amp;col=7&amp;number=0.0204&amp;sourceID=14","0.0204")</f>
        <v>0.0204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HYPERLINK("http://141.218.60.56/~jnz1568/getInfo.php?workbook=20_14.xlsx&amp;sheet=U0&amp;row=1793&amp;col=6&amp;number=3.9&amp;sourceID=14","3.9")</f>
        <v>3.9</v>
      </c>
      <c r="G1793" s="4" t="str">
        <f>HYPERLINK("http://141.218.60.56/~jnz1568/getInfo.php?workbook=20_14.xlsx&amp;sheet=U0&amp;row=1793&amp;col=7&amp;number=0.0204&amp;sourceID=14","0.0204")</f>
        <v>0.0204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HYPERLINK("http://141.218.60.56/~jnz1568/getInfo.php?workbook=20_14.xlsx&amp;sheet=U0&amp;row=1794&amp;col=6&amp;number=4&amp;sourceID=14","4")</f>
        <v>4</v>
      </c>
      <c r="G1794" s="4" t="str">
        <f>HYPERLINK("http://141.218.60.56/~jnz1568/getInfo.php?workbook=20_14.xlsx&amp;sheet=U0&amp;row=1794&amp;col=7&amp;number=0.0204&amp;sourceID=14","0.0204")</f>
        <v>0.0204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HYPERLINK("http://141.218.60.56/~jnz1568/getInfo.php?workbook=20_14.xlsx&amp;sheet=U0&amp;row=1795&amp;col=6&amp;number=4.1&amp;sourceID=14","4.1")</f>
        <v>4.1</v>
      </c>
      <c r="G1795" s="4" t="str">
        <f>HYPERLINK("http://141.218.60.56/~jnz1568/getInfo.php?workbook=20_14.xlsx&amp;sheet=U0&amp;row=1795&amp;col=7&amp;number=0.0203&amp;sourceID=14","0.0203")</f>
        <v>0.0203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HYPERLINK("http://141.218.60.56/~jnz1568/getInfo.php?workbook=20_14.xlsx&amp;sheet=U0&amp;row=1796&amp;col=6&amp;number=4.2&amp;sourceID=14","4.2")</f>
        <v>4.2</v>
      </c>
      <c r="G1796" s="4" t="str">
        <f>HYPERLINK("http://141.218.60.56/~jnz1568/getInfo.php?workbook=20_14.xlsx&amp;sheet=U0&amp;row=1796&amp;col=7&amp;number=0.0203&amp;sourceID=14","0.0203")</f>
        <v>0.0203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HYPERLINK("http://141.218.60.56/~jnz1568/getInfo.php?workbook=20_14.xlsx&amp;sheet=U0&amp;row=1797&amp;col=6&amp;number=4.3&amp;sourceID=14","4.3")</f>
        <v>4.3</v>
      </c>
      <c r="G1797" s="4" t="str">
        <f>HYPERLINK("http://141.218.60.56/~jnz1568/getInfo.php?workbook=20_14.xlsx&amp;sheet=U0&amp;row=1797&amp;col=7&amp;number=0.0202&amp;sourceID=14","0.0202")</f>
        <v>0.0202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HYPERLINK("http://141.218.60.56/~jnz1568/getInfo.php?workbook=20_14.xlsx&amp;sheet=U0&amp;row=1798&amp;col=6&amp;number=4.4&amp;sourceID=14","4.4")</f>
        <v>4.4</v>
      </c>
      <c r="G1798" s="4" t="str">
        <f>HYPERLINK("http://141.218.60.56/~jnz1568/getInfo.php?workbook=20_14.xlsx&amp;sheet=U0&amp;row=1798&amp;col=7&amp;number=0.0202&amp;sourceID=14","0.0202")</f>
        <v>0.0202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HYPERLINK("http://141.218.60.56/~jnz1568/getInfo.php?workbook=20_14.xlsx&amp;sheet=U0&amp;row=1799&amp;col=6&amp;number=4.5&amp;sourceID=14","4.5")</f>
        <v>4.5</v>
      </c>
      <c r="G1799" s="4" t="str">
        <f>HYPERLINK("http://141.218.60.56/~jnz1568/getInfo.php?workbook=20_14.xlsx&amp;sheet=U0&amp;row=1799&amp;col=7&amp;number=0.0201&amp;sourceID=14","0.0201")</f>
        <v>0.0201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HYPERLINK("http://141.218.60.56/~jnz1568/getInfo.php?workbook=20_14.xlsx&amp;sheet=U0&amp;row=1800&amp;col=6&amp;number=4.6&amp;sourceID=14","4.6")</f>
        <v>4.6</v>
      </c>
      <c r="G1800" s="4" t="str">
        <f>HYPERLINK("http://141.218.60.56/~jnz1568/getInfo.php?workbook=20_14.xlsx&amp;sheet=U0&amp;row=1800&amp;col=7&amp;number=0.02&amp;sourceID=14","0.02")</f>
        <v>0.02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HYPERLINK("http://141.218.60.56/~jnz1568/getInfo.php?workbook=20_14.xlsx&amp;sheet=U0&amp;row=1801&amp;col=6&amp;number=4.7&amp;sourceID=14","4.7")</f>
        <v>4.7</v>
      </c>
      <c r="G1801" s="4" t="str">
        <f>HYPERLINK("http://141.218.60.56/~jnz1568/getInfo.php?workbook=20_14.xlsx&amp;sheet=U0&amp;row=1801&amp;col=7&amp;number=0.0199&amp;sourceID=14","0.0199")</f>
        <v>0.0199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HYPERLINK("http://141.218.60.56/~jnz1568/getInfo.php?workbook=20_14.xlsx&amp;sheet=U0&amp;row=1802&amp;col=6&amp;number=4.8&amp;sourceID=14","4.8")</f>
        <v>4.8</v>
      </c>
      <c r="G1802" s="4" t="str">
        <f>HYPERLINK("http://141.218.60.56/~jnz1568/getInfo.php?workbook=20_14.xlsx&amp;sheet=U0&amp;row=1802&amp;col=7&amp;number=0.0197&amp;sourceID=14","0.0197")</f>
        <v>0.0197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HYPERLINK("http://141.218.60.56/~jnz1568/getInfo.php?workbook=20_14.xlsx&amp;sheet=U0&amp;row=1803&amp;col=6&amp;number=4.9&amp;sourceID=14","4.9")</f>
        <v>4.9</v>
      </c>
      <c r="G1803" s="4" t="str">
        <f>HYPERLINK("http://141.218.60.56/~jnz1568/getInfo.php?workbook=20_14.xlsx&amp;sheet=U0&amp;row=1803&amp;col=7&amp;number=0.0195&amp;sourceID=14","0.0195")</f>
        <v>0.0195</v>
      </c>
    </row>
    <row r="1804" spans="1:7">
      <c r="A1804" s="3">
        <v>20</v>
      </c>
      <c r="B1804" s="3">
        <v>14</v>
      </c>
      <c r="C1804" s="3">
        <v>4</v>
      </c>
      <c r="D1804" s="3">
        <v>20</v>
      </c>
      <c r="E1804" s="3">
        <v>1</v>
      </c>
      <c r="F1804" s="4" t="str">
        <f>HYPERLINK("http://141.218.60.56/~jnz1568/getInfo.php?workbook=20_14.xlsx&amp;sheet=U0&amp;row=1804&amp;col=6&amp;number=3&amp;sourceID=14","3")</f>
        <v>3</v>
      </c>
      <c r="G1804" s="4" t="str">
        <f>HYPERLINK("http://141.218.60.56/~jnz1568/getInfo.php?workbook=20_14.xlsx&amp;sheet=U0&amp;row=1804&amp;col=7&amp;number=0.0754&amp;sourceID=14","0.0754")</f>
        <v>0.0754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HYPERLINK("http://141.218.60.56/~jnz1568/getInfo.php?workbook=20_14.xlsx&amp;sheet=U0&amp;row=1805&amp;col=6&amp;number=3.1&amp;sourceID=14","3.1")</f>
        <v>3.1</v>
      </c>
      <c r="G1805" s="4" t="str">
        <f>HYPERLINK("http://141.218.60.56/~jnz1568/getInfo.php?workbook=20_14.xlsx&amp;sheet=U0&amp;row=1805&amp;col=7&amp;number=0.0754&amp;sourceID=14","0.0754")</f>
        <v>0.0754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HYPERLINK("http://141.218.60.56/~jnz1568/getInfo.php?workbook=20_14.xlsx&amp;sheet=U0&amp;row=1806&amp;col=6&amp;number=3.2&amp;sourceID=14","3.2")</f>
        <v>3.2</v>
      </c>
      <c r="G1806" s="4" t="str">
        <f>HYPERLINK("http://141.218.60.56/~jnz1568/getInfo.php?workbook=20_14.xlsx&amp;sheet=U0&amp;row=1806&amp;col=7&amp;number=0.0753&amp;sourceID=14","0.0753")</f>
        <v>0.0753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HYPERLINK("http://141.218.60.56/~jnz1568/getInfo.php?workbook=20_14.xlsx&amp;sheet=U0&amp;row=1807&amp;col=6&amp;number=3.3&amp;sourceID=14","3.3")</f>
        <v>3.3</v>
      </c>
      <c r="G1807" s="4" t="str">
        <f>HYPERLINK("http://141.218.60.56/~jnz1568/getInfo.php?workbook=20_14.xlsx&amp;sheet=U0&amp;row=1807&amp;col=7&amp;number=0.0753&amp;sourceID=14","0.0753")</f>
        <v>0.0753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HYPERLINK("http://141.218.60.56/~jnz1568/getInfo.php?workbook=20_14.xlsx&amp;sheet=U0&amp;row=1808&amp;col=6&amp;number=3.4&amp;sourceID=14","3.4")</f>
        <v>3.4</v>
      </c>
      <c r="G1808" s="4" t="str">
        <f>HYPERLINK("http://141.218.60.56/~jnz1568/getInfo.php?workbook=20_14.xlsx&amp;sheet=U0&amp;row=1808&amp;col=7&amp;number=0.0753&amp;sourceID=14","0.0753")</f>
        <v>0.0753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HYPERLINK("http://141.218.60.56/~jnz1568/getInfo.php?workbook=20_14.xlsx&amp;sheet=U0&amp;row=1809&amp;col=6&amp;number=3.5&amp;sourceID=14","3.5")</f>
        <v>3.5</v>
      </c>
      <c r="G1809" s="4" t="str">
        <f>HYPERLINK("http://141.218.60.56/~jnz1568/getInfo.php?workbook=20_14.xlsx&amp;sheet=U0&amp;row=1809&amp;col=7&amp;number=0.0753&amp;sourceID=14","0.0753")</f>
        <v>0.0753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HYPERLINK("http://141.218.60.56/~jnz1568/getInfo.php?workbook=20_14.xlsx&amp;sheet=U0&amp;row=1810&amp;col=6&amp;number=3.6&amp;sourceID=14","3.6")</f>
        <v>3.6</v>
      </c>
      <c r="G1810" s="4" t="str">
        <f>HYPERLINK("http://141.218.60.56/~jnz1568/getInfo.php?workbook=20_14.xlsx&amp;sheet=U0&amp;row=1810&amp;col=7&amp;number=0.0753&amp;sourceID=14","0.0753")</f>
        <v>0.0753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HYPERLINK("http://141.218.60.56/~jnz1568/getInfo.php?workbook=20_14.xlsx&amp;sheet=U0&amp;row=1811&amp;col=6&amp;number=3.7&amp;sourceID=14","3.7")</f>
        <v>3.7</v>
      </c>
      <c r="G1811" s="4" t="str">
        <f>HYPERLINK("http://141.218.60.56/~jnz1568/getInfo.php?workbook=20_14.xlsx&amp;sheet=U0&amp;row=1811&amp;col=7&amp;number=0.0753&amp;sourceID=14","0.0753")</f>
        <v>0.0753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HYPERLINK("http://141.218.60.56/~jnz1568/getInfo.php?workbook=20_14.xlsx&amp;sheet=U0&amp;row=1812&amp;col=6&amp;number=3.8&amp;sourceID=14","3.8")</f>
        <v>3.8</v>
      </c>
      <c r="G1812" s="4" t="str">
        <f>HYPERLINK("http://141.218.60.56/~jnz1568/getInfo.php?workbook=20_14.xlsx&amp;sheet=U0&amp;row=1812&amp;col=7&amp;number=0.0752&amp;sourceID=14","0.0752")</f>
        <v>0.0752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HYPERLINK("http://141.218.60.56/~jnz1568/getInfo.php?workbook=20_14.xlsx&amp;sheet=U0&amp;row=1813&amp;col=6&amp;number=3.9&amp;sourceID=14","3.9")</f>
        <v>3.9</v>
      </c>
      <c r="G1813" s="4" t="str">
        <f>HYPERLINK("http://141.218.60.56/~jnz1568/getInfo.php?workbook=20_14.xlsx&amp;sheet=U0&amp;row=1813&amp;col=7&amp;number=0.0752&amp;sourceID=14","0.0752")</f>
        <v>0.0752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HYPERLINK("http://141.218.60.56/~jnz1568/getInfo.php?workbook=20_14.xlsx&amp;sheet=U0&amp;row=1814&amp;col=6&amp;number=4&amp;sourceID=14","4")</f>
        <v>4</v>
      </c>
      <c r="G1814" s="4" t="str">
        <f>HYPERLINK("http://141.218.60.56/~jnz1568/getInfo.php?workbook=20_14.xlsx&amp;sheet=U0&amp;row=1814&amp;col=7&amp;number=0.0752&amp;sourceID=14","0.0752")</f>
        <v>0.0752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HYPERLINK("http://141.218.60.56/~jnz1568/getInfo.php?workbook=20_14.xlsx&amp;sheet=U0&amp;row=1815&amp;col=6&amp;number=4.1&amp;sourceID=14","4.1")</f>
        <v>4.1</v>
      </c>
      <c r="G1815" s="4" t="str">
        <f>HYPERLINK("http://141.218.60.56/~jnz1568/getInfo.php?workbook=20_14.xlsx&amp;sheet=U0&amp;row=1815&amp;col=7&amp;number=0.0751&amp;sourceID=14","0.0751")</f>
        <v>0.0751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HYPERLINK("http://141.218.60.56/~jnz1568/getInfo.php?workbook=20_14.xlsx&amp;sheet=U0&amp;row=1816&amp;col=6&amp;number=4.2&amp;sourceID=14","4.2")</f>
        <v>4.2</v>
      </c>
      <c r="G1816" s="4" t="str">
        <f>HYPERLINK("http://141.218.60.56/~jnz1568/getInfo.php?workbook=20_14.xlsx&amp;sheet=U0&amp;row=1816&amp;col=7&amp;number=0.075&amp;sourceID=14","0.075")</f>
        <v>0.075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HYPERLINK("http://141.218.60.56/~jnz1568/getInfo.php?workbook=20_14.xlsx&amp;sheet=U0&amp;row=1817&amp;col=6&amp;number=4.3&amp;sourceID=14","4.3")</f>
        <v>4.3</v>
      </c>
      <c r="G1817" s="4" t="str">
        <f>HYPERLINK("http://141.218.60.56/~jnz1568/getInfo.php?workbook=20_14.xlsx&amp;sheet=U0&amp;row=1817&amp;col=7&amp;number=0.0749&amp;sourceID=14","0.0749")</f>
        <v>0.0749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HYPERLINK("http://141.218.60.56/~jnz1568/getInfo.php?workbook=20_14.xlsx&amp;sheet=U0&amp;row=1818&amp;col=6&amp;number=4.4&amp;sourceID=14","4.4")</f>
        <v>4.4</v>
      </c>
      <c r="G1818" s="4" t="str">
        <f>HYPERLINK("http://141.218.60.56/~jnz1568/getInfo.php?workbook=20_14.xlsx&amp;sheet=U0&amp;row=1818&amp;col=7&amp;number=0.0748&amp;sourceID=14","0.0748")</f>
        <v>0.0748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HYPERLINK("http://141.218.60.56/~jnz1568/getInfo.php?workbook=20_14.xlsx&amp;sheet=U0&amp;row=1819&amp;col=6&amp;number=4.5&amp;sourceID=14","4.5")</f>
        <v>4.5</v>
      </c>
      <c r="G1819" s="4" t="str">
        <f>HYPERLINK("http://141.218.60.56/~jnz1568/getInfo.php?workbook=20_14.xlsx&amp;sheet=U0&amp;row=1819&amp;col=7&amp;number=0.0747&amp;sourceID=14","0.0747")</f>
        <v>0.0747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HYPERLINK("http://141.218.60.56/~jnz1568/getInfo.php?workbook=20_14.xlsx&amp;sheet=U0&amp;row=1820&amp;col=6&amp;number=4.6&amp;sourceID=14","4.6")</f>
        <v>4.6</v>
      </c>
      <c r="G1820" s="4" t="str">
        <f>HYPERLINK("http://141.218.60.56/~jnz1568/getInfo.php?workbook=20_14.xlsx&amp;sheet=U0&amp;row=1820&amp;col=7&amp;number=0.0745&amp;sourceID=14","0.0745")</f>
        <v>0.0745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HYPERLINK("http://141.218.60.56/~jnz1568/getInfo.php?workbook=20_14.xlsx&amp;sheet=U0&amp;row=1821&amp;col=6&amp;number=4.7&amp;sourceID=14","4.7")</f>
        <v>4.7</v>
      </c>
      <c r="G1821" s="4" t="str">
        <f>HYPERLINK("http://141.218.60.56/~jnz1568/getInfo.php?workbook=20_14.xlsx&amp;sheet=U0&amp;row=1821&amp;col=7&amp;number=0.0743&amp;sourceID=14","0.0743")</f>
        <v>0.0743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HYPERLINK("http://141.218.60.56/~jnz1568/getInfo.php?workbook=20_14.xlsx&amp;sheet=U0&amp;row=1822&amp;col=6&amp;number=4.8&amp;sourceID=14","4.8")</f>
        <v>4.8</v>
      </c>
      <c r="G1822" s="4" t="str">
        <f>HYPERLINK("http://141.218.60.56/~jnz1568/getInfo.php?workbook=20_14.xlsx&amp;sheet=U0&amp;row=1822&amp;col=7&amp;number=0.074&amp;sourceID=14","0.074")</f>
        <v>0.074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HYPERLINK("http://141.218.60.56/~jnz1568/getInfo.php?workbook=20_14.xlsx&amp;sheet=U0&amp;row=1823&amp;col=6&amp;number=4.9&amp;sourceID=14","4.9")</f>
        <v>4.9</v>
      </c>
      <c r="G1823" s="4" t="str">
        <f>HYPERLINK("http://141.218.60.56/~jnz1568/getInfo.php?workbook=20_14.xlsx&amp;sheet=U0&amp;row=1823&amp;col=7&amp;number=0.0737&amp;sourceID=14","0.0737")</f>
        <v>0.0737</v>
      </c>
    </row>
    <row r="1824" spans="1:7">
      <c r="A1824" s="3">
        <v>20</v>
      </c>
      <c r="B1824" s="3">
        <v>14</v>
      </c>
      <c r="C1824" s="3">
        <v>4</v>
      </c>
      <c r="D1824" s="3">
        <v>21</v>
      </c>
      <c r="E1824" s="3">
        <v>1</v>
      </c>
      <c r="F1824" s="4" t="str">
        <f>HYPERLINK("http://141.218.60.56/~jnz1568/getInfo.php?workbook=20_14.xlsx&amp;sheet=U0&amp;row=1824&amp;col=6&amp;number=3&amp;sourceID=14","3")</f>
        <v>3</v>
      </c>
      <c r="G1824" s="4" t="str">
        <f>HYPERLINK("http://141.218.60.56/~jnz1568/getInfo.php?workbook=20_14.xlsx&amp;sheet=U0&amp;row=1824&amp;col=7&amp;number=0.144&amp;sourceID=14","0.144")</f>
        <v>0.144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HYPERLINK("http://141.218.60.56/~jnz1568/getInfo.php?workbook=20_14.xlsx&amp;sheet=U0&amp;row=1825&amp;col=6&amp;number=3.1&amp;sourceID=14","3.1")</f>
        <v>3.1</v>
      </c>
      <c r="G1825" s="4" t="str">
        <f>HYPERLINK("http://141.218.60.56/~jnz1568/getInfo.php?workbook=20_14.xlsx&amp;sheet=U0&amp;row=1825&amp;col=7&amp;number=0.144&amp;sourceID=14","0.144")</f>
        <v>0.144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HYPERLINK("http://141.218.60.56/~jnz1568/getInfo.php?workbook=20_14.xlsx&amp;sheet=U0&amp;row=1826&amp;col=6&amp;number=3.2&amp;sourceID=14","3.2")</f>
        <v>3.2</v>
      </c>
      <c r="G1826" s="4" t="str">
        <f>HYPERLINK("http://141.218.60.56/~jnz1568/getInfo.php?workbook=20_14.xlsx&amp;sheet=U0&amp;row=1826&amp;col=7&amp;number=0.144&amp;sourceID=14","0.144")</f>
        <v>0.144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HYPERLINK("http://141.218.60.56/~jnz1568/getInfo.php?workbook=20_14.xlsx&amp;sheet=U0&amp;row=1827&amp;col=6&amp;number=3.3&amp;sourceID=14","3.3")</f>
        <v>3.3</v>
      </c>
      <c r="G1827" s="4" t="str">
        <f>HYPERLINK("http://141.218.60.56/~jnz1568/getInfo.php?workbook=20_14.xlsx&amp;sheet=U0&amp;row=1827&amp;col=7&amp;number=0.144&amp;sourceID=14","0.144")</f>
        <v>0.144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HYPERLINK("http://141.218.60.56/~jnz1568/getInfo.php?workbook=20_14.xlsx&amp;sheet=U0&amp;row=1828&amp;col=6&amp;number=3.4&amp;sourceID=14","3.4")</f>
        <v>3.4</v>
      </c>
      <c r="G1828" s="4" t="str">
        <f>HYPERLINK("http://141.218.60.56/~jnz1568/getInfo.php?workbook=20_14.xlsx&amp;sheet=U0&amp;row=1828&amp;col=7&amp;number=0.144&amp;sourceID=14","0.144")</f>
        <v>0.144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HYPERLINK("http://141.218.60.56/~jnz1568/getInfo.php?workbook=20_14.xlsx&amp;sheet=U0&amp;row=1829&amp;col=6&amp;number=3.5&amp;sourceID=14","3.5")</f>
        <v>3.5</v>
      </c>
      <c r="G1829" s="4" t="str">
        <f>HYPERLINK("http://141.218.60.56/~jnz1568/getInfo.php?workbook=20_14.xlsx&amp;sheet=U0&amp;row=1829&amp;col=7&amp;number=0.144&amp;sourceID=14","0.144")</f>
        <v>0.144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HYPERLINK("http://141.218.60.56/~jnz1568/getInfo.php?workbook=20_14.xlsx&amp;sheet=U0&amp;row=1830&amp;col=6&amp;number=3.6&amp;sourceID=14","3.6")</f>
        <v>3.6</v>
      </c>
      <c r="G1830" s="4" t="str">
        <f>HYPERLINK("http://141.218.60.56/~jnz1568/getInfo.php?workbook=20_14.xlsx&amp;sheet=U0&amp;row=1830&amp;col=7&amp;number=0.144&amp;sourceID=14","0.144")</f>
        <v>0.144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HYPERLINK("http://141.218.60.56/~jnz1568/getInfo.php?workbook=20_14.xlsx&amp;sheet=U0&amp;row=1831&amp;col=6&amp;number=3.7&amp;sourceID=14","3.7")</f>
        <v>3.7</v>
      </c>
      <c r="G1831" s="4" t="str">
        <f>HYPERLINK("http://141.218.60.56/~jnz1568/getInfo.php?workbook=20_14.xlsx&amp;sheet=U0&amp;row=1831&amp;col=7&amp;number=0.144&amp;sourceID=14","0.144")</f>
        <v>0.144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HYPERLINK("http://141.218.60.56/~jnz1568/getInfo.php?workbook=20_14.xlsx&amp;sheet=U0&amp;row=1832&amp;col=6&amp;number=3.8&amp;sourceID=14","3.8")</f>
        <v>3.8</v>
      </c>
      <c r="G1832" s="4" t="str">
        <f>HYPERLINK("http://141.218.60.56/~jnz1568/getInfo.php?workbook=20_14.xlsx&amp;sheet=U0&amp;row=1832&amp;col=7&amp;number=0.144&amp;sourceID=14","0.144")</f>
        <v>0.144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HYPERLINK("http://141.218.60.56/~jnz1568/getInfo.php?workbook=20_14.xlsx&amp;sheet=U0&amp;row=1833&amp;col=6&amp;number=3.9&amp;sourceID=14","3.9")</f>
        <v>3.9</v>
      </c>
      <c r="G1833" s="4" t="str">
        <f>HYPERLINK("http://141.218.60.56/~jnz1568/getInfo.php?workbook=20_14.xlsx&amp;sheet=U0&amp;row=1833&amp;col=7&amp;number=0.144&amp;sourceID=14","0.144")</f>
        <v>0.144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HYPERLINK("http://141.218.60.56/~jnz1568/getInfo.php?workbook=20_14.xlsx&amp;sheet=U0&amp;row=1834&amp;col=6&amp;number=4&amp;sourceID=14","4")</f>
        <v>4</v>
      </c>
      <c r="G1834" s="4" t="str">
        <f>HYPERLINK("http://141.218.60.56/~jnz1568/getInfo.php?workbook=20_14.xlsx&amp;sheet=U0&amp;row=1834&amp;col=7&amp;number=0.144&amp;sourceID=14","0.144")</f>
        <v>0.144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HYPERLINK("http://141.218.60.56/~jnz1568/getInfo.php?workbook=20_14.xlsx&amp;sheet=U0&amp;row=1835&amp;col=6&amp;number=4.1&amp;sourceID=14","4.1")</f>
        <v>4.1</v>
      </c>
      <c r="G1835" s="4" t="str">
        <f>HYPERLINK("http://141.218.60.56/~jnz1568/getInfo.php?workbook=20_14.xlsx&amp;sheet=U0&amp;row=1835&amp;col=7&amp;number=0.144&amp;sourceID=14","0.144")</f>
        <v>0.144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HYPERLINK("http://141.218.60.56/~jnz1568/getInfo.php?workbook=20_14.xlsx&amp;sheet=U0&amp;row=1836&amp;col=6&amp;number=4.2&amp;sourceID=14","4.2")</f>
        <v>4.2</v>
      </c>
      <c r="G1836" s="4" t="str">
        <f>HYPERLINK("http://141.218.60.56/~jnz1568/getInfo.php?workbook=20_14.xlsx&amp;sheet=U0&amp;row=1836&amp;col=7&amp;number=0.143&amp;sourceID=14","0.143")</f>
        <v>0.143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HYPERLINK("http://141.218.60.56/~jnz1568/getInfo.php?workbook=20_14.xlsx&amp;sheet=U0&amp;row=1837&amp;col=6&amp;number=4.3&amp;sourceID=14","4.3")</f>
        <v>4.3</v>
      </c>
      <c r="G1837" s="4" t="str">
        <f>HYPERLINK("http://141.218.60.56/~jnz1568/getInfo.php?workbook=20_14.xlsx&amp;sheet=U0&amp;row=1837&amp;col=7&amp;number=0.143&amp;sourceID=14","0.143")</f>
        <v>0.143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HYPERLINK("http://141.218.60.56/~jnz1568/getInfo.php?workbook=20_14.xlsx&amp;sheet=U0&amp;row=1838&amp;col=6&amp;number=4.4&amp;sourceID=14","4.4")</f>
        <v>4.4</v>
      </c>
      <c r="G1838" s="4" t="str">
        <f>HYPERLINK("http://141.218.60.56/~jnz1568/getInfo.php?workbook=20_14.xlsx&amp;sheet=U0&amp;row=1838&amp;col=7&amp;number=0.143&amp;sourceID=14","0.143")</f>
        <v>0.143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HYPERLINK("http://141.218.60.56/~jnz1568/getInfo.php?workbook=20_14.xlsx&amp;sheet=U0&amp;row=1839&amp;col=6&amp;number=4.5&amp;sourceID=14","4.5")</f>
        <v>4.5</v>
      </c>
      <c r="G1839" s="4" t="str">
        <f>HYPERLINK("http://141.218.60.56/~jnz1568/getInfo.php?workbook=20_14.xlsx&amp;sheet=U0&amp;row=1839&amp;col=7&amp;number=0.143&amp;sourceID=14","0.143")</f>
        <v>0.143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HYPERLINK("http://141.218.60.56/~jnz1568/getInfo.php?workbook=20_14.xlsx&amp;sheet=U0&amp;row=1840&amp;col=6&amp;number=4.6&amp;sourceID=14","4.6")</f>
        <v>4.6</v>
      </c>
      <c r="G1840" s="4" t="str">
        <f>HYPERLINK("http://141.218.60.56/~jnz1568/getInfo.php?workbook=20_14.xlsx&amp;sheet=U0&amp;row=1840&amp;col=7&amp;number=0.143&amp;sourceID=14","0.143")</f>
        <v>0.143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HYPERLINK("http://141.218.60.56/~jnz1568/getInfo.php?workbook=20_14.xlsx&amp;sheet=U0&amp;row=1841&amp;col=6&amp;number=4.7&amp;sourceID=14","4.7")</f>
        <v>4.7</v>
      </c>
      <c r="G1841" s="4" t="str">
        <f>HYPERLINK("http://141.218.60.56/~jnz1568/getInfo.php?workbook=20_14.xlsx&amp;sheet=U0&amp;row=1841&amp;col=7&amp;number=0.143&amp;sourceID=14","0.143")</f>
        <v>0.143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HYPERLINK("http://141.218.60.56/~jnz1568/getInfo.php?workbook=20_14.xlsx&amp;sheet=U0&amp;row=1842&amp;col=6&amp;number=4.8&amp;sourceID=14","4.8")</f>
        <v>4.8</v>
      </c>
      <c r="G1842" s="4" t="str">
        <f>HYPERLINK("http://141.218.60.56/~jnz1568/getInfo.php?workbook=20_14.xlsx&amp;sheet=U0&amp;row=1842&amp;col=7&amp;number=0.143&amp;sourceID=14","0.143")</f>
        <v>0.143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HYPERLINK("http://141.218.60.56/~jnz1568/getInfo.php?workbook=20_14.xlsx&amp;sheet=U0&amp;row=1843&amp;col=6&amp;number=4.9&amp;sourceID=14","4.9")</f>
        <v>4.9</v>
      </c>
      <c r="G1843" s="4" t="str">
        <f>HYPERLINK("http://141.218.60.56/~jnz1568/getInfo.php?workbook=20_14.xlsx&amp;sheet=U0&amp;row=1843&amp;col=7&amp;number=0.142&amp;sourceID=14","0.142")</f>
        <v>0.142</v>
      </c>
    </row>
    <row r="1844" spans="1:7">
      <c r="A1844" s="3">
        <v>20</v>
      </c>
      <c r="B1844" s="3">
        <v>14</v>
      </c>
      <c r="C1844" s="3">
        <v>4</v>
      </c>
      <c r="D1844" s="3">
        <v>22</v>
      </c>
      <c r="E1844" s="3">
        <v>1</v>
      </c>
      <c r="F1844" s="4" t="str">
        <f>HYPERLINK("http://141.218.60.56/~jnz1568/getInfo.php?workbook=20_14.xlsx&amp;sheet=U0&amp;row=1844&amp;col=6&amp;number=3&amp;sourceID=14","3")</f>
        <v>3</v>
      </c>
      <c r="G1844" s="4" t="str">
        <f>HYPERLINK("http://141.218.60.56/~jnz1568/getInfo.php?workbook=20_14.xlsx&amp;sheet=U0&amp;row=1844&amp;col=7&amp;number=8.1&amp;sourceID=14","8.1")</f>
        <v>8.1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HYPERLINK("http://141.218.60.56/~jnz1568/getInfo.php?workbook=20_14.xlsx&amp;sheet=U0&amp;row=1845&amp;col=6&amp;number=3.1&amp;sourceID=14","3.1")</f>
        <v>3.1</v>
      </c>
      <c r="G1845" s="4" t="str">
        <f>HYPERLINK("http://141.218.60.56/~jnz1568/getInfo.php?workbook=20_14.xlsx&amp;sheet=U0&amp;row=1845&amp;col=7&amp;number=8.1&amp;sourceID=14","8.1")</f>
        <v>8.1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HYPERLINK("http://141.218.60.56/~jnz1568/getInfo.php?workbook=20_14.xlsx&amp;sheet=U0&amp;row=1846&amp;col=6&amp;number=3.2&amp;sourceID=14","3.2")</f>
        <v>3.2</v>
      </c>
      <c r="G1846" s="4" t="str">
        <f>HYPERLINK("http://141.218.60.56/~jnz1568/getInfo.php?workbook=20_14.xlsx&amp;sheet=U0&amp;row=1846&amp;col=7&amp;number=8.1&amp;sourceID=14","8.1")</f>
        <v>8.1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HYPERLINK("http://141.218.60.56/~jnz1568/getInfo.php?workbook=20_14.xlsx&amp;sheet=U0&amp;row=1847&amp;col=6&amp;number=3.3&amp;sourceID=14","3.3")</f>
        <v>3.3</v>
      </c>
      <c r="G1847" s="4" t="str">
        <f>HYPERLINK("http://141.218.60.56/~jnz1568/getInfo.php?workbook=20_14.xlsx&amp;sheet=U0&amp;row=1847&amp;col=7&amp;number=8.1&amp;sourceID=14","8.1")</f>
        <v>8.1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HYPERLINK("http://141.218.60.56/~jnz1568/getInfo.php?workbook=20_14.xlsx&amp;sheet=U0&amp;row=1848&amp;col=6&amp;number=3.4&amp;sourceID=14","3.4")</f>
        <v>3.4</v>
      </c>
      <c r="G1848" s="4" t="str">
        <f>HYPERLINK("http://141.218.60.56/~jnz1568/getInfo.php?workbook=20_14.xlsx&amp;sheet=U0&amp;row=1848&amp;col=7&amp;number=8.11&amp;sourceID=14","8.11")</f>
        <v>8.11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HYPERLINK("http://141.218.60.56/~jnz1568/getInfo.php?workbook=20_14.xlsx&amp;sheet=U0&amp;row=1849&amp;col=6&amp;number=3.5&amp;sourceID=14","3.5")</f>
        <v>3.5</v>
      </c>
      <c r="G1849" s="4" t="str">
        <f>HYPERLINK("http://141.218.60.56/~jnz1568/getInfo.php?workbook=20_14.xlsx&amp;sheet=U0&amp;row=1849&amp;col=7&amp;number=8.11&amp;sourceID=14","8.11")</f>
        <v>8.11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HYPERLINK("http://141.218.60.56/~jnz1568/getInfo.php?workbook=20_14.xlsx&amp;sheet=U0&amp;row=1850&amp;col=6&amp;number=3.6&amp;sourceID=14","3.6")</f>
        <v>3.6</v>
      </c>
      <c r="G1850" s="4" t="str">
        <f>HYPERLINK("http://141.218.60.56/~jnz1568/getInfo.php?workbook=20_14.xlsx&amp;sheet=U0&amp;row=1850&amp;col=7&amp;number=8.12&amp;sourceID=14","8.12")</f>
        <v>8.12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HYPERLINK("http://141.218.60.56/~jnz1568/getInfo.php?workbook=20_14.xlsx&amp;sheet=U0&amp;row=1851&amp;col=6&amp;number=3.7&amp;sourceID=14","3.7")</f>
        <v>3.7</v>
      </c>
      <c r="G1851" s="4" t="str">
        <f>HYPERLINK("http://141.218.60.56/~jnz1568/getInfo.php?workbook=20_14.xlsx&amp;sheet=U0&amp;row=1851&amp;col=7&amp;number=8.12&amp;sourceID=14","8.12")</f>
        <v>8.12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HYPERLINK("http://141.218.60.56/~jnz1568/getInfo.php?workbook=20_14.xlsx&amp;sheet=U0&amp;row=1852&amp;col=6&amp;number=3.8&amp;sourceID=14","3.8")</f>
        <v>3.8</v>
      </c>
      <c r="G1852" s="4" t="str">
        <f>HYPERLINK("http://141.218.60.56/~jnz1568/getInfo.php?workbook=20_14.xlsx&amp;sheet=U0&amp;row=1852&amp;col=7&amp;number=8.13&amp;sourceID=14","8.13")</f>
        <v>8.13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HYPERLINK("http://141.218.60.56/~jnz1568/getInfo.php?workbook=20_14.xlsx&amp;sheet=U0&amp;row=1853&amp;col=6&amp;number=3.9&amp;sourceID=14","3.9")</f>
        <v>3.9</v>
      </c>
      <c r="G1853" s="4" t="str">
        <f>HYPERLINK("http://141.218.60.56/~jnz1568/getInfo.php?workbook=20_14.xlsx&amp;sheet=U0&amp;row=1853&amp;col=7&amp;number=8.14&amp;sourceID=14","8.14")</f>
        <v>8.14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HYPERLINK("http://141.218.60.56/~jnz1568/getInfo.php?workbook=20_14.xlsx&amp;sheet=U0&amp;row=1854&amp;col=6&amp;number=4&amp;sourceID=14","4")</f>
        <v>4</v>
      </c>
      <c r="G1854" s="4" t="str">
        <f>HYPERLINK("http://141.218.60.56/~jnz1568/getInfo.php?workbook=20_14.xlsx&amp;sheet=U0&amp;row=1854&amp;col=7&amp;number=8.16&amp;sourceID=14","8.16")</f>
        <v>8.16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HYPERLINK("http://141.218.60.56/~jnz1568/getInfo.php?workbook=20_14.xlsx&amp;sheet=U0&amp;row=1855&amp;col=6&amp;number=4.1&amp;sourceID=14","4.1")</f>
        <v>4.1</v>
      </c>
      <c r="G1855" s="4" t="str">
        <f>HYPERLINK("http://141.218.60.56/~jnz1568/getInfo.php?workbook=20_14.xlsx&amp;sheet=U0&amp;row=1855&amp;col=7&amp;number=8.17&amp;sourceID=14","8.17")</f>
        <v>8.17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HYPERLINK("http://141.218.60.56/~jnz1568/getInfo.php?workbook=20_14.xlsx&amp;sheet=U0&amp;row=1856&amp;col=6&amp;number=4.2&amp;sourceID=14","4.2")</f>
        <v>4.2</v>
      </c>
      <c r="G1856" s="4" t="str">
        <f>HYPERLINK("http://141.218.60.56/~jnz1568/getInfo.php?workbook=20_14.xlsx&amp;sheet=U0&amp;row=1856&amp;col=7&amp;number=8.19&amp;sourceID=14","8.19")</f>
        <v>8.19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HYPERLINK("http://141.218.60.56/~jnz1568/getInfo.php?workbook=20_14.xlsx&amp;sheet=U0&amp;row=1857&amp;col=6&amp;number=4.3&amp;sourceID=14","4.3")</f>
        <v>4.3</v>
      </c>
      <c r="G1857" s="4" t="str">
        <f>HYPERLINK("http://141.218.60.56/~jnz1568/getInfo.php?workbook=20_14.xlsx&amp;sheet=U0&amp;row=1857&amp;col=7&amp;number=8.22&amp;sourceID=14","8.22")</f>
        <v>8.22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HYPERLINK("http://141.218.60.56/~jnz1568/getInfo.php?workbook=20_14.xlsx&amp;sheet=U0&amp;row=1858&amp;col=6&amp;number=4.4&amp;sourceID=14","4.4")</f>
        <v>4.4</v>
      </c>
      <c r="G1858" s="4" t="str">
        <f>HYPERLINK("http://141.218.60.56/~jnz1568/getInfo.php?workbook=20_14.xlsx&amp;sheet=U0&amp;row=1858&amp;col=7&amp;number=8.25&amp;sourceID=14","8.25")</f>
        <v>8.25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HYPERLINK("http://141.218.60.56/~jnz1568/getInfo.php?workbook=20_14.xlsx&amp;sheet=U0&amp;row=1859&amp;col=6&amp;number=4.5&amp;sourceID=14","4.5")</f>
        <v>4.5</v>
      </c>
      <c r="G1859" s="4" t="str">
        <f>HYPERLINK("http://141.218.60.56/~jnz1568/getInfo.php?workbook=20_14.xlsx&amp;sheet=U0&amp;row=1859&amp;col=7&amp;number=8.3&amp;sourceID=14","8.3")</f>
        <v>8.3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HYPERLINK("http://141.218.60.56/~jnz1568/getInfo.php?workbook=20_14.xlsx&amp;sheet=U0&amp;row=1860&amp;col=6&amp;number=4.6&amp;sourceID=14","4.6")</f>
        <v>4.6</v>
      </c>
      <c r="G1860" s="4" t="str">
        <f>HYPERLINK("http://141.218.60.56/~jnz1568/getInfo.php?workbook=20_14.xlsx&amp;sheet=U0&amp;row=1860&amp;col=7&amp;number=8.35&amp;sourceID=14","8.35")</f>
        <v>8.35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HYPERLINK("http://141.218.60.56/~jnz1568/getInfo.php?workbook=20_14.xlsx&amp;sheet=U0&amp;row=1861&amp;col=6&amp;number=4.7&amp;sourceID=14","4.7")</f>
        <v>4.7</v>
      </c>
      <c r="G1861" s="4" t="str">
        <f>HYPERLINK("http://141.218.60.56/~jnz1568/getInfo.php?workbook=20_14.xlsx&amp;sheet=U0&amp;row=1861&amp;col=7&amp;number=8.41&amp;sourceID=14","8.41")</f>
        <v>8.41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HYPERLINK("http://141.218.60.56/~jnz1568/getInfo.php?workbook=20_14.xlsx&amp;sheet=U0&amp;row=1862&amp;col=6&amp;number=4.8&amp;sourceID=14","4.8")</f>
        <v>4.8</v>
      </c>
      <c r="G1862" s="4" t="str">
        <f>HYPERLINK("http://141.218.60.56/~jnz1568/getInfo.php?workbook=20_14.xlsx&amp;sheet=U0&amp;row=1862&amp;col=7&amp;number=8.49&amp;sourceID=14","8.49")</f>
        <v>8.49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HYPERLINK("http://141.218.60.56/~jnz1568/getInfo.php?workbook=20_14.xlsx&amp;sheet=U0&amp;row=1863&amp;col=6&amp;number=4.9&amp;sourceID=14","4.9")</f>
        <v>4.9</v>
      </c>
      <c r="G1863" s="4" t="str">
        <f>HYPERLINK("http://141.218.60.56/~jnz1568/getInfo.php?workbook=20_14.xlsx&amp;sheet=U0&amp;row=1863&amp;col=7&amp;number=8.6&amp;sourceID=14","8.6")</f>
        <v>8.6</v>
      </c>
    </row>
    <row r="1864" spans="1:7">
      <c r="A1864" s="3">
        <v>20</v>
      </c>
      <c r="B1864" s="3">
        <v>14</v>
      </c>
      <c r="C1864" s="3">
        <v>4</v>
      </c>
      <c r="D1864" s="3">
        <v>23</v>
      </c>
      <c r="E1864" s="3">
        <v>1</v>
      </c>
      <c r="F1864" s="4" t="str">
        <f>HYPERLINK("http://141.218.60.56/~jnz1568/getInfo.php?workbook=20_14.xlsx&amp;sheet=U0&amp;row=1864&amp;col=6&amp;number=3&amp;sourceID=14","3")</f>
        <v>3</v>
      </c>
      <c r="G1864" s="4" t="str">
        <f>HYPERLINK("http://141.218.60.56/~jnz1568/getInfo.php?workbook=20_14.xlsx&amp;sheet=U0&amp;row=1864&amp;col=7&amp;number=0.0421&amp;sourceID=14","0.0421")</f>
        <v>0.0421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HYPERLINK("http://141.218.60.56/~jnz1568/getInfo.php?workbook=20_14.xlsx&amp;sheet=U0&amp;row=1865&amp;col=6&amp;number=3.1&amp;sourceID=14","3.1")</f>
        <v>3.1</v>
      </c>
      <c r="G1865" s="4" t="str">
        <f>HYPERLINK("http://141.218.60.56/~jnz1568/getInfo.php?workbook=20_14.xlsx&amp;sheet=U0&amp;row=1865&amp;col=7&amp;number=0.0421&amp;sourceID=14","0.0421")</f>
        <v>0.0421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HYPERLINK("http://141.218.60.56/~jnz1568/getInfo.php?workbook=20_14.xlsx&amp;sheet=U0&amp;row=1866&amp;col=6&amp;number=3.2&amp;sourceID=14","3.2")</f>
        <v>3.2</v>
      </c>
      <c r="G1866" s="4" t="str">
        <f>HYPERLINK("http://141.218.60.56/~jnz1568/getInfo.php?workbook=20_14.xlsx&amp;sheet=U0&amp;row=1866&amp;col=7&amp;number=0.0421&amp;sourceID=14","0.0421")</f>
        <v>0.0421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HYPERLINK("http://141.218.60.56/~jnz1568/getInfo.php?workbook=20_14.xlsx&amp;sheet=U0&amp;row=1867&amp;col=6&amp;number=3.3&amp;sourceID=14","3.3")</f>
        <v>3.3</v>
      </c>
      <c r="G1867" s="4" t="str">
        <f>HYPERLINK("http://141.218.60.56/~jnz1568/getInfo.php?workbook=20_14.xlsx&amp;sheet=U0&amp;row=1867&amp;col=7&amp;number=0.0421&amp;sourceID=14","0.0421")</f>
        <v>0.0421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HYPERLINK("http://141.218.60.56/~jnz1568/getInfo.php?workbook=20_14.xlsx&amp;sheet=U0&amp;row=1868&amp;col=6&amp;number=3.4&amp;sourceID=14","3.4")</f>
        <v>3.4</v>
      </c>
      <c r="G1868" s="4" t="str">
        <f>HYPERLINK("http://141.218.60.56/~jnz1568/getInfo.php?workbook=20_14.xlsx&amp;sheet=U0&amp;row=1868&amp;col=7&amp;number=0.042&amp;sourceID=14","0.042")</f>
        <v>0.042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HYPERLINK("http://141.218.60.56/~jnz1568/getInfo.php?workbook=20_14.xlsx&amp;sheet=U0&amp;row=1869&amp;col=6&amp;number=3.5&amp;sourceID=14","3.5")</f>
        <v>3.5</v>
      </c>
      <c r="G1869" s="4" t="str">
        <f>HYPERLINK("http://141.218.60.56/~jnz1568/getInfo.php?workbook=20_14.xlsx&amp;sheet=U0&amp;row=1869&amp;col=7&amp;number=0.042&amp;sourceID=14","0.042")</f>
        <v>0.042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HYPERLINK("http://141.218.60.56/~jnz1568/getInfo.php?workbook=20_14.xlsx&amp;sheet=U0&amp;row=1870&amp;col=6&amp;number=3.6&amp;sourceID=14","3.6")</f>
        <v>3.6</v>
      </c>
      <c r="G1870" s="4" t="str">
        <f>HYPERLINK("http://141.218.60.56/~jnz1568/getInfo.php?workbook=20_14.xlsx&amp;sheet=U0&amp;row=1870&amp;col=7&amp;number=0.042&amp;sourceID=14","0.042")</f>
        <v>0.042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HYPERLINK("http://141.218.60.56/~jnz1568/getInfo.php?workbook=20_14.xlsx&amp;sheet=U0&amp;row=1871&amp;col=6&amp;number=3.7&amp;sourceID=14","3.7")</f>
        <v>3.7</v>
      </c>
      <c r="G1871" s="4" t="str">
        <f>HYPERLINK("http://141.218.60.56/~jnz1568/getInfo.php?workbook=20_14.xlsx&amp;sheet=U0&amp;row=1871&amp;col=7&amp;number=0.042&amp;sourceID=14","0.042")</f>
        <v>0.042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HYPERLINK("http://141.218.60.56/~jnz1568/getInfo.php?workbook=20_14.xlsx&amp;sheet=U0&amp;row=1872&amp;col=6&amp;number=3.8&amp;sourceID=14","3.8")</f>
        <v>3.8</v>
      </c>
      <c r="G1872" s="4" t="str">
        <f>HYPERLINK("http://141.218.60.56/~jnz1568/getInfo.php?workbook=20_14.xlsx&amp;sheet=U0&amp;row=1872&amp;col=7&amp;number=0.0419&amp;sourceID=14","0.0419")</f>
        <v>0.0419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HYPERLINK("http://141.218.60.56/~jnz1568/getInfo.php?workbook=20_14.xlsx&amp;sheet=U0&amp;row=1873&amp;col=6&amp;number=3.9&amp;sourceID=14","3.9")</f>
        <v>3.9</v>
      </c>
      <c r="G1873" s="4" t="str">
        <f>HYPERLINK("http://141.218.60.56/~jnz1568/getInfo.php?workbook=20_14.xlsx&amp;sheet=U0&amp;row=1873&amp;col=7&amp;number=0.0419&amp;sourceID=14","0.0419")</f>
        <v>0.0419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HYPERLINK("http://141.218.60.56/~jnz1568/getInfo.php?workbook=20_14.xlsx&amp;sheet=U0&amp;row=1874&amp;col=6&amp;number=4&amp;sourceID=14","4")</f>
        <v>4</v>
      </c>
      <c r="G1874" s="4" t="str">
        <f>HYPERLINK("http://141.218.60.56/~jnz1568/getInfo.php?workbook=20_14.xlsx&amp;sheet=U0&amp;row=1874&amp;col=7&amp;number=0.0418&amp;sourceID=14","0.0418")</f>
        <v>0.0418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HYPERLINK("http://141.218.60.56/~jnz1568/getInfo.php?workbook=20_14.xlsx&amp;sheet=U0&amp;row=1875&amp;col=6&amp;number=4.1&amp;sourceID=14","4.1")</f>
        <v>4.1</v>
      </c>
      <c r="G1875" s="4" t="str">
        <f>HYPERLINK("http://141.218.60.56/~jnz1568/getInfo.php?workbook=20_14.xlsx&amp;sheet=U0&amp;row=1875&amp;col=7&amp;number=0.0418&amp;sourceID=14","0.0418")</f>
        <v>0.0418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HYPERLINK("http://141.218.60.56/~jnz1568/getInfo.php?workbook=20_14.xlsx&amp;sheet=U0&amp;row=1876&amp;col=6&amp;number=4.2&amp;sourceID=14","4.2")</f>
        <v>4.2</v>
      </c>
      <c r="G1876" s="4" t="str">
        <f>HYPERLINK("http://141.218.60.56/~jnz1568/getInfo.php?workbook=20_14.xlsx&amp;sheet=U0&amp;row=1876&amp;col=7&amp;number=0.0417&amp;sourceID=14","0.0417")</f>
        <v>0.0417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HYPERLINK("http://141.218.60.56/~jnz1568/getInfo.php?workbook=20_14.xlsx&amp;sheet=U0&amp;row=1877&amp;col=6&amp;number=4.3&amp;sourceID=14","4.3")</f>
        <v>4.3</v>
      </c>
      <c r="G1877" s="4" t="str">
        <f>HYPERLINK("http://141.218.60.56/~jnz1568/getInfo.php?workbook=20_14.xlsx&amp;sheet=U0&amp;row=1877&amp;col=7&amp;number=0.0415&amp;sourceID=14","0.0415")</f>
        <v>0.0415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HYPERLINK("http://141.218.60.56/~jnz1568/getInfo.php?workbook=20_14.xlsx&amp;sheet=U0&amp;row=1878&amp;col=6&amp;number=4.4&amp;sourceID=14","4.4")</f>
        <v>4.4</v>
      </c>
      <c r="G1878" s="4" t="str">
        <f>HYPERLINK("http://141.218.60.56/~jnz1568/getInfo.php?workbook=20_14.xlsx&amp;sheet=U0&amp;row=1878&amp;col=7&amp;number=0.0414&amp;sourceID=14","0.0414")</f>
        <v>0.0414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HYPERLINK("http://141.218.60.56/~jnz1568/getInfo.php?workbook=20_14.xlsx&amp;sheet=U0&amp;row=1879&amp;col=6&amp;number=4.5&amp;sourceID=14","4.5")</f>
        <v>4.5</v>
      </c>
      <c r="G1879" s="4" t="str">
        <f>HYPERLINK("http://141.218.60.56/~jnz1568/getInfo.php?workbook=20_14.xlsx&amp;sheet=U0&amp;row=1879&amp;col=7&amp;number=0.0412&amp;sourceID=14","0.0412")</f>
        <v>0.0412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HYPERLINK("http://141.218.60.56/~jnz1568/getInfo.php?workbook=20_14.xlsx&amp;sheet=U0&amp;row=1880&amp;col=6&amp;number=4.6&amp;sourceID=14","4.6")</f>
        <v>4.6</v>
      </c>
      <c r="G1880" s="4" t="str">
        <f>HYPERLINK("http://141.218.60.56/~jnz1568/getInfo.php?workbook=20_14.xlsx&amp;sheet=U0&amp;row=1880&amp;col=7&amp;number=0.041&amp;sourceID=14","0.041")</f>
        <v>0.041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HYPERLINK("http://141.218.60.56/~jnz1568/getInfo.php?workbook=20_14.xlsx&amp;sheet=U0&amp;row=1881&amp;col=6&amp;number=4.7&amp;sourceID=14","4.7")</f>
        <v>4.7</v>
      </c>
      <c r="G1881" s="4" t="str">
        <f>HYPERLINK("http://141.218.60.56/~jnz1568/getInfo.php?workbook=20_14.xlsx&amp;sheet=U0&amp;row=1881&amp;col=7&amp;number=0.0407&amp;sourceID=14","0.0407")</f>
        <v>0.0407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HYPERLINK("http://141.218.60.56/~jnz1568/getInfo.php?workbook=20_14.xlsx&amp;sheet=U0&amp;row=1882&amp;col=6&amp;number=4.8&amp;sourceID=14","4.8")</f>
        <v>4.8</v>
      </c>
      <c r="G1882" s="4" t="str">
        <f>HYPERLINK("http://141.218.60.56/~jnz1568/getInfo.php?workbook=20_14.xlsx&amp;sheet=U0&amp;row=1882&amp;col=7&amp;number=0.0404&amp;sourceID=14","0.0404")</f>
        <v>0.0404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HYPERLINK("http://141.218.60.56/~jnz1568/getInfo.php?workbook=20_14.xlsx&amp;sheet=U0&amp;row=1883&amp;col=6&amp;number=4.9&amp;sourceID=14","4.9")</f>
        <v>4.9</v>
      </c>
      <c r="G1883" s="4" t="str">
        <f>HYPERLINK("http://141.218.60.56/~jnz1568/getInfo.php?workbook=20_14.xlsx&amp;sheet=U0&amp;row=1883&amp;col=7&amp;number=0.0399&amp;sourceID=14","0.0399")</f>
        <v>0.0399</v>
      </c>
    </row>
    <row r="1884" spans="1:7">
      <c r="A1884" s="3">
        <v>20</v>
      </c>
      <c r="B1884" s="3">
        <v>14</v>
      </c>
      <c r="C1884" s="3">
        <v>4</v>
      </c>
      <c r="D1884" s="3">
        <v>24</v>
      </c>
      <c r="E1884" s="3">
        <v>1</v>
      </c>
      <c r="F1884" s="4" t="str">
        <f>HYPERLINK("http://141.218.60.56/~jnz1568/getInfo.php?workbook=20_14.xlsx&amp;sheet=U0&amp;row=1884&amp;col=6&amp;number=3&amp;sourceID=14","3")</f>
        <v>3</v>
      </c>
      <c r="G1884" s="4" t="str">
        <f>HYPERLINK("http://141.218.60.56/~jnz1568/getInfo.php?workbook=20_14.xlsx&amp;sheet=U0&amp;row=1884&amp;col=7&amp;number=0.148&amp;sourceID=14","0.148")</f>
        <v>0.148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HYPERLINK("http://141.218.60.56/~jnz1568/getInfo.php?workbook=20_14.xlsx&amp;sheet=U0&amp;row=1885&amp;col=6&amp;number=3.1&amp;sourceID=14","3.1")</f>
        <v>3.1</v>
      </c>
      <c r="G1885" s="4" t="str">
        <f>HYPERLINK("http://141.218.60.56/~jnz1568/getInfo.php?workbook=20_14.xlsx&amp;sheet=U0&amp;row=1885&amp;col=7&amp;number=0.148&amp;sourceID=14","0.148")</f>
        <v>0.148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HYPERLINK("http://141.218.60.56/~jnz1568/getInfo.php?workbook=20_14.xlsx&amp;sheet=U0&amp;row=1886&amp;col=6&amp;number=3.2&amp;sourceID=14","3.2")</f>
        <v>3.2</v>
      </c>
      <c r="G1886" s="4" t="str">
        <f>HYPERLINK("http://141.218.60.56/~jnz1568/getInfo.php?workbook=20_14.xlsx&amp;sheet=U0&amp;row=1886&amp;col=7&amp;number=0.148&amp;sourceID=14","0.148")</f>
        <v>0.148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HYPERLINK("http://141.218.60.56/~jnz1568/getInfo.php?workbook=20_14.xlsx&amp;sheet=U0&amp;row=1887&amp;col=6&amp;number=3.3&amp;sourceID=14","3.3")</f>
        <v>3.3</v>
      </c>
      <c r="G1887" s="4" t="str">
        <f>HYPERLINK("http://141.218.60.56/~jnz1568/getInfo.php?workbook=20_14.xlsx&amp;sheet=U0&amp;row=1887&amp;col=7&amp;number=0.148&amp;sourceID=14","0.148")</f>
        <v>0.148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HYPERLINK("http://141.218.60.56/~jnz1568/getInfo.php?workbook=20_14.xlsx&amp;sheet=U0&amp;row=1888&amp;col=6&amp;number=3.4&amp;sourceID=14","3.4")</f>
        <v>3.4</v>
      </c>
      <c r="G1888" s="4" t="str">
        <f>HYPERLINK("http://141.218.60.56/~jnz1568/getInfo.php?workbook=20_14.xlsx&amp;sheet=U0&amp;row=1888&amp;col=7&amp;number=0.148&amp;sourceID=14","0.148")</f>
        <v>0.148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HYPERLINK("http://141.218.60.56/~jnz1568/getInfo.php?workbook=20_14.xlsx&amp;sheet=U0&amp;row=1889&amp;col=6&amp;number=3.5&amp;sourceID=14","3.5")</f>
        <v>3.5</v>
      </c>
      <c r="G1889" s="4" t="str">
        <f>HYPERLINK("http://141.218.60.56/~jnz1568/getInfo.php?workbook=20_14.xlsx&amp;sheet=U0&amp;row=1889&amp;col=7&amp;number=0.148&amp;sourceID=14","0.148")</f>
        <v>0.148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HYPERLINK("http://141.218.60.56/~jnz1568/getInfo.php?workbook=20_14.xlsx&amp;sheet=U0&amp;row=1890&amp;col=6&amp;number=3.6&amp;sourceID=14","3.6")</f>
        <v>3.6</v>
      </c>
      <c r="G1890" s="4" t="str">
        <f>HYPERLINK("http://141.218.60.56/~jnz1568/getInfo.php?workbook=20_14.xlsx&amp;sheet=U0&amp;row=1890&amp;col=7&amp;number=0.148&amp;sourceID=14","0.148")</f>
        <v>0.148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HYPERLINK("http://141.218.60.56/~jnz1568/getInfo.php?workbook=20_14.xlsx&amp;sheet=U0&amp;row=1891&amp;col=6&amp;number=3.7&amp;sourceID=14","3.7")</f>
        <v>3.7</v>
      </c>
      <c r="G1891" s="4" t="str">
        <f>HYPERLINK("http://141.218.60.56/~jnz1568/getInfo.php?workbook=20_14.xlsx&amp;sheet=U0&amp;row=1891&amp;col=7&amp;number=0.148&amp;sourceID=14","0.148")</f>
        <v>0.148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HYPERLINK("http://141.218.60.56/~jnz1568/getInfo.php?workbook=20_14.xlsx&amp;sheet=U0&amp;row=1892&amp;col=6&amp;number=3.8&amp;sourceID=14","3.8")</f>
        <v>3.8</v>
      </c>
      <c r="G1892" s="4" t="str">
        <f>HYPERLINK("http://141.218.60.56/~jnz1568/getInfo.php?workbook=20_14.xlsx&amp;sheet=U0&amp;row=1892&amp;col=7&amp;number=0.148&amp;sourceID=14","0.148")</f>
        <v>0.148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HYPERLINK("http://141.218.60.56/~jnz1568/getInfo.php?workbook=20_14.xlsx&amp;sheet=U0&amp;row=1893&amp;col=6&amp;number=3.9&amp;sourceID=14","3.9")</f>
        <v>3.9</v>
      </c>
      <c r="G1893" s="4" t="str">
        <f>HYPERLINK("http://141.218.60.56/~jnz1568/getInfo.php?workbook=20_14.xlsx&amp;sheet=U0&amp;row=1893&amp;col=7&amp;number=0.148&amp;sourceID=14","0.148")</f>
        <v>0.148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HYPERLINK("http://141.218.60.56/~jnz1568/getInfo.php?workbook=20_14.xlsx&amp;sheet=U0&amp;row=1894&amp;col=6&amp;number=4&amp;sourceID=14","4")</f>
        <v>4</v>
      </c>
      <c r="G1894" s="4" t="str">
        <f>HYPERLINK("http://141.218.60.56/~jnz1568/getInfo.php?workbook=20_14.xlsx&amp;sheet=U0&amp;row=1894&amp;col=7&amp;number=0.148&amp;sourceID=14","0.148")</f>
        <v>0.148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HYPERLINK("http://141.218.60.56/~jnz1568/getInfo.php?workbook=20_14.xlsx&amp;sheet=U0&amp;row=1895&amp;col=6&amp;number=4.1&amp;sourceID=14","4.1")</f>
        <v>4.1</v>
      </c>
      <c r="G1895" s="4" t="str">
        <f>HYPERLINK("http://141.218.60.56/~jnz1568/getInfo.php?workbook=20_14.xlsx&amp;sheet=U0&amp;row=1895&amp;col=7&amp;number=0.148&amp;sourceID=14","0.148")</f>
        <v>0.148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HYPERLINK("http://141.218.60.56/~jnz1568/getInfo.php?workbook=20_14.xlsx&amp;sheet=U0&amp;row=1896&amp;col=6&amp;number=4.2&amp;sourceID=14","4.2")</f>
        <v>4.2</v>
      </c>
      <c r="G1896" s="4" t="str">
        <f>HYPERLINK("http://141.218.60.56/~jnz1568/getInfo.php?workbook=20_14.xlsx&amp;sheet=U0&amp;row=1896&amp;col=7&amp;number=0.148&amp;sourceID=14","0.148")</f>
        <v>0.148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HYPERLINK("http://141.218.60.56/~jnz1568/getInfo.php?workbook=20_14.xlsx&amp;sheet=U0&amp;row=1897&amp;col=6&amp;number=4.3&amp;sourceID=14","4.3")</f>
        <v>4.3</v>
      </c>
      <c r="G1897" s="4" t="str">
        <f>HYPERLINK("http://141.218.60.56/~jnz1568/getInfo.php?workbook=20_14.xlsx&amp;sheet=U0&amp;row=1897&amp;col=7&amp;number=0.148&amp;sourceID=14","0.148")</f>
        <v>0.148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HYPERLINK("http://141.218.60.56/~jnz1568/getInfo.php?workbook=20_14.xlsx&amp;sheet=U0&amp;row=1898&amp;col=6&amp;number=4.4&amp;sourceID=14","4.4")</f>
        <v>4.4</v>
      </c>
      <c r="G1898" s="4" t="str">
        <f>HYPERLINK("http://141.218.60.56/~jnz1568/getInfo.php?workbook=20_14.xlsx&amp;sheet=U0&amp;row=1898&amp;col=7&amp;number=0.148&amp;sourceID=14","0.148")</f>
        <v>0.148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HYPERLINK("http://141.218.60.56/~jnz1568/getInfo.php?workbook=20_14.xlsx&amp;sheet=U0&amp;row=1899&amp;col=6&amp;number=4.5&amp;sourceID=14","4.5")</f>
        <v>4.5</v>
      </c>
      <c r="G1899" s="4" t="str">
        <f>HYPERLINK("http://141.218.60.56/~jnz1568/getInfo.php?workbook=20_14.xlsx&amp;sheet=U0&amp;row=1899&amp;col=7&amp;number=0.148&amp;sourceID=14","0.148")</f>
        <v>0.148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HYPERLINK("http://141.218.60.56/~jnz1568/getInfo.php?workbook=20_14.xlsx&amp;sheet=U0&amp;row=1900&amp;col=6&amp;number=4.6&amp;sourceID=14","4.6")</f>
        <v>4.6</v>
      </c>
      <c r="G1900" s="4" t="str">
        <f>HYPERLINK("http://141.218.60.56/~jnz1568/getInfo.php?workbook=20_14.xlsx&amp;sheet=U0&amp;row=1900&amp;col=7&amp;number=0.148&amp;sourceID=14","0.148")</f>
        <v>0.148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HYPERLINK("http://141.218.60.56/~jnz1568/getInfo.php?workbook=20_14.xlsx&amp;sheet=U0&amp;row=1901&amp;col=6&amp;number=4.7&amp;sourceID=14","4.7")</f>
        <v>4.7</v>
      </c>
      <c r="G1901" s="4" t="str">
        <f>HYPERLINK("http://141.218.60.56/~jnz1568/getInfo.php?workbook=20_14.xlsx&amp;sheet=U0&amp;row=1901&amp;col=7&amp;number=0.148&amp;sourceID=14","0.148")</f>
        <v>0.148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HYPERLINK("http://141.218.60.56/~jnz1568/getInfo.php?workbook=20_14.xlsx&amp;sheet=U0&amp;row=1902&amp;col=6&amp;number=4.8&amp;sourceID=14","4.8")</f>
        <v>4.8</v>
      </c>
      <c r="G1902" s="4" t="str">
        <f>HYPERLINK("http://141.218.60.56/~jnz1568/getInfo.php?workbook=20_14.xlsx&amp;sheet=U0&amp;row=1902&amp;col=7&amp;number=0.148&amp;sourceID=14","0.148")</f>
        <v>0.148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HYPERLINK("http://141.218.60.56/~jnz1568/getInfo.php?workbook=20_14.xlsx&amp;sheet=U0&amp;row=1903&amp;col=6&amp;number=4.9&amp;sourceID=14","4.9")</f>
        <v>4.9</v>
      </c>
      <c r="G1903" s="4" t="str">
        <f>HYPERLINK("http://141.218.60.56/~jnz1568/getInfo.php?workbook=20_14.xlsx&amp;sheet=U0&amp;row=1903&amp;col=7&amp;number=0.148&amp;sourceID=14","0.148")</f>
        <v>0.148</v>
      </c>
    </row>
    <row r="1904" spans="1:7">
      <c r="A1904" s="3">
        <v>20</v>
      </c>
      <c r="B1904" s="3">
        <v>14</v>
      </c>
      <c r="C1904" s="3">
        <v>4</v>
      </c>
      <c r="D1904" s="3">
        <v>25</v>
      </c>
      <c r="E1904" s="3">
        <v>1</v>
      </c>
      <c r="F1904" s="4" t="str">
        <f>HYPERLINK("http://141.218.60.56/~jnz1568/getInfo.php?workbook=20_14.xlsx&amp;sheet=U0&amp;row=1904&amp;col=6&amp;number=3&amp;sourceID=14","3")</f>
        <v>3</v>
      </c>
      <c r="G1904" s="4" t="str">
        <f>HYPERLINK("http://141.218.60.56/~jnz1568/getInfo.php?workbook=20_14.xlsx&amp;sheet=U0&amp;row=1904&amp;col=7&amp;number=0.131&amp;sourceID=14","0.131")</f>
        <v>0.131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HYPERLINK("http://141.218.60.56/~jnz1568/getInfo.php?workbook=20_14.xlsx&amp;sheet=U0&amp;row=1905&amp;col=6&amp;number=3.1&amp;sourceID=14","3.1")</f>
        <v>3.1</v>
      </c>
      <c r="G1905" s="4" t="str">
        <f>HYPERLINK("http://141.218.60.56/~jnz1568/getInfo.php?workbook=20_14.xlsx&amp;sheet=U0&amp;row=1905&amp;col=7&amp;number=0.131&amp;sourceID=14","0.131")</f>
        <v>0.131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HYPERLINK("http://141.218.60.56/~jnz1568/getInfo.php?workbook=20_14.xlsx&amp;sheet=U0&amp;row=1906&amp;col=6&amp;number=3.2&amp;sourceID=14","3.2")</f>
        <v>3.2</v>
      </c>
      <c r="G1906" s="4" t="str">
        <f>HYPERLINK("http://141.218.60.56/~jnz1568/getInfo.php?workbook=20_14.xlsx&amp;sheet=U0&amp;row=1906&amp;col=7&amp;number=0.131&amp;sourceID=14","0.131")</f>
        <v>0.131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HYPERLINK("http://141.218.60.56/~jnz1568/getInfo.php?workbook=20_14.xlsx&amp;sheet=U0&amp;row=1907&amp;col=6&amp;number=3.3&amp;sourceID=14","3.3")</f>
        <v>3.3</v>
      </c>
      <c r="G1907" s="4" t="str">
        <f>HYPERLINK("http://141.218.60.56/~jnz1568/getInfo.php?workbook=20_14.xlsx&amp;sheet=U0&amp;row=1907&amp;col=7&amp;number=0.131&amp;sourceID=14","0.131")</f>
        <v>0.131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HYPERLINK("http://141.218.60.56/~jnz1568/getInfo.php?workbook=20_14.xlsx&amp;sheet=U0&amp;row=1908&amp;col=6&amp;number=3.4&amp;sourceID=14","3.4")</f>
        <v>3.4</v>
      </c>
      <c r="G1908" s="4" t="str">
        <f>HYPERLINK("http://141.218.60.56/~jnz1568/getInfo.php?workbook=20_14.xlsx&amp;sheet=U0&amp;row=1908&amp;col=7&amp;number=0.131&amp;sourceID=14","0.131")</f>
        <v>0.131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HYPERLINK("http://141.218.60.56/~jnz1568/getInfo.php?workbook=20_14.xlsx&amp;sheet=U0&amp;row=1909&amp;col=6&amp;number=3.5&amp;sourceID=14","3.5")</f>
        <v>3.5</v>
      </c>
      <c r="G1909" s="4" t="str">
        <f>HYPERLINK("http://141.218.60.56/~jnz1568/getInfo.php?workbook=20_14.xlsx&amp;sheet=U0&amp;row=1909&amp;col=7&amp;number=0.131&amp;sourceID=14","0.131")</f>
        <v>0.131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HYPERLINK("http://141.218.60.56/~jnz1568/getInfo.php?workbook=20_14.xlsx&amp;sheet=U0&amp;row=1910&amp;col=6&amp;number=3.6&amp;sourceID=14","3.6")</f>
        <v>3.6</v>
      </c>
      <c r="G1910" s="4" t="str">
        <f>HYPERLINK("http://141.218.60.56/~jnz1568/getInfo.php?workbook=20_14.xlsx&amp;sheet=U0&amp;row=1910&amp;col=7&amp;number=0.131&amp;sourceID=14","0.131")</f>
        <v>0.131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HYPERLINK("http://141.218.60.56/~jnz1568/getInfo.php?workbook=20_14.xlsx&amp;sheet=U0&amp;row=1911&amp;col=6&amp;number=3.7&amp;sourceID=14","3.7")</f>
        <v>3.7</v>
      </c>
      <c r="G1911" s="4" t="str">
        <f>HYPERLINK("http://141.218.60.56/~jnz1568/getInfo.php?workbook=20_14.xlsx&amp;sheet=U0&amp;row=1911&amp;col=7&amp;number=0.131&amp;sourceID=14","0.131")</f>
        <v>0.131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HYPERLINK("http://141.218.60.56/~jnz1568/getInfo.php?workbook=20_14.xlsx&amp;sheet=U0&amp;row=1912&amp;col=6&amp;number=3.8&amp;sourceID=14","3.8")</f>
        <v>3.8</v>
      </c>
      <c r="G1912" s="4" t="str">
        <f>HYPERLINK("http://141.218.60.56/~jnz1568/getInfo.php?workbook=20_14.xlsx&amp;sheet=U0&amp;row=1912&amp;col=7&amp;number=0.131&amp;sourceID=14","0.131")</f>
        <v>0.131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HYPERLINK("http://141.218.60.56/~jnz1568/getInfo.php?workbook=20_14.xlsx&amp;sheet=U0&amp;row=1913&amp;col=6&amp;number=3.9&amp;sourceID=14","3.9")</f>
        <v>3.9</v>
      </c>
      <c r="G1913" s="4" t="str">
        <f>HYPERLINK("http://141.218.60.56/~jnz1568/getInfo.php?workbook=20_14.xlsx&amp;sheet=U0&amp;row=1913&amp;col=7&amp;number=0.131&amp;sourceID=14","0.131")</f>
        <v>0.131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HYPERLINK("http://141.218.60.56/~jnz1568/getInfo.php?workbook=20_14.xlsx&amp;sheet=U0&amp;row=1914&amp;col=6&amp;number=4&amp;sourceID=14","4")</f>
        <v>4</v>
      </c>
      <c r="G1914" s="4" t="str">
        <f>HYPERLINK("http://141.218.60.56/~jnz1568/getInfo.php?workbook=20_14.xlsx&amp;sheet=U0&amp;row=1914&amp;col=7&amp;number=0.131&amp;sourceID=14","0.131")</f>
        <v>0.131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HYPERLINK("http://141.218.60.56/~jnz1568/getInfo.php?workbook=20_14.xlsx&amp;sheet=U0&amp;row=1915&amp;col=6&amp;number=4.1&amp;sourceID=14","4.1")</f>
        <v>4.1</v>
      </c>
      <c r="G1915" s="4" t="str">
        <f>HYPERLINK("http://141.218.60.56/~jnz1568/getInfo.php?workbook=20_14.xlsx&amp;sheet=U0&amp;row=1915&amp;col=7&amp;number=0.13&amp;sourceID=14","0.13")</f>
        <v>0.13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HYPERLINK("http://141.218.60.56/~jnz1568/getInfo.php?workbook=20_14.xlsx&amp;sheet=U0&amp;row=1916&amp;col=6&amp;number=4.2&amp;sourceID=14","4.2")</f>
        <v>4.2</v>
      </c>
      <c r="G1916" s="4" t="str">
        <f>HYPERLINK("http://141.218.60.56/~jnz1568/getInfo.php?workbook=20_14.xlsx&amp;sheet=U0&amp;row=1916&amp;col=7&amp;number=0.13&amp;sourceID=14","0.13")</f>
        <v>0.13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HYPERLINK("http://141.218.60.56/~jnz1568/getInfo.php?workbook=20_14.xlsx&amp;sheet=U0&amp;row=1917&amp;col=6&amp;number=4.3&amp;sourceID=14","4.3")</f>
        <v>4.3</v>
      </c>
      <c r="G1917" s="4" t="str">
        <f>HYPERLINK("http://141.218.60.56/~jnz1568/getInfo.php?workbook=20_14.xlsx&amp;sheet=U0&amp;row=1917&amp;col=7&amp;number=0.13&amp;sourceID=14","0.13")</f>
        <v>0.13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HYPERLINK("http://141.218.60.56/~jnz1568/getInfo.php?workbook=20_14.xlsx&amp;sheet=U0&amp;row=1918&amp;col=6&amp;number=4.4&amp;sourceID=14","4.4")</f>
        <v>4.4</v>
      </c>
      <c r="G1918" s="4" t="str">
        <f>HYPERLINK("http://141.218.60.56/~jnz1568/getInfo.php?workbook=20_14.xlsx&amp;sheet=U0&amp;row=1918&amp;col=7&amp;number=0.13&amp;sourceID=14","0.13")</f>
        <v>0.13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HYPERLINK("http://141.218.60.56/~jnz1568/getInfo.php?workbook=20_14.xlsx&amp;sheet=U0&amp;row=1919&amp;col=6&amp;number=4.5&amp;sourceID=14","4.5")</f>
        <v>4.5</v>
      </c>
      <c r="G1919" s="4" t="str">
        <f>HYPERLINK("http://141.218.60.56/~jnz1568/getInfo.php?workbook=20_14.xlsx&amp;sheet=U0&amp;row=1919&amp;col=7&amp;number=0.13&amp;sourceID=14","0.13")</f>
        <v>0.13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HYPERLINK("http://141.218.60.56/~jnz1568/getInfo.php?workbook=20_14.xlsx&amp;sheet=U0&amp;row=1920&amp;col=6&amp;number=4.6&amp;sourceID=14","4.6")</f>
        <v>4.6</v>
      </c>
      <c r="G1920" s="4" t="str">
        <f>HYPERLINK("http://141.218.60.56/~jnz1568/getInfo.php?workbook=20_14.xlsx&amp;sheet=U0&amp;row=1920&amp;col=7&amp;number=0.129&amp;sourceID=14","0.129")</f>
        <v>0.129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HYPERLINK("http://141.218.60.56/~jnz1568/getInfo.php?workbook=20_14.xlsx&amp;sheet=U0&amp;row=1921&amp;col=6&amp;number=4.7&amp;sourceID=14","4.7")</f>
        <v>4.7</v>
      </c>
      <c r="G1921" s="4" t="str">
        <f>HYPERLINK("http://141.218.60.56/~jnz1568/getInfo.php?workbook=20_14.xlsx&amp;sheet=U0&amp;row=1921&amp;col=7&amp;number=0.129&amp;sourceID=14","0.129")</f>
        <v>0.129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HYPERLINK("http://141.218.60.56/~jnz1568/getInfo.php?workbook=20_14.xlsx&amp;sheet=U0&amp;row=1922&amp;col=6&amp;number=4.8&amp;sourceID=14","4.8")</f>
        <v>4.8</v>
      </c>
      <c r="G1922" s="4" t="str">
        <f>HYPERLINK("http://141.218.60.56/~jnz1568/getInfo.php?workbook=20_14.xlsx&amp;sheet=U0&amp;row=1922&amp;col=7&amp;number=0.128&amp;sourceID=14","0.128")</f>
        <v>0.128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HYPERLINK("http://141.218.60.56/~jnz1568/getInfo.php?workbook=20_14.xlsx&amp;sheet=U0&amp;row=1923&amp;col=6&amp;number=4.9&amp;sourceID=14","4.9")</f>
        <v>4.9</v>
      </c>
      <c r="G1923" s="4" t="str">
        <f>HYPERLINK("http://141.218.60.56/~jnz1568/getInfo.php?workbook=20_14.xlsx&amp;sheet=U0&amp;row=1923&amp;col=7&amp;number=0.128&amp;sourceID=14","0.128")</f>
        <v>0.128</v>
      </c>
    </row>
    <row r="1924" spans="1:7">
      <c r="A1924" s="3">
        <v>20</v>
      </c>
      <c r="B1924" s="3">
        <v>14</v>
      </c>
      <c r="C1924" s="3">
        <v>4</v>
      </c>
      <c r="D1924" s="3">
        <v>26</v>
      </c>
      <c r="E1924" s="3">
        <v>1</v>
      </c>
      <c r="F1924" s="4" t="str">
        <f>HYPERLINK("http://141.218.60.56/~jnz1568/getInfo.php?workbook=20_14.xlsx&amp;sheet=U0&amp;row=1924&amp;col=6&amp;number=3&amp;sourceID=14","3")</f>
        <v>3</v>
      </c>
      <c r="G1924" s="4" t="str">
        <f>HYPERLINK("http://141.218.60.56/~jnz1568/getInfo.php?workbook=20_14.xlsx&amp;sheet=U0&amp;row=1924&amp;col=7&amp;number=9.51&amp;sourceID=14","9.51")</f>
        <v>9.51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HYPERLINK("http://141.218.60.56/~jnz1568/getInfo.php?workbook=20_14.xlsx&amp;sheet=U0&amp;row=1925&amp;col=6&amp;number=3.1&amp;sourceID=14","3.1")</f>
        <v>3.1</v>
      </c>
      <c r="G1925" s="4" t="str">
        <f>HYPERLINK("http://141.218.60.56/~jnz1568/getInfo.php?workbook=20_14.xlsx&amp;sheet=U0&amp;row=1925&amp;col=7&amp;number=9.52&amp;sourceID=14","9.52")</f>
        <v>9.52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HYPERLINK("http://141.218.60.56/~jnz1568/getInfo.php?workbook=20_14.xlsx&amp;sheet=U0&amp;row=1926&amp;col=6&amp;number=3.2&amp;sourceID=14","3.2")</f>
        <v>3.2</v>
      </c>
      <c r="G1926" s="4" t="str">
        <f>HYPERLINK("http://141.218.60.56/~jnz1568/getInfo.php?workbook=20_14.xlsx&amp;sheet=U0&amp;row=1926&amp;col=7&amp;number=9.52&amp;sourceID=14","9.52")</f>
        <v>9.52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HYPERLINK("http://141.218.60.56/~jnz1568/getInfo.php?workbook=20_14.xlsx&amp;sheet=U0&amp;row=1927&amp;col=6&amp;number=3.3&amp;sourceID=14","3.3")</f>
        <v>3.3</v>
      </c>
      <c r="G1927" s="4" t="str">
        <f>HYPERLINK("http://141.218.60.56/~jnz1568/getInfo.php?workbook=20_14.xlsx&amp;sheet=U0&amp;row=1927&amp;col=7&amp;number=9.52&amp;sourceID=14","9.52")</f>
        <v>9.52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HYPERLINK("http://141.218.60.56/~jnz1568/getInfo.php?workbook=20_14.xlsx&amp;sheet=U0&amp;row=1928&amp;col=6&amp;number=3.4&amp;sourceID=14","3.4")</f>
        <v>3.4</v>
      </c>
      <c r="G1928" s="4" t="str">
        <f>HYPERLINK("http://141.218.60.56/~jnz1568/getInfo.php?workbook=20_14.xlsx&amp;sheet=U0&amp;row=1928&amp;col=7&amp;number=9.53&amp;sourceID=14","9.53")</f>
        <v>9.53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HYPERLINK("http://141.218.60.56/~jnz1568/getInfo.php?workbook=20_14.xlsx&amp;sheet=U0&amp;row=1929&amp;col=6&amp;number=3.5&amp;sourceID=14","3.5")</f>
        <v>3.5</v>
      </c>
      <c r="G1929" s="4" t="str">
        <f>HYPERLINK("http://141.218.60.56/~jnz1568/getInfo.php?workbook=20_14.xlsx&amp;sheet=U0&amp;row=1929&amp;col=7&amp;number=9.53&amp;sourceID=14","9.53")</f>
        <v>9.53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HYPERLINK("http://141.218.60.56/~jnz1568/getInfo.php?workbook=20_14.xlsx&amp;sheet=U0&amp;row=1930&amp;col=6&amp;number=3.6&amp;sourceID=14","3.6")</f>
        <v>3.6</v>
      </c>
      <c r="G1930" s="4" t="str">
        <f>HYPERLINK("http://141.218.60.56/~jnz1568/getInfo.php?workbook=20_14.xlsx&amp;sheet=U0&amp;row=1930&amp;col=7&amp;number=9.54&amp;sourceID=14","9.54")</f>
        <v>9.54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HYPERLINK("http://141.218.60.56/~jnz1568/getInfo.php?workbook=20_14.xlsx&amp;sheet=U0&amp;row=1931&amp;col=6&amp;number=3.7&amp;sourceID=14","3.7")</f>
        <v>3.7</v>
      </c>
      <c r="G1931" s="4" t="str">
        <f>HYPERLINK("http://141.218.60.56/~jnz1568/getInfo.php?workbook=20_14.xlsx&amp;sheet=U0&amp;row=1931&amp;col=7&amp;number=9.55&amp;sourceID=14","9.55")</f>
        <v>9.55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HYPERLINK("http://141.218.60.56/~jnz1568/getInfo.php?workbook=20_14.xlsx&amp;sheet=U0&amp;row=1932&amp;col=6&amp;number=3.8&amp;sourceID=14","3.8")</f>
        <v>3.8</v>
      </c>
      <c r="G1932" s="4" t="str">
        <f>HYPERLINK("http://141.218.60.56/~jnz1568/getInfo.php?workbook=20_14.xlsx&amp;sheet=U0&amp;row=1932&amp;col=7&amp;number=9.56&amp;sourceID=14","9.56")</f>
        <v>9.56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HYPERLINK("http://141.218.60.56/~jnz1568/getInfo.php?workbook=20_14.xlsx&amp;sheet=U0&amp;row=1933&amp;col=6&amp;number=3.9&amp;sourceID=14","3.9")</f>
        <v>3.9</v>
      </c>
      <c r="G1933" s="4" t="str">
        <f>HYPERLINK("http://141.218.60.56/~jnz1568/getInfo.php?workbook=20_14.xlsx&amp;sheet=U0&amp;row=1933&amp;col=7&amp;number=9.57&amp;sourceID=14","9.57")</f>
        <v>9.57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HYPERLINK("http://141.218.60.56/~jnz1568/getInfo.php?workbook=20_14.xlsx&amp;sheet=U0&amp;row=1934&amp;col=6&amp;number=4&amp;sourceID=14","4")</f>
        <v>4</v>
      </c>
      <c r="G1934" s="4" t="str">
        <f>HYPERLINK("http://141.218.60.56/~jnz1568/getInfo.php?workbook=20_14.xlsx&amp;sheet=U0&amp;row=1934&amp;col=7&amp;number=9.58&amp;sourceID=14","9.58")</f>
        <v>9.58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HYPERLINK("http://141.218.60.56/~jnz1568/getInfo.php?workbook=20_14.xlsx&amp;sheet=U0&amp;row=1935&amp;col=6&amp;number=4.1&amp;sourceID=14","4.1")</f>
        <v>4.1</v>
      </c>
      <c r="G1935" s="4" t="str">
        <f>HYPERLINK("http://141.218.60.56/~jnz1568/getInfo.php?workbook=20_14.xlsx&amp;sheet=U0&amp;row=1935&amp;col=7&amp;number=9.61&amp;sourceID=14","9.61")</f>
        <v>9.61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HYPERLINK("http://141.218.60.56/~jnz1568/getInfo.php?workbook=20_14.xlsx&amp;sheet=U0&amp;row=1936&amp;col=6&amp;number=4.2&amp;sourceID=14","4.2")</f>
        <v>4.2</v>
      </c>
      <c r="G1936" s="4" t="str">
        <f>HYPERLINK("http://141.218.60.56/~jnz1568/getInfo.php?workbook=20_14.xlsx&amp;sheet=U0&amp;row=1936&amp;col=7&amp;number=9.63&amp;sourceID=14","9.63")</f>
        <v>9.63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HYPERLINK("http://141.218.60.56/~jnz1568/getInfo.php?workbook=20_14.xlsx&amp;sheet=U0&amp;row=1937&amp;col=6&amp;number=4.3&amp;sourceID=14","4.3")</f>
        <v>4.3</v>
      </c>
      <c r="G1937" s="4" t="str">
        <f>HYPERLINK("http://141.218.60.56/~jnz1568/getInfo.php?workbook=20_14.xlsx&amp;sheet=U0&amp;row=1937&amp;col=7&amp;number=9.66&amp;sourceID=14","9.66")</f>
        <v>9.66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HYPERLINK("http://141.218.60.56/~jnz1568/getInfo.php?workbook=20_14.xlsx&amp;sheet=U0&amp;row=1938&amp;col=6&amp;number=4.4&amp;sourceID=14","4.4")</f>
        <v>4.4</v>
      </c>
      <c r="G1938" s="4" t="str">
        <f>HYPERLINK("http://141.218.60.56/~jnz1568/getInfo.php?workbook=20_14.xlsx&amp;sheet=U0&amp;row=1938&amp;col=7&amp;number=9.7&amp;sourceID=14","9.7")</f>
        <v>9.7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HYPERLINK("http://141.218.60.56/~jnz1568/getInfo.php?workbook=20_14.xlsx&amp;sheet=U0&amp;row=1939&amp;col=6&amp;number=4.5&amp;sourceID=14","4.5")</f>
        <v>4.5</v>
      </c>
      <c r="G1939" s="4" t="str">
        <f>HYPERLINK("http://141.218.60.56/~jnz1568/getInfo.php?workbook=20_14.xlsx&amp;sheet=U0&amp;row=1939&amp;col=7&amp;number=9.75&amp;sourceID=14","9.75")</f>
        <v>9.75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HYPERLINK("http://141.218.60.56/~jnz1568/getInfo.php?workbook=20_14.xlsx&amp;sheet=U0&amp;row=1940&amp;col=6&amp;number=4.6&amp;sourceID=14","4.6")</f>
        <v>4.6</v>
      </c>
      <c r="G1940" s="4" t="str">
        <f>HYPERLINK("http://141.218.60.56/~jnz1568/getInfo.php?workbook=20_14.xlsx&amp;sheet=U0&amp;row=1940&amp;col=7&amp;number=9.82&amp;sourceID=14","9.82")</f>
        <v>9.82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HYPERLINK("http://141.218.60.56/~jnz1568/getInfo.php?workbook=20_14.xlsx&amp;sheet=U0&amp;row=1941&amp;col=6&amp;number=4.7&amp;sourceID=14","4.7")</f>
        <v>4.7</v>
      </c>
      <c r="G1941" s="4" t="str">
        <f>HYPERLINK("http://141.218.60.56/~jnz1568/getInfo.php?workbook=20_14.xlsx&amp;sheet=U0&amp;row=1941&amp;col=7&amp;number=9.89&amp;sourceID=14","9.89")</f>
        <v>9.89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HYPERLINK("http://141.218.60.56/~jnz1568/getInfo.php?workbook=20_14.xlsx&amp;sheet=U0&amp;row=1942&amp;col=6&amp;number=4.8&amp;sourceID=14","4.8")</f>
        <v>4.8</v>
      </c>
      <c r="G1942" s="4" t="str">
        <f>HYPERLINK("http://141.218.60.56/~jnz1568/getInfo.php?workbook=20_14.xlsx&amp;sheet=U0&amp;row=1942&amp;col=7&amp;number=9.99&amp;sourceID=14","9.99")</f>
        <v>9.99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HYPERLINK("http://141.218.60.56/~jnz1568/getInfo.php?workbook=20_14.xlsx&amp;sheet=U0&amp;row=1943&amp;col=6&amp;number=4.9&amp;sourceID=14","4.9")</f>
        <v>4.9</v>
      </c>
      <c r="G1943" s="4" t="str">
        <f>HYPERLINK("http://141.218.60.56/~jnz1568/getInfo.php?workbook=20_14.xlsx&amp;sheet=U0&amp;row=1943&amp;col=7&amp;number=10.1&amp;sourceID=14","10.1")</f>
        <v>10.1</v>
      </c>
    </row>
    <row r="1944" spans="1:7">
      <c r="A1944" s="3">
        <v>20</v>
      </c>
      <c r="B1944" s="3">
        <v>14</v>
      </c>
      <c r="C1944" s="3">
        <v>4</v>
      </c>
      <c r="D1944" s="3">
        <v>27</v>
      </c>
      <c r="E1944" s="3">
        <v>1</v>
      </c>
      <c r="F1944" s="4" t="str">
        <f>HYPERLINK("http://141.218.60.56/~jnz1568/getInfo.php?workbook=20_14.xlsx&amp;sheet=U0&amp;row=1944&amp;col=6&amp;number=3&amp;sourceID=14","3")</f>
        <v>3</v>
      </c>
      <c r="G1944" s="4" t="str">
        <f>HYPERLINK("http://141.218.60.56/~jnz1568/getInfo.php?workbook=20_14.xlsx&amp;sheet=U0&amp;row=1944&amp;col=7&amp;number=0.529&amp;sourceID=14","0.529")</f>
        <v>0.529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HYPERLINK("http://141.218.60.56/~jnz1568/getInfo.php?workbook=20_14.xlsx&amp;sheet=U0&amp;row=1945&amp;col=6&amp;number=3.1&amp;sourceID=14","3.1")</f>
        <v>3.1</v>
      </c>
      <c r="G1945" s="4" t="str">
        <f>HYPERLINK("http://141.218.60.56/~jnz1568/getInfo.php?workbook=20_14.xlsx&amp;sheet=U0&amp;row=1945&amp;col=7&amp;number=0.53&amp;sourceID=14","0.53")</f>
        <v>0.53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HYPERLINK("http://141.218.60.56/~jnz1568/getInfo.php?workbook=20_14.xlsx&amp;sheet=U0&amp;row=1946&amp;col=6&amp;number=3.2&amp;sourceID=14","3.2")</f>
        <v>3.2</v>
      </c>
      <c r="G1946" s="4" t="str">
        <f>HYPERLINK("http://141.218.60.56/~jnz1568/getInfo.php?workbook=20_14.xlsx&amp;sheet=U0&amp;row=1946&amp;col=7&amp;number=0.53&amp;sourceID=14","0.53")</f>
        <v>0.53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HYPERLINK("http://141.218.60.56/~jnz1568/getInfo.php?workbook=20_14.xlsx&amp;sheet=U0&amp;row=1947&amp;col=6&amp;number=3.3&amp;sourceID=14","3.3")</f>
        <v>3.3</v>
      </c>
      <c r="G1947" s="4" t="str">
        <f>HYPERLINK("http://141.218.60.56/~jnz1568/getInfo.php?workbook=20_14.xlsx&amp;sheet=U0&amp;row=1947&amp;col=7&amp;number=0.53&amp;sourceID=14","0.53")</f>
        <v>0.53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HYPERLINK("http://141.218.60.56/~jnz1568/getInfo.php?workbook=20_14.xlsx&amp;sheet=U0&amp;row=1948&amp;col=6&amp;number=3.4&amp;sourceID=14","3.4")</f>
        <v>3.4</v>
      </c>
      <c r="G1948" s="4" t="str">
        <f>HYPERLINK("http://141.218.60.56/~jnz1568/getInfo.php?workbook=20_14.xlsx&amp;sheet=U0&amp;row=1948&amp;col=7&amp;number=0.53&amp;sourceID=14","0.53")</f>
        <v>0.53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HYPERLINK("http://141.218.60.56/~jnz1568/getInfo.php?workbook=20_14.xlsx&amp;sheet=U0&amp;row=1949&amp;col=6&amp;number=3.5&amp;sourceID=14","3.5")</f>
        <v>3.5</v>
      </c>
      <c r="G1949" s="4" t="str">
        <f>HYPERLINK("http://141.218.60.56/~jnz1568/getInfo.php?workbook=20_14.xlsx&amp;sheet=U0&amp;row=1949&amp;col=7&amp;number=0.53&amp;sourceID=14","0.53")</f>
        <v>0.53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HYPERLINK("http://141.218.60.56/~jnz1568/getInfo.php?workbook=20_14.xlsx&amp;sheet=U0&amp;row=1950&amp;col=6&amp;number=3.6&amp;sourceID=14","3.6")</f>
        <v>3.6</v>
      </c>
      <c r="G1950" s="4" t="str">
        <f>HYPERLINK("http://141.218.60.56/~jnz1568/getInfo.php?workbook=20_14.xlsx&amp;sheet=U0&amp;row=1950&amp;col=7&amp;number=0.53&amp;sourceID=14","0.53")</f>
        <v>0.53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HYPERLINK("http://141.218.60.56/~jnz1568/getInfo.php?workbook=20_14.xlsx&amp;sheet=U0&amp;row=1951&amp;col=6&amp;number=3.7&amp;sourceID=14","3.7")</f>
        <v>3.7</v>
      </c>
      <c r="G1951" s="4" t="str">
        <f>HYPERLINK("http://141.218.60.56/~jnz1568/getInfo.php?workbook=20_14.xlsx&amp;sheet=U0&amp;row=1951&amp;col=7&amp;number=0.531&amp;sourceID=14","0.531")</f>
        <v>0.531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HYPERLINK("http://141.218.60.56/~jnz1568/getInfo.php?workbook=20_14.xlsx&amp;sheet=U0&amp;row=1952&amp;col=6&amp;number=3.8&amp;sourceID=14","3.8")</f>
        <v>3.8</v>
      </c>
      <c r="G1952" s="4" t="str">
        <f>HYPERLINK("http://141.218.60.56/~jnz1568/getInfo.php?workbook=20_14.xlsx&amp;sheet=U0&amp;row=1952&amp;col=7&amp;number=0.531&amp;sourceID=14","0.531")</f>
        <v>0.531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HYPERLINK("http://141.218.60.56/~jnz1568/getInfo.php?workbook=20_14.xlsx&amp;sheet=U0&amp;row=1953&amp;col=6&amp;number=3.9&amp;sourceID=14","3.9")</f>
        <v>3.9</v>
      </c>
      <c r="G1953" s="4" t="str">
        <f>HYPERLINK("http://141.218.60.56/~jnz1568/getInfo.php?workbook=20_14.xlsx&amp;sheet=U0&amp;row=1953&amp;col=7&amp;number=0.532&amp;sourceID=14","0.532")</f>
        <v>0.532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HYPERLINK("http://141.218.60.56/~jnz1568/getInfo.php?workbook=20_14.xlsx&amp;sheet=U0&amp;row=1954&amp;col=6&amp;number=4&amp;sourceID=14","4")</f>
        <v>4</v>
      </c>
      <c r="G1954" s="4" t="str">
        <f>HYPERLINK("http://141.218.60.56/~jnz1568/getInfo.php?workbook=20_14.xlsx&amp;sheet=U0&amp;row=1954&amp;col=7&amp;number=0.533&amp;sourceID=14","0.533")</f>
        <v>0.533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HYPERLINK("http://141.218.60.56/~jnz1568/getInfo.php?workbook=20_14.xlsx&amp;sheet=U0&amp;row=1955&amp;col=6&amp;number=4.1&amp;sourceID=14","4.1")</f>
        <v>4.1</v>
      </c>
      <c r="G1955" s="4" t="str">
        <f>HYPERLINK("http://141.218.60.56/~jnz1568/getInfo.php?workbook=20_14.xlsx&amp;sheet=U0&amp;row=1955&amp;col=7&amp;number=0.533&amp;sourceID=14","0.533")</f>
        <v>0.533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HYPERLINK("http://141.218.60.56/~jnz1568/getInfo.php?workbook=20_14.xlsx&amp;sheet=U0&amp;row=1956&amp;col=6&amp;number=4.2&amp;sourceID=14","4.2")</f>
        <v>4.2</v>
      </c>
      <c r="G1956" s="4" t="str">
        <f>HYPERLINK("http://141.218.60.56/~jnz1568/getInfo.php?workbook=20_14.xlsx&amp;sheet=U0&amp;row=1956&amp;col=7&amp;number=0.535&amp;sourceID=14","0.535")</f>
        <v>0.535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HYPERLINK("http://141.218.60.56/~jnz1568/getInfo.php?workbook=20_14.xlsx&amp;sheet=U0&amp;row=1957&amp;col=6&amp;number=4.3&amp;sourceID=14","4.3")</f>
        <v>4.3</v>
      </c>
      <c r="G1957" s="4" t="str">
        <f>HYPERLINK("http://141.218.60.56/~jnz1568/getInfo.php?workbook=20_14.xlsx&amp;sheet=U0&amp;row=1957&amp;col=7&amp;number=0.536&amp;sourceID=14","0.536")</f>
        <v>0.536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HYPERLINK("http://141.218.60.56/~jnz1568/getInfo.php?workbook=20_14.xlsx&amp;sheet=U0&amp;row=1958&amp;col=6&amp;number=4.4&amp;sourceID=14","4.4")</f>
        <v>4.4</v>
      </c>
      <c r="G1958" s="4" t="str">
        <f>HYPERLINK("http://141.218.60.56/~jnz1568/getInfo.php?workbook=20_14.xlsx&amp;sheet=U0&amp;row=1958&amp;col=7&amp;number=0.538&amp;sourceID=14","0.538")</f>
        <v>0.538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HYPERLINK("http://141.218.60.56/~jnz1568/getInfo.php?workbook=20_14.xlsx&amp;sheet=U0&amp;row=1959&amp;col=6&amp;number=4.5&amp;sourceID=14","4.5")</f>
        <v>4.5</v>
      </c>
      <c r="G1959" s="4" t="str">
        <f>HYPERLINK("http://141.218.60.56/~jnz1568/getInfo.php?workbook=20_14.xlsx&amp;sheet=U0&amp;row=1959&amp;col=7&amp;number=0.54&amp;sourceID=14","0.54")</f>
        <v>0.54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HYPERLINK("http://141.218.60.56/~jnz1568/getInfo.php?workbook=20_14.xlsx&amp;sheet=U0&amp;row=1960&amp;col=6&amp;number=4.6&amp;sourceID=14","4.6")</f>
        <v>4.6</v>
      </c>
      <c r="G1960" s="4" t="str">
        <f>HYPERLINK("http://141.218.60.56/~jnz1568/getInfo.php?workbook=20_14.xlsx&amp;sheet=U0&amp;row=1960&amp;col=7&amp;number=0.543&amp;sourceID=14","0.543")</f>
        <v>0.543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HYPERLINK("http://141.218.60.56/~jnz1568/getInfo.php?workbook=20_14.xlsx&amp;sheet=U0&amp;row=1961&amp;col=6&amp;number=4.7&amp;sourceID=14","4.7")</f>
        <v>4.7</v>
      </c>
      <c r="G1961" s="4" t="str">
        <f>HYPERLINK("http://141.218.60.56/~jnz1568/getInfo.php?workbook=20_14.xlsx&amp;sheet=U0&amp;row=1961&amp;col=7&amp;number=0.546&amp;sourceID=14","0.546")</f>
        <v>0.546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HYPERLINK("http://141.218.60.56/~jnz1568/getInfo.php?workbook=20_14.xlsx&amp;sheet=U0&amp;row=1962&amp;col=6&amp;number=4.8&amp;sourceID=14","4.8")</f>
        <v>4.8</v>
      </c>
      <c r="G1962" s="4" t="str">
        <f>HYPERLINK("http://141.218.60.56/~jnz1568/getInfo.php?workbook=20_14.xlsx&amp;sheet=U0&amp;row=1962&amp;col=7&amp;number=0.55&amp;sourceID=14","0.55")</f>
        <v>0.55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HYPERLINK("http://141.218.60.56/~jnz1568/getInfo.php?workbook=20_14.xlsx&amp;sheet=U0&amp;row=1963&amp;col=6&amp;number=4.9&amp;sourceID=14","4.9")</f>
        <v>4.9</v>
      </c>
      <c r="G1963" s="4" t="str">
        <f>HYPERLINK("http://141.218.60.56/~jnz1568/getInfo.php?workbook=20_14.xlsx&amp;sheet=U0&amp;row=1963&amp;col=7&amp;number=0.556&amp;sourceID=14","0.556")</f>
        <v>0.556</v>
      </c>
    </row>
    <row r="1964" spans="1:7">
      <c r="A1964" s="3">
        <v>20</v>
      </c>
      <c r="B1964" s="3">
        <v>14</v>
      </c>
      <c r="C1964" s="3">
        <v>5</v>
      </c>
      <c r="D1964" s="3">
        <v>6</v>
      </c>
      <c r="E1964" s="3">
        <v>1</v>
      </c>
      <c r="F1964" s="4" t="str">
        <f>HYPERLINK("http://141.218.60.56/~jnz1568/getInfo.php?workbook=20_14.xlsx&amp;sheet=U0&amp;row=1964&amp;col=6&amp;number=3&amp;sourceID=14","3")</f>
        <v>3</v>
      </c>
      <c r="G1964" s="4" t="str">
        <f>HYPERLINK("http://141.218.60.56/~jnz1568/getInfo.php?workbook=20_14.xlsx&amp;sheet=U0&amp;row=1964&amp;col=7&amp;number=4.41e-05&amp;sourceID=14","4.41e-05")</f>
        <v>4.41e-05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HYPERLINK("http://141.218.60.56/~jnz1568/getInfo.php?workbook=20_14.xlsx&amp;sheet=U0&amp;row=1965&amp;col=6&amp;number=3.1&amp;sourceID=14","3.1")</f>
        <v>3.1</v>
      </c>
      <c r="G1965" s="4" t="str">
        <f>HYPERLINK("http://141.218.60.56/~jnz1568/getInfo.php?workbook=20_14.xlsx&amp;sheet=U0&amp;row=1965&amp;col=7&amp;number=4.41e-05&amp;sourceID=14","4.41e-05")</f>
        <v>4.41e-05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HYPERLINK("http://141.218.60.56/~jnz1568/getInfo.php?workbook=20_14.xlsx&amp;sheet=U0&amp;row=1966&amp;col=6&amp;number=3.2&amp;sourceID=14","3.2")</f>
        <v>3.2</v>
      </c>
      <c r="G1966" s="4" t="str">
        <f>HYPERLINK("http://141.218.60.56/~jnz1568/getInfo.php?workbook=20_14.xlsx&amp;sheet=U0&amp;row=1966&amp;col=7&amp;number=4.41e-05&amp;sourceID=14","4.41e-05")</f>
        <v>4.41e-05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HYPERLINK("http://141.218.60.56/~jnz1568/getInfo.php?workbook=20_14.xlsx&amp;sheet=U0&amp;row=1967&amp;col=6&amp;number=3.3&amp;sourceID=14","3.3")</f>
        <v>3.3</v>
      </c>
      <c r="G1967" s="4" t="str">
        <f>HYPERLINK("http://141.218.60.56/~jnz1568/getInfo.php?workbook=20_14.xlsx&amp;sheet=U0&amp;row=1967&amp;col=7&amp;number=4.41e-05&amp;sourceID=14","4.41e-05")</f>
        <v>4.41e-05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HYPERLINK("http://141.218.60.56/~jnz1568/getInfo.php?workbook=20_14.xlsx&amp;sheet=U0&amp;row=1968&amp;col=6&amp;number=3.4&amp;sourceID=14","3.4")</f>
        <v>3.4</v>
      </c>
      <c r="G1968" s="4" t="str">
        <f>HYPERLINK("http://141.218.60.56/~jnz1568/getInfo.php?workbook=20_14.xlsx&amp;sheet=U0&amp;row=1968&amp;col=7&amp;number=4.41e-05&amp;sourceID=14","4.41e-05")</f>
        <v>4.41e-05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HYPERLINK("http://141.218.60.56/~jnz1568/getInfo.php?workbook=20_14.xlsx&amp;sheet=U0&amp;row=1969&amp;col=6&amp;number=3.5&amp;sourceID=14","3.5")</f>
        <v>3.5</v>
      </c>
      <c r="G1969" s="4" t="str">
        <f>HYPERLINK("http://141.218.60.56/~jnz1568/getInfo.php?workbook=20_14.xlsx&amp;sheet=U0&amp;row=1969&amp;col=7&amp;number=4.41e-05&amp;sourceID=14","4.41e-05")</f>
        <v>4.41e-05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HYPERLINK("http://141.218.60.56/~jnz1568/getInfo.php?workbook=20_14.xlsx&amp;sheet=U0&amp;row=1970&amp;col=6&amp;number=3.6&amp;sourceID=14","3.6")</f>
        <v>3.6</v>
      </c>
      <c r="G1970" s="4" t="str">
        <f>HYPERLINK("http://141.218.60.56/~jnz1568/getInfo.php?workbook=20_14.xlsx&amp;sheet=U0&amp;row=1970&amp;col=7&amp;number=4.41e-05&amp;sourceID=14","4.41e-05")</f>
        <v>4.41e-05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HYPERLINK("http://141.218.60.56/~jnz1568/getInfo.php?workbook=20_14.xlsx&amp;sheet=U0&amp;row=1971&amp;col=6&amp;number=3.7&amp;sourceID=14","3.7")</f>
        <v>3.7</v>
      </c>
      <c r="G1971" s="4" t="str">
        <f>HYPERLINK("http://141.218.60.56/~jnz1568/getInfo.php?workbook=20_14.xlsx&amp;sheet=U0&amp;row=1971&amp;col=7&amp;number=4.41e-05&amp;sourceID=14","4.41e-05")</f>
        <v>4.41e-05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HYPERLINK("http://141.218.60.56/~jnz1568/getInfo.php?workbook=20_14.xlsx&amp;sheet=U0&amp;row=1972&amp;col=6&amp;number=3.8&amp;sourceID=14","3.8")</f>
        <v>3.8</v>
      </c>
      <c r="G1972" s="4" t="str">
        <f>HYPERLINK("http://141.218.60.56/~jnz1568/getInfo.php?workbook=20_14.xlsx&amp;sheet=U0&amp;row=1972&amp;col=7&amp;number=4.4e-05&amp;sourceID=14","4.4e-05")</f>
        <v>4.4e-05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HYPERLINK("http://141.218.60.56/~jnz1568/getInfo.php?workbook=20_14.xlsx&amp;sheet=U0&amp;row=1973&amp;col=6&amp;number=3.9&amp;sourceID=14","3.9")</f>
        <v>3.9</v>
      </c>
      <c r="G1973" s="4" t="str">
        <f>HYPERLINK("http://141.218.60.56/~jnz1568/getInfo.php?workbook=20_14.xlsx&amp;sheet=U0&amp;row=1973&amp;col=7&amp;number=4.4e-05&amp;sourceID=14","4.4e-05")</f>
        <v>4.4e-05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HYPERLINK("http://141.218.60.56/~jnz1568/getInfo.php?workbook=20_14.xlsx&amp;sheet=U0&amp;row=1974&amp;col=6&amp;number=4&amp;sourceID=14","4")</f>
        <v>4</v>
      </c>
      <c r="G1974" s="4" t="str">
        <f>HYPERLINK("http://141.218.60.56/~jnz1568/getInfo.php?workbook=20_14.xlsx&amp;sheet=U0&amp;row=1974&amp;col=7&amp;number=4.39e-05&amp;sourceID=14","4.39e-05")</f>
        <v>4.39e-05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HYPERLINK("http://141.218.60.56/~jnz1568/getInfo.php?workbook=20_14.xlsx&amp;sheet=U0&amp;row=1975&amp;col=6&amp;number=4.1&amp;sourceID=14","4.1")</f>
        <v>4.1</v>
      </c>
      <c r="G1975" s="4" t="str">
        <f>HYPERLINK("http://141.218.60.56/~jnz1568/getInfo.php?workbook=20_14.xlsx&amp;sheet=U0&amp;row=1975&amp;col=7&amp;number=4.39e-05&amp;sourceID=14","4.39e-05")</f>
        <v>4.39e-05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HYPERLINK("http://141.218.60.56/~jnz1568/getInfo.php?workbook=20_14.xlsx&amp;sheet=U0&amp;row=1976&amp;col=6&amp;number=4.2&amp;sourceID=14","4.2")</f>
        <v>4.2</v>
      </c>
      <c r="G1976" s="4" t="str">
        <f>HYPERLINK("http://141.218.60.56/~jnz1568/getInfo.php?workbook=20_14.xlsx&amp;sheet=U0&amp;row=1976&amp;col=7&amp;number=4.38e-05&amp;sourceID=14","4.38e-05")</f>
        <v>4.38e-05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HYPERLINK("http://141.218.60.56/~jnz1568/getInfo.php?workbook=20_14.xlsx&amp;sheet=U0&amp;row=1977&amp;col=6&amp;number=4.3&amp;sourceID=14","4.3")</f>
        <v>4.3</v>
      </c>
      <c r="G1977" s="4" t="str">
        <f>HYPERLINK("http://141.218.60.56/~jnz1568/getInfo.php?workbook=20_14.xlsx&amp;sheet=U0&amp;row=1977&amp;col=7&amp;number=4.37e-05&amp;sourceID=14","4.37e-05")</f>
        <v>4.37e-05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HYPERLINK("http://141.218.60.56/~jnz1568/getInfo.php?workbook=20_14.xlsx&amp;sheet=U0&amp;row=1978&amp;col=6&amp;number=4.4&amp;sourceID=14","4.4")</f>
        <v>4.4</v>
      </c>
      <c r="G1978" s="4" t="str">
        <f>HYPERLINK("http://141.218.60.56/~jnz1568/getInfo.php?workbook=20_14.xlsx&amp;sheet=U0&amp;row=1978&amp;col=7&amp;number=4.36e-05&amp;sourceID=14","4.36e-05")</f>
        <v>4.36e-05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HYPERLINK("http://141.218.60.56/~jnz1568/getInfo.php?workbook=20_14.xlsx&amp;sheet=U0&amp;row=1979&amp;col=6&amp;number=4.5&amp;sourceID=14","4.5")</f>
        <v>4.5</v>
      </c>
      <c r="G1979" s="4" t="str">
        <f>HYPERLINK("http://141.218.60.56/~jnz1568/getInfo.php?workbook=20_14.xlsx&amp;sheet=U0&amp;row=1979&amp;col=7&amp;number=4.35e-05&amp;sourceID=14","4.35e-05")</f>
        <v>4.35e-05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HYPERLINK("http://141.218.60.56/~jnz1568/getInfo.php?workbook=20_14.xlsx&amp;sheet=U0&amp;row=1980&amp;col=6&amp;number=4.6&amp;sourceID=14","4.6")</f>
        <v>4.6</v>
      </c>
      <c r="G1980" s="4" t="str">
        <f>HYPERLINK("http://141.218.60.56/~jnz1568/getInfo.php?workbook=20_14.xlsx&amp;sheet=U0&amp;row=1980&amp;col=7&amp;number=4.33e-05&amp;sourceID=14","4.33e-05")</f>
        <v>4.33e-05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HYPERLINK("http://141.218.60.56/~jnz1568/getInfo.php?workbook=20_14.xlsx&amp;sheet=U0&amp;row=1981&amp;col=6&amp;number=4.7&amp;sourceID=14","4.7")</f>
        <v>4.7</v>
      </c>
      <c r="G1981" s="4" t="str">
        <f>HYPERLINK("http://141.218.60.56/~jnz1568/getInfo.php?workbook=20_14.xlsx&amp;sheet=U0&amp;row=1981&amp;col=7&amp;number=4.31e-05&amp;sourceID=14","4.31e-05")</f>
        <v>4.31e-05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HYPERLINK("http://141.218.60.56/~jnz1568/getInfo.php?workbook=20_14.xlsx&amp;sheet=U0&amp;row=1982&amp;col=6&amp;number=4.8&amp;sourceID=14","4.8")</f>
        <v>4.8</v>
      </c>
      <c r="G1982" s="4" t="str">
        <f>HYPERLINK("http://141.218.60.56/~jnz1568/getInfo.php?workbook=20_14.xlsx&amp;sheet=U0&amp;row=1982&amp;col=7&amp;number=4.28e-05&amp;sourceID=14","4.28e-05")</f>
        <v>4.28e-05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HYPERLINK("http://141.218.60.56/~jnz1568/getInfo.php?workbook=20_14.xlsx&amp;sheet=U0&amp;row=1983&amp;col=6&amp;number=4.9&amp;sourceID=14","4.9")</f>
        <v>4.9</v>
      </c>
      <c r="G1983" s="4" t="str">
        <f>HYPERLINK("http://141.218.60.56/~jnz1568/getInfo.php?workbook=20_14.xlsx&amp;sheet=U0&amp;row=1983&amp;col=7&amp;number=4.25e-05&amp;sourceID=14","4.25e-05")</f>
        <v>4.25e-05</v>
      </c>
    </row>
    <row r="1984" spans="1:7">
      <c r="A1984" s="3">
        <v>20</v>
      </c>
      <c r="B1984" s="3">
        <v>14</v>
      </c>
      <c r="C1984" s="3">
        <v>5</v>
      </c>
      <c r="D1984" s="3">
        <v>7</v>
      </c>
      <c r="E1984" s="3">
        <v>1</v>
      </c>
      <c r="F1984" s="4" t="str">
        <f>HYPERLINK("http://141.218.60.56/~jnz1568/getInfo.php?workbook=20_14.xlsx&amp;sheet=U0&amp;row=1984&amp;col=6&amp;number=3&amp;sourceID=14","3")</f>
        <v>3</v>
      </c>
      <c r="G1984" s="4" t="str">
        <f>HYPERLINK("http://141.218.60.56/~jnz1568/getInfo.php?workbook=20_14.xlsx&amp;sheet=U0&amp;row=1984&amp;col=7&amp;number=0.00218&amp;sourceID=14","0.00218")</f>
        <v>0.00218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HYPERLINK("http://141.218.60.56/~jnz1568/getInfo.php?workbook=20_14.xlsx&amp;sheet=U0&amp;row=1985&amp;col=6&amp;number=3.1&amp;sourceID=14","3.1")</f>
        <v>3.1</v>
      </c>
      <c r="G1985" s="4" t="str">
        <f>HYPERLINK("http://141.218.60.56/~jnz1568/getInfo.php?workbook=20_14.xlsx&amp;sheet=U0&amp;row=1985&amp;col=7&amp;number=0.00218&amp;sourceID=14","0.00218")</f>
        <v>0.00218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HYPERLINK("http://141.218.60.56/~jnz1568/getInfo.php?workbook=20_14.xlsx&amp;sheet=U0&amp;row=1986&amp;col=6&amp;number=3.2&amp;sourceID=14","3.2")</f>
        <v>3.2</v>
      </c>
      <c r="G1986" s="4" t="str">
        <f>HYPERLINK("http://141.218.60.56/~jnz1568/getInfo.php?workbook=20_14.xlsx&amp;sheet=U0&amp;row=1986&amp;col=7&amp;number=0.00218&amp;sourceID=14","0.00218")</f>
        <v>0.00218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HYPERLINK("http://141.218.60.56/~jnz1568/getInfo.php?workbook=20_14.xlsx&amp;sheet=U0&amp;row=1987&amp;col=6&amp;number=3.3&amp;sourceID=14","3.3")</f>
        <v>3.3</v>
      </c>
      <c r="G1987" s="4" t="str">
        <f>HYPERLINK("http://141.218.60.56/~jnz1568/getInfo.php?workbook=20_14.xlsx&amp;sheet=U0&amp;row=1987&amp;col=7&amp;number=0.00218&amp;sourceID=14","0.00218")</f>
        <v>0.00218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HYPERLINK("http://141.218.60.56/~jnz1568/getInfo.php?workbook=20_14.xlsx&amp;sheet=U0&amp;row=1988&amp;col=6&amp;number=3.4&amp;sourceID=14","3.4")</f>
        <v>3.4</v>
      </c>
      <c r="G1988" s="4" t="str">
        <f>HYPERLINK("http://141.218.60.56/~jnz1568/getInfo.php?workbook=20_14.xlsx&amp;sheet=U0&amp;row=1988&amp;col=7&amp;number=0.00218&amp;sourceID=14","0.00218")</f>
        <v>0.00218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HYPERLINK("http://141.218.60.56/~jnz1568/getInfo.php?workbook=20_14.xlsx&amp;sheet=U0&amp;row=1989&amp;col=6&amp;number=3.5&amp;sourceID=14","3.5")</f>
        <v>3.5</v>
      </c>
      <c r="G1989" s="4" t="str">
        <f>HYPERLINK("http://141.218.60.56/~jnz1568/getInfo.php?workbook=20_14.xlsx&amp;sheet=U0&amp;row=1989&amp;col=7&amp;number=0.00218&amp;sourceID=14","0.00218")</f>
        <v>0.00218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HYPERLINK("http://141.218.60.56/~jnz1568/getInfo.php?workbook=20_14.xlsx&amp;sheet=U0&amp;row=1990&amp;col=6&amp;number=3.6&amp;sourceID=14","3.6")</f>
        <v>3.6</v>
      </c>
      <c r="G1990" s="4" t="str">
        <f>HYPERLINK("http://141.218.60.56/~jnz1568/getInfo.php?workbook=20_14.xlsx&amp;sheet=U0&amp;row=1990&amp;col=7&amp;number=0.00218&amp;sourceID=14","0.00218")</f>
        <v>0.00218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HYPERLINK("http://141.218.60.56/~jnz1568/getInfo.php?workbook=20_14.xlsx&amp;sheet=U0&amp;row=1991&amp;col=6&amp;number=3.7&amp;sourceID=14","3.7")</f>
        <v>3.7</v>
      </c>
      <c r="G1991" s="4" t="str">
        <f>HYPERLINK("http://141.218.60.56/~jnz1568/getInfo.php?workbook=20_14.xlsx&amp;sheet=U0&amp;row=1991&amp;col=7&amp;number=0.00218&amp;sourceID=14","0.00218")</f>
        <v>0.00218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HYPERLINK("http://141.218.60.56/~jnz1568/getInfo.php?workbook=20_14.xlsx&amp;sheet=U0&amp;row=1992&amp;col=6&amp;number=3.8&amp;sourceID=14","3.8")</f>
        <v>3.8</v>
      </c>
      <c r="G1992" s="4" t="str">
        <f>HYPERLINK("http://141.218.60.56/~jnz1568/getInfo.php?workbook=20_14.xlsx&amp;sheet=U0&amp;row=1992&amp;col=7&amp;number=0.00218&amp;sourceID=14","0.00218")</f>
        <v>0.00218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HYPERLINK("http://141.218.60.56/~jnz1568/getInfo.php?workbook=20_14.xlsx&amp;sheet=U0&amp;row=1993&amp;col=6&amp;number=3.9&amp;sourceID=14","3.9")</f>
        <v>3.9</v>
      </c>
      <c r="G1993" s="4" t="str">
        <f>HYPERLINK("http://141.218.60.56/~jnz1568/getInfo.php?workbook=20_14.xlsx&amp;sheet=U0&amp;row=1993&amp;col=7&amp;number=0.00218&amp;sourceID=14","0.00218")</f>
        <v>0.00218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HYPERLINK("http://141.218.60.56/~jnz1568/getInfo.php?workbook=20_14.xlsx&amp;sheet=U0&amp;row=1994&amp;col=6&amp;number=4&amp;sourceID=14","4")</f>
        <v>4</v>
      </c>
      <c r="G1994" s="4" t="str">
        <f>HYPERLINK("http://141.218.60.56/~jnz1568/getInfo.php?workbook=20_14.xlsx&amp;sheet=U0&amp;row=1994&amp;col=7&amp;number=0.00218&amp;sourceID=14","0.00218")</f>
        <v>0.00218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HYPERLINK("http://141.218.60.56/~jnz1568/getInfo.php?workbook=20_14.xlsx&amp;sheet=U0&amp;row=1995&amp;col=6&amp;number=4.1&amp;sourceID=14","4.1")</f>
        <v>4.1</v>
      </c>
      <c r="G1995" s="4" t="str">
        <f>HYPERLINK("http://141.218.60.56/~jnz1568/getInfo.php?workbook=20_14.xlsx&amp;sheet=U0&amp;row=1995&amp;col=7&amp;number=0.00218&amp;sourceID=14","0.00218")</f>
        <v>0.00218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HYPERLINK("http://141.218.60.56/~jnz1568/getInfo.php?workbook=20_14.xlsx&amp;sheet=U0&amp;row=1996&amp;col=6&amp;number=4.2&amp;sourceID=14","4.2")</f>
        <v>4.2</v>
      </c>
      <c r="G1996" s="4" t="str">
        <f>HYPERLINK("http://141.218.60.56/~jnz1568/getInfo.php?workbook=20_14.xlsx&amp;sheet=U0&amp;row=1996&amp;col=7&amp;number=0.00218&amp;sourceID=14","0.00218")</f>
        <v>0.00218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HYPERLINK("http://141.218.60.56/~jnz1568/getInfo.php?workbook=20_14.xlsx&amp;sheet=U0&amp;row=1997&amp;col=6&amp;number=4.3&amp;sourceID=14","4.3")</f>
        <v>4.3</v>
      </c>
      <c r="G1997" s="4" t="str">
        <f>HYPERLINK("http://141.218.60.56/~jnz1568/getInfo.php?workbook=20_14.xlsx&amp;sheet=U0&amp;row=1997&amp;col=7&amp;number=0.00218&amp;sourceID=14","0.00218")</f>
        <v>0.00218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HYPERLINK("http://141.218.60.56/~jnz1568/getInfo.php?workbook=20_14.xlsx&amp;sheet=U0&amp;row=1998&amp;col=6&amp;number=4.4&amp;sourceID=14","4.4")</f>
        <v>4.4</v>
      </c>
      <c r="G1998" s="4" t="str">
        <f>HYPERLINK("http://141.218.60.56/~jnz1568/getInfo.php?workbook=20_14.xlsx&amp;sheet=U0&amp;row=1998&amp;col=7&amp;number=0.00218&amp;sourceID=14","0.00218")</f>
        <v>0.00218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HYPERLINK("http://141.218.60.56/~jnz1568/getInfo.php?workbook=20_14.xlsx&amp;sheet=U0&amp;row=1999&amp;col=6&amp;number=4.5&amp;sourceID=14","4.5")</f>
        <v>4.5</v>
      </c>
      <c r="G1999" s="4" t="str">
        <f>HYPERLINK("http://141.218.60.56/~jnz1568/getInfo.php?workbook=20_14.xlsx&amp;sheet=U0&amp;row=1999&amp;col=7&amp;number=0.00218&amp;sourceID=14","0.00218")</f>
        <v>0.00218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HYPERLINK("http://141.218.60.56/~jnz1568/getInfo.php?workbook=20_14.xlsx&amp;sheet=U0&amp;row=2000&amp;col=6&amp;number=4.6&amp;sourceID=14","4.6")</f>
        <v>4.6</v>
      </c>
      <c r="G2000" s="4" t="str">
        <f>HYPERLINK("http://141.218.60.56/~jnz1568/getInfo.php?workbook=20_14.xlsx&amp;sheet=U0&amp;row=2000&amp;col=7&amp;number=0.00218&amp;sourceID=14","0.00218")</f>
        <v>0.00218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HYPERLINK("http://141.218.60.56/~jnz1568/getInfo.php?workbook=20_14.xlsx&amp;sheet=U0&amp;row=2001&amp;col=6&amp;number=4.7&amp;sourceID=14","4.7")</f>
        <v>4.7</v>
      </c>
      <c r="G2001" s="4" t="str">
        <f>HYPERLINK("http://141.218.60.56/~jnz1568/getInfo.php?workbook=20_14.xlsx&amp;sheet=U0&amp;row=2001&amp;col=7&amp;number=0.00218&amp;sourceID=14","0.00218")</f>
        <v>0.00218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HYPERLINK("http://141.218.60.56/~jnz1568/getInfo.php?workbook=20_14.xlsx&amp;sheet=U0&amp;row=2002&amp;col=6&amp;number=4.8&amp;sourceID=14","4.8")</f>
        <v>4.8</v>
      </c>
      <c r="G2002" s="4" t="str">
        <f>HYPERLINK("http://141.218.60.56/~jnz1568/getInfo.php?workbook=20_14.xlsx&amp;sheet=U0&amp;row=2002&amp;col=7&amp;number=0.00218&amp;sourceID=14","0.00218")</f>
        <v>0.00218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HYPERLINK("http://141.218.60.56/~jnz1568/getInfo.php?workbook=20_14.xlsx&amp;sheet=U0&amp;row=2003&amp;col=6&amp;number=4.9&amp;sourceID=14","4.9")</f>
        <v>4.9</v>
      </c>
      <c r="G2003" s="4" t="str">
        <f>HYPERLINK("http://141.218.60.56/~jnz1568/getInfo.php?workbook=20_14.xlsx&amp;sheet=U0&amp;row=2003&amp;col=7&amp;number=0.00218&amp;sourceID=14","0.00218")</f>
        <v>0.00218</v>
      </c>
    </row>
    <row r="2004" spans="1:7">
      <c r="A2004" s="3">
        <v>20</v>
      </c>
      <c r="B2004" s="3">
        <v>14</v>
      </c>
      <c r="C2004" s="3">
        <v>5</v>
      </c>
      <c r="D2004" s="3">
        <v>8</v>
      </c>
      <c r="E2004" s="3">
        <v>1</v>
      </c>
      <c r="F2004" s="4" t="str">
        <f>HYPERLINK("http://141.218.60.56/~jnz1568/getInfo.php?workbook=20_14.xlsx&amp;sheet=U0&amp;row=2004&amp;col=6&amp;number=3&amp;sourceID=14","3")</f>
        <v>3</v>
      </c>
      <c r="G2004" s="4" t="str">
        <f>HYPERLINK("http://141.218.60.56/~jnz1568/getInfo.php?workbook=20_14.xlsx&amp;sheet=U0&amp;row=2004&amp;col=7&amp;number=0.000227&amp;sourceID=14","0.000227")</f>
        <v>0.000227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HYPERLINK("http://141.218.60.56/~jnz1568/getInfo.php?workbook=20_14.xlsx&amp;sheet=U0&amp;row=2005&amp;col=6&amp;number=3.1&amp;sourceID=14","3.1")</f>
        <v>3.1</v>
      </c>
      <c r="G2005" s="4" t="str">
        <f>HYPERLINK("http://141.218.60.56/~jnz1568/getInfo.php?workbook=20_14.xlsx&amp;sheet=U0&amp;row=2005&amp;col=7&amp;number=0.00023&amp;sourceID=14","0.00023")</f>
        <v>0.00023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HYPERLINK("http://141.218.60.56/~jnz1568/getInfo.php?workbook=20_14.xlsx&amp;sheet=U0&amp;row=2006&amp;col=6&amp;number=3.2&amp;sourceID=14","3.2")</f>
        <v>3.2</v>
      </c>
      <c r="G2006" s="4" t="str">
        <f>HYPERLINK("http://141.218.60.56/~jnz1568/getInfo.php?workbook=20_14.xlsx&amp;sheet=U0&amp;row=2006&amp;col=7&amp;number=0.000233&amp;sourceID=14","0.000233")</f>
        <v>0.000233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HYPERLINK("http://141.218.60.56/~jnz1568/getInfo.php?workbook=20_14.xlsx&amp;sheet=U0&amp;row=2007&amp;col=6&amp;number=3.3&amp;sourceID=14","3.3")</f>
        <v>3.3</v>
      </c>
      <c r="G2007" s="4" t="str">
        <f>HYPERLINK("http://141.218.60.56/~jnz1568/getInfo.php?workbook=20_14.xlsx&amp;sheet=U0&amp;row=2007&amp;col=7&amp;number=0.000238&amp;sourceID=14","0.000238")</f>
        <v>0.000238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HYPERLINK("http://141.218.60.56/~jnz1568/getInfo.php?workbook=20_14.xlsx&amp;sheet=U0&amp;row=2008&amp;col=6&amp;number=3.4&amp;sourceID=14","3.4")</f>
        <v>3.4</v>
      </c>
      <c r="G2008" s="4" t="str">
        <f>HYPERLINK("http://141.218.60.56/~jnz1568/getInfo.php?workbook=20_14.xlsx&amp;sheet=U0&amp;row=2008&amp;col=7&amp;number=0.000244&amp;sourceID=14","0.000244")</f>
        <v>0.000244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HYPERLINK("http://141.218.60.56/~jnz1568/getInfo.php?workbook=20_14.xlsx&amp;sheet=U0&amp;row=2009&amp;col=6&amp;number=3.5&amp;sourceID=14","3.5")</f>
        <v>3.5</v>
      </c>
      <c r="G2009" s="4" t="str">
        <f>HYPERLINK("http://141.218.60.56/~jnz1568/getInfo.php?workbook=20_14.xlsx&amp;sheet=U0&amp;row=2009&amp;col=7&amp;number=0.000251&amp;sourceID=14","0.000251")</f>
        <v>0.000251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HYPERLINK("http://141.218.60.56/~jnz1568/getInfo.php?workbook=20_14.xlsx&amp;sheet=U0&amp;row=2010&amp;col=6&amp;number=3.6&amp;sourceID=14","3.6")</f>
        <v>3.6</v>
      </c>
      <c r="G2010" s="4" t="str">
        <f>HYPERLINK("http://141.218.60.56/~jnz1568/getInfo.php?workbook=20_14.xlsx&amp;sheet=U0&amp;row=2010&amp;col=7&amp;number=0.00026&amp;sourceID=14","0.00026")</f>
        <v>0.00026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HYPERLINK("http://141.218.60.56/~jnz1568/getInfo.php?workbook=20_14.xlsx&amp;sheet=U0&amp;row=2011&amp;col=6&amp;number=3.7&amp;sourceID=14","3.7")</f>
        <v>3.7</v>
      </c>
      <c r="G2011" s="4" t="str">
        <f>HYPERLINK("http://141.218.60.56/~jnz1568/getInfo.php?workbook=20_14.xlsx&amp;sheet=U0&amp;row=2011&amp;col=7&amp;number=0.000271&amp;sourceID=14","0.000271")</f>
        <v>0.000271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HYPERLINK("http://141.218.60.56/~jnz1568/getInfo.php?workbook=20_14.xlsx&amp;sheet=U0&amp;row=2012&amp;col=6&amp;number=3.8&amp;sourceID=14","3.8")</f>
        <v>3.8</v>
      </c>
      <c r="G2012" s="4" t="str">
        <f>HYPERLINK("http://141.218.60.56/~jnz1568/getInfo.php?workbook=20_14.xlsx&amp;sheet=U0&amp;row=2012&amp;col=7&amp;number=0.000285&amp;sourceID=14","0.000285")</f>
        <v>0.000285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HYPERLINK("http://141.218.60.56/~jnz1568/getInfo.php?workbook=20_14.xlsx&amp;sheet=U0&amp;row=2013&amp;col=6&amp;number=3.9&amp;sourceID=14","3.9")</f>
        <v>3.9</v>
      </c>
      <c r="G2013" s="4" t="str">
        <f>HYPERLINK("http://141.218.60.56/~jnz1568/getInfo.php?workbook=20_14.xlsx&amp;sheet=U0&amp;row=2013&amp;col=7&amp;number=0.000302&amp;sourceID=14","0.000302")</f>
        <v>0.000302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HYPERLINK("http://141.218.60.56/~jnz1568/getInfo.php?workbook=20_14.xlsx&amp;sheet=U0&amp;row=2014&amp;col=6&amp;number=4&amp;sourceID=14","4")</f>
        <v>4</v>
      </c>
      <c r="G2014" s="4" t="str">
        <f>HYPERLINK("http://141.218.60.56/~jnz1568/getInfo.php?workbook=20_14.xlsx&amp;sheet=U0&amp;row=2014&amp;col=7&amp;number=0.000323&amp;sourceID=14","0.000323")</f>
        <v>0.000323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HYPERLINK("http://141.218.60.56/~jnz1568/getInfo.php?workbook=20_14.xlsx&amp;sheet=U0&amp;row=2015&amp;col=6&amp;number=4.1&amp;sourceID=14","4.1")</f>
        <v>4.1</v>
      </c>
      <c r="G2015" s="4" t="str">
        <f>HYPERLINK("http://141.218.60.56/~jnz1568/getInfo.php?workbook=20_14.xlsx&amp;sheet=U0&amp;row=2015&amp;col=7&amp;number=0.000349&amp;sourceID=14","0.000349")</f>
        <v>0.000349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HYPERLINK("http://141.218.60.56/~jnz1568/getInfo.php?workbook=20_14.xlsx&amp;sheet=U0&amp;row=2016&amp;col=6&amp;number=4.2&amp;sourceID=14","4.2")</f>
        <v>4.2</v>
      </c>
      <c r="G2016" s="4" t="str">
        <f>HYPERLINK("http://141.218.60.56/~jnz1568/getInfo.php?workbook=20_14.xlsx&amp;sheet=U0&amp;row=2016&amp;col=7&amp;number=0.000379&amp;sourceID=14","0.000379")</f>
        <v>0.000379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HYPERLINK("http://141.218.60.56/~jnz1568/getInfo.php?workbook=20_14.xlsx&amp;sheet=U0&amp;row=2017&amp;col=6&amp;number=4.3&amp;sourceID=14","4.3")</f>
        <v>4.3</v>
      </c>
      <c r="G2017" s="4" t="str">
        <f>HYPERLINK("http://141.218.60.56/~jnz1568/getInfo.php?workbook=20_14.xlsx&amp;sheet=U0&amp;row=2017&amp;col=7&amp;number=0.000416&amp;sourceID=14","0.000416")</f>
        <v>0.000416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HYPERLINK("http://141.218.60.56/~jnz1568/getInfo.php?workbook=20_14.xlsx&amp;sheet=U0&amp;row=2018&amp;col=6&amp;number=4.4&amp;sourceID=14","4.4")</f>
        <v>4.4</v>
      </c>
      <c r="G2018" s="4" t="str">
        <f>HYPERLINK("http://141.218.60.56/~jnz1568/getInfo.php?workbook=20_14.xlsx&amp;sheet=U0&amp;row=2018&amp;col=7&amp;number=0.00046&amp;sourceID=14","0.00046")</f>
        <v>0.00046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HYPERLINK("http://141.218.60.56/~jnz1568/getInfo.php?workbook=20_14.xlsx&amp;sheet=U0&amp;row=2019&amp;col=6&amp;number=4.5&amp;sourceID=14","4.5")</f>
        <v>4.5</v>
      </c>
      <c r="G2019" s="4" t="str">
        <f>HYPERLINK("http://141.218.60.56/~jnz1568/getInfo.php?workbook=20_14.xlsx&amp;sheet=U0&amp;row=2019&amp;col=7&amp;number=0.000512&amp;sourceID=14","0.000512")</f>
        <v>0.000512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HYPERLINK("http://141.218.60.56/~jnz1568/getInfo.php?workbook=20_14.xlsx&amp;sheet=U0&amp;row=2020&amp;col=6&amp;number=4.6&amp;sourceID=14","4.6")</f>
        <v>4.6</v>
      </c>
      <c r="G2020" s="4" t="str">
        <f>HYPERLINK("http://141.218.60.56/~jnz1568/getInfo.php?workbook=20_14.xlsx&amp;sheet=U0&amp;row=2020&amp;col=7&amp;number=0.00057&amp;sourceID=14","0.00057")</f>
        <v>0.00057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HYPERLINK("http://141.218.60.56/~jnz1568/getInfo.php?workbook=20_14.xlsx&amp;sheet=U0&amp;row=2021&amp;col=6&amp;number=4.7&amp;sourceID=14","4.7")</f>
        <v>4.7</v>
      </c>
      <c r="G2021" s="4" t="str">
        <f>HYPERLINK("http://141.218.60.56/~jnz1568/getInfo.php?workbook=20_14.xlsx&amp;sheet=U0&amp;row=2021&amp;col=7&amp;number=0.000636&amp;sourceID=14","0.000636")</f>
        <v>0.000636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HYPERLINK("http://141.218.60.56/~jnz1568/getInfo.php?workbook=20_14.xlsx&amp;sheet=U0&amp;row=2022&amp;col=6&amp;number=4.8&amp;sourceID=14","4.8")</f>
        <v>4.8</v>
      </c>
      <c r="G2022" s="4" t="str">
        <f>HYPERLINK("http://141.218.60.56/~jnz1568/getInfo.php?workbook=20_14.xlsx&amp;sheet=U0&amp;row=2022&amp;col=7&amp;number=0.000707&amp;sourceID=14","0.000707")</f>
        <v>0.000707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HYPERLINK("http://141.218.60.56/~jnz1568/getInfo.php?workbook=20_14.xlsx&amp;sheet=U0&amp;row=2023&amp;col=6&amp;number=4.9&amp;sourceID=14","4.9")</f>
        <v>4.9</v>
      </c>
      <c r="G2023" s="4" t="str">
        <f>HYPERLINK("http://141.218.60.56/~jnz1568/getInfo.php?workbook=20_14.xlsx&amp;sheet=U0&amp;row=2023&amp;col=7&amp;number=0.000781&amp;sourceID=14","0.000781")</f>
        <v>0.000781</v>
      </c>
    </row>
    <row r="2024" spans="1:7">
      <c r="A2024" s="3">
        <v>20</v>
      </c>
      <c r="B2024" s="3">
        <v>14</v>
      </c>
      <c r="C2024" s="3">
        <v>5</v>
      </c>
      <c r="D2024" s="3">
        <v>9</v>
      </c>
      <c r="E2024" s="3">
        <v>1</v>
      </c>
      <c r="F2024" s="4" t="str">
        <f>HYPERLINK("http://141.218.60.56/~jnz1568/getInfo.php?workbook=20_14.xlsx&amp;sheet=U0&amp;row=2024&amp;col=6&amp;number=3&amp;sourceID=14","3")</f>
        <v>3</v>
      </c>
      <c r="G2024" s="4" t="str">
        <f>HYPERLINK("http://141.218.60.56/~jnz1568/getInfo.php?workbook=20_14.xlsx&amp;sheet=U0&amp;row=2024&amp;col=7&amp;number=0.00151&amp;sourceID=14","0.00151")</f>
        <v>0.00151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HYPERLINK("http://141.218.60.56/~jnz1568/getInfo.php?workbook=20_14.xlsx&amp;sheet=U0&amp;row=2025&amp;col=6&amp;number=3.1&amp;sourceID=14","3.1")</f>
        <v>3.1</v>
      </c>
      <c r="G2025" s="4" t="str">
        <f>HYPERLINK("http://141.218.60.56/~jnz1568/getInfo.php?workbook=20_14.xlsx&amp;sheet=U0&amp;row=2025&amp;col=7&amp;number=0.00151&amp;sourceID=14","0.00151")</f>
        <v>0.00151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HYPERLINK("http://141.218.60.56/~jnz1568/getInfo.php?workbook=20_14.xlsx&amp;sheet=U0&amp;row=2026&amp;col=6&amp;number=3.2&amp;sourceID=14","3.2")</f>
        <v>3.2</v>
      </c>
      <c r="G2026" s="4" t="str">
        <f>HYPERLINK("http://141.218.60.56/~jnz1568/getInfo.php?workbook=20_14.xlsx&amp;sheet=U0&amp;row=2026&amp;col=7&amp;number=0.00151&amp;sourceID=14","0.00151")</f>
        <v>0.00151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HYPERLINK("http://141.218.60.56/~jnz1568/getInfo.php?workbook=20_14.xlsx&amp;sheet=U0&amp;row=2027&amp;col=6&amp;number=3.3&amp;sourceID=14","3.3")</f>
        <v>3.3</v>
      </c>
      <c r="G2027" s="4" t="str">
        <f>HYPERLINK("http://141.218.60.56/~jnz1568/getInfo.php?workbook=20_14.xlsx&amp;sheet=U0&amp;row=2027&amp;col=7&amp;number=0.00151&amp;sourceID=14","0.00151")</f>
        <v>0.00151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HYPERLINK("http://141.218.60.56/~jnz1568/getInfo.php?workbook=20_14.xlsx&amp;sheet=U0&amp;row=2028&amp;col=6&amp;number=3.4&amp;sourceID=14","3.4")</f>
        <v>3.4</v>
      </c>
      <c r="G2028" s="4" t="str">
        <f>HYPERLINK("http://141.218.60.56/~jnz1568/getInfo.php?workbook=20_14.xlsx&amp;sheet=U0&amp;row=2028&amp;col=7&amp;number=0.00151&amp;sourceID=14","0.00151")</f>
        <v>0.00151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HYPERLINK("http://141.218.60.56/~jnz1568/getInfo.php?workbook=20_14.xlsx&amp;sheet=U0&amp;row=2029&amp;col=6&amp;number=3.5&amp;sourceID=14","3.5")</f>
        <v>3.5</v>
      </c>
      <c r="G2029" s="4" t="str">
        <f>HYPERLINK("http://141.218.60.56/~jnz1568/getInfo.php?workbook=20_14.xlsx&amp;sheet=U0&amp;row=2029&amp;col=7&amp;number=0.00151&amp;sourceID=14","0.00151")</f>
        <v>0.00151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HYPERLINK("http://141.218.60.56/~jnz1568/getInfo.php?workbook=20_14.xlsx&amp;sheet=U0&amp;row=2030&amp;col=6&amp;number=3.6&amp;sourceID=14","3.6")</f>
        <v>3.6</v>
      </c>
      <c r="G2030" s="4" t="str">
        <f>HYPERLINK("http://141.218.60.56/~jnz1568/getInfo.php?workbook=20_14.xlsx&amp;sheet=U0&amp;row=2030&amp;col=7&amp;number=0.00151&amp;sourceID=14","0.00151")</f>
        <v>0.00151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HYPERLINK("http://141.218.60.56/~jnz1568/getInfo.php?workbook=20_14.xlsx&amp;sheet=U0&amp;row=2031&amp;col=6&amp;number=3.7&amp;sourceID=14","3.7")</f>
        <v>3.7</v>
      </c>
      <c r="G2031" s="4" t="str">
        <f>HYPERLINK("http://141.218.60.56/~jnz1568/getInfo.php?workbook=20_14.xlsx&amp;sheet=U0&amp;row=2031&amp;col=7&amp;number=0.00151&amp;sourceID=14","0.00151")</f>
        <v>0.00151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HYPERLINK("http://141.218.60.56/~jnz1568/getInfo.php?workbook=20_14.xlsx&amp;sheet=U0&amp;row=2032&amp;col=6&amp;number=3.8&amp;sourceID=14","3.8")</f>
        <v>3.8</v>
      </c>
      <c r="G2032" s="4" t="str">
        <f>HYPERLINK("http://141.218.60.56/~jnz1568/getInfo.php?workbook=20_14.xlsx&amp;sheet=U0&amp;row=2032&amp;col=7&amp;number=0.0015&amp;sourceID=14","0.0015")</f>
        <v>0.0015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HYPERLINK("http://141.218.60.56/~jnz1568/getInfo.php?workbook=20_14.xlsx&amp;sheet=U0&amp;row=2033&amp;col=6&amp;number=3.9&amp;sourceID=14","3.9")</f>
        <v>3.9</v>
      </c>
      <c r="G2033" s="4" t="str">
        <f>HYPERLINK("http://141.218.60.56/~jnz1568/getInfo.php?workbook=20_14.xlsx&amp;sheet=U0&amp;row=2033&amp;col=7&amp;number=0.0015&amp;sourceID=14","0.0015")</f>
        <v>0.0015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HYPERLINK("http://141.218.60.56/~jnz1568/getInfo.php?workbook=20_14.xlsx&amp;sheet=U0&amp;row=2034&amp;col=6&amp;number=4&amp;sourceID=14","4")</f>
        <v>4</v>
      </c>
      <c r="G2034" s="4" t="str">
        <f>HYPERLINK("http://141.218.60.56/~jnz1568/getInfo.php?workbook=20_14.xlsx&amp;sheet=U0&amp;row=2034&amp;col=7&amp;number=0.0015&amp;sourceID=14","0.0015")</f>
        <v>0.0015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HYPERLINK("http://141.218.60.56/~jnz1568/getInfo.php?workbook=20_14.xlsx&amp;sheet=U0&amp;row=2035&amp;col=6&amp;number=4.1&amp;sourceID=14","4.1")</f>
        <v>4.1</v>
      </c>
      <c r="G2035" s="4" t="str">
        <f>HYPERLINK("http://141.218.60.56/~jnz1568/getInfo.php?workbook=20_14.xlsx&amp;sheet=U0&amp;row=2035&amp;col=7&amp;number=0.0015&amp;sourceID=14","0.0015")</f>
        <v>0.0015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HYPERLINK("http://141.218.60.56/~jnz1568/getInfo.php?workbook=20_14.xlsx&amp;sheet=U0&amp;row=2036&amp;col=6&amp;number=4.2&amp;sourceID=14","4.2")</f>
        <v>4.2</v>
      </c>
      <c r="G2036" s="4" t="str">
        <f>HYPERLINK("http://141.218.60.56/~jnz1568/getInfo.php?workbook=20_14.xlsx&amp;sheet=U0&amp;row=2036&amp;col=7&amp;number=0.0015&amp;sourceID=14","0.0015")</f>
        <v>0.0015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HYPERLINK("http://141.218.60.56/~jnz1568/getInfo.php?workbook=20_14.xlsx&amp;sheet=U0&amp;row=2037&amp;col=6&amp;number=4.3&amp;sourceID=14","4.3")</f>
        <v>4.3</v>
      </c>
      <c r="G2037" s="4" t="str">
        <f>HYPERLINK("http://141.218.60.56/~jnz1568/getInfo.php?workbook=20_14.xlsx&amp;sheet=U0&amp;row=2037&amp;col=7&amp;number=0.00149&amp;sourceID=14","0.00149")</f>
        <v>0.00149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HYPERLINK("http://141.218.60.56/~jnz1568/getInfo.php?workbook=20_14.xlsx&amp;sheet=U0&amp;row=2038&amp;col=6&amp;number=4.4&amp;sourceID=14","4.4")</f>
        <v>4.4</v>
      </c>
      <c r="G2038" s="4" t="str">
        <f>HYPERLINK("http://141.218.60.56/~jnz1568/getInfo.php?workbook=20_14.xlsx&amp;sheet=U0&amp;row=2038&amp;col=7&amp;number=0.00149&amp;sourceID=14","0.00149")</f>
        <v>0.00149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HYPERLINK("http://141.218.60.56/~jnz1568/getInfo.php?workbook=20_14.xlsx&amp;sheet=U0&amp;row=2039&amp;col=6&amp;number=4.5&amp;sourceID=14","4.5")</f>
        <v>4.5</v>
      </c>
      <c r="G2039" s="4" t="str">
        <f>HYPERLINK("http://141.218.60.56/~jnz1568/getInfo.php?workbook=20_14.xlsx&amp;sheet=U0&amp;row=2039&amp;col=7&amp;number=0.00148&amp;sourceID=14","0.00148")</f>
        <v>0.00148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HYPERLINK("http://141.218.60.56/~jnz1568/getInfo.php?workbook=20_14.xlsx&amp;sheet=U0&amp;row=2040&amp;col=6&amp;number=4.6&amp;sourceID=14","4.6")</f>
        <v>4.6</v>
      </c>
      <c r="G2040" s="4" t="str">
        <f>HYPERLINK("http://141.218.60.56/~jnz1568/getInfo.php?workbook=20_14.xlsx&amp;sheet=U0&amp;row=2040&amp;col=7&amp;number=0.00148&amp;sourceID=14","0.00148")</f>
        <v>0.00148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HYPERLINK("http://141.218.60.56/~jnz1568/getInfo.php?workbook=20_14.xlsx&amp;sheet=U0&amp;row=2041&amp;col=6&amp;number=4.7&amp;sourceID=14","4.7")</f>
        <v>4.7</v>
      </c>
      <c r="G2041" s="4" t="str">
        <f>HYPERLINK("http://141.218.60.56/~jnz1568/getInfo.php?workbook=20_14.xlsx&amp;sheet=U0&amp;row=2041&amp;col=7&amp;number=0.00147&amp;sourceID=14","0.00147")</f>
        <v>0.00147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HYPERLINK("http://141.218.60.56/~jnz1568/getInfo.php?workbook=20_14.xlsx&amp;sheet=U0&amp;row=2042&amp;col=6&amp;number=4.8&amp;sourceID=14","4.8")</f>
        <v>4.8</v>
      </c>
      <c r="G2042" s="4" t="str">
        <f>HYPERLINK("http://141.218.60.56/~jnz1568/getInfo.php?workbook=20_14.xlsx&amp;sheet=U0&amp;row=2042&amp;col=7&amp;number=0.00146&amp;sourceID=14","0.00146")</f>
        <v>0.00146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HYPERLINK("http://141.218.60.56/~jnz1568/getInfo.php?workbook=20_14.xlsx&amp;sheet=U0&amp;row=2043&amp;col=6&amp;number=4.9&amp;sourceID=14","4.9")</f>
        <v>4.9</v>
      </c>
      <c r="G2043" s="4" t="str">
        <f>HYPERLINK("http://141.218.60.56/~jnz1568/getInfo.php?workbook=20_14.xlsx&amp;sheet=U0&amp;row=2043&amp;col=7&amp;number=0.00144&amp;sourceID=14","0.00144")</f>
        <v>0.00144</v>
      </c>
    </row>
    <row r="2044" spans="1:7">
      <c r="A2044" s="3">
        <v>20</v>
      </c>
      <c r="B2044" s="3">
        <v>14</v>
      </c>
      <c r="C2044" s="3">
        <v>5</v>
      </c>
      <c r="D2044" s="3">
        <v>10</v>
      </c>
      <c r="E2044" s="3">
        <v>1</v>
      </c>
      <c r="F2044" s="4" t="str">
        <f>HYPERLINK("http://141.218.60.56/~jnz1568/getInfo.php?workbook=20_14.xlsx&amp;sheet=U0&amp;row=2044&amp;col=6&amp;number=3&amp;sourceID=14","3")</f>
        <v>3</v>
      </c>
      <c r="G2044" s="4" t="str">
        <f>HYPERLINK("http://141.218.60.56/~jnz1568/getInfo.php?workbook=20_14.xlsx&amp;sheet=U0&amp;row=2044&amp;col=7&amp;number=0.0188&amp;sourceID=14","0.0188")</f>
        <v>0.0188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HYPERLINK("http://141.218.60.56/~jnz1568/getInfo.php?workbook=20_14.xlsx&amp;sheet=U0&amp;row=2045&amp;col=6&amp;number=3.1&amp;sourceID=14","3.1")</f>
        <v>3.1</v>
      </c>
      <c r="G2045" s="4" t="str">
        <f>HYPERLINK("http://141.218.60.56/~jnz1568/getInfo.php?workbook=20_14.xlsx&amp;sheet=U0&amp;row=2045&amp;col=7&amp;number=0.0188&amp;sourceID=14","0.0188")</f>
        <v>0.0188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HYPERLINK("http://141.218.60.56/~jnz1568/getInfo.php?workbook=20_14.xlsx&amp;sheet=U0&amp;row=2046&amp;col=6&amp;number=3.2&amp;sourceID=14","3.2")</f>
        <v>3.2</v>
      </c>
      <c r="G2046" s="4" t="str">
        <f>HYPERLINK("http://141.218.60.56/~jnz1568/getInfo.php?workbook=20_14.xlsx&amp;sheet=U0&amp;row=2046&amp;col=7&amp;number=0.0188&amp;sourceID=14","0.0188")</f>
        <v>0.0188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HYPERLINK("http://141.218.60.56/~jnz1568/getInfo.php?workbook=20_14.xlsx&amp;sheet=U0&amp;row=2047&amp;col=6&amp;number=3.3&amp;sourceID=14","3.3")</f>
        <v>3.3</v>
      </c>
      <c r="G2047" s="4" t="str">
        <f>HYPERLINK("http://141.218.60.56/~jnz1568/getInfo.php?workbook=20_14.xlsx&amp;sheet=U0&amp;row=2047&amp;col=7&amp;number=0.0188&amp;sourceID=14","0.0188")</f>
        <v>0.0188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HYPERLINK("http://141.218.60.56/~jnz1568/getInfo.php?workbook=20_14.xlsx&amp;sheet=U0&amp;row=2048&amp;col=6&amp;number=3.4&amp;sourceID=14","3.4")</f>
        <v>3.4</v>
      </c>
      <c r="G2048" s="4" t="str">
        <f>HYPERLINK("http://141.218.60.56/~jnz1568/getInfo.php?workbook=20_14.xlsx&amp;sheet=U0&amp;row=2048&amp;col=7&amp;number=0.0187&amp;sourceID=14","0.0187")</f>
        <v>0.0187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HYPERLINK("http://141.218.60.56/~jnz1568/getInfo.php?workbook=20_14.xlsx&amp;sheet=U0&amp;row=2049&amp;col=6&amp;number=3.5&amp;sourceID=14","3.5")</f>
        <v>3.5</v>
      </c>
      <c r="G2049" s="4" t="str">
        <f>HYPERLINK("http://141.218.60.56/~jnz1568/getInfo.php?workbook=20_14.xlsx&amp;sheet=U0&amp;row=2049&amp;col=7&amp;number=0.0187&amp;sourceID=14","0.0187")</f>
        <v>0.0187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HYPERLINK("http://141.218.60.56/~jnz1568/getInfo.php?workbook=20_14.xlsx&amp;sheet=U0&amp;row=2050&amp;col=6&amp;number=3.6&amp;sourceID=14","3.6")</f>
        <v>3.6</v>
      </c>
      <c r="G2050" s="4" t="str">
        <f>HYPERLINK("http://141.218.60.56/~jnz1568/getInfo.php?workbook=20_14.xlsx&amp;sheet=U0&amp;row=2050&amp;col=7&amp;number=0.0187&amp;sourceID=14","0.0187")</f>
        <v>0.0187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HYPERLINK("http://141.218.60.56/~jnz1568/getInfo.php?workbook=20_14.xlsx&amp;sheet=U0&amp;row=2051&amp;col=6&amp;number=3.7&amp;sourceID=14","3.7")</f>
        <v>3.7</v>
      </c>
      <c r="G2051" s="4" t="str">
        <f>HYPERLINK("http://141.218.60.56/~jnz1568/getInfo.php?workbook=20_14.xlsx&amp;sheet=U0&amp;row=2051&amp;col=7&amp;number=0.0187&amp;sourceID=14","0.0187")</f>
        <v>0.0187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HYPERLINK("http://141.218.60.56/~jnz1568/getInfo.php?workbook=20_14.xlsx&amp;sheet=U0&amp;row=2052&amp;col=6&amp;number=3.8&amp;sourceID=14","3.8")</f>
        <v>3.8</v>
      </c>
      <c r="G2052" s="4" t="str">
        <f>HYPERLINK("http://141.218.60.56/~jnz1568/getInfo.php?workbook=20_14.xlsx&amp;sheet=U0&amp;row=2052&amp;col=7&amp;number=0.0187&amp;sourceID=14","0.0187")</f>
        <v>0.0187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HYPERLINK("http://141.218.60.56/~jnz1568/getInfo.php?workbook=20_14.xlsx&amp;sheet=U0&amp;row=2053&amp;col=6&amp;number=3.9&amp;sourceID=14","3.9")</f>
        <v>3.9</v>
      </c>
      <c r="G2053" s="4" t="str">
        <f>HYPERLINK("http://141.218.60.56/~jnz1568/getInfo.php?workbook=20_14.xlsx&amp;sheet=U0&amp;row=2053&amp;col=7&amp;number=0.0187&amp;sourceID=14","0.0187")</f>
        <v>0.0187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HYPERLINK("http://141.218.60.56/~jnz1568/getInfo.php?workbook=20_14.xlsx&amp;sheet=U0&amp;row=2054&amp;col=6&amp;number=4&amp;sourceID=14","4")</f>
        <v>4</v>
      </c>
      <c r="G2054" s="4" t="str">
        <f>HYPERLINK("http://141.218.60.56/~jnz1568/getInfo.php?workbook=20_14.xlsx&amp;sheet=U0&amp;row=2054&amp;col=7&amp;number=0.0187&amp;sourceID=14","0.0187")</f>
        <v>0.0187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HYPERLINK("http://141.218.60.56/~jnz1568/getInfo.php?workbook=20_14.xlsx&amp;sheet=U0&amp;row=2055&amp;col=6&amp;number=4.1&amp;sourceID=14","4.1")</f>
        <v>4.1</v>
      </c>
      <c r="G2055" s="4" t="str">
        <f>HYPERLINK("http://141.218.60.56/~jnz1568/getInfo.php?workbook=20_14.xlsx&amp;sheet=U0&amp;row=2055&amp;col=7&amp;number=0.0186&amp;sourceID=14","0.0186")</f>
        <v>0.0186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HYPERLINK("http://141.218.60.56/~jnz1568/getInfo.php?workbook=20_14.xlsx&amp;sheet=U0&amp;row=2056&amp;col=6&amp;number=4.2&amp;sourceID=14","4.2")</f>
        <v>4.2</v>
      </c>
      <c r="G2056" s="4" t="str">
        <f>HYPERLINK("http://141.218.60.56/~jnz1568/getInfo.php?workbook=20_14.xlsx&amp;sheet=U0&amp;row=2056&amp;col=7&amp;number=0.0186&amp;sourceID=14","0.0186")</f>
        <v>0.0186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HYPERLINK("http://141.218.60.56/~jnz1568/getInfo.php?workbook=20_14.xlsx&amp;sheet=U0&amp;row=2057&amp;col=6&amp;number=4.3&amp;sourceID=14","4.3")</f>
        <v>4.3</v>
      </c>
      <c r="G2057" s="4" t="str">
        <f>HYPERLINK("http://141.218.60.56/~jnz1568/getInfo.php?workbook=20_14.xlsx&amp;sheet=U0&amp;row=2057&amp;col=7&amp;number=0.0186&amp;sourceID=14","0.0186")</f>
        <v>0.0186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HYPERLINK("http://141.218.60.56/~jnz1568/getInfo.php?workbook=20_14.xlsx&amp;sheet=U0&amp;row=2058&amp;col=6&amp;number=4.4&amp;sourceID=14","4.4")</f>
        <v>4.4</v>
      </c>
      <c r="G2058" s="4" t="str">
        <f>HYPERLINK("http://141.218.60.56/~jnz1568/getInfo.php?workbook=20_14.xlsx&amp;sheet=U0&amp;row=2058&amp;col=7&amp;number=0.0185&amp;sourceID=14","0.0185")</f>
        <v>0.0185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HYPERLINK("http://141.218.60.56/~jnz1568/getInfo.php?workbook=20_14.xlsx&amp;sheet=U0&amp;row=2059&amp;col=6&amp;number=4.5&amp;sourceID=14","4.5")</f>
        <v>4.5</v>
      </c>
      <c r="G2059" s="4" t="str">
        <f>HYPERLINK("http://141.218.60.56/~jnz1568/getInfo.php?workbook=20_14.xlsx&amp;sheet=U0&amp;row=2059&amp;col=7&amp;number=0.0185&amp;sourceID=14","0.0185")</f>
        <v>0.0185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HYPERLINK("http://141.218.60.56/~jnz1568/getInfo.php?workbook=20_14.xlsx&amp;sheet=U0&amp;row=2060&amp;col=6&amp;number=4.6&amp;sourceID=14","4.6")</f>
        <v>4.6</v>
      </c>
      <c r="G2060" s="4" t="str">
        <f>HYPERLINK("http://141.218.60.56/~jnz1568/getInfo.php?workbook=20_14.xlsx&amp;sheet=U0&amp;row=2060&amp;col=7&amp;number=0.0184&amp;sourceID=14","0.0184")</f>
        <v>0.0184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HYPERLINK("http://141.218.60.56/~jnz1568/getInfo.php?workbook=20_14.xlsx&amp;sheet=U0&amp;row=2061&amp;col=6&amp;number=4.7&amp;sourceID=14","4.7")</f>
        <v>4.7</v>
      </c>
      <c r="G2061" s="4" t="str">
        <f>HYPERLINK("http://141.218.60.56/~jnz1568/getInfo.php?workbook=20_14.xlsx&amp;sheet=U0&amp;row=2061&amp;col=7&amp;number=0.0183&amp;sourceID=14","0.0183")</f>
        <v>0.0183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HYPERLINK("http://141.218.60.56/~jnz1568/getInfo.php?workbook=20_14.xlsx&amp;sheet=U0&amp;row=2062&amp;col=6&amp;number=4.8&amp;sourceID=14","4.8")</f>
        <v>4.8</v>
      </c>
      <c r="G2062" s="4" t="str">
        <f>HYPERLINK("http://141.218.60.56/~jnz1568/getInfo.php?workbook=20_14.xlsx&amp;sheet=U0&amp;row=2062&amp;col=7&amp;number=0.0182&amp;sourceID=14","0.0182")</f>
        <v>0.0182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HYPERLINK("http://141.218.60.56/~jnz1568/getInfo.php?workbook=20_14.xlsx&amp;sheet=U0&amp;row=2063&amp;col=6&amp;number=4.9&amp;sourceID=14","4.9")</f>
        <v>4.9</v>
      </c>
      <c r="G2063" s="4" t="str">
        <f>HYPERLINK("http://141.218.60.56/~jnz1568/getInfo.php?workbook=20_14.xlsx&amp;sheet=U0&amp;row=2063&amp;col=7&amp;number=0.018&amp;sourceID=14","0.018")</f>
        <v>0.018</v>
      </c>
    </row>
    <row r="2064" spans="1:7">
      <c r="A2064" s="3">
        <v>20</v>
      </c>
      <c r="B2064" s="3">
        <v>14</v>
      </c>
      <c r="C2064" s="3">
        <v>5</v>
      </c>
      <c r="D2064" s="3">
        <v>11</v>
      </c>
      <c r="E2064" s="3">
        <v>1</v>
      </c>
      <c r="F2064" s="4" t="str">
        <f>HYPERLINK("http://141.218.60.56/~jnz1568/getInfo.php?workbook=20_14.xlsx&amp;sheet=U0&amp;row=2064&amp;col=6&amp;number=3&amp;sourceID=14","3")</f>
        <v>3</v>
      </c>
      <c r="G2064" s="4" t="str">
        <f>HYPERLINK("http://141.218.60.56/~jnz1568/getInfo.php?workbook=20_14.xlsx&amp;sheet=U0&amp;row=2064&amp;col=7&amp;number=0.0579&amp;sourceID=14","0.0579")</f>
        <v>0.0579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HYPERLINK("http://141.218.60.56/~jnz1568/getInfo.php?workbook=20_14.xlsx&amp;sheet=U0&amp;row=2065&amp;col=6&amp;number=3.1&amp;sourceID=14","3.1")</f>
        <v>3.1</v>
      </c>
      <c r="G2065" s="4" t="str">
        <f>HYPERLINK("http://141.218.60.56/~jnz1568/getInfo.php?workbook=20_14.xlsx&amp;sheet=U0&amp;row=2065&amp;col=7&amp;number=0.0579&amp;sourceID=14","0.0579")</f>
        <v>0.0579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HYPERLINK("http://141.218.60.56/~jnz1568/getInfo.php?workbook=20_14.xlsx&amp;sheet=U0&amp;row=2066&amp;col=6&amp;number=3.2&amp;sourceID=14","3.2")</f>
        <v>3.2</v>
      </c>
      <c r="G2066" s="4" t="str">
        <f>HYPERLINK("http://141.218.60.56/~jnz1568/getInfo.php?workbook=20_14.xlsx&amp;sheet=U0&amp;row=2066&amp;col=7&amp;number=0.0579&amp;sourceID=14","0.0579")</f>
        <v>0.0579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HYPERLINK("http://141.218.60.56/~jnz1568/getInfo.php?workbook=20_14.xlsx&amp;sheet=U0&amp;row=2067&amp;col=6&amp;number=3.3&amp;sourceID=14","3.3")</f>
        <v>3.3</v>
      </c>
      <c r="G2067" s="4" t="str">
        <f>HYPERLINK("http://141.218.60.56/~jnz1568/getInfo.php?workbook=20_14.xlsx&amp;sheet=U0&amp;row=2067&amp;col=7&amp;number=0.0579&amp;sourceID=14","0.0579")</f>
        <v>0.0579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HYPERLINK("http://141.218.60.56/~jnz1568/getInfo.php?workbook=20_14.xlsx&amp;sheet=U0&amp;row=2068&amp;col=6&amp;number=3.4&amp;sourceID=14","3.4")</f>
        <v>3.4</v>
      </c>
      <c r="G2068" s="4" t="str">
        <f>HYPERLINK("http://141.218.60.56/~jnz1568/getInfo.php?workbook=20_14.xlsx&amp;sheet=U0&amp;row=2068&amp;col=7&amp;number=0.0579&amp;sourceID=14","0.0579")</f>
        <v>0.0579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HYPERLINK("http://141.218.60.56/~jnz1568/getInfo.php?workbook=20_14.xlsx&amp;sheet=U0&amp;row=2069&amp;col=6&amp;number=3.5&amp;sourceID=14","3.5")</f>
        <v>3.5</v>
      </c>
      <c r="G2069" s="4" t="str">
        <f>HYPERLINK("http://141.218.60.56/~jnz1568/getInfo.php?workbook=20_14.xlsx&amp;sheet=U0&amp;row=2069&amp;col=7&amp;number=0.0579&amp;sourceID=14","0.0579")</f>
        <v>0.0579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HYPERLINK("http://141.218.60.56/~jnz1568/getInfo.php?workbook=20_14.xlsx&amp;sheet=U0&amp;row=2070&amp;col=6&amp;number=3.6&amp;sourceID=14","3.6")</f>
        <v>3.6</v>
      </c>
      <c r="G2070" s="4" t="str">
        <f>HYPERLINK("http://141.218.60.56/~jnz1568/getInfo.php?workbook=20_14.xlsx&amp;sheet=U0&amp;row=2070&amp;col=7&amp;number=0.0579&amp;sourceID=14","0.0579")</f>
        <v>0.0579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HYPERLINK("http://141.218.60.56/~jnz1568/getInfo.php?workbook=20_14.xlsx&amp;sheet=U0&amp;row=2071&amp;col=6&amp;number=3.7&amp;sourceID=14","3.7")</f>
        <v>3.7</v>
      </c>
      <c r="G2071" s="4" t="str">
        <f>HYPERLINK("http://141.218.60.56/~jnz1568/getInfo.php?workbook=20_14.xlsx&amp;sheet=U0&amp;row=2071&amp;col=7&amp;number=0.0578&amp;sourceID=14","0.0578")</f>
        <v>0.0578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HYPERLINK("http://141.218.60.56/~jnz1568/getInfo.php?workbook=20_14.xlsx&amp;sheet=U0&amp;row=2072&amp;col=6&amp;number=3.8&amp;sourceID=14","3.8")</f>
        <v>3.8</v>
      </c>
      <c r="G2072" s="4" t="str">
        <f>HYPERLINK("http://141.218.60.56/~jnz1568/getInfo.php?workbook=20_14.xlsx&amp;sheet=U0&amp;row=2072&amp;col=7&amp;number=0.0578&amp;sourceID=14","0.0578")</f>
        <v>0.0578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HYPERLINK("http://141.218.60.56/~jnz1568/getInfo.php?workbook=20_14.xlsx&amp;sheet=U0&amp;row=2073&amp;col=6&amp;number=3.9&amp;sourceID=14","3.9")</f>
        <v>3.9</v>
      </c>
      <c r="G2073" s="4" t="str">
        <f>HYPERLINK("http://141.218.60.56/~jnz1568/getInfo.php?workbook=20_14.xlsx&amp;sheet=U0&amp;row=2073&amp;col=7&amp;number=0.0578&amp;sourceID=14","0.0578")</f>
        <v>0.0578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HYPERLINK("http://141.218.60.56/~jnz1568/getInfo.php?workbook=20_14.xlsx&amp;sheet=U0&amp;row=2074&amp;col=6&amp;number=4&amp;sourceID=14","4")</f>
        <v>4</v>
      </c>
      <c r="G2074" s="4" t="str">
        <f>HYPERLINK("http://141.218.60.56/~jnz1568/getInfo.php?workbook=20_14.xlsx&amp;sheet=U0&amp;row=2074&amp;col=7&amp;number=0.0577&amp;sourceID=14","0.0577")</f>
        <v>0.0577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HYPERLINK("http://141.218.60.56/~jnz1568/getInfo.php?workbook=20_14.xlsx&amp;sheet=U0&amp;row=2075&amp;col=6&amp;number=4.1&amp;sourceID=14","4.1")</f>
        <v>4.1</v>
      </c>
      <c r="G2075" s="4" t="str">
        <f>HYPERLINK("http://141.218.60.56/~jnz1568/getInfo.php?workbook=20_14.xlsx&amp;sheet=U0&amp;row=2075&amp;col=7&amp;number=0.0577&amp;sourceID=14","0.0577")</f>
        <v>0.0577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HYPERLINK("http://141.218.60.56/~jnz1568/getInfo.php?workbook=20_14.xlsx&amp;sheet=U0&amp;row=2076&amp;col=6&amp;number=4.2&amp;sourceID=14","4.2")</f>
        <v>4.2</v>
      </c>
      <c r="G2076" s="4" t="str">
        <f>HYPERLINK("http://141.218.60.56/~jnz1568/getInfo.php?workbook=20_14.xlsx&amp;sheet=U0&amp;row=2076&amp;col=7&amp;number=0.0576&amp;sourceID=14","0.0576")</f>
        <v>0.0576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HYPERLINK("http://141.218.60.56/~jnz1568/getInfo.php?workbook=20_14.xlsx&amp;sheet=U0&amp;row=2077&amp;col=6&amp;number=4.3&amp;sourceID=14","4.3")</f>
        <v>4.3</v>
      </c>
      <c r="G2077" s="4" t="str">
        <f>HYPERLINK("http://141.218.60.56/~jnz1568/getInfo.php?workbook=20_14.xlsx&amp;sheet=U0&amp;row=2077&amp;col=7&amp;number=0.0575&amp;sourceID=14","0.0575")</f>
        <v>0.0575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HYPERLINK("http://141.218.60.56/~jnz1568/getInfo.php?workbook=20_14.xlsx&amp;sheet=U0&amp;row=2078&amp;col=6&amp;number=4.4&amp;sourceID=14","4.4")</f>
        <v>4.4</v>
      </c>
      <c r="G2078" s="4" t="str">
        <f>HYPERLINK("http://141.218.60.56/~jnz1568/getInfo.php?workbook=20_14.xlsx&amp;sheet=U0&amp;row=2078&amp;col=7&amp;number=0.0574&amp;sourceID=14","0.0574")</f>
        <v>0.0574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HYPERLINK("http://141.218.60.56/~jnz1568/getInfo.php?workbook=20_14.xlsx&amp;sheet=U0&amp;row=2079&amp;col=6&amp;number=4.5&amp;sourceID=14","4.5")</f>
        <v>4.5</v>
      </c>
      <c r="G2079" s="4" t="str">
        <f>HYPERLINK("http://141.218.60.56/~jnz1568/getInfo.php?workbook=20_14.xlsx&amp;sheet=U0&amp;row=2079&amp;col=7&amp;number=0.0572&amp;sourceID=14","0.0572")</f>
        <v>0.0572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HYPERLINK("http://141.218.60.56/~jnz1568/getInfo.php?workbook=20_14.xlsx&amp;sheet=U0&amp;row=2080&amp;col=6&amp;number=4.6&amp;sourceID=14","4.6")</f>
        <v>4.6</v>
      </c>
      <c r="G2080" s="4" t="str">
        <f>HYPERLINK("http://141.218.60.56/~jnz1568/getInfo.php?workbook=20_14.xlsx&amp;sheet=U0&amp;row=2080&amp;col=7&amp;number=0.057&amp;sourceID=14","0.057")</f>
        <v>0.057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HYPERLINK("http://141.218.60.56/~jnz1568/getInfo.php?workbook=20_14.xlsx&amp;sheet=U0&amp;row=2081&amp;col=6&amp;number=4.7&amp;sourceID=14","4.7")</f>
        <v>4.7</v>
      </c>
      <c r="G2081" s="4" t="str">
        <f>HYPERLINK("http://141.218.60.56/~jnz1568/getInfo.php?workbook=20_14.xlsx&amp;sheet=U0&amp;row=2081&amp;col=7&amp;number=0.0568&amp;sourceID=14","0.0568")</f>
        <v>0.0568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HYPERLINK("http://141.218.60.56/~jnz1568/getInfo.php?workbook=20_14.xlsx&amp;sheet=U0&amp;row=2082&amp;col=6&amp;number=4.8&amp;sourceID=14","4.8")</f>
        <v>4.8</v>
      </c>
      <c r="G2082" s="4" t="str">
        <f>HYPERLINK("http://141.218.60.56/~jnz1568/getInfo.php?workbook=20_14.xlsx&amp;sheet=U0&amp;row=2082&amp;col=7&amp;number=0.0565&amp;sourceID=14","0.0565")</f>
        <v>0.0565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HYPERLINK("http://141.218.60.56/~jnz1568/getInfo.php?workbook=20_14.xlsx&amp;sheet=U0&amp;row=2083&amp;col=6&amp;number=4.9&amp;sourceID=14","4.9")</f>
        <v>4.9</v>
      </c>
      <c r="G2083" s="4" t="str">
        <f>HYPERLINK("http://141.218.60.56/~jnz1568/getInfo.php?workbook=20_14.xlsx&amp;sheet=U0&amp;row=2083&amp;col=7&amp;number=0.0561&amp;sourceID=14","0.0561")</f>
        <v>0.0561</v>
      </c>
    </row>
    <row r="2084" spans="1:7">
      <c r="A2084" s="3">
        <v>20</v>
      </c>
      <c r="B2084" s="3">
        <v>14</v>
      </c>
      <c r="C2084" s="3">
        <v>5</v>
      </c>
      <c r="D2084" s="3">
        <v>12</v>
      </c>
      <c r="E2084" s="3">
        <v>1</v>
      </c>
      <c r="F2084" s="4" t="str">
        <f>HYPERLINK("http://141.218.60.56/~jnz1568/getInfo.php?workbook=20_14.xlsx&amp;sheet=U0&amp;row=2084&amp;col=6&amp;number=3&amp;sourceID=14","3")</f>
        <v>3</v>
      </c>
      <c r="G2084" s="4" t="str">
        <f>HYPERLINK("http://141.218.60.56/~jnz1568/getInfo.php?workbook=20_14.xlsx&amp;sheet=U0&amp;row=2084&amp;col=7&amp;number=0.0805&amp;sourceID=14","0.0805")</f>
        <v>0.0805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HYPERLINK("http://141.218.60.56/~jnz1568/getInfo.php?workbook=20_14.xlsx&amp;sheet=U0&amp;row=2085&amp;col=6&amp;number=3.1&amp;sourceID=14","3.1")</f>
        <v>3.1</v>
      </c>
      <c r="G2085" s="4" t="str">
        <f>HYPERLINK("http://141.218.60.56/~jnz1568/getInfo.php?workbook=20_14.xlsx&amp;sheet=U0&amp;row=2085&amp;col=7&amp;number=0.0805&amp;sourceID=14","0.0805")</f>
        <v>0.0805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HYPERLINK("http://141.218.60.56/~jnz1568/getInfo.php?workbook=20_14.xlsx&amp;sheet=U0&amp;row=2086&amp;col=6&amp;number=3.2&amp;sourceID=14","3.2")</f>
        <v>3.2</v>
      </c>
      <c r="G2086" s="4" t="str">
        <f>HYPERLINK("http://141.218.60.56/~jnz1568/getInfo.php?workbook=20_14.xlsx&amp;sheet=U0&amp;row=2086&amp;col=7&amp;number=0.0805&amp;sourceID=14","0.0805")</f>
        <v>0.0805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HYPERLINK("http://141.218.60.56/~jnz1568/getInfo.php?workbook=20_14.xlsx&amp;sheet=U0&amp;row=2087&amp;col=6&amp;number=3.3&amp;sourceID=14","3.3")</f>
        <v>3.3</v>
      </c>
      <c r="G2087" s="4" t="str">
        <f>HYPERLINK("http://141.218.60.56/~jnz1568/getInfo.php?workbook=20_14.xlsx&amp;sheet=U0&amp;row=2087&amp;col=7&amp;number=0.0805&amp;sourceID=14","0.0805")</f>
        <v>0.0805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HYPERLINK("http://141.218.60.56/~jnz1568/getInfo.php?workbook=20_14.xlsx&amp;sheet=U0&amp;row=2088&amp;col=6&amp;number=3.4&amp;sourceID=14","3.4")</f>
        <v>3.4</v>
      </c>
      <c r="G2088" s="4" t="str">
        <f>HYPERLINK("http://141.218.60.56/~jnz1568/getInfo.php?workbook=20_14.xlsx&amp;sheet=U0&amp;row=2088&amp;col=7&amp;number=0.0804&amp;sourceID=14","0.0804")</f>
        <v>0.0804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HYPERLINK("http://141.218.60.56/~jnz1568/getInfo.php?workbook=20_14.xlsx&amp;sheet=U0&amp;row=2089&amp;col=6&amp;number=3.5&amp;sourceID=14","3.5")</f>
        <v>3.5</v>
      </c>
      <c r="G2089" s="4" t="str">
        <f>HYPERLINK("http://141.218.60.56/~jnz1568/getInfo.php?workbook=20_14.xlsx&amp;sheet=U0&amp;row=2089&amp;col=7&amp;number=0.0804&amp;sourceID=14","0.0804")</f>
        <v>0.0804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HYPERLINK("http://141.218.60.56/~jnz1568/getInfo.php?workbook=20_14.xlsx&amp;sheet=U0&amp;row=2090&amp;col=6&amp;number=3.6&amp;sourceID=14","3.6")</f>
        <v>3.6</v>
      </c>
      <c r="G2090" s="4" t="str">
        <f>HYPERLINK("http://141.218.60.56/~jnz1568/getInfo.php?workbook=20_14.xlsx&amp;sheet=U0&amp;row=2090&amp;col=7&amp;number=0.0804&amp;sourceID=14","0.0804")</f>
        <v>0.0804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HYPERLINK("http://141.218.60.56/~jnz1568/getInfo.php?workbook=20_14.xlsx&amp;sheet=U0&amp;row=2091&amp;col=6&amp;number=3.7&amp;sourceID=14","3.7")</f>
        <v>3.7</v>
      </c>
      <c r="G2091" s="4" t="str">
        <f>HYPERLINK("http://141.218.60.56/~jnz1568/getInfo.php?workbook=20_14.xlsx&amp;sheet=U0&amp;row=2091&amp;col=7&amp;number=0.0803&amp;sourceID=14","0.0803")</f>
        <v>0.0803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HYPERLINK("http://141.218.60.56/~jnz1568/getInfo.php?workbook=20_14.xlsx&amp;sheet=U0&amp;row=2092&amp;col=6&amp;number=3.8&amp;sourceID=14","3.8")</f>
        <v>3.8</v>
      </c>
      <c r="G2092" s="4" t="str">
        <f>HYPERLINK("http://141.218.60.56/~jnz1568/getInfo.php?workbook=20_14.xlsx&amp;sheet=U0&amp;row=2092&amp;col=7&amp;number=0.0803&amp;sourceID=14","0.0803")</f>
        <v>0.0803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HYPERLINK("http://141.218.60.56/~jnz1568/getInfo.php?workbook=20_14.xlsx&amp;sheet=U0&amp;row=2093&amp;col=6&amp;number=3.9&amp;sourceID=14","3.9")</f>
        <v>3.9</v>
      </c>
      <c r="G2093" s="4" t="str">
        <f>HYPERLINK("http://141.218.60.56/~jnz1568/getInfo.php?workbook=20_14.xlsx&amp;sheet=U0&amp;row=2093&amp;col=7&amp;number=0.0802&amp;sourceID=14","0.0802")</f>
        <v>0.0802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HYPERLINK("http://141.218.60.56/~jnz1568/getInfo.php?workbook=20_14.xlsx&amp;sheet=U0&amp;row=2094&amp;col=6&amp;number=4&amp;sourceID=14","4")</f>
        <v>4</v>
      </c>
      <c r="G2094" s="4" t="str">
        <f>HYPERLINK("http://141.218.60.56/~jnz1568/getInfo.php?workbook=20_14.xlsx&amp;sheet=U0&amp;row=2094&amp;col=7&amp;number=0.0801&amp;sourceID=14","0.0801")</f>
        <v>0.0801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HYPERLINK("http://141.218.60.56/~jnz1568/getInfo.php?workbook=20_14.xlsx&amp;sheet=U0&amp;row=2095&amp;col=6&amp;number=4.1&amp;sourceID=14","4.1")</f>
        <v>4.1</v>
      </c>
      <c r="G2095" s="4" t="str">
        <f>HYPERLINK("http://141.218.60.56/~jnz1568/getInfo.php?workbook=20_14.xlsx&amp;sheet=U0&amp;row=2095&amp;col=7&amp;number=0.08&amp;sourceID=14","0.08")</f>
        <v>0.08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HYPERLINK("http://141.218.60.56/~jnz1568/getInfo.php?workbook=20_14.xlsx&amp;sheet=U0&amp;row=2096&amp;col=6&amp;number=4.2&amp;sourceID=14","4.2")</f>
        <v>4.2</v>
      </c>
      <c r="G2096" s="4" t="str">
        <f>HYPERLINK("http://141.218.60.56/~jnz1568/getInfo.php?workbook=20_14.xlsx&amp;sheet=U0&amp;row=2096&amp;col=7&amp;number=0.0799&amp;sourceID=14","0.0799")</f>
        <v>0.0799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HYPERLINK("http://141.218.60.56/~jnz1568/getInfo.php?workbook=20_14.xlsx&amp;sheet=U0&amp;row=2097&amp;col=6&amp;number=4.3&amp;sourceID=14","4.3")</f>
        <v>4.3</v>
      </c>
      <c r="G2097" s="4" t="str">
        <f>HYPERLINK("http://141.218.60.56/~jnz1568/getInfo.php?workbook=20_14.xlsx&amp;sheet=U0&amp;row=2097&amp;col=7&amp;number=0.0797&amp;sourceID=14","0.0797")</f>
        <v>0.0797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HYPERLINK("http://141.218.60.56/~jnz1568/getInfo.php?workbook=20_14.xlsx&amp;sheet=U0&amp;row=2098&amp;col=6&amp;number=4.4&amp;sourceID=14","4.4")</f>
        <v>4.4</v>
      </c>
      <c r="G2098" s="4" t="str">
        <f>HYPERLINK("http://141.218.60.56/~jnz1568/getInfo.php?workbook=20_14.xlsx&amp;sheet=U0&amp;row=2098&amp;col=7&amp;number=0.0795&amp;sourceID=14","0.0795")</f>
        <v>0.0795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HYPERLINK("http://141.218.60.56/~jnz1568/getInfo.php?workbook=20_14.xlsx&amp;sheet=U0&amp;row=2099&amp;col=6&amp;number=4.5&amp;sourceID=14","4.5")</f>
        <v>4.5</v>
      </c>
      <c r="G2099" s="4" t="str">
        <f>HYPERLINK("http://141.218.60.56/~jnz1568/getInfo.php?workbook=20_14.xlsx&amp;sheet=U0&amp;row=2099&amp;col=7&amp;number=0.0792&amp;sourceID=14","0.0792")</f>
        <v>0.0792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HYPERLINK("http://141.218.60.56/~jnz1568/getInfo.php?workbook=20_14.xlsx&amp;sheet=U0&amp;row=2100&amp;col=6&amp;number=4.6&amp;sourceID=14","4.6")</f>
        <v>4.6</v>
      </c>
      <c r="G2100" s="4" t="str">
        <f>HYPERLINK("http://141.218.60.56/~jnz1568/getInfo.php?workbook=20_14.xlsx&amp;sheet=U0&amp;row=2100&amp;col=7&amp;number=0.0788&amp;sourceID=14","0.0788")</f>
        <v>0.0788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HYPERLINK("http://141.218.60.56/~jnz1568/getInfo.php?workbook=20_14.xlsx&amp;sheet=U0&amp;row=2101&amp;col=6&amp;number=4.7&amp;sourceID=14","4.7")</f>
        <v>4.7</v>
      </c>
      <c r="G2101" s="4" t="str">
        <f>HYPERLINK("http://141.218.60.56/~jnz1568/getInfo.php?workbook=20_14.xlsx&amp;sheet=U0&amp;row=2101&amp;col=7&amp;number=0.0784&amp;sourceID=14","0.0784")</f>
        <v>0.0784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HYPERLINK("http://141.218.60.56/~jnz1568/getInfo.php?workbook=20_14.xlsx&amp;sheet=U0&amp;row=2102&amp;col=6&amp;number=4.8&amp;sourceID=14","4.8")</f>
        <v>4.8</v>
      </c>
      <c r="G2102" s="4" t="str">
        <f>HYPERLINK("http://141.218.60.56/~jnz1568/getInfo.php?workbook=20_14.xlsx&amp;sheet=U0&amp;row=2102&amp;col=7&amp;number=0.0779&amp;sourceID=14","0.0779")</f>
        <v>0.0779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HYPERLINK("http://141.218.60.56/~jnz1568/getInfo.php?workbook=20_14.xlsx&amp;sheet=U0&amp;row=2103&amp;col=6&amp;number=4.9&amp;sourceID=14","4.9")</f>
        <v>4.9</v>
      </c>
      <c r="G2103" s="4" t="str">
        <f>HYPERLINK("http://141.218.60.56/~jnz1568/getInfo.php?workbook=20_14.xlsx&amp;sheet=U0&amp;row=2103&amp;col=7&amp;number=0.0772&amp;sourceID=14","0.0772")</f>
        <v>0.0772</v>
      </c>
    </row>
    <row r="2104" spans="1:7">
      <c r="A2104" s="3">
        <v>20</v>
      </c>
      <c r="B2104" s="3">
        <v>14</v>
      </c>
      <c r="C2104" s="3">
        <v>5</v>
      </c>
      <c r="D2104" s="3">
        <v>13</v>
      </c>
      <c r="E2104" s="3">
        <v>1</v>
      </c>
      <c r="F2104" s="4" t="str">
        <f>HYPERLINK("http://141.218.60.56/~jnz1568/getInfo.php?workbook=20_14.xlsx&amp;sheet=U0&amp;row=2104&amp;col=6&amp;number=3&amp;sourceID=14","3")</f>
        <v>3</v>
      </c>
      <c r="G2104" s="4" t="str">
        <f>HYPERLINK("http://141.218.60.56/~jnz1568/getInfo.php?workbook=20_14.xlsx&amp;sheet=U0&amp;row=2104&amp;col=7&amp;number=0.0102&amp;sourceID=14","0.0102")</f>
        <v>0.0102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HYPERLINK("http://141.218.60.56/~jnz1568/getInfo.php?workbook=20_14.xlsx&amp;sheet=U0&amp;row=2105&amp;col=6&amp;number=3.1&amp;sourceID=14","3.1")</f>
        <v>3.1</v>
      </c>
      <c r="G2105" s="4" t="str">
        <f>HYPERLINK("http://141.218.60.56/~jnz1568/getInfo.php?workbook=20_14.xlsx&amp;sheet=U0&amp;row=2105&amp;col=7&amp;number=0.0102&amp;sourceID=14","0.0102")</f>
        <v>0.0102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HYPERLINK("http://141.218.60.56/~jnz1568/getInfo.php?workbook=20_14.xlsx&amp;sheet=U0&amp;row=2106&amp;col=6&amp;number=3.2&amp;sourceID=14","3.2")</f>
        <v>3.2</v>
      </c>
      <c r="G2106" s="4" t="str">
        <f>HYPERLINK("http://141.218.60.56/~jnz1568/getInfo.php?workbook=20_14.xlsx&amp;sheet=U0&amp;row=2106&amp;col=7&amp;number=0.0102&amp;sourceID=14","0.0102")</f>
        <v>0.0102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HYPERLINK("http://141.218.60.56/~jnz1568/getInfo.php?workbook=20_14.xlsx&amp;sheet=U0&amp;row=2107&amp;col=6&amp;number=3.3&amp;sourceID=14","3.3")</f>
        <v>3.3</v>
      </c>
      <c r="G2107" s="4" t="str">
        <f>HYPERLINK("http://141.218.60.56/~jnz1568/getInfo.php?workbook=20_14.xlsx&amp;sheet=U0&amp;row=2107&amp;col=7&amp;number=0.0102&amp;sourceID=14","0.0102")</f>
        <v>0.0102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HYPERLINK("http://141.218.60.56/~jnz1568/getInfo.php?workbook=20_14.xlsx&amp;sheet=U0&amp;row=2108&amp;col=6&amp;number=3.4&amp;sourceID=14","3.4")</f>
        <v>3.4</v>
      </c>
      <c r="G2108" s="4" t="str">
        <f>HYPERLINK("http://141.218.60.56/~jnz1568/getInfo.php?workbook=20_14.xlsx&amp;sheet=U0&amp;row=2108&amp;col=7&amp;number=0.0102&amp;sourceID=14","0.0102")</f>
        <v>0.0102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HYPERLINK("http://141.218.60.56/~jnz1568/getInfo.php?workbook=20_14.xlsx&amp;sheet=U0&amp;row=2109&amp;col=6&amp;number=3.5&amp;sourceID=14","3.5")</f>
        <v>3.5</v>
      </c>
      <c r="G2109" s="4" t="str">
        <f>HYPERLINK("http://141.218.60.56/~jnz1568/getInfo.php?workbook=20_14.xlsx&amp;sheet=U0&amp;row=2109&amp;col=7&amp;number=0.0102&amp;sourceID=14","0.0102")</f>
        <v>0.0102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HYPERLINK("http://141.218.60.56/~jnz1568/getInfo.php?workbook=20_14.xlsx&amp;sheet=U0&amp;row=2110&amp;col=6&amp;number=3.6&amp;sourceID=14","3.6")</f>
        <v>3.6</v>
      </c>
      <c r="G2110" s="4" t="str">
        <f>HYPERLINK("http://141.218.60.56/~jnz1568/getInfo.php?workbook=20_14.xlsx&amp;sheet=U0&amp;row=2110&amp;col=7&amp;number=0.0102&amp;sourceID=14","0.0102")</f>
        <v>0.0102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HYPERLINK("http://141.218.60.56/~jnz1568/getInfo.php?workbook=20_14.xlsx&amp;sheet=U0&amp;row=2111&amp;col=6&amp;number=3.7&amp;sourceID=14","3.7")</f>
        <v>3.7</v>
      </c>
      <c r="G2111" s="4" t="str">
        <f>HYPERLINK("http://141.218.60.56/~jnz1568/getInfo.php?workbook=20_14.xlsx&amp;sheet=U0&amp;row=2111&amp;col=7&amp;number=0.0102&amp;sourceID=14","0.0102")</f>
        <v>0.0102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HYPERLINK("http://141.218.60.56/~jnz1568/getInfo.php?workbook=20_14.xlsx&amp;sheet=U0&amp;row=2112&amp;col=6&amp;number=3.8&amp;sourceID=14","3.8")</f>
        <v>3.8</v>
      </c>
      <c r="G2112" s="4" t="str">
        <f>HYPERLINK("http://141.218.60.56/~jnz1568/getInfo.php?workbook=20_14.xlsx&amp;sheet=U0&amp;row=2112&amp;col=7&amp;number=0.0102&amp;sourceID=14","0.0102")</f>
        <v>0.0102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HYPERLINK("http://141.218.60.56/~jnz1568/getInfo.php?workbook=20_14.xlsx&amp;sheet=U0&amp;row=2113&amp;col=6&amp;number=3.9&amp;sourceID=14","3.9")</f>
        <v>3.9</v>
      </c>
      <c r="G2113" s="4" t="str">
        <f>HYPERLINK("http://141.218.60.56/~jnz1568/getInfo.php?workbook=20_14.xlsx&amp;sheet=U0&amp;row=2113&amp;col=7&amp;number=0.0102&amp;sourceID=14","0.0102")</f>
        <v>0.0102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HYPERLINK("http://141.218.60.56/~jnz1568/getInfo.php?workbook=20_14.xlsx&amp;sheet=U0&amp;row=2114&amp;col=6&amp;number=4&amp;sourceID=14","4")</f>
        <v>4</v>
      </c>
      <c r="G2114" s="4" t="str">
        <f>HYPERLINK("http://141.218.60.56/~jnz1568/getInfo.php?workbook=20_14.xlsx&amp;sheet=U0&amp;row=2114&amp;col=7&amp;number=0.0102&amp;sourceID=14","0.0102")</f>
        <v>0.0102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HYPERLINK("http://141.218.60.56/~jnz1568/getInfo.php?workbook=20_14.xlsx&amp;sheet=U0&amp;row=2115&amp;col=6&amp;number=4.1&amp;sourceID=14","4.1")</f>
        <v>4.1</v>
      </c>
      <c r="G2115" s="4" t="str">
        <f>HYPERLINK("http://141.218.60.56/~jnz1568/getInfo.php?workbook=20_14.xlsx&amp;sheet=U0&amp;row=2115&amp;col=7&amp;number=0.0102&amp;sourceID=14","0.0102")</f>
        <v>0.0102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HYPERLINK("http://141.218.60.56/~jnz1568/getInfo.php?workbook=20_14.xlsx&amp;sheet=U0&amp;row=2116&amp;col=6&amp;number=4.2&amp;sourceID=14","4.2")</f>
        <v>4.2</v>
      </c>
      <c r="G2116" s="4" t="str">
        <f>HYPERLINK("http://141.218.60.56/~jnz1568/getInfo.php?workbook=20_14.xlsx&amp;sheet=U0&amp;row=2116&amp;col=7&amp;number=0.0101&amp;sourceID=14","0.0101")</f>
        <v>0.0101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HYPERLINK("http://141.218.60.56/~jnz1568/getInfo.php?workbook=20_14.xlsx&amp;sheet=U0&amp;row=2117&amp;col=6&amp;number=4.3&amp;sourceID=14","4.3")</f>
        <v>4.3</v>
      </c>
      <c r="G2117" s="4" t="str">
        <f>HYPERLINK("http://141.218.60.56/~jnz1568/getInfo.php?workbook=20_14.xlsx&amp;sheet=U0&amp;row=2117&amp;col=7&amp;number=0.0101&amp;sourceID=14","0.0101")</f>
        <v>0.0101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HYPERLINK("http://141.218.60.56/~jnz1568/getInfo.php?workbook=20_14.xlsx&amp;sheet=U0&amp;row=2118&amp;col=6&amp;number=4.4&amp;sourceID=14","4.4")</f>
        <v>4.4</v>
      </c>
      <c r="G2118" s="4" t="str">
        <f>HYPERLINK("http://141.218.60.56/~jnz1568/getInfo.php?workbook=20_14.xlsx&amp;sheet=U0&amp;row=2118&amp;col=7&amp;number=0.0101&amp;sourceID=14","0.0101")</f>
        <v>0.0101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HYPERLINK("http://141.218.60.56/~jnz1568/getInfo.php?workbook=20_14.xlsx&amp;sheet=U0&amp;row=2119&amp;col=6&amp;number=4.5&amp;sourceID=14","4.5")</f>
        <v>4.5</v>
      </c>
      <c r="G2119" s="4" t="str">
        <f>HYPERLINK("http://141.218.60.56/~jnz1568/getInfo.php?workbook=20_14.xlsx&amp;sheet=U0&amp;row=2119&amp;col=7&amp;number=0.0101&amp;sourceID=14","0.0101")</f>
        <v>0.0101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HYPERLINK("http://141.218.60.56/~jnz1568/getInfo.php?workbook=20_14.xlsx&amp;sheet=U0&amp;row=2120&amp;col=6&amp;number=4.6&amp;sourceID=14","4.6")</f>
        <v>4.6</v>
      </c>
      <c r="G2120" s="4" t="str">
        <f>HYPERLINK("http://141.218.60.56/~jnz1568/getInfo.php?workbook=20_14.xlsx&amp;sheet=U0&amp;row=2120&amp;col=7&amp;number=0.01&amp;sourceID=14","0.01")</f>
        <v>0.01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HYPERLINK("http://141.218.60.56/~jnz1568/getInfo.php?workbook=20_14.xlsx&amp;sheet=U0&amp;row=2121&amp;col=6&amp;number=4.7&amp;sourceID=14","4.7")</f>
        <v>4.7</v>
      </c>
      <c r="G2121" s="4" t="str">
        <f>HYPERLINK("http://141.218.60.56/~jnz1568/getInfo.php?workbook=20_14.xlsx&amp;sheet=U0&amp;row=2121&amp;col=7&amp;number=0.00997&amp;sourceID=14","0.00997")</f>
        <v>0.00997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HYPERLINK("http://141.218.60.56/~jnz1568/getInfo.php?workbook=20_14.xlsx&amp;sheet=U0&amp;row=2122&amp;col=6&amp;number=4.8&amp;sourceID=14","4.8")</f>
        <v>4.8</v>
      </c>
      <c r="G2122" s="4" t="str">
        <f>HYPERLINK("http://141.218.60.56/~jnz1568/getInfo.php?workbook=20_14.xlsx&amp;sheet=U0&amp;row=2122&amp;col=7&amp;number=0.00991&amp;sourceID=14","0.00991")</f>
        <v>0.00991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HYPERLINK("http://141.218.60.56/~jnz1568/getInfo.php?workbook=20_14.xlsx&amp;sheet=U0&amp;row=2123&amp;col=6&amp;number=4.9&amp;sourceID=14","4.9")</f>
        <v>4.9</v>
      </c>
      <c r="G2123" s="4" t="str">
        <f>HYPERLINK("http://141.218.60.56/~jnz1568/getInfo.php?workbook=20_14.xlsx&amp;sheet=U0&amp;row=2123&amp;col=7&amp;number=0.00983&amp;sourceID=14","0.00983")</f>
        <v>0.00983</v>
      </c>
    </row>
    <row r="2124" spans="1:7">
      <c r="A2124" s="3">
        <v>20</v>
      </c>
      <c r="B2124" s="3">
        <v>14</v>
      </c>
      <c r="C2124" s="3">
        <v>5</v>
      </c>
      <c r="D2124" s="3">
        <v>14</v>
      </c>
      <c r="E2124" s="3">
        <v>1</v>
      </c>
      <c r="F2124" s="4" t="str">
        <f>HYPERLINK("http://141.218.60.56/~jnz1568/getInfo.php?workbook=20_14.xlsx&amp;sheet=U0&amp;row=2124&amp;col=6&amp;number=3&amp;sourceID=14","3")</f>
        <v>3</v>
      </c>
      <c r="G2124" s="4" t="str">
        <f>HYPERLINK("http://141.218.60.56/~jnz1568/getInfo.php?workbook=20_14.xlsx&amp;sheet=U0&amp;row=2124&amp;col=7&amp;number=0.0191&amp;sourceID=14","0.0191")</f>
        <v>0.0191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HYPERLINK("http://141.218.60.56/~jnz1568/getInfo.php?workbook=20_14.xlsx&amp;sheet=U0&amp;row=2125&amp;col=6&amp;number=3.1&amp;sourceID=14","3.1")</f>
        <v>3.1</v>
      </c>
      <c r="G2125" s="4" t="str">
        <f>HYPERLINK("http://141.218.60.56/~jnz1568/getInfo.php?workbook=20_14.xlsx&amp;sheet=U0&amp;row=2125&amp;col=7&amp;number=0.0191&amp;sourceID=14","0.0191")</f>
        <v>0.0191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HYPERLINK("http://141.218.60.56/~jnz1568/getInfo.php?workbook=20_14.xlsx&amp;sheet=U0&amp;row=2126&amp;col=6&amp;number=3.2&amp;sourceID=14","3.2")</f>
        <v>3.2</v>
      </c>
      <c r="G2126" s="4" t="str">
        <f>HYPERLINK("http://141.218.60.56/~jnz1568/getInfo.php?workbook=20_14.xlsx&amp;sheet=U0&amp;row=2126&amp;col=7&amp;number=0.0191&amp;sourceID=14","0.0191")</f>
        <v>0.0191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HYPERLINK("http://141.218.60.56/~jnz1568/getInfo.php?workbook=20_14.xlsx&amp;sheet=U0&amp;row=2127&amp;col=6&amp;number=3.3&amp;sourceID=14","3.3")</f>
        <v>3.3</v>
      </c>
      <c r="G2127" s="4" t="str">
        <f>HYPERLINK("http://141.218.60.56/~jnz1568/getInfo.php?workbook=20_14.xlsx&amp;sheet=U0&amp;row=2127&amp;col=7&amp;number=0.0191&amp;sourceID=14","0.0191")</f>
        <v>0.0191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HYPERLINK("http://141.218.60.56/~jnz1568/getInfo.php?workbook=20_14.xlsx&amp;sheet=U0&amp;row=2128&amp;col=6&amp;number=3.4&amp;sourceID=14","3.4")</f>
        <v>3.4</v>
      </c>
      <c r="G2128" s="4" t="str">
        <f>HYPERLINK("http://141.218.60.56/~jnz1568/getInfo.php?workbook=20_14.xlsx&amp;sheet=U0&amp;row=2128&amp;col=7&amp;number=0.0191&amp;sourceID=14","0.0191")</f>
        <v>0.0191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HYPERLINK("http://141.218.60.56/~jnz1568/getInfo.php?workbook=20_14.xlsx&amp;sheet=U0&amp;row=2129&amp;col=6&amp;number=3.5&amp;sourceID=14","3.5")</f>
        <v>3.5</v>
      </c>
      <c r="G2129" s="4" t="str">
        <f>HYPERLINK("http://141.218.60.56/~jnz1568/getInfo.php?workbook=20_14.xlsx&amp;sheet=U0&amp;row=2129&amp;col=7&amp;number=0.0191&amp;sourceID=14","0.0191")</f>
        <v>0.0191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HYPERLINK("http://141.218.60.56/~jnz1568/getInfo.php?workbook=20_14.xlsx&amp;sheet=U0&amp;row=2130&amp;col=6&amp;number=3.6&amp;sourceID=14","3.6")</f>
        <v>3.6</v>
      </c>
      <c r="G2130" s="4" t="str">
        <f>HYPERLINK("http://141.218.60.56/~jnz1568/getInfo.php?workbook=20_14.xlsx&amp;sheet=U0&amp;row=2130&amp;col=7&amp;number=0.0191&amp;sourceID=14","0.0191")</f>
        <v>0.0191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HYPERLINK("http://141.218.60.56/~jnz1568/getInfo.php?workbook=20_14.xlsx&amp;sheet=U0&amp;row=2131&amp;col=6&amp;number=3.7&amp;sourceID=14","3.7")</f>
        <v>3.7</v>
      </c>
      <c r="G2131" s="4" t="str">
        <f>HYPERLINK("http://141.218.60.56/~jnz1568/getInfo.php?workbook=20_14.xlsx&amp;sheet=U0&amp;row=2131&amp;col=7&amp;number=0.0191&amp;sourceID=14","0.0191")</f>
        <v>0.0191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HYPERLINK("http://141.218.60.56/~jnz1568/getInfo.php?workbook=20_14.xlsx&amp;sheet=U0&amp;row=2132&amp;col=6&amp;number=3.8&amp;sourceID=14","3.8")</f>
        <v>3.8</v>
      </c>
      <c r="G2132" s="4" t="str">
        <f>HYPERLINK("http://141.218.60.56/~jnz1568/getInfo.php?workbook=20_14.xlsx&amp;sheet=U0&amp;row=2132&amp;col=7&amp;number=0.0191&amp;sourceID=14","0.0191")</f>
        <v>0.0191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HYPERLINK("http://141.218.60.56/~jnz1568/getInfo.php?workbook=20_14.xlsx&amp;sheet=U0&amp;row=2133&amp;col=6&amp;number=3.9&amp;sourceID=14","3.9")</f>
        <v>3.9</v>
      </c>
      <c r="G2133" s="4" t="str">
        <f>HYPERLINK("http://141.218.60.56/~jnz1568/getInfo.php?workbook=20_14.xlsx&amp;sheet=U0&amp;row=2133&amp;col=7&amp;number=0.019&amp;sourceID=14","0.019")</f>
        <v>0.019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HYPERLINK("http://141.218.60.56/~jnz1568/getInfo.php?workbook=20_14.xlsx&amp;sheet=U0&amp;row=2134&amp;col=6&amp;number=4&amp;sourceID=14","4")</f>
        <v>4</v>
      </c>
      <c r="G2134" s="4" t="str">
        <f>HYPERLINK("http://141.218.60.56/~jnz1568/getInfo.php?workbook=20_14.xlsx&amp;sheet=U0&amp;row=2134&amp;col=7&amp;number=0.019&amp;sourceID=14","0.019")</f>
        <v>0.019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HYPERLINK("http://141.218.60.56/~jnz1568/getInfo.php?workbook=20_14.xlsx&amp;sheet=U0&amp;row=2135&amp;col=6&amp;number=4.1&amp;sourceID=14","4.1")</f>
        <v>4.1</v>
      </c>
      <c r="G2135" s="4" t="str">
        <f>HYPERLINK("http://141.218.60.56/~jnz1568/getInfo.php?workbook=20_14.xlsx&amp;sheet=U0&amp;row=2135&amp;col=7&amp;number=0.019&amp;sourceID=14","0.019")</f>
        <v>0.019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HYPERLINK("http://141.218.60.56/~jnz1568/getInfo.php?workbook=20_14.xlsx&amp;sheet=U0&amp;row=2136&amp;col=6&amp;number=4.2&amp;sourceID=14","4.2")</f>
        <v>4.2</v>
      </c>
      <c r="G2136" s="4" t="str">
        <f>HYPERLINK("http://141.218.60.56/~jnz1568/getInfo.php?workbook=20_14.xlsx&amp;sheet=U0&amp;row=2136&amp;col=7&amp;number=0.019&amp;sourceID=14","0.019")</f>
        <v>0.019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HYPERLINK("http://141.218.60.56/~jnz1568/getInfo.php?workbook=20_14.xlsx&amp;sheet=U0&amp;row=2137&amp;col=6&amp;number=4.3&amp;sourceID=14","4.3")</f>
        <v>4.3</v>
      </c>
      <c r="G2137" s="4" t="str">
        <f>HYPERLINK("http://141.218.60.56/~jnz1568/getInfo.php?workbook=20_14.xlsx&amp;sheet=U0&amp;row=2137&amp;col=7&amp;number=0.0189&amp;sourceID=14","0.0189")</f>
        <v>0.0189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HYPERLINK("http://141.218.60.56/~jnz1568/getInfo.php?workbook=20_14.xlsx&amp;sheet=U0&amp;row=2138&amp;col=6&amp;number=4.4&amp;sourceID=14","4.4")</f>
        <v>4.4</v>
      </c>
      <c r="G2138" s="4" t="str">
        <f>HYPERLINK("http://141.218.60.56/~jnz1568/getInfo.php?workbook=20_14.xlsx&amp;sheet=U0&amp;row=2138&amp;col=7&amp;number=0.0188&amp;sourceID=14","0.0188")</f>
        <v>0.0188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HYPERLINK("http://141.218.60.56/~jnz1568/getInfo.php?workbook=20_14.xlsx&amp;sheet=U0&amp;row=2139&amp;col=6&amp;number=4.5&amp;sourceID=14","4.5")</f>
        <v>4.5</v>
      </c>
      <c r="G2139" s="4" t="str">
        <f>HYPERLINK("http://141.218.60.56/~jnz1568/getInfo.php?workbook=20_14.xlsx&amp;sheet=U0&amp;row=2139&amp;col=7&amp;number=0.0188&amp;sourceID=14","0.0188")</f>
        <v>0.0188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HYPERLINK("http://141.218.60.56/~jnz1568/getInfo.php?workbook=20_14.xlsx&amp;sheet=U0&amp;row=2140&amp;col=6&amp;number=4.6&amp;sourceID=14","4.6")</f>
        <v>4.6</v>
      </c>
      <c r="G2140" s="4" t="str">
        <f>HYPERLINK("http://141.218.60.56/~jnz1568/getInfo.php?workbook=20_14.xlsx&amp;sheet=U0&amp;row=2140&amp;col=7&amp;number=0.0187&amp;sourceID=14","0.0187")</f>
        <v>0.0187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HYPERLINK("http://141.218.60.56/~jnz1568/getInfo.php?workbook=20_14.xlsx&amp;sheet=U0&amp;row=2141&amp;col=6&amp;number=4.7&amp;sourceID=14","4.7")</f>
        <v>4.7</v>
      </c>
      <c r="G2141" s="4" t="str">
        <f>HYPERLINK("http://141.218.60.56/~jnz1568/getInfo.php?workbook=20_14.xlsx&amp;sheet=U0&amp;row=2141&amp;col=7&amp;number=0.0186&amp;sourceID=14","0.0186")</f>
        <v>0.0186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HYPERLINK("http://141.218.60.56/~jnz1568/getInfo.php?workbook=20_14.xlsx&amp;sheet=U0&amp;row=2142&amp;col=6&amp;number=4.8&amp;sourceID=14","4.8")</f>
        <v>4.8</v>
      </c>
      <c r="G2142" s="4" t="str">
        <f>HYPERLINK("http://141.218.60.56/~jnz1568/getInfo.php?workbook=20_14.xlsx&amp;sheet=U0&amp;row=2142&amp;col=7&amp;number=0.0184&amp;sourceID=14","0.0184")</f>
        <v>0.0184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HYPERLINK("http://141.218.60.56/~jnz1568/getInfo.php?workbook=20_14.xlsx&amp;sheet=U0&amp;row=2143&amp;col=6&amp;number=4.9&amp;sourceID=14","4.9")</f>
        <v>4.9</v>
      </c>
      <c r="G2143" s="4" t="str">
        <f>HYPERLINK("http://141.218.60.56/~jnz1568/getInfo.php?workbook=20_14.xlsx&amp;sheet=U0&amp;row=2143&amp;col=7&amp;number=0.0182&amp;sourceID=14","0.0182")</f>
        <v>0.0182</v>
      </c>
    </row>
    <row r="2144" spans="1:7">
      <c r="A2144" s="3">
        <v>20</v>
      </c>
      <c r="B2144" s="3">
        <v>14</v>
      </c>
      <c r="C2144" s="3">
        <v>5</v>
      </c>
      <c r="D2144" s="3">
        <v>15</v>
      </c>
      <c r="E2144" s="3">
        <v>1</v>
      </c>
      <c r="F2144" s="4" t="str">
        <f>HYPERLINK("http://141.218.60.56/~jnz1568/getInfo.php?workbook=20_14.xlsx&amp;sheet=U0&amp;row=2144&amp;col=6&amp;number=3&amp;sourceID=14","3")</f>
        <v>3</v>
      </c>
      <c r="G2144" s="4" t="str">
        <f>HYPERLINK("http://141.218.60.56/~jnz1568/getInfo.php?workbook=20_14.xlsx&amp;sheet=U0&amp;row=2144&amp;col=7&amp;number=0.0306&amp;sourceID=14","0.0306")</f>
        <v>0.0306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HYPERLINK("http://141.218.60.56/~jnz1568/getInfo.php?workbook=20_14.xlsx&amp;sheet=U0&amp;row=2145&amp;col=6&amp;number=3.1&amp;sourceID=14","3.1")</f>
        <v>3.1</v>
      </c>
      <c r="G2145" s="4" t="str">
        <f>HYPERLINK("http://141.218.60.56/~jnz1568/getInfo.php?workbook=20_14.xlsx&amp;sheet=U0&amp;row=2145&amp;col=7&amp;number=0.0306&amp;sourceID=14","0.0306")</f>
        <v>0.0306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HYPERLINK("http://141.218.60.56/~jnz1568/getInfo.php?workbook=20_14.xlsx&amp;sheet=U0&amp;row=2146&amp;col=6&amp;number=3.2&amp;sourceID=14","3.2")</f>
        <v>3.2</v>
      </c>
      <c r="G2146" s="4" t="str">
        <f>HYPERLINK("http://141.218.60.56/~jnz1568/getInfo.php?workbook=20_14.xlsx&amp;sheet=U0&amp;row=2146&amp;col=7&amp;number=0.0306&amp;sourceID=14","0.0306")</f>
        <v>0.0306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HYPERLINK("http://141.218.60.56/~jnz1568/getInfo.php?workbook=20_14.xlsx&amp;sheet=U0&amp;row=2147&amp;col=6&amp;number=3.3&amp;sourceID=14","3.3")</f>
        <v>3.3</v>
      </c>
      <c r="G2147" s="4" t="str">
        <f>HYPERLINK("http://141.218.60.56/~jnz1568/getInfo.php?workbook=20_14.xlsx&amp;sheet=U0&amp;row=2147&amp;col=7&amp;number=0.0306&amp;sourceID=14","0.0306")</f>
        <v>0.0306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HYPERLINK("http://141.218.60.56/~jnz1568/getInfo.php?workbook=20_14.xlsx&amp;sheet=U0&amp;row=2148&amp;col=6&amp;number=3.4&amp;sourceID=14","3.4")</f>
        <v>3.4</v>
      </c>
      <c r="G2148" s="4" t="str">
        <f>HYPERLINK("http://141.218.60.56/~jnz1568/getInfo.php?workbook=20_14.xlsx&amp;sheet=U0&amp;row=2148&amp;col=7&amp;number=0.0306&amp;sourceID=14","0.0306")</f>
        <v>0.0306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HYPERLINK("http://141.218.60.56/~jnz1568/getInfo.php?workbook=20_14.xlsx&amp;sheet=U0&amp;row=2149&amp;col=6&amp;number=3.5&amp;sourceID=14","3.5")</f>
        <v>3.5</v>
      </c>
      <c r="G2149" s="4" t="str">
        <f>HYPERLINK("http://141.218.60.56/~jnz1568/getInfo.php?workbook=20_14.xlsx&amp;sheet=U0&amp;row=2149&amp;col=7&amp;number=0.0306&amp;sourceID=14","0.0306")</f>
        <v>0.0306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HYPERLINK("http://141.218.60.56/~jnz1568/getInfo.php?workbook=20_14.xlsx&amp;sheet=U0&amp;row=2150&amp;col=6&amp;number=3.6&amp;sourceID=14","3.6")</f>
        <v>3.6</v>
      </c>
      <c r="G2150" s="4" t="str">
        <f>HYPERLINK("http://141.218.60.56/~jnz1568/getInfo.php?workbook=20_14.xlsx&amp;sheet=U0&amp;row=2150&amp;col=7&amp;number=0.0305&amp;sourceID=14","0.0305")</f>
        <v>0.0305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HYPERLINK("http://141.218.60.56/~jnz1568/getInfo.php?workbook=20_14.xlsx&amp;sheet=U0&amp;row=2151&amp;col=6&amp;number=3.7&amp;sourceID=14","3.7")</f>
        <v>3.7</v>
      </c>
      <c r="G2151" s="4" t="str">
        <f>HYPERLINK("http://141.218.60.56/~jnz1568/getInfo.php?workbook=20_14.xlsx&amp;sheet=U0&amp;row=2151&amp;col=7&amp;number=0.0305&amp;sourceID=14","0.0305")</f>
        <v>0.0305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HYPERLINK("http://141.218.60.56/~jnz1568/getInfo.php?workbook=20_14.xlsx&amp;sheet=U0&amp;row=2152&amp;col=6&amp;number=3.8&amp;sourceID=14","3.8")</f>
        <v>3.8</v>
      </c>
      <c r="G2152" s="4" t="str">
        <f>HYPERLINK("http://141.218.60.56/~jnz1568/getInfo.php?workbook=20_14.xlsx&amp;sheet=U0&amp;row=2152&amp;col=7&amp;number=0.0305&amp;sourceID=14","0.0305")</f>
        <v>0.0305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HYPERLINK("http://141.218.60.56/~jnz1568/getInfo.php?workbook=20_14.xlsx&amp;sheet=U0&amp;row=2153&amp;col=6&amp;number=3.9&amp;sourceID=14","3.9")</f>
        <v>3.9</v>
      </c>
      <c r="G2153" s="4" t="str">
        <f>HYPERLINK("http://141.218.60.56/~jnz1568/getInfo.php?workbook=20_14.xlsx&amp;sheet=U0&amp;row=2153&amp;col=7&amp;number=0.0305&amp;sourceID=14","0.0305")</f>
        <v>0.0305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HYPERLINK("http://141.218.60.56/~jnz1568/getInfo.php?workbook=20_14.xlsx&amp;sheet=U0&amp;row=2154&amp;col=6&amp;number=4&amp;sourceID=14","4")</f>
        <v>4</v>
      </c>
      <c r="G2154" s="4" t="str">
        <f>HYPERLINK("http://141.218.60.56/~jnz1568/getInfo.php?workbook=20_14.xlsx&amp;sheet=U0&amp;row=2154&amp;col=7&amp;number=0.0304&amp;sourceID=14","0.0304")</f>
        <v>0.0304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HYPERLINK("http://141.218.60.56/~jnz1568/getInfo.php?workbook=20_14.xlsx&amp;sheet=U0&amp;row=2155&amp;col=6&amp;number=4.1&amp;sourceID=14","4.1")</f>
        <v>4.1</v>
      </c>
      <c r="G2155" s="4" t="str">
        <f>HYPERLINK("http://141.218.60.56/~jnz1568/getInfo.php?workbook=20_14.xlsx&amp;sheet=U0&amp;row=2155&amp;col=7&amp;number=0.0304&amp;sourceID=14","0.0304")</f>
        <v>0.0304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HYPERLINK("http://141.218.60.56/~jnz1568/getInfo.php?workbook=20_14.xlsx&amp;sheet=U0&amp;row=2156&amp;col=6&amp;number=4.2&amp;sourceID=14","4.2")</f>
        <v>4.2</v>
      </c>
      <c r="G2156" s="4" t="str">
        <f>HYPERLINK("http://141.218.60.56/~jnz1568/getInfo.php?workbook=20_14.xlsx&amp;sheet=U0&amp;row=2156&amp;col=7&amp;number=0.0303&amp;sourceID=14","0.0303")</f>
        <v>0.0303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HYPERLINK("http://141.218.60.56/~jnz1568/getInfo.php?workbook=20_14.xlsx&amp;sheet=U0&amp;row=2157&amp;col=6&amp;number=4.3&amp;sourceID=14","4.3")</f>
        <v>4.3</v>
      </c>
      <c r="G2157" s="4" t="str">
        <f>HYPERLINK("http://141.218.60.56/~jnz1568/getInfo.php?workbook=20_14.xlsx&amp;sheet=U0&amp;row=2157&amp;col=7&amp;number=0.0302&amp;sourceID=14","0.0302")</f>
        <v>0.0302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HYPERLINK("http://141.218.60.56/~jnz1568/getInfo.php?workbook=20_14.xlsx&amp;sheet=U0&amp;row=2158&amp;col=6&amp;number=4.4&amp;sourceID=14","4.4")</f>
        <v>4.4</v>
      </c>
      <c r="G2158" s="4" t="str">
        <f>HYPERLINK("http://141.218.60.56/~jnz1568/getInfo.php?workbook=20_14.xlsx&amp;sheet=U0&amp;row=2158&amp;col=7&amp;number=0.0302&amp;sourceID=14","0.0302")</f>
        <v>0.0302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HYPERLINK("http://141.218.60.56/~jnz1568/getInfo.php?workbook=20_14.xlsx&amp;sheet=U0&amp;row=2159&amp;col=6&amp;number=4.5&amp;sourceID=14","4.5")</f>
        <v>4.5</v>
      </c>
      <c r="G2159" s="4" t="str">
        <f>HYPERLINK("http://141.218.60.56/~jnz1568/getInfo.php?workbook=20_14.xlsx&amp;sheet=U0&amp;row=2159&amp;col=7&amp;number=0.03&amp;sourceID=14","0.03")</f>
        <v>0.03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HYPERLINK("http://141.218.60.56/~jnz1568/getInfo.php?workbook=20_14.xlsx&amp;sheet=U0&amp;row=2160&amp;col=6&amp;number=4.6&amp;sourceID=14","4.6")</f>
        <v>4.6</v>
      </c>
      <c r="G2160" s="4" t="str">
        <f>HYPERLINK("http://141.218.60.56/~jnz1568/getInfo.php?workbook=20_14.xlsx&amp;sheet=U0&amp;row=2160&amp;col=7&amp;number=0.0299&amp;sourceID=14","0.0299")</f>
        <v>0.0299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HYPERLINK("http://141.218.60.56/~jnz1568/getInfo.php?workbook=20_14.xlsx&amp;sheet=U0&amp;row=2161&amp;col=6&amp;number=4.7&amp;sourceID=14","4.7")</f>
        <v>4.7</v>
      </c>
      <c r="G2161" s="4" t="str">
        <f>HYPERLINK("http://141.218.60.56/~jnz1568/getInfo.php?workbook=20_14.xlsx&amp;sheet=U0&amp;row=2161&amp;col=7&amp;number=0.0297&amp;sourceID=14","0.0297")</f>
        <v>0.0297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HYPERLINK("http://141.218.60.56/~jnz1568/getInfo.php?workbook=20_14.xlsx&amp;sheet=U0&amp;row=2162&amp;col=6&amp;number=4.8&amp;sourceID=14","4.8")</f>
        <v>4.8</v>
      </c>
      <c r="G2162" s="4" t="str">
        <f>HYPERLINK("http://141.218.60.56/~jnz1568/getInfo.php?workbook=20_14.xlsx&amp;sheet=U0&amp;row=2162&amp;col=7&amp;number=0.0295&amp;sourceID=14","0.0295")</f>
        <v>0.0295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HYPERLINK("http://141.218.60.56/~jnz1568/getInfo.php?workbook=20_14.xlsx&amp;sheet=U0&amp;row=2163&amp;col=6&amp;number=4.9&amp;sourceID=14","4.9")</f>
        <v>4.9</v>
      </c>
      <c r="G2163" s="4" t="str">
        <f>HYPERLINK("http://141.218.60.56/~jnz1568/getInfo.php?workbook=20_14.xlsx&amp;sheet=U0&amp;row=2163&amp;col=7&amp;number=0.0292&amp;sourceID=14","0.0292")</f>
        <v>0.0292</v>
      </c>
    </row>
    <row r="2164" spans="1:7">
      <c r="A2164" s="3">
        <v>20</v>
      </c>
      <c r="B2164" s="3">
        <v>14</v>
      </c>
      <c r="C2164" s="3">
        <v>5</v>
      </c>
      <c r="D2164" s="3">
        <v>16</v>
      </c>
      <c r="E2164" s="3">
        <v>1</v>
      </c>
      <c r="F2164" s="4" t="str">
        <f>HYPERLINK("http://141.218.60.56/~jnz1568/getInfo.php?workbook=20_14.xlsx&amp;sheet=U0&amp;row=2164&amp;col=6&amp;number=3&amp;sourceID=14","3")</f>
        <v>3</v>
      </c>
      <c r="G2164" s="4" t="str">
        <f>HYPERLINK("http://141.218.60.56/~jnz1568/getInfo.php?workbook=20_14.xlsx&amp;sheet=U0&amp;row=2164&amp;col=7&amp;number=0.0462&amp;sourceID=14","0.0462")</f>
        <v>0.0462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HYPERLINK("http://141.218.60.56/~jnz1568/getInfo.php?workbook=20_14.xlsx&amp;sheet=U0&amp;row=2165&amp;col=6&amp;number=3.1&amp;sourceID=14","3.1")</f>
        <v>3.1</v>
      </c>
      <c r="G2165" s="4" t="str">
        <f>HYPERLINK("http://141.218.60.56/~jnz1568/getInfo.php?workbook=20_14.xlsx&amp;sheet=U0&amp;row=2165&amp;col=7&amp;number=0.0462&amp;sourceID=14","0.0462")</f>
        <v>0.0462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HYPERLINK("http://141.218.60.56/~jnz1568/getInfo.php?workbook=20_14.xlsx&amp;sheet=U0&amp;row=2166&amp;col=6&amp;number=3.2&amp;sourceID=14","3.2")</f>
        <v>3.2</v>
      </c>
      <c r="G2166" s="4" t="str">
        <f>HYPERLINK("http://141.218.60.56/~jnz1568/getInfo.php?workbook=20_14.xlsx&amp;sheet=U0&amp;row=2166&amp;col=7&amp;number=0.0462&amp;sourceID=14","0.0462")</f>
        <v>0.0462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HYPERLINK("http://141.218.60.56/~jnz1568/getInfo.php?workbook=20_14.xlsx&amp;sheet=U0&amp;row=2167&amp;col=6&amp;number=3.3&amp;sourceID=14","3.3")</f>
        <v>3.3</v>
      </c>
      <c r="G2167" s="4" t="str">
        <f>HYPERLINK("http://141.218.60.56/~jnz1568/getInfo.php?workbook=20_14.xlsx&amp;sheet=U0&amp;row=2167&amp;col=7&amp;number=0.0462&amp;sourceID=14","0.0462")</f>
        <v>0.0462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HYPERLINK("http://141.218.60.56/~jnz1568/getInfo.php?workbook=20_14.xlsx&amp;sheet=U0&amp;row=2168&amp;col=6&amp;number=3.4&amp;sourceID=14","3.4")</f>
        <v>3.4</v>
      </c>
      <c r="G2168" s="4" t="str">
        <f>HYPERLINK("http://141.218.60.56/~jnz1568/getInfo.php?workbook=20_14.xlsx&amp;sheet=U0&amp;row=2168&amp;col=7&amp;number=0.0462&amp;sourceID=14","0.0462")</f>
        <v>0.0462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HYPERLINK("http://141.218.60.56/~jnz1568/getInfo.php?workbook=20_14.xlsx&amp;sheet=U0&amp;row=2169&amp;col=6&amp;number=3.5&amp;sourceID=14","3.5")</f>
        <v>3.5</v>
      </c>
      <c r="G2169" s="4" t="str">
        <f>HYPERLINK("http://141.218.60.56/~jnz1568/getInfo.php?workbook=20_14.xlsx&amp;sheet=U0&amp;row=2169&amp;col=7&amp;number=0.0462&amp;sourceID=14","0.0462")</f>
        <v>0.0462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HYPERLINK("http://141.218.60.56/~jnz1568/getInfo.php?workbook=20_14.xlsx&amp;sheet=U0&amp;row=2170&amp;col=6&amp;number=3.6&amp;sourceID=14","3.6")</f>
        <v>3.6</v>
      </c>
      <c r="G2170" s="4" t="str">
        <f>HYPERLINK("http://141.218.60.56/~jnz1568/getInfo.php?workbook=20_14.xlsx&amp;sheet=U0&amp;row=2170&amp;col=7&amp;number=0.0461&amp;sourceID=14","0.0461")</f>
        <v>0.0461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HYPERLINK("http://141.218.60.56/~jnz1568/getInfo.php?workbook=20_14.xlsx&amp;sheet=U0&amp;row=2171&amp;col=6&amp;number=3.7&amp;sourceID=14","3.7")</f>
        <v>3.7</v>
      </c>
      <c r="G2171" s="4" t="str">
        <f>HYPERLINK("http://141.218.60.56/~jnz1568/getInfo.php?workbook=20_14.xlsx&amp;sheet=U0&amp;row=2171&amp;col=7&amp;number=0.0461&amp;sourceID=14","0.0461")</f>
        <v>0.0461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HYPERLINK("http://141.218.60.56/~jnz1568/getInfo.php?workbook=20_14.xlsx&amp;sheet=U0&amp;row=2172&amp;col=6&amp;number=3.8&amp;sourceID=14","3.8")</f>
        <v>3.8</v>
      </c>
      <c r="G2172" s="4" t="str">
        <f>HYPERLINK("http://141.218.60.56/~jnz1568/getInfo.php?workbook=20_14.xlsx&amp;sheet=U0&amp;row=2172&amp;col=7&amp;number=0.0461&amp;sourceID=14","0.0461")</f>
        <v>0.0461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HYPERLINK("http://141.218.60.56/~jnz1568/getInfo.php?workbook=20_14.xlsx&amp;sheet=U0&amp;row=2173&amp;col=6&amp;number=3.9&amp;sourceID=14","3.9")</f>
        <v>3.9</v>
      </c>
      <c r="G2173" s="4" t="str">
        <f>HYPERLINK("http://141.218.60.56/~jnz1568/getInfo.php?workbook=20_14.xlsx&amp;sheet=U0&amp;row=2173&amp;col=7&amp;number=0.046&amp;sourceID=14","0.046")</f>
        <v>0.046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HYPERLINK("http://141.218.60.56/~jnz1568/getInfo.php?workbook=20_14.xlsx&amp;sheet=U0&amp;row=2174&amp;col=6&amp;number=4&amp;sourceID=14","4")</f>
        <v>4</v>
      </c>
      <c r="G2174" s="4" t="str">
        <f>HYPERLINK("http://141.218.60.56/~jnz1568/getInfo.php?workbook=20_14.xlsx&amp;sheet=U0&amp;row=2174&amp;col=7&amp;number=0.046&amp;sourceID=14","0.046")</f>
        <v>0.046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HYPERLINK("http://141.218.60.56/~jnz1568/getInfo.php?workbook=20_14.xlsx&amp;sheet=U0&amp;row=2175&amp;col=6&amp;number=4.1&amp;sourceID=14","4.1")</f>
        <v>4.1</v>
      </c>
      <c r="G2175" s="4" t="str">
        <f>HYPERLINK("http://141.218.60.56/~jnz1568/getInfo.php?workbook=20_14.xlsx&amp;sheet=U0&amp;row=2175&amp;col=7&amp;number=0.0459&amp;sourceID=14","0.0459")</f>
        <v>0.0459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HYPERLINK("http://141.218.60.56/~jnz1568/getInfo.php?workbook=20_14.xlsx&amp;sheet=U0&amp;row=2176&amp;col=6&amp;number=4.2&amp;sourceID=14","4.2")</f>
        <v>4.2</v>
      </c>
      <c r="G2176" s="4" t="str">
        <f>HYPERLINK("http://141.218.60.56/~jnz1568/getInfo.php?workbook=20_14.xlsx&amp;sheet=U0&amp;row=2176&amp;col=7&amp;number=0.0458&amp;sourceID=14","0.0458")</f>
        <v>0.0458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HYPERLINK("http://141.218.60.56/~jnz1568/getInfo.php?workbook=20_14.xlsx&amp;sheet=U0&amp;row=2177&amp;col=6&amp;number=4.3&amp;sourceID=14","4.3")</f>
        <v>4.3</v>
      </c>
      <c r="G2177" s="4" t="str">
        <f>HYPERLINK("http://141.218.60.56/~jnz1568/getInfo.php?workbook=20_14.xlsx&amp;sheet=U0&amp;row=2177&amp;col=7&amp;number=0.0457&amp;sourceID=14","0.0457")</f>
        <v>0.0457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HYPERLINK("http://141.218.60.56/~jnz1568/getInfo.php?workbook=20_14.xlsx&amp;sheet=U0&amp;row=2178&amp;col=6&amp;number=4.4&amp;sourceID=14","4.4")</f>
        <v>4.4</v>
      </c>
      <c r="G2178" s="4" t="str">
        <f>HYPERLINK("http://141.218.60.56/~jnz1568/getInfo.php?workbook=20_14.xlsx&amp;sheet=U0&amp;row=2178&amp;col=7&amp;number=0.0456&amp;sourceID=14","0.0456")</f>
        <v>0.0456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HYPERLINK("http://141.218.60.56/~jnz1568/getInfo.php?workbook=20_14.xlsx&amp;sheet=U0&amp;row=2179&amp;col=6&amp;number=4.5&amp;sourceID=14","4.5")</f>
        <v>4.5</v>
      </c>
      <c r="G2179" s="4" t="str">
        <f>HYPERLINK("http://141.218.60.56/~jnz1568/getInfo.php?workbook=20_14.xlsx&amp;sheet=U0&amp;row=2179&amp;col=7&amp;number=0.0454&amp;sourceID=14","0.0454")</f>
        <v>0.0454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HYPERLINK("http://141.218.60.56/~jnz1568/getInfo.php?workbook=20_14.xlsx&amp;sheet=U0&amp;row=2180&amp;col=6&amp;number=4.6&amp;sourceID=14","4.6")</f>
        <v>4.6</v>
      </c>
      <c r="G2180" s="4" t="str">
        <f>HYPERLINK("http://141.218.60.56/~jnz1568/getInfo.php?workbook=20_14.xlsx&amp;sheet=U0&amp;row=2180&amp;col=7&amp;number=0.0452&amp;sourceID=14","0.0452")</f>
        <v>0.0452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HYPERLINK("http://141.218.60.56/~jnz1568/getInfo.php?workbook=20_14.xlsx&amp;sheet=U0&amp;row=2181&amp;col=6&amp;number=4.7&amp;sourceID=14","4.7")</f>
        <v>4.7</v>
      </c>
      <c r="G2181" s="4" t="str">
        <f>HYPERLINK("http://141.218.60.56/~jnz1568/getInfo.php?workbook=20_14.xlsx&amp;sheet=U0&amp;row=2181&amp;col=7&amp;number=0.0449&amp;sourceID=14","0.0449")</f>
        <v>0.0449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HYPERLINK("http://141.218.60.56/~jnz1568/getInfo.php?workbook=20_14.xlsx&amp;sheet=U0&amp;row=2182&amp;col=6&amp;number=4.8&amp;sourceID=14","4.8")</f>
        <v>4.8</v>
      </c>
      <c r="G2182" s="4" t="str">
        <f>HYPERLINK("http://141.218.60.56/~jnz1568/getInfo.php?workbook=20_14.xlsx&amp;sheet=U0&amp;row=2182&amp;col=7&amp;number=0.0445&amp;sourceID=14","0.0445")</f>
        <v>0.0445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HYPERLINK("http://141.218.60.56/~jnz1568/getInfo.php?workbook=20_14.xlsx&amp;sheet=U0&amp;row=2183&amp;col=6&amp;number=4.9&amp;sourceID=14","4.9")</f>
        <v>4.9</v>
      </c>
      <c r="G2183" s="4" t="str">
        <f>HYPERLINK("http://141.218.60.56/~jnz1568/getInfo.php?workbook=20_14.xlsx&amp;sheet=U0&amp;row=2183&amp;col=7&amp;number=0.0441&amp;sourceID=14","0.0441")</f>
        <v>0.0441</v>
      </c>
    </row>
    <row r="2184" spans="1:7">
      <c r="A2184" s="3">
        <v>20</v>
      </c>
      <c r="B2184" s="3">
        <v>14</v>
      </c>
      <c r="C2184" s="3">
        <v>5</v>
      </c>
      <c r="D2184" s="3">
        <v>17</v>
      </c>
      <c r="E2184" s="3">
        <v>1</v>
      </c>
      <c r="F2184" s="4" t="str">
        <f>HYPERLINK("http://141.218.60.56/~jnz1568/getInfo.php?workbook=20_14.xlsx&amp;sheet=U0&amp;row=2184&amp;col=6&amp;number=3&amp;sourceID=14","3")</f>
        <v>3</v>
      </c>
      <c r="G2184" s="4" t="str">
        <f>HYPERLINK("http://141.218.60.56/~jnz1568/getInfo.php?workbook=20_14.xlsx&amp;sheet=U0&amp;row=2184&amp;col=7&amp;number=0.262&amp;sourceID=14","0.262")</f>
        <v>0.262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HYPERLINK("http://141.218.60.56/~jnz1568/getInfo.php?workbook=20_14.xlsx&amp;sheet=U0&amp;row=2185&amp;col=6&amp;number=3.1&amp;sourceID=14","3.1")</f>
        <v>3.1</v>
      </c>
      <c r="G2185" s="4" t="str">
        <f>HYPERLINK("http://141.218.60.56/~jnz1568/getInfo.php?workbook=20_14.xlsx&amp;sheet=U0&amp;row=2185&amp;col=7&amp;number=0.262&amp;sourceID=14","0.262")</f>
        <v>0.262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HYPERLINK("http://141.218.60.56/~jnz1568/getInfo.php?workbook=20_14.xlsx&amp;sheet=U0&amp;row=2186&amp;col=6&amp;number=3.2&amp;sourceID=14","3.2")</f>
        <v>3.2</v>
      </c>
      <c r="G2186" s="4" t="str">
        <f>HYPERLINK("http://141.218.60.56/~jnz1568/getInfo.php?workbook=20_14.xlsx&amp;sheet=U0&amp;row=2186&amp;col=7&amp;number=0.262&amp;sourceID=14","0.262")</f>
        <v>0.262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HYPERLINK("http://141.218.60.56/~jnz1568/getInfo.php?workbook=20_14.xlsx&amp;sheet=U0&amp;row=2187&amp;col=6&amp;number=3.3&amp;sourceID=14","3.3")</f>
        <v>3.3</v>
      </c>
      <c r="G2187" s="4" t="str">
        <f>HYPERLINK("http://141.218.60.56/~jnz1568/getInfo.php?workbook=20_14.xlsx&amp;sheet=U0&amp;row=2187&amp;col=7&amp;number=0.262&amp;sourceID=14","0.262")</f>
        <v>0.262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HYPERLINK("http://141.218.60.56/~jnz1568/getInfo.php?workbook=20_14.xlsx&amp;sheet=U0&amp;row=2188&amp;col=6&amp;number=3.4&amp;sourceID=14","3.4")</f>
        <v>3.4</v>
      </c>
      <c r="G2188" s="4" t="str">
        <f>HYPERLINK("http://141.218.60.56/~jnz1568/getInfo.php?workbook=20_14.xlsx&amp;sheet=U0&amp;row=2188&amp;col=7&amp;number=0.262&amp;sourceID=14","0.262")</f>
        <v>0.262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HYPERLINK("http://141.218.60.56/~jnz1568/getInfo.php?workbook=20_14.xlsx&amp;sheet=U0&amp;row=2189&amp;col=6&amp;number=3.5&amp;sourceID=14","3.5")</f>
        <v>3.5</v>
      </c>
      <c r="G2189" s="4" t="str">
        <f>HYPERLINK("http://141.218.60.56/~jnz1568/getInfo.php?workbook=20_14.xlsx&amp;sheet=U0&amp;row=2189&amp;col=7&amp;number=0.262&amp;sourceID=14","0.262")</f>
        <v>0.262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HYPERLINK("http://141.218.60.56/~jnz1568/getInfo.php?workbook=20_14.xlsx&amp;sheet=U0&amp;row=2190&amp;col=6&amp;number=3.6&amp;sourceID=14","3.6")</f>
        <v>3.6</v>
      </c>
      <c r="G2190" s="4" t="str">
        <f>HYPERLINK("http://141.218.60.56/~jnz1568/getInfo.php?workbook=20_14.xlsx&amp;sheet=U0&amp;row=2190&amp;col=7&amp;number=0.262&amp;sourceID=14","0.262")</f>
        <v>0.262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HYPERLINK("http://141.218.60.56/~jnz1568/getInfo.php?workbook=20_14.xlsx&amp;sheet=U0&amp;row=2191&amp;col=6&amp;number=3.7&amp;sourceID=14","3.7")</f>
        <v>3.7</v>
      </c>
      <c r="G2191" s="4" t="str">
        <f>HYPERLINK("http://141.218.60.56/~jnz1568/getInfo.php?workbook=20_14.xlsx&amp;sheet=U0&amp;row=2191&amp;col=7&amp;number=0.263&amp;sourceID=14","0.263")</f>
        <v>0.263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HYPERLINK("http://141.218.60.56/~jnz1568/getInfo.php?workbook=20_14.xlsx&amp;sheet=U0&amp;row=2192&amp;col=6&amp;number=3.8&amp;sourceID=14","3.8")</f>
        <v>3.8</v>
      </c>
      <c r="G2192" s="4" t="str">
        <f>HYPERLINK("http://141.218.60.56/~jnz1568/getInfo.php?workbook=20_14.xlsx&amp;sheet=U0&amp;row=2192&amp;col=7&amp;number=0.263&amp;sourceID=14","0.263")</f>
        <v>0.263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HYPERLINK("http://141.218.60.56/~jnz1568/getInfo.php?workbook=20_14.xlsx&amp;sheet=U0&amp;row=2193&amp;col=6&amp;number=3.9&amp;sourceID=14","3.9")</f>
        <v>3.9</v>
      </c>
      <c r="G2193" s="4" t="str">
        <f>HYPERLINK("http://141.218.60.56/~jnz1568/getInfo.php?workbook=20_14.xlsx&amp;sheet=U0&amp;row=2193&amp;col=7&amp;number=0.263&amp;sourceID=14","0.263")</f>
        <v>0.263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HYPERLINK("http://141.218.60.56/~jnz1568/getInfo.php?workbook=20_14.xlsx&amp;sheet=U0&amp;row=2194&amp;col=6&amp;number=4&amp;sourceID=14","4")</f>
        <v>4</v>
      </c>
      <c r="G2194" s="4" t="str">
        <f>HYPERLINK("http://141.218.60.56/~jnz1568/getInfo.php?workbook=20_14.xlsx&amp;sheet=U0&amp;row=2194&amp;col=7&amp;number=0.264&amp;sourceID=14","0.264")</f>
        <v>0.264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HYPERLINK("http://141.218.60.56/~jnz1568/getInfo.php?workbook=20_14.xlsx&amp;sheet=U0&amp;row=2195&amp;col=6&amp;number=4.1&amp;sourceID=14","4.1")</f>
        <v>4.1</v>
      </c>
      <c r="G2195" s="4" t="str">
        <f>HYPERLINK("http://141.218.60.56/~jnz1568/getInfo.php?workbook=20_14.xlsx&amp;sheet=U0&amp;row=2195&amp;col=7&amp;number=0.264&amp;sourceID=14","0.264")</f>
        <v>0.264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HYPERLINK("http://141.218.60.56/~jnz1568/getInfo.php?workbook=20_14.xlsx&amp;sheet=U0&amp;row=2196&amp;col=6&amp;number=4.2&amp;sourceID=14","4.2")</f>
        <v>4.2</v>
      </c>
      <c r="G2196" s="4" t="str">
        <f>HYPERLINK("http://141.218.60.56/~jnz1568/getInfo.php?workbook=20_14.xlsx&amp;sheet=U0&amp;row=2196&amp;col=7&amp;number=0.265&amp;sourceID=14","0.265")</f>
        <v>0.265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HYPERLINK("http://141.218.60.56/~jnz1568/getInfo.php?workbook=20_14.xlsx&amp;sheet=U0&amp;row=2197&amp;col=6&amp;number=4.3&amp;sourceID=14","4.3")</f>
        <v>4.3</v>
      </c>
      <c r="G2197" s="4" t="str">
        <f>HYPERLINK("http://141.218.60.56/~jnz1568/getInfo.php?workbook=20_14.xlsx&amp;sheet=U0&amp;row=2197&amp;col=7&amp;number=0.266&amp;sourceID=14","0.266")</f>
        <v>0.266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HYPERLINK("http://141.218.60.56/~jnz1568/getInfo.php?workbook=20_14.xlsx&amp;sheet=U0&amp;row=2198&amp;col=6&amp;number=4.4&amp;sourceID=14","4.4")</f>
        <v>4.4</v>
      </c>
      <c r="G2198" s="4" t="str">
        <f>HYPERLINK("http://141.218.60.56/~jnz1568/getInfo.php?workbook=20_14.xlsx&amp;sheet=U0&amp;row=2198&amp;col=7&amp;number=0.267&amp;sourceID=14","0.267")</f>
        <v>0.267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HYPERLINK("http://141.218.60.56/~jnz1568/getInfo.php?workbook=20_14.xlsx&amp;sheet=U0&amp;row=2199&amp;col=6&amp;number=4.5&amp;sourceID=14","4.5")</f>
        <v>4.5</v>
      </c>
      <c r="G2199" s="4" t="str">
        <f>HYPERLINK("http://141.218.60.56/~jnz1568/getInfo.php?workbook=20_14.xlsx&amp;sheet=U0&amp;row=2199&amp;col=7&amp;number=0.268&amp;sourceID=14","0.268")</f>
        <v>0.268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HYPERLINK("http://141.218.60.56/~jnz1568/getInfo.php?workbook=20_14.xlsx&amp;sheet=U0&amp;row=2200&amp;col=6&amp;number=4.6&amp;sourceID=14","4.6")</f>
        <v>4.6</v>
      </c>
      <c r="G2200" s="4" t="str">
        <f>HYPERLINK("http://141.218.60.56/~jnz1568/getInfo.php?workbook=20_14.xlsx&amp;sheet=U0&amp;row=2200&amp;col=7&amp;number=0.27&amp;sourceID=14","0.27")</f>
        <v>0.27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HYPERLINK("http://141.218.60.56/~jnz1568/getInfo.php?workbook=20_14.xlsx&amp;sheet=U0&amp;row=2201&amp;col=6&amp;number=4.7&amp;sourceID=14","4.7")</f>
        <v>4.7</v>
      </c>
      <c r="G2201" s="4" t="str">
        <f>HYPERLINK("http://141.218.60.56/~jnz1568/getInfo.php?workbook=20_14.xlsx&amp;sheet=U0&amp;row=2201&amp;col=7&amp;number=0.272&amp;sourceID=14","0.272")</f>
        <v>0.272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HYPERLINK("http://141.218.60.56/~jnz1568/getInfo.php?workbook=20_14.xlsx&amp;sheet=U0&amp;row=2202&amp;col=6&amp;number=4.8&amp;sourceID=14","4.8")</f>
        <v>4.8</v>
      </c>
      <c r="G2202" s="4" t="str">
        <f>HYPERLINK("http://141.218.60.56/~jnz1568/getInfo.php?workbook=20_14.xlsx&amp;sheet=U0&amp;row=2202&amp;col=7&amp;number=0.274&amp;sourceID=14","0.274")</f>
        <v>0.274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HYPERLINK("http://141.218.60.56/~jnz1568/getInfo.php?workbook=20_14.xlsx&amp;sheet=U0&amp;row=2203&amp;col=6&amp;number=4.9&amp;sourceID=14","4.9")</f>
        <v>4.9</v>
      </c>
      <c r="G2203" s="4" t="str">
        <f>HYPERLINK("http://141.218.60.56/~jnz1568/getInfo.php?workbook=20_14.xlsx&amp;sheet=U0&amp;row=2203&amp;col=7&amp;number=0.278&amp;sourceID=14","0.278")</f>
        <v>0.278</v>
      </c>
    </row>
    <row r="2204" spans="1:7">
      <c r="A2204" s="3">
        <v>20</v>
      </c>
      <c r="B2204" s="3">
        <v>14</v>
      </c>
      <c r="C2204" s="3">
        <v>5</v>
      </c>
      <c r="D2204" s="3">
        <v>18</v>
      </c>
      <c r="E2204" s="3">
        <v>1</v>
      </c>
      <c r="F2204" s="4" t="str">
        <f>HYPERLINK("http://141.218.60.56/~jnz1568/getInfo.php?workbook=20_14.xlsx&amp;sheet=U0&amp;row=2204&amp;col=6&amp;number=3&amp;sourceID=14","3")</f>
        <v>3</v>
      </c>
      <c r="G2204" s="4" t="str">
        <f>HYPERLINK("http://141.218.60.56/~jnz1568/getInfo.php?workbook=20_14.xlsx&amp;sheet=U0&amp;row=2204&amp;col=7&amp;number=0.0492&amp;sourceID=14","0.0492")</f>
        <v>0.0492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HYPERLINK("http://141.218.60.56/~jnz1568/getInfo.php?workbook=20_14.xlsx&amp;sheet=U0&amp;row=2205&amp;col=6&amp;number=3.1&amp;sourceID=14","3.1")</f>
        <v>3.1</v>
      </c>
      <c r="G2205" s="4" t="str">
        <f>HYPERLINK("http://141.218.60.56/~jnz1568/getInfo.php?workbook=20_14.xlsx&amp;sheet=U0&amp;row=2205&amp;col=7&amp;number=0.0492&amp;sourceID=14","0.0492")</f>
        <v>0.0492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HYPERLINK("http://141.218.60.56/~jnz1568/getInfo.php?workbook=20_14.xlsx&amp;sheet=U0&amp;row=2206&amp;col=6&amp;number=3.2&amp;sourceID=14","3.2")</f>
        <v>3.2</v>
      </c>
      <c r="G2206" s="4" t="str">
        <f>HYPERLINK("http://141.218.60.56/~jnz1568/getInfo.php?workbook=20_14.xlsx&amp;sheet=U0&amp;row=2206&amp;col=7&amp;number=0.0492&amp;sourceID=14","0.0492")</f>
        <v>0.0492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HYPERLINK("http://141.218.60.56/~jnz1568/getInfo.php?workbook=20_14.xlsx&amp;sheet=U0&amp;row=2207&amp;col=6&amp;number=3.3&amp;sourceID=14","3.3")</f>
        <v>3.3</v>
      </c>
      <c r="G2207" s="4" t="str">
        <f>HYPERLINK("http://141.218.60.56/~jnz1568/getInfo.php?workbook=20_14.xlsx&amp;sheet=U0&amp;row=2207&amp;col=7&amp;number=0.0492&amp;sourceID=14","0.0492")</f>
        <v>0.0492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HYPERLINK("http://141.218.60.56/~jnz1568/getInfo.php?workbook=20_14.xlsx&amp;sheet=U0&amp;row=2208&amp;col=6&amp;number=3.4&amp;sourceID=14","3.4")</f>
        <v>3.4</v>
      </c>
      <c r="G2208" s="4" t="str">
        <f>HYPERLINK("http://141.218.60.56/~jnz1568/getInfo.php?workbook=20_14.xlsx&amp;sheet=U0&amp;row=2208&amp;col=7&amp;number=0.0492&amp;sourceID=14","0.0492")</f>
        <v>0.0492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HYPERLINK("http://141.218.60.56/~jnz1568/getInfo.php?workbook=20_14.xlsx&amp;sheet=U0&amp;row=2209&amp;col=6&amp;number=3.5&amp;sourceID=14","3.5")</f>
        <v>3.5</v>
      </c>
      <c r="G2209" s="4" t="str">
        <f>HYPERLINK("http://141.218.60.56/~jnz1568/getInfo.php?workbook=20_14.xlsx&amp;sheet=U0&amp;row=2209&amp;col=7&amp;number=0.0493&amp;sourceID=14","0.0493")</f>
        <v>0.0493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HYPERLINK("http://141.218.60.56/~jnz1568/getInfo.php?workbook=20_14.xlsx&amp;sheet=U0&amp;row=2210&amp;col=6&amp;number=3.6&amp;sourceID=14","3.6")</f>
        <v>3.6</v>
      </c>
      <c r="G2210" s="4" t="str">
        <f>HYPERLINK("http://141.218.60.56/~jnz1568/getInfo.php?workbook=20_14.xlsx&amp;sheet=U0&amp;row=2210&amp;col=7&amp;number=0.0493&amp;sourceID=14","0.0493")</f>
        <v>0.0493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HYPERLINK("http://141.218.60.56/~jnz1568/getInfo.php?workbook=20_14.xlsx&amp;sheet=U0&amp;row=2211&amp;col=6&amp;number=3.7&amp;sourceID=14","3.7")</f>
        <v>3.7</v>
      </c>
      <c r="G2211" s="4" t="str">
        <f>HYPERLINK("http://141.218.60.56/~jnz1568/getInfo.php?workbook=20_14.xlsx&amp;sheet=U0&amp;row=2211&amp;col=7&amp;number=0.0493&amp;sourceID=14","0.0493")</f>
        <v>0.0493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HYPERLINK("http://141.218.60.56/~jnz1568/getInfo.php?workbook=20_14.xlsx&amp;sheet=U0&amp;row=2212&amp;col=6&amp;number=3.8&amp;sourceID=14","3.8")</f>
        <v>3.8</v>
      </c>
      <c r="G2212" s="4" t="str">
        <f>HYPERLINK("http://141.218.60.56/~jnz1568/getInfo.php?workbook=20_14.xlsx&amp;sheet=U0&amp;row=2212&amp;col=7&amp;number=0.0493&amp;sourceID=14","0.0493")</f>
        <v>0.0493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HYPERLINK("http://141.218.60.56/~jnz1568/getInfo.php?workbook=20_14.xlsx&amp;sheet=U0&amp;row=2213&amp;col=6&amp;number=3.9&amp;sourceID=14","3.9")</f>
        <v>3.9</v>
      </c>
      <c r="G2213" s="4" t="str">
        <f>HYPERLINK("http://141.218.60.56/~jnz1568/getInfo.php?workbook=20_14.xlsx&amp;sheet=U0&amp;row=2213&amp;col=7&amp;number=0.0494&amp;sourceID=14","0.0494")</f>
        <v>0.0494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HYPERLINK("http://141.218.60.56/~jnz1568/getInfo.php?workbook=20_14.xlsx&amp;sheet=U0&amp;row=2214&amp;col=6&amp;number=4&amp;sourceID=14","4")</f>
        <v>4</v>
      </c>
      <c r="G2214" s="4" t="str">
        <f>HYPERLINK("http://141.218.60.56/~jnz1568/getInfo.php?workbook=20_14.xlsx&amp;sheet=U0&amp;row=2214&amp;col=7&amp;number=0.0494&amp;sourceID=14","0.0494")</f>
        <v>0.0494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HYPERLINK("http://141.218.60.56/~jnz1568/getInfo.php?workbook=20_14.xlsx&amp;sheet=U0&amp;row=2215&amp;col=6&amp;number=4.1&amp;sourceID=14","4.1")</f>
        <v>4.1</v>
      </c>
      <c r="G2215" s="4" t="str">
        <f>HYPERLINK("http://141.218.60.56/~jnz1568/getInfo.php?workbook=20_14.xlsx&amp;sheet=U0&amp;row=2215&amp;col=7&amp;number=0.0495&amp;sourceID=14","0.0495")</f>
        <v>0.0495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HYPERLINK("http://141.218.60.56/~jnz1568/getInfo.php?workbook=20_14.xlsx&amp;sheet=U0&amp;row=2216&amp;col=6&amp;number=4.2&amp;sourceID=14","4.2")</f>
        <v>4.2</v>
      </c>
      <c r="G2216" s="4" t="str">
        <f>HYPERLINK("http://141.218.60.56/~jnz1568/getInfo.php?workbook=20_14.xlsx&amp;sheet=U0&amp;row=2216&amp;col=7&amp;number=0.0496&amp;sourceID=14","0.0496")</f>
        <v>0.0496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HYPERLINK("http://141.218.60.56/~jnz1568/getInfo.php?workbook=20_14.xlsx&amp;sheet=U0&amp;row=2217&amp;col=6&amp;number=4.3&amp;sourceID=14","4.3")</f>
        <v>4.3</v>
      </c>
      <c r="G2217" s="4" t="str">
        <f>HYPERLINK("http://141.218.60.56/~jnz1568/getInfo.php?workbook=20_14.xlsx&amp;sheet=U0&amp;row=2217&amp;col=7&amp;number=0.0497&amp;sourceID=14","0.0497")</f>
        <v>0.0497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HYPERLINK("http://141.218.60.56/~jnz1568/getInfo.php?workbook=20_14.xlsx&amp;sheet=U0&amp;row=2218&amp;col=6&amp;number=4.4&amp;sourceID=14","4.4")</f>
        <v>4.4</v>
      </c>
      <c r="G2218" s="4" t="str">
        <f>HYPERLINK("http://141.218.60.56/~jnz1568/getInfo.php?workbook=20_14.xlsx&amp;sheet=U0&amp;row=2218&amp;col=7&amp;number=0.0498&amp;sourceID=14","0.0498")</f>
        <v>0.0498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HYPERLINK("http://141.218.60.56/~jnz1568/getInfo.php?workbook=20_14.xlsx&amp;sheet=U0&amp;row=2219&amp;col=6&amp;number=4.5&amp;sourceID=14","4.5")</f>
        <v>4.5</v>
      </c>
      <c r="G2219" s="4" t="str">
        <f>HYPERLINK("http://141.218.60.56/~jnz1568/getInfo.php?workbook=20_14.xlsx&amp;sheet=U0&amp;row=2219&amp;col=7&amp;number=0.05&amp;sourceID=14","0.05")</f>
        <v>0.05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HYPERLINK("http://141.218.60.56/~jnz1568/getInfo.php?workbook=20_14.xlsx&amp;sheet=U0&amp;row=2220&amp;col=6&amp;number=4.6&amp;sourceID=14","4.6")</f>
        <v>4.6</v>
      </c>
      <c r="G2220" s="4" t="str">
        <f>HYPERLINK("http://141.218.60.56/~jnz1568/getInfo.php?workbook=20_14.xlsx&amp;sheet=U0&amp;row=2220&amp;col=7&amp;number=0.0502&amp;sourceID=14","0.0502")</f>
        <v>0.0502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HYPERLINK("http://141.218.60.56/~jnz1568/getInfo.php?workbook=20_14.xlsx&amp;sheet=U0&amp;row=2221&amp;col=6&amp;number=4.7&amp;sourceID=14","4.7")</f>
        <v>4.7</v>
      </c>
      <c r="G2221" s="4" t="str">
        <f>HYPERLINK("http://141.218.60.56/~jnz1568/getInfo.php?workbook=20_14.xlsx&amp;sheet=U0&amp;row=2221&amp;col=7&amp;number=0.0504&amp;sourceID=14","0.0504")</f>
        <v>0.0504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HYPERLINK("http://141.218.60.56/~jnz1568/getInfo.php?workbook=20_14.xlsx&amp;sheet=U0&amp;row=2222&amp;col=6&amp;number=4.8&amp;sourceID=14","4.8")</f>
        <v>4.8</v>
      </c>
      <c r="G2222" s="4" t="str">
        <f>HYPERLINK("http://141.218.60.56/~jnz1568/getInfo.php?workbook=20_14.xlsx&amp;sheet=U0&amp;row=2222&amp;col=7&amp;number=0.0507&amp;sourceID=14","0.0507")</f>
        <v>0.0507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HYPERLINK("http://141.218.60.56/~jnz1568/getInfo.php?workbook=20_14.xlsx&amp;sheet=U0&amp;row=2223&amp;col=6&amp;number=4.9&amp;sourceID=14","4.9")</f>
        <v>4.9</v>
      </c>
      <c r="G2223" s="4" t="str">
        <f>HYPERLINK("http://141.218.60.56/~jnz1568/getInfo.php?workbook=20_14.xlsx&amp;sheet=U0&amp;row=2223&amp;col=7&amp;number=0.0511&amp;sourceID=14","0.0511")</f>
        <v>0.0511</v>
      </c>
    </row>
    <row r="2224" spans="1:7">
      <c r="A2224" s="3">
        <v>20</v>
      </c>
      <c r="B2224" s="3">
        <v>14</v>
      </c>
      <c r="C2224" s="3">
        <v>5</v>
      </c>
      <c r="D2224" s="3">
        <v>19</v>
      </c>
      <c r="E2224" s="3">
        <v>1</v>
      </c>
      <c r="F2224" s="4" t="str">
        <f>HYPERLINK("http://141.218.60.56/~jnz1568/getInfo.php?workbook=20_14.xlsx&amp;sheet=U0&amp;row=2224&amp;col=6&amp;number=3&amp;sourceID=14","3")</f>
        <v>3</v>
      </c>
      <c r="G2224" s="4" t="str">
        <f>HYPERLINK("http://141.218.60.56/~jnz1568/getInfo.php?workbook=20_14.xlsx&amp;sheet=U0&amp;row=2224&amp;col=7&amp;number=0.00582&amp;sourceID=14","0.00582")</f>
        <v>0.00582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HYPERLINK("http://141.218.60.56/~jnz1568/getInfo.php?workbook=20_14.xlsx&amp;sheet=U0&amp;row=2225&amp;col=6&amp;number=3.1&amp;sourceID=14","3.1")</f>
        <v>3.1</v>
      </c>
      <c r="G2225" s="4" t="str">
        <f>HYPERLINK("http://141.218.60.56/~jnz1568/getInfo.php?workbook=20_14.xlsx&amp;sheet=U0&amp;row=2225&amp;col=7&amp;number=0.00582&amp;sourceID=14","0.00582")</f>
        <v>0.00582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HYPERLINK("http://141.218.60.56/~jnz1568/getInfo.php?workbook=20_14.xlsx&amp;sheet=U0&amp;row=2226&amp;col=6&amp;number=3.2&amp;sourceID=14","3.2")</f>
        <v>3.2</v>
      </c>
      <c r="G2226" s="4" t="str">
        <f>HYPERLINK("http://141.218.60.56/~jnz1568/getInfo.php?workbook=20_14.xlsx&amp;sheet=U0&amp;row=2226&amp;col=7&amp;number=0.00582&amp;sourceID=14","0.00582")</f>
        <v>0.00582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HYPERLINK("http://141.218.60.56/~jnz1568/getInfo.php?workbook=20_14.xlsx&amp;sheet=U0&amp;row=2227&amp;col=6&amp;number=3.3&amp;sourceID=14","3.3")</f>
        <v>3.3</v>
      </c>
      <c r="G2227" s="4" t="str">
        <f>HYPERLINK("http://141.218.60.56/~jnz1568/getInfo.php?workbook=20_14.xlsx&amp;sheet=U0&amp;row=2227&amp;col=7&amp;number=0.00582&amp;sourceID=14","0.00582")</f>
        <v>0.00582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HYPERLINK("http://141.218.60.56/~jnz1568/getInfo.php?workbook=20_14.xlsx&amp;sheet=U0&amp;row=2228&amp;col=6&amp;number=3.4&amp;sourceID=14","3.4")</f>
        <v>3.4</v>
      </c>
      <c r="G2228" s="4" t="str">
        <f>HYPERLINK("http://141.218.60.56/~jnz1568/getInfo.php?workbook=20_14.xlsx&amp;sheet=U0&amp;row=2228&amp;col=7&amp;number=0.00581&amp;sourceID=14","0.00581")</f>
        <v>0.00581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HYPERLINK("http://141.218.60.56/~jnz1568/getInfo.php?workbook=20_14.xlsx&amp;sheet=U0&amp;row=2229&amp;col=6&amp;number=3.5&amp;sourceID=14","3.5")</f>
        <v>3.5</v>
      </c>
      <c r="G2229" s="4" t="str">
        <f>HYPERLINK("http://141.218.60.56/~jnz1568/getInfo.php?workbook=20_14.xlsx&amp;sheet=U0&amp;row=2229&amp;col=7&amp;number=0.00581&amp;sourceID=14","0.00581")</f>
        <v>0.00581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HYPERLINK("http://141.218.60.56/~jnz1568/getInfo.php?workbook=20_14.xlsx&amp;sheet=U0&amp;row=2230&amp;col=6&amp;number=3.6&amp;sourceID=14","3.6")</f>
        <v>3.6</v>
      </c>
      <c r="G2230" s="4" t="str">
        <f>HYPERLINK("http://141.218.60.56/~jnz1568/getInfo.php?workbook=20_14.xlsx&amp;sheet=U0&amp;row=2230&amp;col=7&amp;number=0.00581&amp;sourceID=14","0.00581")</f>
        <v>0.00581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HYPERLINK("http://141.218.60.56/~jnz1568/getInfo.php?workbook=20_14.xlsx&amp;sheet=U0&amp;row=2231&amp;col=6&amp;number=3.7&amp;sourceID=14","3.7")</f>
        <v>3.7</v>
      </c>
      <c r="G2231" s="4" t="str">
        <f>HYPERLINK("http://141.218.60.56/~jnz1568/getInfo.php?workbook=20_14.xlsx&amp;sheet=U0&amp;row=2231&amp;col=7&amp;number=0.0058&amp;sourceID=14","0.0058")</f>
        <v>0.0058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HYPERLINK("http://141.218.60.56/~jnz1568/getInfo.php?workbook=20_14.xlsx&amp;sheet=U0&amp;row=2232&amp;col=6&amp;number=3.8&amp;sourceID=14","3.8")</f>
        <v>3.8</v>
      </c>
      <c r="G2232" s="4" t="str">
        <f>HYPERLINK("http://141.218.60.56/~jnz1568/getInfo.php?workbook=20_14.xlsx&amp;sheet=U0&amp;row=2232&amp;col=7&amp;number=0.0058&amp;sourceID=14","0.0058")</f>
        <v>0.0058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HYPERLINK("http://141.218.60.56/~jnz1568/getInfo.php?workbook=20_14.xlsx&amp;sheet=U0&amp;row=2233&amp;col=6&amp;number=3.9&amp;sourceID=14","3.9")</f>
        <v>3.9</v>
      </c>
      <c r="G2233" s="4" t="str">
        <f>HYPERLINK("http://141.218.60.56/~jnz1568/getInfo.php?workbook=20_14.xlsx&amp;sheet=U0&amp;row=2233&amp;col=7&amp;number=0.00579&amp;sourceID=14","0.00579")</f>
        <v>0.00579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HYPERLINK("http://141.218.60.56/~jnz1568/getInfo.php?workbook=20_14.xlsx&amp;sheet=U0&amp;row=2234&amp;col=6&amp;number=4&amp;sourceID=14","4")</f>
        <v>4</v>
      </c>
      <c r="G2234" s="4" t="str">
        <f>HYPERLINK("http://141.218.60.56/~jnz1568/getInfo.php?workbook=20_14.xlsx&amp;sheet=U0&amp;row=2234&amp;col=7&amp;number=0.00578&amp;sourceID=14","0.00578")</f>
        <v>0.00578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HYPERLINK("http://141.218.60.56/~jnz1568/getInfo.php?workbook=20_14.xlsx&amp;sheet=U0&amp;row=2235&amp;col=6&amp;number=4.1&amp;sourceID=14","4.1")</f>
        <v>4.1</v>
      </c>
      <c r="G2235" s="4" t="str">
        <f>HYPERLINK("http://141.218.60.56/~jnz1568/getInfo.php?workbook=20_14.xlsx&amp;sheet=U0&amp;row=2235&amp;col=7&amp;number=0.00577&amp;sourceID=14","0.00577")</f>
        <v>0.00577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HYPERLINK("http://141.218.60.56/~jnz1568/getInfo.php?workbook=20_14.xlsx&amp;sheet=U0&amp;row=2236&amp;col=6&amp;number=4.2&amp;sourceID=14","4.2")</f>
        <v>4.2</v>
      </c>
      <c r="G2236" s="4" t="str">
        <f>HYPERLINK("http://141.218.60.56/~jnz1568/getInfo.php?workbook=20_14.xlsx&amp;sheet=U0&amp;row=2236&amp;col=7&amp;number=0.00576&amp;sourceID=14","0.00576")</f>
        <v>0.00576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HYPERLINK("http://141.218.60.56/~jnz1568/getInfo.php?workbook=20_14.xlsx&amp;sheet=U0&amp;row=2237&amp;col=6&amp;number=4.3&amp;sourceID=14","4.3")</f>
        <v>4.3</v>
      </c>
      <c r="G2237" s="4" t="str">
        <f>HYPERLINK("http://141.218.60.56/~jnz1568/getInfo.php?workbook=20_14.xlsx&amp;sheet=U0&amp;row=2237&amp;col=7&amp;number=0.00575&amp;sourceID=14","0.00575")</f>
        <v>0.00575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HYPERLINK("http://141.218.60.56/~jnz1568/getInfo.php?workbook=20_14.xlsx&amp;sheet=U0&amp;row=2238&amp;col=6&amp;number=4.4&amp;sourceID=14","4.4")</f>
        <v>4.4</v>
      </c>
      <c r="G2238" s="4" t="str">
        <f>HYPERLINK("http://141.218.60.56/~jnz1568/getInfo.php?workbook=20_14.xlsx&amp;sheet=U0&amp;row=2238&amp;col=7&amp;number=0.00573&amp;sourceID=14","0.00573")</f>
        <v>0.00573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HYPERLINK("http://141.218.60.56/~jnz1568/getInfo.php?workbook=20_14.xlsx&amp;sheet=U0&amp;row=2239&amp;col=6&amp;number=4.5&amp;sourceID=14","4.5")</f>
        <v>4.5</v>
      </c>
      <c r="G2239" s="4" t="str">
        <f>HYPERLINK("http://141.218.60.56/~jnz1568/getInfo.php?workbook=20_14.xlsx&amp;sheet=U0&amp;row=2239&amp;col=7&amp;number=0.0057&amp;sourceID=14","0.0057")</f>
        <v>0.0057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HYPERLINK("http://141.218.60.56/~jnz1568/getInfo.php?workbook=20_14.xlsx&amp;sheet=U0&amp;row=2240&amp;col=6&amp;number=4.6&amp;sourceID=14","4.6")</f>
        <v>4.6</v>
      </c>
      <c r="G2240" s="4" t="str">
        <f>HYPERLINK("http://141.218.60.56/~jnz1568/getInfo.php?workbook=20_14.xlsx&amp;sheet=U0&amp;row=2240&amp;col=7&amp;number=0.00567&amp;sourceID=14","0.00567")</f>
        <v>0.00567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HYPERLINK("http://141.218.60.56/~jnz1568/getInfo.php?workbook=20_14.xlsx&amp;sheet=U0&amp;row=2241&amp;col=6&amp;number=4.7&amp;sourceID=14","4.7")</f>
        <v>4.7</v>
      </c>
      <c r="G2241" s="4" t="str">
        <f>HYPERLINK("http://141.218.60.56/~jnz1568/getInfo.php?workbook=20_14.xlsx&amp;sheet=U0&amp;row=2241&amp;col=7&amp;number=0.00563&amp;sourceID=14","0.00563")</f>
        <v>0.00563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HYPERLINK("http://141.218.60.56/~jnz1568/getInfo.php?workbook=20_14.xlsx&amp;sheet=U0&amp;row=2242&amp;col=6&amp;number=4.8&amp;sourceID=14","4.8")</f>
        <v>4.8</v>
      </c>
      <c r="G2242" s="4" t="str">
        <f>HYPERLINK("http://141.218.60.56/~jnz1568/getInfo.php?workbook=20_14.xlsx&amp;sheet=U0&amp;row=2242&amp;col=7&amp;number=0.00558&amp;sourceID=14","0.00558")</f>
        <v>0.00558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HYPERLINK("http://141.218.60.56/~jnz1568/getInfo.php?workbook=20_14.xlsx&amp;sheet=U0&amp;row=2243&amp;col=6&amp;number=4.9&amp;sourceID=14","4.9")</f>
        <v>4.9</v>
      </c>
      <c r="G2243" s="4" t="str">
        <f>HYPERLINK("http://141.218.60.56/~jnz1568/getInfo.php?workbook=20_14.xlsx&amp;sheet=U0&amp;row=2243&amp;col=7&amp;number=0.00553&amp;sourceID=14","0.00553")</f>
        <v>0.00553</v>
      </c>
    </row>
    <row r="2244" spans="1:7">
      <c r="A2244" s="3">
        <v>20</v>
      </c>
      <c r="B2244" s="3">
        <v>14</v>
      </c>
      <c r="C2244" s="3">
        <v>5</v>
      </c>
      <c r="D2244" s="3">
        <v>20</v>
      </c>
      <c r="E2244" s="3">
        <v>1</v>
      </c>
      <c r="F2244" s="4" t="str">
        <f>HYPERLINK("http://141.218.60.56/~jnz1568/getInfo.php?workbook=20_14.xlsx&amp;sheet=U0&amp;row=2244&amp;col=6&amp;number=3&amp;sourceID=14","3")</f>
        <v>3</v>
      </c>
      <c r="G2244" s="4" t="str">
        <f>HYPERLINK("http://141.218.60.56/~jnz1568/getInfo.php?workbook=20_14.xlsx&amp;sheet=U0&amp;row=2244&amp;col=7&amp;number=0.02&amp;sourceID=14","0.02")</f>
        <v>0.02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HYPERLINK("http://141.218.60.56/~jnz1568/getInfo.php?workbook=20_14.xlsx&amp;sheet=U0&amp;row=2245&amp;col=6&amp;number=3.1&amp;sourceID=14","3.1")</f>
        <v>3.1</v>
      </c>
      <c r="G2245" s="4" t="str">
        <f>HYPERLINK("http://141.218.60.56/~jnz1568/getInfo.php?workbook=20_14.xlsx&amp;sheet=U0&amp;row=2245&amp;col=7&amp;number=0.02&amp;sourceID=14","0.02")</f>
        <v>0.02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HYPERLINK("http://141.218.60.56/~jnz1568/getInfo.php?workbook=20_14.xlsx&amp;sheet=U0&amp;row=2246&amp;col=6&amp;number=3.2&amp;sourceID=14","3.2")</f>
        <v>3.2</v>
      </c>
      <c r="G2246" s="4" t="str">
        <f>HYPERLINK("http://141.218.60.56/~jnz1568/getInfo.php?workbook=20_14.xlsx&amp;sheet=U0&amp;row=2246&amp;col=7&amp;number=0.02&amp;sourceID=14","0.02")</f>
        <v>0.02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HYPERLINK("http://141.218.60.56/~jnz1568/getInfo.php?workbook=20_14.xlsx&amp;sheet=U0&amp;row=2247&amp;col=6&amp;number=3.3&amp;sourceID=14","3.3")</f>
        <v>3.3</v>
      </c>
      <c r="G2247" s="4" t="str">
        <f>HYPERLINK("http://141.218.60.56/~jnz1568/getInfo.php?workbook=20_14.xlsx&amp;sheet=U0&amp;row=2247&amp;col=7&amp;number=0.02&amp;sourceID=14","0.02")</f>
        <v>0.02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HYPERLINK("http://141.218.60.56/~jnz1568/getInfo.php?workbook=20_14.xlsx&amp;sheet=U0&amp;row=2248&amp;col=6&amp;number=3.4&amp;sourceID=14","3.4")</f>
        <v>3.4</v>
      </c>
      <c r="G2248" s="4" t="str">
        <f>HYPERLINK("http://141.218.60.56/~jnz1568/getInfo.php?workbook=20_14.xlsx&amp;sheet=U0&amp;row=2248&amp;col=7&amp;number=0.02&amp;sourceID=14","0.02")</f>
        <v>0.02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HYPERLINK("http://141.218.60.56/~jnz1568/getInfo.php?workbook=20_14.xlsx&amp;sheet=U0&amp;row=2249&amp;col=6&amp;number=3.5&amp;sourceID=14","3.5")</f>
        <v>3.5</v>
      </c>
      <c r="G2249" s="4" t="str">
        <f>HYPERLINK("http://141.218.60.56/~jnz1568/getInfo.php?workbook=20_14.xlsx&amp;sheet=U0&amp;row=2249&amp;col=7&amp;number=0.02&amp;sourceID=14","0.02")</f>
        <v>0.02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HYPERLINK("http://141.218.60.56/~jnz1568/getInfo.php?workbook=20_14.xlsx&amp;sheet=U0&amp;row=2250&amp;col=6&amp;number=3.6&amp;sourceID=14","3.6")</f>
        <v>3.6</v>
      </c>
      <c r="G2250" s="4" t="str">
        <f>HYPERLINK("http://141.218.60.56/~jnz1568/getInfo.php?workbook=20_14.xlsx&amp;sheet=U0&amp;row=2250&amp;col=7&amp;number=0.0199&amp;sourceID=14","0.0199")</f>
        <v>0.0199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HYPERLINK("http://141.218.60.56/~jnz1568/getInfo.php?workbook=20_14.xlsx&amp;sheet=U0&amp;row=2251&amp;col=6&amp;number=3.7&amp;sourceID=14","3.7")</f>
        <v>3.7</v>
      </c>
      <c r="G2251" s="4" t="str">
        <f>HYPERLINK("http://141.218.60.56/~jnz1568/getInfo.php?workbook=20_14.xlsx&amp;sheet=U0&amp;row=2251&amp;col=7&amp;number=0.0199&amp;sourceID=14","0.0199")</f>
        <v>0.0199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HYPERLINK("http://141.218.60.56/~jnz1568/getInfo.php?workbook=20_14.xlsx&amp;sheet=U0&amp;row=2252&amp;col=6&amp;number=3.8&amp;sourceID=14","3.8")</f>
        <v>3.8</v>
      </c>
      <c r="G2252" s="4" t="str">
        <f>HYPERLINK("http://141.218.60.56/~jnz1568/getInfo.php?workbook=20_14.xlsx&amp;sheet=U0&amp;row=2252&amp;col=7&amp;number=0.0199&amp;sourceID=14","0.0199")</f>
        <v>0.0199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HYPERLINK("http://141.218.60.56/~jnz1568/getInfo.php?workbook=20_14.xlsx&amp;sheet=U0&amp;row=2253&amp;col=6&amp;number=3.9&amp;sourceID=14","3.9")</f>
        <v>3.9</v>
      </c>
      <c r="G2253" s="4" t="str">
        <f>HYPERLINK("http://141.218.60.56/~jnz1568/getInfo.php?workbook=20_14.xlsx&amp;sheet=U0&amp;row=2253&amp;col=7&amp;number=0.0199&amp;sourceID=14","0.0199")</f>
        <v>0.0199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HYPERLINK("http://141.218.60.56/~jnz1568/getInfo.php?workbook=20_14.xlsx&amp;sheet=U0&amp;row=2254&amp;col=6&amp;number=4&amp;sourceID=14","4")</f>
        <v>4</v>
      </c>
      <c r="G2254" s="4" t="str">
        <f>HYPERLINK("http://141.218.60.56/~jnz1568/getInfo.php?workbook=20_14.xlsx&amp;sheet=U0&amp;row=2254&amp;col=7&amp;number=0.0199&amp;sourceID=14","0.0199")</f>
        <v>0.0199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HYPERLINK("http://141.218.60.56/~jnz1568/getInfo.php?workbook=20_14.xlsx&amp;sheet=U0&amp;row=2255&amp;col=6&amp;number=4.1&amp;sourceID=14","4.1")</f>
        <v>4.1</v>
      </c>
      <c r="G2255" s="4" t="str">
        <f>HYPERLINK("http://141.218.60.56/~jnz1568/getInfo.php?workbook=20_14.xlsx&amp;sheet=U0&amp;row=2255&amp;col=7&amp;number=0.0199&amp;sourceID=14","0.0199")</f>
        <v>0.0199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HYPERLINK("http://141.218.60.56/~jnz1568/getInfo.php?workbook=20_14.xlsx&amp;sheet=U0&amp;row=2256&amp;col=6&amp;number=4.2&amp;sourceID=14","4.2")</f>
        <v>4.2</v>
      </c>
      <c r="G2256" s="4" t="str">
        <f>HYPERLINK("http://141.218.60.56/~jnz1568/getInfo.php?workbook=20_14.xlsx&amp;sheet=U0&amp;row=2256&amp;col=7&amp;number=0.0199&amp;sourceID=14","0.0199")</f>
        <v>0.0199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HYPERLINK("http://141.218.60.56/~jnz1568/getInfo.php?workbook=20_14.xlsx&amp;sheet=U0&amp;row=2257&amp;col=6&amp;number=4.3&amp;sourceID=14","4.3")</f>
        <v>4.3</v>
      </c>
      <c r="G2257" s="4" t="str">
        <f>HYPERLINK("http://141.218.60.56/~jnz1568/getInfo.php?workbook=20_14.xlsx&amp;sheet=U0&amp;row=2257&amp;col=7&amp;number=0.0199&amp;sourceID=14","0.0199")</f>
        <v>0.0199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HYPERLINK("http://141.218.60.56/~jnz1568/getInfo.php?workbook=20_14.xlsx&amp;sheet=U0&amp;row=2258&amp;col=6&amp;number=4.4&amp;sourceID=14","4.4")</f>
        <v>4.4</v>
      </c>
      <c r="G2258" s="4" t="str">
        <f>HYPERLINK("http://141.218.60.56/~jnz1568/getInfo.php?workbook=20_14.xlsx&amp;sheet=U0&amp;row=2258&amp;col=7&amp;number=0.0198&amp;sourceID=14","0.0198")</f>
        <v>0.0198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HYPERLINK("http://141.218.60.56/~jnz1568/getInfo.php?workbook=20_14.xlsx&amp;sheet=U0&amp;row=2259&amp;col=6&amp;number=4.5&amp;sourceID=14","4.5")</f>
        <v>4.5</v>
      </c>
      <c r="G2259" s="4" t="str">
        <f>HYPERLINK("http://141.218.60.56/~jnz1568/getInfo.php?workbook=20_14.xlsx&amp;sheet=U0&amp;row=2259&amp;col=7&amp;number=0.0198&amp;sourceID=14","0.0198")</f>
        <v>0.0198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HYPERLINK("http://141.218.60.56/~jnz1568/getInfo.php?workbook=20_14.xlsx&amp;sheet=U0&amp;row=2260&amp;col=6&amp;number=4.6&amp;sourceID=14","4.6")</f>
        <v>4.6</v>
      </c>
      <c r="G2260" s="4" t="str">
        <f>HYPERLINK("http://141.218.60.56/~jnz1568/getInfo.php?workbook=20_14.xlsx&amp;sheet=U0&amp;row=2260&amp;col=7&amp;number=0.0197&amp;sourceID=14","0.0197")</f>
        <v>0.0197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HYPERLINK("http://141.218.60.56/~jnz1568/getInfo.php?workbook=20_14.xlsx&amp;sheet=U0&amp;row=2261&amp;col=6&amp;number=4.7&amp;sourceID=14","4.7")</f>
        <v>4.7</v>
      </c>
      <c r="G2261" s="4" t="str">
        <f>HYPERLINK("http://141.218.60.56/~jnz1568/getInfo.php?workbook=20_14.xlsx&amp;sheet=U0&amp;row=2261&amp;col=7&amp;number=0.0197&amp;sourceID=14","0.0197")</f>
        <v>0.0197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HYPERLINK("http://141.218.60.56/~jnz1568/getInfo.php?workbook=20_14.xlsx&amp;sheet=U0&amp;row=2262&amp;col=6&amp;number=4.8&amp;sourceID=14","4.8")</f>
        <v>4.8</v>
      </c>
      <c r="G2262" s="4" t="str">
        <f>HYPERLINK("http://141.218.60.56/~jnz1568/getInfo.php?workbook=20_14.xlsx&amp;sheet=U0&amp;row=2262&amp;col=7&amp;number=0.0196&amp;sourceID=14","0.0196")</f>
        <v>0.0196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HYPERLINK("http://141.218.60.56/~jnz1568/getInfo.php?workbook=20_14.xlsx&amp;sheet=U0&amp;row=2263&amp;col=6&amp;number=4.9&amp;sourceID=14","4.9")</f>
        <v>4.9</v>
      </c>
      <c r="G2263" s="4" t="str">
        <f>HYPERLINK("http://141.218.60.56/~jnz1568/getInfo.php?workbook=20_14.xlsx&amp;sheet=U0&amp;row=2263&amp;col=7&amp;number=0.0195&amp;sourceID=14","0.0195")</f>
        <v>0.0195</v>
      </c>
    </row>
    <row r="2264" spans="1:7">
      <c r="A2264" s="3">
        <v>20</v>
      </c>
      <c r="B2264" s="3">
        <v>14</v>
      </c>
      <c r="C2264" s="3">
        <v>5</v>
      </c>
      <c r="D2264" s="3">
        <v>21</v>
      </c>
      <c r="E2264" s="3">
        <v>1</v>
      </c>
      <c r="F2264" s="4" t="str">
        <f>HYPERLINK("http://141.218.60.56/~jnz1568/getInfo.php?workbook=20_14.xlsx&amp;sheet=U0&amp;row=2264&amp;col=6&amp;number=3&amp;sourceID=14","3")</f>
        <v>3</v>
      </c>
      <c r="G2264" s="4" t="str">
        <f>HYPERLINK("http://141.218.60.56/~jnz1568/getInfo.php?workbook=20_14.xlsx&amp;sheet=U0&amp;row=2264&amp;col=7&amp;number=0.0226&amp;sourceID=14","0.0226")</f>
        <v>0.0226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HYPERLINK("http://141.218.60.56/~jnz1568/getInfo.php?workbook=20_14.xlsx&amp;sheet=U0&amp;row=2265&amp;col=6&amp;number=3.1&amp;sourceID=14","3.1")</f>
        <v>3.1</v>
      </c>
      <c r="G2265" s="4" t="str">
        <f>HYPERLINK("http://141.218.60.56/~jnz1568/getInfo.php?workbook=20_14.xlsx&amp;sheet=U0&amp;row=2265&amp;col=7&amp;number=0.0226&amp;sourceID=14","0.0226")</f>
        <v>0.0226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HYPERLINK("http://141.218.60.56/~jnz1568/getInfo.php?workbook=20_14.xlsx&amp;sheet=U0&amp;row=2266&amp;col=6&amp;number=3.2&amp;sourceID=14","3.2")</f>
        <v>3.2</v>
      </c>
      <c r="G2266" s="4" t="str">
        <f>HYPERLINK("http://141.218.60.56/~jnz1568/getInfo.php?workbook=20_14.xlsx&amp;sheet=U0&amp;row=2266&amp;col=7&amp;number=0.0226&amp;sourceID=14","0.0226")</f>
        <v>0.0226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HYPERLINK("http://141.218.60.56/~jnz1568/getInfo.php?workbook=20_14.xlsx&amp;sheet=U0&amp;row=2267&amp;col=6&amp;number=3.3&amp;sourceID=14","3.3")</f>
        <v>3.3</v>
      </c>
      <c r="G2267" s="4" t="str">
        <f>HYPERLINK("http://141.218.60.56/~jnz1568/getInfo.php?workbook=20_14.xlsx&amp;sheet=U0&amp;row=2267&amp;col=7&amp;number=0.0226&amp;sourceID=14","0.0226")</f>
        <v>0.0226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HYPERLINK("http://141.218.60.56/~jnz1568/getInfo.php?workbook=20_14.xlsx&amp;sheet=U0&amp;row=2268&amp;col=6&amp;number=3.4&amp;sourceID=14","3.4")</f>
        <v>3.4</v>
      </c>
      <c r="G2268" s="4" t="str">
        <f>HYPERLINK("http://141.218.60.56/~jnz1568/getInfo.php?workbook=20_14.xlsx&amp;sheet=U0&amp;row=2268&amp;col=7&amp;number=0.0226&amp;sourceID=14","0.0226")</f>
        <v>0.0226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HYPERLINK("http://141.218.60.56/~jnz1568/getInfo.php?workbook=20_14.xlsx&amp;sheet=U0&amp;row=2269&amp;col=6&amp;number=3.5&amp;sourceID=14","3.5")</f>
        <v>3.5</v>
      </c>
      <c r="G2269" s="4" t="str">
        <f>HYPERLINK("http://141.218.60.56/~jnz1568/getInfo.php?workbook=20_14.xlsx&amp;sheet=U0&amp;row=2269&amp;col=7&amp;number=0.0226&amp;sourceID=14","0.0226")</f>
        <v>0.0226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HYPERLINK("http://141.218.60.56/~jnz1568/getInfo.php?workbook=20_14.xlsx&amp;sheet=U0&amp;row=2270&amp;col=6&amp;number=3.6&amp;sourceID=14","3.6")</f>
        <v>3.6</v>
      </c>
      <c r="G2270" s="4" t="str">
        <f>HYPERLINK("http://141.218.60.56/~jnz1568/getInfo.php?workbook=20_14.xlsx&amp;sheet=U0&amp;row=2270&amp;col=7&amp;number=0.0225&amp;sourceID=14","0.0225")</f>
        <v>0.0225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HYPERLINK("http://141.218.60.56/~jnz1568/getInfo.php?workbook=20_14.xlsx&amp;sheet=U0&amp;row=2271&amp;col=6&amp;number=3.7&amp;sourceID=14","3.7")</f>
        <v>3.7</v>
      </c>
      <c r="G2271" s="4" t="str">
        <f>HYPERLINK("http://141.218.60.56/~jnz1568/getInfo.php?workbook=20_14.xlsx&amp;sheet=U0&amp;row=2271&amp;col=7&amp;number=0.0225&amp;sourceID=14","0.0225")</f>
        <v>0.0225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HYPERLINK("http://141.218.60.56/~jnz1568/getInfo.php?workbook=20_14.xlsx&amp;sheet=U0&amp;row=2272&amp;col=6&amp;number=3.8&amp;sourceID=14","3.8")</f>
        <v>3.8</v>
      </c>
      <c r="G2272" s="4" t="str">
        <f>HYPERLINK("http://141.218.60.56/~jnz1568/getInfo.php?workbook=20_14.xlsx&amp;sheet=U0&amp;row=2272&amp;col=7&amp;number=0.0225&amp;sourceID=14","0.0225")</f>
        <v>0.0225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HYPERLINK("http://141.218.60.56/~jnz1568/getInfo.php?workbook=20_14.xlsx&amp;sheet=U0&amp;row=2273&amp;col=6&amp;number=3.9&amp;sourceID=14","3.9")</f>
        <v>3.9</v>
      </c>
      <c r="G2273" s="4" t="str">
        <f>HYPERLINK("http://141.218.60.56/~jnz1568/getInfo.php?workbook=20_14.xlsx&amp;sheet=U0&amp;row=2273&amp;col=7&amp;number=0.0225&amp;sourceID=14","0.0225")</f>
        <v>0.0225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HYPERLINK("http://141.218.60.56/~jnz1568/getInfo.php?workbook=20_14.xlsx&amp;sheet=U0&amp;row=2274&amp;col=6&amp;number=4&amp;sourceID=14","4")</f>
        <v>4</v>
      </c>
      <c r="G2274" s="4" t="str">
        <f>HYPERLINK("http://141.218.60.56/~jnz1568/getInfo.php?workbook=20_14.xlsx&amp;sheet=U0&amp;row=2274&amp;col=7&amp;number=0.0225&amp;sourceID=14","0.0225")</f>
        <v>0.0225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HYPERLINK("http://141.218.60.56/~jnz1568/getInfo.php?workbook=20_14.xlsx&amp;sheet=U0&amp;row=2275&amp;col=6&amp;number=4.1&amp;sourceID=14","4.1")</f>
        <v>4.1</v>
      </c>
      <c r="G2275" s="4" t="str">
        <f>HYPERLINK("http://141.218.60.56/~jnz1568/getInfo.php?workbook=20_14.xlsx&amp;sheet=U0&amp;row=2275&amp;col=7&amp;number=0.0224&amp;sourceID=14","0.0224")</f>
        <v>0.0224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HYPERLINK("http://141.218.60.56/~jnz1568/getInfo.php?workbook=20_14.xlsx&amp;sheet=U0&amp;row=2276&amp;col=6&amp;number=4.2&amp;sourceID=14","4.2")</f>
        <v>4.2</v>
      </c>
      <c r="G2276" s="4" t="str">
        <f>HYPERLINK("http://141.218.60.56/~jnz1568/getInfo.php?workbook=20_14.xlsx&amp;sheet=U0&amp;row=2276&amp;col=7&amp;number=0.0224&amp;sourceID=14","0.0224")</f>
        <v>0.0224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HYPERLINK("http://141.218.60.56/~jnz1568/getInfo.php?workbook=20_14.xlsx&amp;sheet=U0&amp;row=2277&amp;col=6&amp;number=4.3&amp;sourceID=14","4.3")</f>
        <v>4.3</v>
      </c>
      <c r="G2277" s="4" t="str">
        <f>HYPERLINK("http://141.218.60.56/~jnz1568/getInfo.php?workbook=20_14.xlsx&amp;sheet=U0&amp;row=2277&amp;col=7&amp;number=0.0223&amp;sourceID=14","0.0223")</f>
        <v>0.0223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HYPERLINK("http://141.218.60.56/~jnz1568/getInfo.php?workbook=20_14.xlsx&amp;sheet=U0&amp;row=2278&amp;col=6&amp;number=4.4&amp;sourceID=14","4.4")</f>
        <v>4.4</v>
      </c>
      <c r="G2278" s="4" t="str">
        <f>HYPERLINK("http://141.218.60.56/~jnz1568/getInfo.php?workbook=20_14.xlsx&amp;sheet=U0&amp;row=2278&amp;col=7&amp;number=0.0222&amp;sourceID=14","0.0222")</f>
        <v>0.0222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HYPERLINK("http://141.218.60.56/~jnz1568/getInfo.php?workbook=20_14.xlsx&amp;sheet=U0&amp;row=2279&amp;col=6&amp;number=4.5&amp;sourceID=14","4.5")</f>
        <v>4.5</v>
      </c>
      <c r="G2279" s="4" t="str">
        <f>HYPERLINK("http://141.218.60.56/~jnz1568/getInfo.php?workbook=20_14.xlsx&amp;sheet=U0&amp;row=2279&amp;col=7&amp;number=0.0222&amp;sourceID=14","0.0222")</f>
        <v>0.0222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HYPERLINK("http://141.218.60.56/~jnz1568/getInfo.php?workbook=20_14.xlsx&amp;sheet=U0&amp;row=2280&amp;col=6&amp;number=4.6&amp;sourceID=14","4.6")</f>
        <v>4.6</v>
      </c>
      <c r="G2280" s="4" t="str">
        <f>HYPERLINK("http://141.218.60.56/~jnz1568/getInfo.php?workbook=20_14.xlsx&amp;sheet=U0&amp;row=2280&amp;col=7&amp;number=0.022&amp;sourceID=14","0.022")</f>
        <v>0.022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HYPERLINK("http://141.218.60.56/~jnz1568/getInfo.php?workbook=20_14.xlsx&amp;sheet=U0&amp;row=2281&amp;col=6&amp;number=4.7&amp;sourceID=14","4.7")</f>
        <v>4.7</v>
      </c>
      <c r="G2281" s="4" t="str">
        <f>HYPERLINK("http://141.218.60.56/~jnz1568/getInfo.php?workbook=20_14.xlsx&amp;sheet=U0&amp;row=2281&amp;col=7&amp;number=0.0219&amp;sourceID=14","0.0219")</f>
        <v>0.0219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HYPERLINK("http://141.218.60.56/~jnz1568/getInfo.php?workbook=20_14.xlsx&amp;sheet=U0&amp;row=2282&amp;col=6&amp;number=4.8&amp;sourceID=14","4.8")</f>
        <v>4.8</v>
      </c>
      <c r="G2282" s="4" t="str">
        <f>HYPERLINK("http://141.218.60.56/~jnz1568/getInfo.php?workbook=20_14.xlsx&amp;sheet=U0&amp;row=2282&amp;col=7&amp;number=0.0217&amp;sourceID=14","0.0217")</f>
        <v>0.0217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HYPERLINK("http://141.218.60.56/~jnz1568/getInfo.php?workbook=20_14.xlsx&amp;sheet=U0&amp;row=2283&amp;col=6&amp;number=4.9&amp;sourceID=14","4.9")</f>
        <v>4.9</v>
      </c>
      <c r="G2283" s="4" t="str">
        <f>HYPERLINK("http://141.218.60.56/~jnz1568/getInfo.php?workbook=20_14.xlsx&amp;sheet=U0&amp;row=2283&amp;col=7&amp;number=0.0215&amp;sourceID=14","0.0215")</f>
        <v>0.0215</v>
      </c>
    </row>
    <row r="2284" spans="1:7">
      <c r="A2284" s="3">
        <v>20</v>
      </c>
      <c r="B2284" s="3">
        <v>14</v>
      </c>
      <c r="C2284" s="3">
        <v>5</v>
      </c>
      <c r="D2284" s="3">
        <v>22</v>
      </c>
      <c r="E2284" s="3">
        <v>1</v>
      </c>
      <c r="F2284" s="4" t="str">
        <f>HYPERLINK("http://141.218.60.56/~jnz1568/getInfo.php?workbook=20_14.xlsx&amp;sheet=U0&amp;row=2284&amp;col=6&amp;number=3&amp;sourceID=14","3")</f>
        <v>3</v>
      </c>
      <c r="G2284" s="4" t="str">
        <f>HYPERLINK("http://141.218.60.56/~jnz1568/getInfo.php?workbook=20_14.xlsx&amp;sheet=U0&amp;row=2284&amp;col=7&amp;number=0.029&amp;sourceID=14","0.029")</f>
        <v>0.029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HYPERLINK("http://141.218.60.56/~jnz1568/getInfo.php?workbook=20_14.xlsx&amp;sheet=U0&amp;row=2285&amp;col=6&amp;number=3.1&amp;sourceID=14","3.1")</f>
        <v>3.1</v>
      </c>
      <c r="G2285" s="4" t="str">
        <f>HYPERLINK("http://141.218.60.56/~jnz1568/getInfo.php?workbook=20_14.xlsx&amp;sheet=U0&amp;row=2285&amp;col=7&amp;number=0.029&amp;sourceID=14","0.029")</f>
        <v>0.029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HYPERLINK("http://141.218.60.56/~jnz1568/getInfo.php?workbook=20_14.xlsx&amp;sheet=U0&amp;row=2286&amp;col=6&amp;number=3.2&amp;sourceID=14","3.2")</f>
        <v>3.2</v>
      </c>
      <c r="G2286" s="4" t="str">
        <f>HYPERLINK("http://141.218.60.56/~jnz1568/getInfo.php?workbook=20_14.xlsx&amp;sheet=U0&amp;row=2286&amp;col=7&amp;number=0.029&amp;sourceID=14","0.029")</f>
        <v>0.029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HYPERLINK("http://141.218.60.56/~jnz1568/getInfo.php?workbook=20_14.xlsx&amp;sheet=U0&amp;row=2287&amp;col=6&amp;number=3.3&amp;sourceID=14","3.3")</f>
        <v>3.3</v>
      </c>
      <c r="G2287" s="4" t="str">
        <f>HYPERLINK("http://141.218.60.56/~jnz1568/getInfo.php?workbook=20_14.xlsx&amp;sheet=U0&amp;row=2287&amp;col=7&amp;number=0.029&amp;sourceID=14","0.029")</f>
        <v>0.029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HYPERLINK("http://141.218.60.56/~jnz1568/getInfo.php?workbook=20_14.xlsx&amp;sheet=U0&amp;row=2288&amp;col=6&amp;number=3.4&amp;sourceID=14","3.4")</f>
        <v>3.4</v>
      </c>
      <c r="G2288" s="4" t="str">
        <f>HYPERLINK("http://141.218.60.56/~jnz1568/getInfo.php?workbook=20_14.xlsx&amp;sheet=U0&amp;row=2288&amp;col=7&amp;number=0.029&amp;sourceID=14","0.029")</f>
        <v>0.029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HYPERLINK("http://141.218.60.56/~jnz1568/getInfo.php?workbook=20_14.xlsx&amp;sheet=U0&amp;row=2289&amp;col=6&amp;number=3.5&amp;sourceID=14","3.5")</f>
        <v>3.5</v>
      </c>
      <c r="G2289" s="4" t="str">
        <f>HYPERLINK("http://141.218.60.56/~jnz1568/getInfo.php?workbook=20_14.xlsx&amp;sheet=U0&amp;row=2289&amp;col=7&amp;number=0.029&amp;sourceID=14","0.029")</f>
        <v>0.029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HYPERLINK("http://141.218.60.56/~jnz1568/getInfo.php?workbook=20_14.xlsx&amp;sheet=U0&amp;row=2290&amp;col=6&amp;number=3.6&amp;sourceID=14","3.6")</f>
        <v>3.6</v>
      </c>
      <c r="G2290" s="4" t="str">
        <f>HYPERLINK("http://141.218.60.56/~jnz1568/getInfo.php?workbook=20_14.xlsx&amp;sheet=U0&amp;row=2290&amp;col=7&amp;number=0.029&amp;sourceID=14","0.029")</f>
        <v>0.029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HYPERLINK("http://141.218.60.56/~jnz1568/getInfo.php?workbook=20_14.xlsx&amp;sheet=U0&amp;row=2291&amp;col=6&amp;number=3.7&amp;sourceID=14","3.7")</f>
        <v>3.7</v>
      </c>
      <c r="G2291" s="4" t="str">
        <f>HYPERLINK("http://141.218.60.56/~jnz1568/getInfo.php?workbook=20_14.xlsx&amp;sheet=U0&amp;row=2291&amp;col=7&amp;number=0.029&amp;sourceID=14","0.029")</f>
        <v>0.029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HYPERLINK("http://141.218.60.56/~jnz1568/getInfo.php?workbook=20_14.xlsx&amp;sheet=U0&amp;row=2292&amp;col=6&amp;number=3.8&amp;sourceID=14","3.8")</f>
        <v>3.8</v>
      </c>
      <c r="G2292" s="4" t="str">
        <f>HYPERLINK("http://141.218.60.56/~jnz1568/getInfo.php?workbook=20_14.xlsx&amp;sheet=U0&amp;row=2292&amp;col=7&amp;number=0.029&amp;sourceID=14","0.029")</f>
        <v>0.029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HYPERLINK("http://141.218.60.56/~jnz1568/getInfo.php?workbook=20_14.xlsx&amp;sheet=U0&amp;row=2293&amp;col=6&amp;number=3.9&amp;sourceID=14","3.9")</f>
        <v>3.9</v>
      </c>
      <c r="G2293" s="4" t="str">
        <f>HYPERLINK("http://141.218.60.56/~jnz1568/getInfo.php?workbook=20_14.xlsx&amp;sheet=U0&amp;row=2293&amp;col=7&amp;number=0.0289&amp;sourceID=14","0.0289")</f>
        <v>0.0289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HYPERLINK("http://141.218.60.56/~jnz1568/getInfo.php?workbook=20_14.xlsx&amp;sheet=U0&amp;row=2294&amp;col=6&amp;number=4&amp;sourceID=14","4")</f>
        <v>4</v>
      </c>
      <c r="G2294" s="4" t="str">
        <f>HYPERLINK("http://141.218.60.56/~jnz1568/getInfo.php?workbook=20_14.xlsx&amp;sheet=U0&amp;row=2294&amp;col=7&amp;number=0.0289&amp;sourceID=14","0.0289")</f>
        <v>0.0289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HYPERLINK("http://141.218.60.56/~jnz1568/getInfo.php?workbook=20_14.xlsx&amp;sheet=U0&amp;row=2295&amp;col=6&amp;number=4.1&amp;sourceID=14","4.1")</f>
        <v>4.1</v>
      </c>
      <c r="G2295" s="4" t="str">
        <f>HYPERLINK("http://141.218.60.56/~jnz1568/getInfo.php?workbook=20_14.xlsx&amp;sheet=U0&amp;row=2295&amp;col=7&amp;number=0.0289&amp;sourceID=14","0.0289")</f>
        <v>0.0289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HYPERLINK("http://141.218.60.56/~jnz1568/getInfo.php?workbook=20_14.xlsx&amp;sheet=U0&amp;row=2296&amp;col=6&amp;number=4.2&amp;sourceID=14","4.2")</f>
        <v>4.2</v>
      </c>
      <c r="G2296" s="4" t="str">
        <f>HYPERLINK("http://141.218.60.56/~jnz1568/getInfo.php?workbook=20_14.xlsx&amp;sheet=U0&amp;row=2296&amp;col=7&amp;number=0.0289&amp;sourceID=14","0.0289")</f>
        <v>0.0289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HYPERLINK("http://141.218.60.56/~jnz1568/getInfo.php?workbook=20_14.xlsx&amp;sheet=U0&amp;row=2297&amp;col=6&amp;number=4.3&amp;sourceID=14","4.3")</f>
        <v>4.3</v>
      </c>
      <c r="G2297" s="4" t="str">
        <f>HYPERLINK("http://141.218.60.56/~jnz1568/getInfo.php?workbook=20_14.xlsx&amp;sheet=U0&amp;row=2297&amp;col=7&amp;number=0.0288&amp;sourceID=14","0.0288")</f>
        <v>0.0288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HYPERLINK("http://141.218.60.56/~jnz1568/getInfo.php?workbook=20_14.xlsx&amp;sheet=U0&amp;row=2298&amp;col=6&amp;number=4.4&amp;sourceID=14","4.4")</f>
        <v>4.4</v>
      </c>
      <c r="G2298" s="4" t="str">
        <f>HYPERLINK("http://141.218.60.56/~jnz1568/getInfo.php?workbook=20_14.xlsx&amp;sheet=U0&amp;row=2298&amp;col=7&amp;number=0.0288&amp;sourceID=14","0.0288")</f>
        <v>0.0288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HYPERLINK("http://141.218.60.56/~jnz1568/getInfo.php?workbook=20_14.xlsx&amp;sheet=U0&amp;row=2299&amp;col=6&amp;number=4.5&amp;sourceID=14","4.5")</f>
        <v>4.5</v>
      </c>
      <c r="G2299" s="4" t="str">
        <f>HYPERLINK("http://141.218.60.56/~jnz1568/getInfo.php?workbook=20_14.xlsx&amp;sheet=U0&amp;row=2299&amp;col=7&amp;number=0.0287&amp;sourceID=14","0.0287")</f>
        <v>0.0287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HYPERLINK("http://141.218.60.56/~jnz1568/getInfo.php?workbook=20_14.xlsx&amp;sheet=U0&amp;row=2300&amp;col=6&amp;number=4.6&amp;sourceID=14","4.6")</f>
        <v>4.6</v>
      </c>
      <c r="G2300" s="4" t="str">
        <f>HYPERLINK("http://141.218.60.56/~jnz1568/getInfo.php?workbook=20_14.xlsx&amp;sheet=U0&amp;row=2300&amp;col=7&amp;number=0.0287&amp;sourceID=14","0.0287")</f>
        <v>0.0287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HYPERLINK("http://141.218.60.56/~jnz1568/getInfo.php?workbook=20_14.xlsx&amp;sheet=U0&amp;row=2301&amp;col=6&amp;number=4.7&amp;sourceID=14","4.7")</f>
        <v>4.7</v>
      </c>
      <c r="G2301" s="4" t="str">
        <f>HYPERLINK("http://141.218.60.56/~jnz1568/getInfo.php?workbook=20_14.xlsx&amp;sheet=U0&amp;row=2301&amp;col=7&amp;number=0.0286&amp;sourceID=14","0.0286")</f>
        <v>0.0286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HYPERLINK("http://141.218.60.56/~jnz1568/getInfo.php?workbook=20_14.xlsx&amp;sheet=U0&amp;row=2302&amp;col=6&amp;number=4.8&amp;sourceID=14","4.8")</f>
        <v>4.8</v>
      </c>
      <c r="G2302" s="4" t="str">
        <f>HYPERLINK("http://141.218.60.56/~jnz1568/getInfo.php?workbook=20_14.xlsx&amp;sheet=U0&amp;row=2302&amp;col=7&amp;number=0.0285&amp;sourceID=14","0.0285")</f>
        <v>0.0285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HYPERLINK("http://141.218.60.56/~jnz1568/getInfo.php?workbook=20_14.xlsx&amp;sheet=U0&amp;row=2303&amp;col=6&amp;number=4.9&amp;sourceID=14","4.9")</f>
        <v>4.9</v>
      </c>
      <c r="G2303" s="4" t="str">
        <f>HYPERLINK("http://141.218.60.56/~jnz1568/getInfo.php?workbook=20_14.xlsx&amp;sheet=U0&amp;row=2303&amp;col=7&amp;number=0.0283&amp;sourceID=14","0.0283")</f>
        <v>0.0283</v>
      </c>
    </row>
    <row r="2304" spans="1:7">
      <c r="A2304" s="3">
        <v>20</v>
      </c>
      <c r="B2304" s="3">
        <v>14</v>
      </c>
      <c r="C2304" s="3">
        <v>5</v>
      </c>
      <c r="D2304" s="3">
        <v>23</v>
      </c>
      <c r="E2304" s="3">
        <v>1</v>
      </c>
      <c r="F2304" s="4" t="str">
        <f>HYPERLINK("http://141.218.60.56/~jnz1568/getInfo.php?workbook=20_14.xlsx&amp;sheet=U0&amp;row=2304&amp;col=6&amp;number=3&amp;sourceID=14","3")</f>
        <v>3</v>
      </c>
      <c r="G2304" s="4" t="str">
        <f>HYPERLINK("http://141.218.60.56/~jnz1568/getInfo.php?workbook=20_14.xlsx&amp;sheet=U0&amp;row=2304&amp;col=7&amp;number=0.0093&amp;sourceID=14","0.0093")</f>
        <v>0.0093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HYPERLINK("http://141.218.60.56/~jnz1568/getInfo.php?workbook=20_14.xlsx&amp;sheet=U0&amp;row=2305&amp;col=6&amp;number=3.1&amp;sourceID=14","3.1")</f>
        <v>3.1</v>
      </c>
      <c r="G2305" s="4" t="str">
        <f>HYPERLINK("http://141.218.60.56/~jnz1568/getInfo.php?workbook=20_14.xlsx&amp;sheet=U0&amp;row=2305&amp;col=7&amp;number=0.0093&amp;sourceID=14","0.0093")</f>
        <v>0.0093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HYPERLINK("http://141.218.60.56/~jnz1568/getInfo.php?workbook=20_14.xlsx&amp;sheet=U0&amp;row=2306&amp;col=6&amp;number=3.2&amp;sourceID=14","3.2")</f>
        <v>3.2</v>
      </c>
      <c r="G2306" s="4" t="str">
        <f>HYPERLINK("http://141.218.60.56/~jnz1568/getInfo.php?workbook=20_14.xlsx&amp;sheet=U0&amp;row=2306&amp;col=7&amp;number=0.0093&amp;sourceID=14","0.0093")</f>
        <v>0.0093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HYPERLINK("http://141.218.60.56/~jnz1568/getInfo.php?workbook=20_14.xlsx&amp;sheet=U0&amp;row=2307&amp;col=6&amp;number=3.3&amp;sourceID=14","3.3")</f>
        <v>3.3</v>
      </c>
      <c r="G2307" s="4" t="str">
        <f>HYPERLINK("http://141.218.60.56/~jnz1568/getInfo.php?workbook=20_14.xlsx&amp;sheet=U0&amp;row=2307&amp;col=7&amp;number=0.0093&amp;sourceID=14","0.0093")</f>
        <v>0.0093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HYPERLINK("http://141.218.60.56/~jnz1568/getInfo.php?workbook=20_14.xlsx&amp;sheet=U0&amp;row=2308&amp;col=6&amp;number=3.4&amp;sourceID=14","3.4")</f>
        <v>3.4</v>
      </c>
      <c r="G2308" s="4" t="str">
        <f>HYPERLINK("http://141.218.60.56/~jnz1568/getInfo.php?workbook=20_14.xlsx&amp;sheet=U0&amp;row=2308&amp;col=7&amp;number=0.0093&amp;sourceID=14","0.0093")</f>
        <v>0.0093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HYPERLINK("http://141.218.60.56/~jnz1568/getInfo.php?workbook=20_14.xlsx&amp;sheet=U0&amp;row=2309&amp;col=6&amp;number=3.5&amp;sourceID=14","3.5")</f>
        <v>3.5</v>
      </c>
      <c r="G2309" s="4" t="str">
        <f>HYPERLINK("http://141.218.60.56/~jnz1568/getInfo.php?workbook=20_14.xlsx&amp;sheet=U0&amp;row=2309&amp;col=7&amp;number=0.0093&amp;sourceID=14","0.0093")</f>
        <v>0.0093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HYPERLINK("http://141.218.60.56/~jnz1568/getInfo.php?workbook=20_14.xlsx&amp;sheet=U0&amp;row=2310&amp;col=6&amp;number=3.6&amp;sourceID=14","3.6")</f>
        <v>3.6</v>
      </c>
      <c r="G2310" s="4" t="str">
        <f>HYPERLINK("http://141.218.60.56/~jnz1568/getInfo.php?workbook=20_14.xlsx&amp;sheet=U0&amp;row=2310&amp;col=7&amp;number=0.0093&amp;sourceID=14","0.0093")</f>
        <v>0.0093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HYPERLINK("http://141.218.60.56/~jnz1568/getInfo.php?workbook=20_14.xlsx&amp;sheet=U0&amp;row=2311&amp;col=6&amp;number=3.7&amp;sourceID=14","3.7")</f>
        <v>3.7</v>
      </c>
      <c r="G2311" s="4" t="str">
        <f>HYPERLINK("http://141.218.60.56/~jnz1568/getInfo.php?workbook=20_14.xlsx&amp;sheet=U0&amp;row=2311&amp;col=7&amp;number=0.0093&amp;sourceID=14","0.0093")</f>
        <v>0.0093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HYPERLINK("http://141.218.60.56/~jnz1568/getInfo.php?workbook=20_14.xlsx&amp;sheet=U0&amp;row=2312&amp;col=6&amp;number=3.8&amp;sourceID=14","3.8")</f>
        <v>3.8</v>
      </c>
      <c r="G2312" s="4" t="str">
        <f>HYPERLINK("http://141.218.60.56/~jnz1568/getInfo.php?workbook=20_14.xlsx&amp;sheet=U0&amp;row=2312&amp;col=7&amp;number=0.0093&amp;sourceID=14","0.0093")</f>
        <v>0.0093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HYPERLINK("http://141.218.60.56/~jnz1568/getInfo.php?workbook=20_14.xlsx&amp;sheet=U0&amp;row=2313&amp;col=6&amp;number=3.9&amp;sourceID=14","3.9")</f>
        <v>3.9</v>
      </c>
      <c r="G2313" s="4" t="str">
        <f>HYPERLINK("http://141.218.60.56/~jnz1568/getInfo.php?workbook=20_14.xlsx&amp;sheet=U0&amp;row=2313&amp;col=7&amp;number=0.0093&amp;sourceID=14","0.0093")</f>
        <v>0.0093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HYPERLINK("http://141.218.60.56/~jnz1568/getInfo.php?workbook=20_14.xlsx&amp;sheet=U0&amp;row=2314&amp;col=6&amp;number=4&amp;sourceID=14","4")</f>
        <v>4</v>
      </c>
      <c r="G2314" s="4" t="str">
        <f>HYPERLINK("http://141.218.60.56/~jnz1568/getInfo.php?workbook=20_14.xlsx&amp;sheet=U0&amp;row=2314&amp;col=7&amp;number=0.00931&amp;sourceID=14","0.00931")</f>
        <v>0.00931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HYPERLINK("http://141.218.60.56/~jnz1568/getInfo.php?workbook=20_14.xlsx&amp;sheet=U0&amp;row=2315&amp;col=6&amp;number=4.1&amp;sourceID=14","4.1")</f>
        <v>4.1</v>
      </c>
      <c r="G2315" s="4" t="str">
        <f>HYPERLINK("http://141.218.60.56/~jnz1568/getInfo.php?workbook=20_14.xlsx&amp;sheet=U0&amp;row=2315&amp;col=7&amp;number=0.00931&amp;sourceID=14","0.00931")</f>
        <v>0.00931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HYPERLINK("http://141.218.60.56/~jnz1568/getInfo.php?workbook=20_14.xlsx&amp;sheet=U0&amp;row=2316&amp;col=6&amp;number=4.2&amp;sourceID=14","4.2")</f>
        <v>4.2</v>
      </c>
      <c r="G2316" s="4" t="str">
        <f>HYPERLINK("http://141.218.60.56/~jnz1568/getInfo.php?workbook=20_14.xlsx&amp;sheet=U0&amp;row=2316&amp;col=7&amp;number=0.00931&amp;sourceID=14","0.00931")</f>
        <v>0.00931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HYPERLINK("http://141.218.60.56/~jnz1568/getInfo.php?workbook=20_14.xlsx&amp;sheet=U0&amp;row=2317&amp;col=6&amp;number=4.3&amp;sourceID=14","4.3")</f>
        <v>4.3</v>
      </c>
      <c r="G2317" s="4" t="str">
        <f>HYPERLINK("http://141.218.60.56/~jnz1568/getInfo.php?workbook=20_14.xlsx&amp;sheet=U0&amp;row=2317&amp;col=7&amp;number=0.00931&amp;sourceID=14","0.00931")</f>
        <v>0.00931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HYPERLINK("http://141.218.60.56/~jnz1568/getInfo.php?workbook=20_14.xlsx&amp;sheet=U0&amp;row=2318&amp;col=6&amp;number=4.4&amp;sourceID=14","4.4")</f>
        <v>4.4</v>
      </c>
      <c r="G2318" s="4" t="str">
        <f>HYPERLINK("http://141.218.60.56/~jnz1568/getInfo.php?workbook=20_14.xlsx&amp;sheet=U0&amp;row=2318&amp;col=7&amp;number=0.00932&amp;sourceID=14","0.00932")</f>
        <v>0.00932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HYPERLINK("http://141.218.60.56/~jnz1568/getInfo.php?workbook=20_14.xlsx&amp;sheet=U0&amp;row=2319&amp;col=6&amp;number=4.5&amp;sourceID=14","4.5")</f>
        <v>4.5</v>
      </c>
      <c r="G2319" s="4" t="str">
        <f>HYPERLINK("http://141.218.60.56/~jnz1568/getInfo.php?workbook=20_14.xlsx&amp;sheet=U0&amp;row=2319&amp;col=7&amp;number=0.00932&amp;sourceID=14","0.00932")</f>
        <v>0.00932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HYPERLINK("http://141.218.60.56/~jnz1568/getInfo.php?workbook=20_14.xlsx&amp;sheet=U0&amp;row=2320&amp;col=6&amp;number=4.6&amp;sourceID=14","4.6")</f>
        <v>4.6</v>
      </c>
      <c r="G2320" s="4" t="str">
        <f>HYPERLINK("http://141.218.60.56/~jnz1568/getInfo.php?workbook=20_14.xlsx&amp;sheet=U0&amp;row=2320&amp;col=7&amp;number=0.00932&amp;sourceID=14","0.00932")</f>
        <v>0.00932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HYPERLINK("http://141.218.60.56/~jnz1568/getInfo.php?workbook=20_14.xlsx&amp;sheet=U0&amp;row=2321&amp;col=6&amp;number=4.7&amp;sourceID=14","4.7")</f>
        <v>4.7</v>
      </c>
      <c r="G2321" s="4" t="str">
        <f>HYPERLINK("http://141.218.60.56/~jnz1568/getInfo.php?workbook=20_14.xlsx&amp;sheet=U0&amp;row=2321&amp;col=7&amp;number=0.00933&amp;sourceID=14","0.00933")</f>
        <v>0.00933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HYPERLINK("http://141.218.60.56/~jnz1568/getInfo.php?workbook=20_14.xlsx&amp;sheet=U0&amp;row=2322&amp;col=6&amp;number=4.8&amp;sourceID=14","4.8")</f>
        <v>4.8</v>
      </c>
      <c r="G2322" s="4" t="str">
        <f>HYPERLINK("http://141.218.60.56/~jnz1568/getInfo.php?workbook=20_14.xlsx&amp;sheet=U0&amp;row=2322&amp;col=7&amp;number=0.00934&amp;sourceID=14","0.00934")</f>
        <v>0.00934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HYPERLINK("http://141.218.60.56/~jnz1568/getInfo.php?workbook=20_14.xlsx&amp;sheet=U0&amp;row=2323&amp;col=6&amp;number=4.9&amp;sourceID=14","4.9")</f>
        <v>4.9</v>
      </c>
      <c r="G2323" s="4" t="str">
        <f>HYPERLINK("http://141.218.60.56/~jnz1568/getInfo.php?workbook=20_14.xlsx&amp;sheet=U0&amp;row=2323&amp;col=7&amp;number=0.00935&amp;sourceID=14","0.00935")</f>
        <v>0.00935</v>
      </c>
    </row>
    <row r="2324" spans="1:7">
      <c r="A2324" s="3">
        <v>20</v>
      </c>
      <c r="B2324" s="3">
        <v>14</v>
      </c>
      <c r="C2324" s="3">
        <v>5</v>
      </c>
      <c r="D2324" s="3">
        <v>24</v>
      </c>
      <c r="E2324" s="3">
        <v>1</v>
      </c>
      <c r="F2324" s="4" t="str">
        <f>HYPERLINK("http://141.218.60.56/~jnz1568/getInfo.php?workbook=20_14.xlsx&amp;sheet=U0&amp;row=2324&amp;col=6&amp;number=3&amp;sourceID=14","3")</f>
        <v>3</v>
      </c>
      <c r="G2324" s="4" t="str">
        <f>HYPERLINK("http://141.218.60.56/~jnz1568/getInfo.php?workbook=20_14.xlsx&amp;sheet=U0&amp;row=2324&amp;col=7&amp;number=0.00846&amp;sourceID=14","0.00846")</f>
        <v>0.00846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HYPERLINK("http://141.218.60.56/~jnz1568/getInfo.php?workbook=20_14.xlsx&amp;sheet=U0&amp;row=2325&amp;col=6&amp;number=3.1&amp;sourceID=14","3.1")</f>
        <v>3.1</v>
      </c>
      <c r="G2325" s="4" t="str">
        <f>HYPERLINK("http://141.218.60.56/~jnz1568/getInfo.php?workbook=20_14.xlsx&amp;sheet=U0&amp;row=2325&amp;col=7&amp;number=0.00846&amp;sourceID=14","0.00846")</f>
        <v>0.00846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HYPERLINK("http://141.218.60.56/~jnz1568/getInfo.php?workbook=20_14.xlsx&amp;sheet=U0&amp;row=2326&amp;col=6&amp;number=3.2&amp;sourceID=14","3.2")</f>
        <v>3.2</v>
      </c>
      <c r="G2326" s="4" t="str">
        <f>HYPERLINK("http://141.218.60.56/~jnz1568/getInfo.php?workbook=20_14.xlsx&amp;sheet=U0&amp;row=2326&amp;col=7&amp;number=0.00846&amp;sourceID=14","0.00846")</f>
        <v>0.00846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HYPERLINK("http://141.218.60.56/~jnz1568/getInfo.php?workbook=20_14.xlsx&amp;sheet=U0&amp;row=2327&amp;col=6&amp;number=3.3&amp;sourceID=14","3.3")</f>
        <v>3.3</v>
      </c>
      <c r="G2327" s="4" t="str">
        <f>HYPERLINK("http://141.218.60.56/~jnz1568/getInfo.php?workbook=20_14.xlsx&amp;sheet=U0&amp;row=2327&amp;col=7&amp;number=0.00845&amp;sourceID=14","0.00845")</f>
        <v>0.00845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HYPERLINK("http://141.218.60.56/~jnz1568/getInfo.php?workbook=20_14.xlsx&amp;sheet=U0&amp;row=2328&amp;col=6&amp;number=3.4&amp;sourceID=14","3.4")</f>
        <v>3.4</v>
      </c>
      <c r="G2328" s="4" t="str">
        <f>HYPERLINK("http://141.218.60.56/~jnz1568/getInfo.php?workbook=20_14.xlsx&amp;sheet=U0&amp;row=2328&amp;col=7&amp;number=0.00845&amp;sourceID=14","0.00845")</f>
        <v>0.00845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HYPERLINK("http://141.218.60.56/~jnz1568/getInfo.php?workbook=20_14.xlsx&amp;sheet=U0&amp;row=2329&amp;col=6&amp;number=3.5&amp;sourceID=14","3.5")</f>
        <v>3.5</v>
      </c>
      <c r="G2329" s="4" t="str">
        <f>HYPERLINK("http://141.218.60.56/~jnz1568/getInfo.php?workbook=20_14.xlsx&amp;sheet=U0&amp;row=2329&amp;col=7&amp;number=0.00845&amp;sourceID=14","0.00845")</f>
        <v>0.00845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HYPERLINK("http://141.218.60.56/~jnz1568/getInfo.php?workbook=20_14.xlsx&amp;sheet=U0&amp;row=2330&amp;col=6&amp;number=3.6&amp;sourceID=14","3.6")</f>
        <v>3.6</v>
      </c>
      <c r="G2330" s="4" t="str">
        <f>HYPERLINK("http://141.218.60.56/~jnz1568/getInfo.php?workbook=20_14.xlsx&amp;sheet=U0&amp;row=2330&amp;col=7&amp;number=0.00844&amp;sourceID=14","0.00844")</f>
        <v>0.00844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HYPERLINK("http://141.218.60.56/~jnz1568/getInfo.php?workbook=20_14.xlsx&amp;sheet=U0&amp;row=2331&amp;col=6&amp;number=3.7&amp;sourceID=14","3.7")</f>
        <v>3.7</v>
      </c>
      <c r="G2331" s="4" t="str">
        <f>HYPERLINK("http://141.218.60.56/~jnz1568/getInfo.php?workbook=20_14.xlsx&amp;sheet=U0&amp;row=2331&amp;col=7&amp;number=0.00843&amp;sourceID=14","0.00843")</f>
        <v>0.00843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HYPERLINK("http://141.218.60.56/~jnz1568/getInfo.php?workbook=20_14.xlsx&amp;sheet=U0&amp;row=2332&amp;col=6&amp;number=3.8&amp;sourceID=14","3.8")</f>
        <v>3.8</v>
      </c>
      <c r="G2332" s="4" t="str">
        <f>HYPERLINK("http://141.218.60.56/~jnz1568/getInfo.php?workbook=20_14.xlsx&amp;sheet=U0&amp;row=2332&amp;col=7&amp;number=0.00843&amp;sourceID=14","0.00843")</f>
        <v>0.00843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HYPERLINK("http://141.218.60.56/~jnz1568/getInfo.php?workbook=20_14.xlsx&amp;sheet=U0&amp;row=2333&amp;col=6&amp;number=3.9&amp;sourceID=14","3.9")</f>
        <v>3.9</v>
      </c>
      <c r="G2333" s="4" t="str">
        <f>HYPERLINK("http://141.218.60.56/~jnz1568/getInfo.php?workbook=20_14.xlsx&amp;sheet=U0&amp;row=2333&amp;col=7&amp;number=0.00842&amp;sourceID=14","0.00842")</f>
        <v>0.00842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HYPERLINK("http://141.218.60.56/~jnz1568/getInfo.php?workbook=20_14.xlsx&amp;sheet=U0&amp;row=2334&amp;col=6&amp;number=4&amp;sourceID=14","4")</f>
        <v>4</v>
      </c>
      <c r="G2334" s="4" t="str">
        <f>HYPERLINK("http://141.218.60.56/~jnz1568/getInfo.php?workbook=20_14.xlsx&amp;sheet=U0&amp;row=2334&amp;col=7&amp;number=0.0084&amp;sourceID=14","0.0084")</f>
        <v>0.0084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HYPERLINK("http://141.218.60.56/~jnz1568/getInfo.php?workbook=20_14.xlsx&amp;sheet=U0&amp;row=2335&amp;col=6&amp;number=4.1&amp;sourceID=14","4.1")</f>
        <v>4.1</v>
      </c>
      <c r="G2335" s="4" t="str">
        <f>HYPERLINK("http://141.218.60.56/~jnz1568/getInfo.php?workbook=20_14.xlsx&amp;sheet=U0&amp;row=2335&amp;col=7&amp;number=0.00839&amp;sourceID=14","0.00839")</f>
        <v>0.00839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HYPERLINK("http://141.218.60.56/~jnz1568/getInfo.php?workbook=20_14.xlsx&amp;sheet=U0&amp;row=2336&amp;col=6&amp;number=4.2&amp;sourceID=14","4.2")</f>
        <v>4.2</v>
      </c>
      <c r="G2336" s="4" t="str">
        <f>HYPERLINK("http://141.218.60.56/~jnz1568/getInfo.php?workbook=20_14.xlsx&amp;sheet=U0&amp;row=2336&amp;col=7&amp;number=0.00837&amp;sourceID=14","0.00837")</f>
        <v>0.00837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HYPERLINK("http://141.218.60.56/~jnz1568/getInfo.php?workbook=20_14.xlsx&amp;sheet=U0&amp;row=2337&amp;col=6&amp;number=4.3&amp;sourceID=14","4.3")</f>
        <v>4.3</v>
      </c>
      <c r="G2337" s="4" t="str">
        <f>HYPERLINK("http://141.218.60.56/~jnz1568/getInfo.php?workbook=20_14.xlsx&amp;sheet=U0&amp;row=2337&amp;col=7&amp;number=0.00834&amp;sourceID=14","0.00834")</f>
        <v>0.00834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HYPERLINK("http://141.218.60.56/~jnz1568/getInfo.php?workbook=20_14.xlsx&amp;sheet=U0&amp;row=2338&amp;col=6&amp;number=4.4&amp;sourceID=14","4.4")</f>
        <v>4.4</v>
      </c>
      <c r="G2338" s="4" t="str">
        <f>HYPERLINK("http://141.218.60.56/~jnz1568/getInfo.php?workbook=20_14.xlsx&amp;sheet=U0&amp;row=2338&amp;col=7&amp;number=0.00831&amp;sourceID=14","0.00831")</f>
        <v>0.00831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HYPERLINK("http://141.218.60.56/~jnz1568/getInfo.php?workbook=20_14.xlsx&amp;sheet=U0&amp;row=2339&amp;col=6&amp;number=4.5&amp;sourceID=14","4.5")</f>
        <v>4.5</v>
      </c>
      <c r="G2339" s="4" t="str">
        <f>HYPERLINK("http://141.218.60.56/~jnz1568/getInfo.php?workbook=20_14.xlsx&amp;sheet=U0&amp;row=2339&amp;col=7&amp;number=0.00828&amp;sourceID=14","0.00828")</f>
        <v>0.00828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HYPERLINK("http://141.218.60.56/~jnz1568/getInfo.php?workbook=20_14.xlsx&amp;sheet=U0&amp;row=2340&amp;col=6&amp;number=4.6&amp;sourceID=14","4.6")</f>
        <v>4.6</v>
      </c>
      <c r="G2340" s="4" t="str">
        <f>HYPERLINK("http://141.218.60.56/~jnz1568/getInfo.php?workbook=20_14.xlsx&amp;sheet=U0&amp;row=2340&amp;col=7&amp;number=0.00823&amp;sourceID=14","0.00823")</f>
        <v>0.00823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HYPERLINK("http://141.218.60.56/~jnz1568/getInfo.php?workbook=20_14.xlsx&amp;sheet=U0&amp;row=2341&amp;col=6&amp;number=4.7&amp;sourceID=14","4.7")</f>
        <v>4.7</v>
      </c>
      <c r="G2341" s="4" t="str">
        <f>HYPERLINK("http://141.218.60.56/~jnz1568/getInfo.php?workbook=20_14.xlsx&amp;sheet=U0&amp;row=2341&amp;col=7&amp;number=0.00817&amp;sourceID=14","0.00817")</f>
        <v>0.00817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HYPERLINK("http://141.218.60.56/~jnz1568/getInfo.php?workbook=20_14.xlsx&amp;sheet=U0&amp;row=2342&amp;col=6&amp;number=4.8&amp;sourceID=14","4.8")</f>
        <v>4.8</v>
      </c>
      <c r="G2342" s="4" t="str">
        <f>HYPERLINK("http://141.218.60.56/~jnz1568/getInfo.php?workbook=20_14.xlsx&amp;sheet=U0&amp;row=2342&amp;col=7&amp;number=0.00809&amp;sourceID=14","0.00809")</f>
        <v>0.00809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HYPERLINK("http://141.218.60.56/~jnz1568/getInfo.php?workbook=20_14.xlsx&amp;sheet=U0&amp;row=2343&amp;col=6&amp;number=4.9&amp;sourceID=14","4.9")</f>
        <v>4.9</v>
      </c>
      <c r="G2343" s="4" t="str">
        <f>HYPERLINK("http://141.218.60.56/~jnz1568/getInfo.php?workbook=20_14.xlsx&amp;sheet=U0&amp;row=2343&amp;col=7&amp;number=0.008&amp;sourceID=14","0.008")</f>
        <v>0.008</v>
      </c>
    </row>
    <row r="2344" spans="1:7">
      <c r="A2344" s="3">
        <v>20</v>
      </c>
      <c r="B2344" s="3">
        <v>14</v>
      </c>
      <c r="C2344" s="3">
        <v>5</v>
      </c>
      <c r="D2344" s="3">
        <v>25</v>
      </c>
      <c r="E2344" s="3">
        <v>1</v>
      </c>
      <c r="F2344" s="4" t="str">
        <f>HYPERLINK("http://141.218.60.56/~jnz1568/getInfo.php?workbook=20_14.xlsx&amp;sheet=U0&amp;row=2344&amp;col=6&amp;number=3&amp;sourceID=14","3")</f>
        <v>3</v>
      </c>
      <c r="G2344" s="4" t="str">
        <f>HYPERLINK("http://141.218.60.56/~jnz1568/getInfo.php?workbook=20_14.xlsx&amp;sheet=U0&amp;row=2344&amp;col=7&amp;number=0.0311&amp;sourceID=14","0.0311")</f>
        <v>0.0311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HYPERLINK("http://141.218.60.56/~jnz1568/getInfo.php?workbook=20_14.xlsx&amp;sheet=U0&amp;row=2345&amp;col=6&amp;number=3.1&amp;sourceID=14","3.1")</f>
        <v>3.1</v>
      </c>
      <c r="G2345" s="4" t="str">
        <f>HYPERLINK("http://141.218.60.56/~jnz1568/getInfo.php?workbook=20_14.xlsx&amp;sheet=U0&amp;row=2345&amp;col=7&amp;number=0.031&amp;sourceID=14","0.031")</f>
        <v>0.031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HYPERLINK("http://141.218.60.56/~jnz1568/getInfo.php?workbook=20_14.xlsx&amp;sheet=U0&amp;row=2346&amp;col=6&amp;number=3.2&amp;sourceID=14","3.2")</f>
        <v>3.2</v>
      </c>
      <c r="G2346" s="4" t="str">
        <f>HYPERLINK("http://141.218.60.56/~jnz1568/getInfo.php?workbook=20_14.xlsx&amp;sheet=U0&amp;row=2346&amp;col=7&amp;number=0.031&amp;sourceID=14","0.031")</f>
        <v>0.031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HYPERLINK("http://141.218.60.56/~jnz1568/getInfo.php?workbook=20_14.xlsx&amp;sheet=U0&amp;row=2347&amp;col=6&amp;number=3.3&amp;sourceID=14","3.3")</f>
        <v>3.3</v>
      </c>
      <c r="G2347" s="4" t="str">
        <f>HYPERLINK("http://141.218.60.56/~jnz1568/getInfo.php?workbook=20_14.xlsx&amp;sheet=U0&amp;row=2347&amp;col=7&amp;number=0.031&amp;sourceID=14","0.031")</f>
        <v>0.031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HYPERLINK("http://141.218.60.56/~jnz1568/getInfo.php?workbook=20_14.xlsx&amp;sheet=U0&amp;row=2348&amp;col=6&amp;number=3.4&amp;sourceID=14","3.4")</f>
        <v>3.4</v>
      </c>
      <c r="G2348" s="4" t="str">
        <f>HYPERLINK("http://141.218.60.56/~jnz1568/getInfo.php?workbook=20_14.xlsx&amp;sheet=U0&amp;row=2348&amp;col=7&amp;number=0.0309&amp;sourceID=14","0.0309")</f>
        <v>0.0309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HYPERLINK("http://141.218.60.56/~jnz1568/getInfo.php?workbook=20_14.xlsx&amp;sheet=U0&amp;row=2349&amp;col=6&amp;number=3.5&amp;sourceID=14","3.5")</f>
        <v>3.5</v>
      </c>
      <c r="G2349" s="4" t="str">
        <f>HYPERLINK("http://141.218.60.56/~jnz1568/getInfo.php?workbook=20_14.xlsx&amp;sheet=U0&amp;row=2349&amp;col=7&amp;number=0.0308&amp;sourceID=14","0.0308")</f>
        <v>0.0308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HYPERLINK("http://141.218.60.56/~jnz1568/getInfo.php?workbook=20_14.xlsx&amp;sheet=U0&amp;row=2350&amp;col=6&amp;number=3.6&amp;sourceID=14","3.6")</f>
        <v>3.6</v>
      </c>
      <c r="G2350" s="4" t="str">
        <f>HYPERLINK("http://141.218.60.56/~jnz1568/getInfo.php?workbook=20_14.xlsx&amp;sheet=U0&amp;row=2350&amp;col=7&amp;number=0.0308&amp;sourceID=14","0.0308")</f>
        <v>0.0308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HYPERLINK("http://141.218.60.56/~jnz1568/getInfo.php?workbook=20_14.xlsx&amp;sheet=U0&amp;row=2351&amp;col=6&amp;number=3.7&amp;sourceID=14","3.7")</f>
        <v>3.7</v>
      </c>
      <c r="G2351" s="4" t="str">
        <f>HYPERLINK("http://141.218.60.56/~jnz1568/getInfo.php?workbook=20_14.xlsx&amp;sheet=U0&amp;row=2351&amp;col=7&amp;number=0.0307&amp;sourceID=14","0.0307")</f>
        <v>0.0307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HYPERLINK("http://141.218.60.56/~jnz1568/getInfo.php?workbook=20_14.xlsx&amp;sheet=U0&amp;row=2352&amp;col=6&amp;number=3.8&amp;sourceID=14","3.8")</f>
        <v>3.8</v>
      </c>
      <c r="G2352" s="4" t="str">
        <f>HYPERLINK("http://141.218.60.56/~jnz1568/getInfo.php?workbook=20_14.xlsx&amp;sheet=U0&amp;row=2352&amp;col=7&amp;number=0.0305&amp;sourceID=14","0.0305")</f>
        <v>0.0305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HYPERLINK("http://141.218.60.56/~jnz1568/getInfo.php?workbook=20_14.xlsx&amp;sheet=U0&amp;row=2353&amp;col=6&amp;number=3.9&amp;sourceID=14","3.9")</f>
        <v>3.9</v>
      </c>
      <c r="G2353" s="4" t="str">
        <f>HYPERLINK("http://141.218.60.56/~jnz1568/getInfo.php?workbook=20_14.xlsx&amp;sheet=U0&amp;row=2353&amp;col=7&amp;number=0.0304&amp;sourceID=14","0.0304")</f>
        <v>0.0304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HYPERLINK("http://141.218.60.56/~jnz1568/getInfo.php?workbook=20_14.xlsx&amp;sheet=U0&amp;row=2354&amp;col=6&amp;number=4&amp;sourceID=14","4")</f>
        <v>4</v>
      </c>
      <c r="G2354" s="4" t="str">
        <f>HYPERLINK("http://141.218.60.56/~jnz1568/getInfo.php?workbook=20_14.xlsx&amp;sheet=U0&amp;row=2354&amp;col=7&amp;number=0.0302&amp;sourceID=14","0.0302")</f>
        <v>0.0302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HYPERLINK("http://141.218.60.56/~jnz1568/getInfo.php?workbook=20_14.xlsx&amp;sheet=U0&amp;row=2355&amp;col=6&amp;number=4.1&amp;sourceID=14","4.1")</f>
        <v>4.1</v>
      </c>
      <c r="G2355" s="4" t="str">
        <f>HYPERLINK("http://141.218.60.56/~jnz1568/getInfo.php?workbook=20_14.xlsx&amp;sheet=U0&amp;row=2355&amp;col=7&amp;number=0.0299&amp;sourceID=14","0.0299")</f>
        <v>0.0299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HYPERLINK("http://141.218.60.56/~jnz1568/getInfo.php?workbook=20_14.xlsx&amp;sheet=U0&amp;row=2356&amp;col=6&amp;number=4.2&amp;sourceID=14","4.2")</f>
        <v>4.2</v>
      </c>
      <c r="G2356" s="4" t="str">
        <f>HYPERLINK("http://141.218.60.56/~jnz1568/getInfo.php?workbook=20_14.xlsx&amp;sheet=U0&amp;row=2356&amp;col=7&amp;number=0.0296&amp;sourceID=14","0.0296")</f>
        <v>0.0296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HYPERLINK("http://141.218.60.56/~jnz1568/getInfo.php?workbook=20_14.xlsx&amp;sheet=U0&amp;row=2357&amp;col=6&amp;number=4.3&amp;sourceID=14","4.3")</f>
        <v>4.3</v>
      </c>
      <c r="G2357" s="4" t="str">
        <f>HYPERLINK("http://141.218.60.56/~jnz1568/getInfo.php?workbook=20_14.xlsx&amp;sheet=U0&amp;row=2357&amp;col=7&amp;number=0.0292&amp;sourceID=14","0.0292")</f>
        <v>0.0292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HYPERLINK("http://141.218.60.56/~jnz1568/getInfo.php?workbook=20_14.xlsx&amp;sheet=U0&amp;row=2358&amp;col=6&amp;number=4.4&amp;sourceID=14","4.4")</f>
        <v>4.4</v>
      </c>
      <c r="G2358" s="4" t="str">
        <f>HYPERLINK("http://141.218.60.56/~jnz1568/getInfo.php?workbook=20_14.xlsx&amp;sheet=U0&amp;row=2358&amp;col=7&amp;number=0.0288&amp;sourceID=14","0.0288")</f>
        <v>0.0288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HYPERLINK("http://141.218.60.56/~jnz1568/getInfo.php?workbook=20_14.xlsx&amp;sheet=U0&amp;row=2359&amp;col=6&amp;number=4.5&amp;sourceID=14","4.5")</f>
        <v>4.5</v>
      </c>
      <c r="G2359" s="4" t="str">
        <f>HYPERLINK("http://141.218.60.56/~jnz1568/getInfo.php?workbook=20_14.xlsx&amp;sheet=U0&amp;row=2359&amp;col=7&amp;number=0.0282&amp;sourceID=14","0.0282")</f>
        <v>0.0282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HYPERLINK("http://141.218.60.56/~jnz1568/getInfo.php?workbook=20_14.xlsx&amp;sheet=U0&amp;row=2360&amp;col=6&amp;number=4.6&amp;sourceID=14","4.6")</f>
        <v>4.6</v>
      </c>
      <c r="G2360" s="4" t="str">
        <f>HYPERLINK("http://141.218.60.56/~jnz1568/getInfo.php?workbook=20_14.xlsx&amp;sheet=U0&amp;row=2360&amp;col=7&amp;number=0.0275&amp;sourceID=14","0.0275")</f>
        <v>0.0275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HYPERLINK("http://141.218.60.56/~jnz1568/getInfo.php?workbook=20_14.xlsx&amp;sheet=U0&amp;row=2361&amp;col=6&amp;number=4.7&amp;sourceID=14","4.7")</f>
        <v>4.7</v>
      </c>
      <c r="G2361" s="4" t="str">
        <f>HYPERLINK("http://141.218.60.56/~jnz1568/getInfo.php?workbook=20_14.xlsx&amp;sheet=U0&amp;row=2361&amp;col=7&amp;number=0.0267&amp;sourceID=14","0.0267")</f>
        <v>0.0267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HYPERLINK("http://141.218.60.56/~jnz1568/getInfo.php?workbook=20_14.xlsx&amp;sheet=U0&amp;row=2362&amp;col=6&amp;number=4.8&amp;sourceID=14","4.8")</f>
        <v>4.8</v>
      </c>
      <c r="G2362" s="4" t="str">
        <f>HYPERLINK("http://141.218.60.56/~jnz1568/getInfo.php?workbook=20_14.xlsx&amp;sheet=U0&amp;row=2362&amp;col=7&amp;number=0.0258&amp;sourceID=14","0.0258")</f>
        <v>0.0258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HYPERLINK("http://141.218.60.56/~jnz1568/getInfo.php?workbook=20_14.xlsx&amp;sheet=U0&amp;row=2363&amp;col=6&amp;number=4.9&amp;sourceID=14","4.9")</f>
        <v>4.9</v>
      </c>
      <c r="G2363" s="4" t="str">
        <f>HYPERLINK("http://141.218.60.56/~jnz1568/getInfo.php?workbook=20_14.xlsx&amp;sheet=U0&amp;row=2363&amp;col=7&amp;number=0.0247&amp;sourceID=14","0.0247")</f>
        <v>0.0247</v>
      </c>
    </row>
    <row r="2364" spans="1:7">
      <c r="A2364" s="3">
        <v>20</v>
      </c>
      <c r="B2364" s="3">
        <v>14</v>
      </c>
      <c r="C2364" s="3">
        <v>5</v>
      </c>
      <c r="D2364" s="3">
        <v>26</v>
      </c>
      <c r="E2364" s="3">
        <v>1</v>
      </c>
      <c r="F2364" s="4" t="str">
        <f>HYPERLINK("http://141.218.60.56/~jnz1568/getInfo.php?workbook=20_14.xlsx&amp;sheet=U0&amp;row=2364&amp;col=6&amp;number=3&amp;sourceID=14","3")</f>
        <v>3</v>
      </c>
      <c r="G2364" s="4" t="str">
        <f>HYPERLINK("http://141.218.60.56/~jnz1568/getInfo.php?workbook=20_14.xlsx&amp;sheet=U0&amp;row=2364&amp;col=7&amp;number=0.0539&amp;sourceID=14","0.0539")</f>
        <v>0.0539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HYPERLINK("http://141.218.60.56/~jnz1568/getInfo.php?workbook=20_14.xlsx&amp;sheet=U0&amp;row=2365&amp;col=6&amp;number=3.1&amp;sourceID=14","3.1")</f>
        <v>3.1</v>
      </c>
      <c r="G2365" s="4" t="str">
        <f>HYPERLINK("http://141.218.60.56/~jnz1568/getInfo.php?workbook=20_14.xlsx&amp;sheet=U0&amp;row=2365&amp;col=7&amp;number=0.0539&amp;sourceID=14","0.0539")</f>
        <v>0.0539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HYPERLINK("http://141.218.60.56/~jnz1568/getInfo.php?workbook=20_14.xlsx&amp;sheet=U0&amp;row=2366&amp;col=6&amp;number=3.2&amp;sourceID=14","3.2")</f>
        <v>3.2</v>
      </c>
      <c r="G2366" s="4" t="str">
        <f>HYPERLINK("http://141.218.60.56/~jnz1568/getInfo.php?workbook=20_14.xlsx&amp;sheet=U0&amp;row=2366&amp;col=7&amp;number=0.0539&amp;sourceID=14","0.0539")</f>
        <v>0.0539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HYPERLINK("http://141.218.60.56/~jnz1568/getInfo.php?workbook=20_14.xlsx&amp;sheet=U0&amp;row=2367&amp;col=6&amp;number=3.3&amp;sourceID=14","3.3")</f>
        <v>3.3</v>
      </c>
      <c r="G2367" s="4" t="str">
        <f>HYPERLINK("http://141.218.60.56/~jnz1568/getInfo.php?workbook=20_14.xlsx&amp;sheet=U0&amp;row=2367&amp;col=7&amp;number=0.0539&amp;sourceID=14","0.0539")</f>
        <v>0.0539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HYPERLINK("http://141.218.60.56/~jnz1568/getInfo.php?workbook=20_14.xlsx&amp;sheet=U0&amp;row=2368&amp;col=6&amp;number=3.4&amp;sourceID=14","3.4")</f>
        <v>3.4</v>
      </c>
      <c r="G2368" s="4" t="str">
        <f>HYPERLINK("http://141.218.60.56/~jnz1568/getInfo.php?workbook=20_14.xlsx&amp;sheet=U0&amp;row=2368&amp;col=7&amp;number=0.0539&amp;sourceID=14","0.0539")</f>
        <v>0.0539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HYPERLINK("http://141.218.60.56/~jnz1568/getInfo.php?workbook=20_14.xlsx&amp;sheet=U0&amp;row=2369&amp;col=6&amp;number=3.5&amp;sourceID=14","3.5")</f>
        <v>3.5</v>
      </c>
      <c r="G2369" s="4" t="str">
        <f>HYPERLINK("http://141.218.60.56/~jnz1568/getInfo.php?workbook=20_14.xlsx&amp;sheet=U0&amp;row=2369&amp;col=7&amp;number=0.0539&amp;sourceID=14","0.0539")</f>
        <v>0.0539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HYPERLINK("http://141.218.60.56/~jnz1568/getInfo.php?workbook=20_14.xlsx&amp;sheet=U0&amp;row=2370&amp;col=6&amp;number=3.6&amp;sourceID=14","3.6")</f>
        <v>3.6</v>
      </c>
      <c r="G2370" s="4" t="str">
        <f>HYPERLINK("http://141.218.60.56/~jnz1568/getInfo.php?workbook=20_14.xlsx&amp;sheet=U0&amp;row=2370&amp;col=7&amp;number=0.0539&amp;sourceID=14","0.0539")</f>
        <v>0.0539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HYPERLINK("http://141.218.60.56/~jnz1568/getInfo.php?workbook=20_14.xlsx&amp;sheet=U0&amp;row=2371&amp;col=6&amp;number=3.7&amp;sourceID=14","3.7")</f>
        <v>3.7</v>
      </c>
      <c r="G2371" s="4" t="str">
        <f>HYPERLINK("http://141.218.60.56/~jnz1568/getInfo.php?workbook=20_14.xlsx&amp;sheet=U0&amp;row=2371&amp;col=7&amp;number=0.0539&amp;sourceID=14","0.0539")</f>
        <v>0.0539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HYPERLINK("http://141.218.60.56/~jnz1568/getInfo.php?workbook=20_14.xlsx&amp;sheet=U0&amp;row=2372&amp;col=6&amp;number=3.8&amp;sourceID=14","3.8")</f>
        <v>3.8</v>
      </c>
      <c r="G2372" s="4" t="str">
        <f>HYPERLINK("http://141.218.60.56/~jnz1568/getInfo.php?workbook=20_14.xlsx&amp;sheet=U0&amp;row=2372&amp;col=7&amp;number=0.054&amp;sourceID=14","0.054")</f>
        <v>0.054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HYPERLINK("http://141.218.60.56/~jnz1568/getInfo.php?workbook=20_14.xlsx&amp;sheet=U0&amp;row=2373&amp;col=6&amp;number=3.9&amp;sourceID=14","3.9")</f>
        <v>3.9</v>
      </c>
      <c r="G2373" s="4" t="str">
        <f>HYPERLINK("http://141.218.60.56/~jnz1568/getInfo.php?workbook=20_14.xlsx&amp;sheet=U0&amp;row=2373&amp;col=7&amp;number=0.054&amp;sourceID=14","0.054")</f>
        <v>0.054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HYPERLINK("http://141.218.60.56/~jnz1568/getInfo.php?workbook=20_14.xlsx&amp;sheet=U0&amp;row=2374&amp;col=6&amp;number=4&amp;sourceID=14","4")</f>
        <v>4</v>
      </c>
      <c r="G2374" s="4" t="str">
        <f>HYPERLINK("http://141.218.60.56/~jnz1568/getInfo.php?workbook=20_14.xlsx&amp;sheet=U0&amp;row=2374&amp;col=7&amp;number=0.054&amp;sourceID=14","0.054")</f>
        <v>0.054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HYPERLINK("http://141.218.60.56/~jnz1568/getInfo.php?workbook=20_14.xlsx&amp;sheet=U0&amp;row=2375&amp;col=6&amp;number=4.1&amp;sourceID=14","4.1")</f>
        <v>4.1</v>
      </c>
      <c r="G2375" s="4" t="str">
        <f>HYPERLINK("http://141.218.60.56/~jnz1568/getInfo.php?workbook=20_14.xlsx&amp;sheet=U0&amp;row=2375&amp;col=7&amp;number=0.054&amp;sourceID=14","0.054")</f>
        <v>0.054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HYPERLINK("http://141.218.60.56/~jnz1568/getInfo.php?workbook=20_14.xlsx&amp;sheet=U0&amp;row=2376&amp;col=6&amp;number=4.2&amp;sourceID=14","4.2")</f>
        <v>4.2</v>
      </c>
      <c r="G2376" s="4" t="str">
        <f>HYPERLINK("http://141.218.60.56/~jnz1568/getInfo.php?workbook=20_14.xlsx&amp;sheet=U0&amp;row=2376&amp;col=7&amp;number=0.054&amp;sourceID=14","0.054")</f>
        <v>0.054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HYPERLINK("http://141.218.60.56/~jnz1568/getInfo.php?workbook=20_14.xlsx&amp;sheet=U0&amp;row=2377&amp;col=6&amp;number=4.3&amp;sourceID=14","4.3")</f>
        <v>4.3</v>
      </c>
      <c r="G2377" s="4" t="str">
        <f>HYPERLINK("http://141.218.60.56/~jnz1568/getInfo.php?workbook=20_14.xlsx&amp;sheet=U0&amp;row=2377&amp;col=7&amp;number=0.0541&amp;sourceID=14","0.0541")</f>
        <v>0.0541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HYPERLINK("http://141.218.60.56/~jnz1568/getInfo.php?workbook=20_14.xlsx&amp;sheet=U0&amp;row=2378&amp;col=6&amp;number=4.4&amp;sourceID=14","4.4")</f>
        <v>4.4</v>
      </c>
      <c r="G2378" s="4" t="str">
        <f>HYPERLINK("http://141.218.60.56/~jnz1568/getInfo.php?workbook=20_14.xlsx&amp;sheet=U0&amp;row=2378&amp;col=7&amp;number=0.0541&amp;sourceID=14","0.0541")</f>
        <v>0.0541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HYPERLINK("http://141.218.60.56/~jnz1568/getInfo.php?workbook=20_14.xlsx&amp;sheet=U0&amp;row=2379&amp;col=6&amp;number=4.5&amp;sourceID=14","4.5")</f>
        <v>4.5</v>
      </c>
      <c r="G2379" s="4" t="str">
        <f>HYPERLINK("http://141.218.60.56/~jnz1568/getInfo.php?workbook=20_14.xlsx&amp;sheet=U0&amp;row=2379&amp;col=7&amp;number=0.0542&amp;sourceID=14","0.0542")</f>
        <v>0.0542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HYPERLINK("http://141.218.60.56/~jnz1568/getInfo.php?workbook=20_14.xlsx&amp;sheet=U0&amp;row=2380&amp;col=6&amp;number=4.6&amp;sourceID=14","4.6")</f>
        <v>4.6</v>
      </c>
      <c r="G2380" s="4" t="str">
        <f>HYPERLINK("http://141.218.60.56/~jnz1568/getInfo.php?workbook=20_14.xlsx&amp;sheet=U0&amp;row=2380&amp;col=7&amp;number=0.0543&amp;sourceID=14","0.0543")</f>
        <v>0.0543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HYPERLINK("http://141.218.60.56/~jnz1568/getInfo.php?workbook=20_14.xlsx&amp;sheet=U0&amp;row=2381&amp;col=6&amp;number=4.7&amp;sourceID=14","4.7")</f>
        <v>4.7</v>
      </c>
      <c r="G2381" s="4" t="str">
        <f>HYPERLINK("http://141.218.60.56/~jnz1568/getInfo.php?workbook=20_14.xlsx&amp;sheet=U0&amp;row=2381&amp;col=7&amp;number=0.0544&amp;sourceID=14","0.0544")</f>
        <v>0.0544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HYPERLINK("http://141.218.60.56/~jnz1568/getInfo.php?workbook=20_14.xlsx&amp;sheet=U0&amp;row=2382&amp;col=6&amp;number=4.8&amp;sourceID=14","4.8")</f>
        <v>4.8</v>
      </c>
      <c r="G2382" s="4" t="str">
        <f>HYPERLINK("http://141.218.60.56/~jnz1568/getInfo.php?workbook=20_14.xlsx&amp;sheet=U0&amp;row=2382&amp;col=7&amp;number=0.0545&amp;sourceID=14","0.0545")</f>
        <v>0.0545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HYPERLINK("http://141.218.60.56/~jnz1568/getInfo.php?workbook=20_14.xlsx&amp;sheet=U0&amp;row=2383&amp;col=6&amp;number=4.9&amp;sourceID=14","4.9")</f>
        <v>4.9</v>
      </c>
      <c r="G2383" s="4" t="str">
        <f>HYPERLINK("http://141.218.60.56/~jnz1568/getInfo.php?workbook=20_14.xlsx&amp;sheet=U0&amp;row=2383&amp;col=7&amp;number=0.0546&amp;sourceID=14","0.0546")</f>
        <v>0.0546</v>
      </c>
    </row>
    <row r="2384" spans="1:7">
      <c r="A2384" s="3">
        <v>20</v>
      </c>
      <c r="B2384" s="3">
        <v>14</v>
      </c>
      <c r="C2384" s="3">
        <v>5</v>
      </c>
      <c r="D2384" s="3">
        <v>27</v>
      </c>
      <c r="E2384" s="3">
        <v>1</v>
      </c>
      <c r="F2384" s="4" t="str">
        <f>HYPERLINK("http://141.218.60.56/~jnz1568/getInfo.php?workbook=20_14.xlsx&amp;sheet=U0&amp;row=2384&amp;col=6&amp;number=3&amp;sourceID=14","3")</f>
        <v>3</v>
      </c>
      <c r="G2384" s="4" t="str">
        <f>HYPERLINK("http://141.218.60.56/~jnz1568/getInfo.php?workbook=20_14.xlsx&amp;sheet=U0&amp;row=2384&amp;col=7&amp;number=3.07&amp;sourceID=14","3.07")</f>
        <v>3.07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HYPERLINK("http://141.218.60.56/~jnz1568/getInfo.php?workbook=20_14.xlsx&amp;sheet=U0&amp;row=2385&amp;col=6&amp;number=3.1&amp;sourceID=14","3.1")</f>
        <v>3.1</v>
      </c>
      <c r="G2385" s="4" t="str">
        <f>HYPERLINK("http://141.218.60.56/~jnz1568/getInfo.php?workbook=20_14.xlsx&amp;sheet=U0&amp;row=2385&amp;col=7&amp;number=3.07&amp;sourceID=14","3.07")</f>
        <v>3.07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HYPERLINK("http://141.218.60.56/~jnz1568/getInfo.php?workbook=20_14.xlsx&amp;sheet=U0&amp;row=2386&amp;col=6&amp;number=3.2&amp;sourceID=14","3.2")</f>
        <v>3.2</v>
      </c>
      <c r="G2386" s="4" t="str">
        <f>HYPERLINK("http://141.218.60.56/~jnz1568/getInfo.php?workbook=20_14.xlsx&amp;sheet=U0&amp;row=2386&amp;col=7&amp;number=3.07&amp;sourceID=14","3.07")</f>
        <v>3.07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HYPERLINK("http://141.218.60.56/~jnz1568/getInfo.php?workbook=20_14.xlsx&amp;sheet=U0&amp;row=2387&amp;col=6&amp;number=3.3&amp;sourceID=14","3.3")</f>
        <v>3.3</v>
      </c>
      <c r="G2387" s="4" t="str">
        <f>HYPERLINK("http://141.218.60.56/~jnz1568/getInfo.php?workbook=20_14.xlsx&amp;sheet=U0&amp;row=2387&amp;col=7&amp;number=3.07&amp;sourceID=14","3.07")</f>
        <v>3.07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HYPERLINK("http://141.218.60.56/~jnz1568/getInfo.php?workbook=20_14.xlsx&amp;sheet=U0&amp;row=2388&amp;col=6&amp;number=3.4&amp;sourceID=14","3.4")</f>
        <v>3.4</v>
      </c>
      <c r="G2388" s="4" t="str">
        <f>HYPERLINK("http://141.218.60.56/~jnz1568/getInfo.php?workbook=20_14.xlsx&amp;sheet=U0&amp;row=2388&amp;col=7&amp;number=3.08&amp;sourceID=14","3.08")</f>
        <v>3.08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HYPERLINK("http://141.218.60.56/~jnz1568/getInfo.php?workbook=20_14.xlsx&amp;sheet=U0&amp;row=2389&amp;col=6&amp;number=3.5&amp;sourceID=14","3.5")</f>
        <v>3.5</v>
      </c>
      <c r="G2389" s="4" t="str">
        <f>HYPERLINK("http://141.218.60.56/~jnz1568/getInfo.php?workbook=20_14.xlsx&amp;sheet=U0&amp;row=2389&amp;col=7&amp;number=3.08&amp;sourceID=14","3.08")</f>
        <v>3.08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HYPERLINK("http://141.218.60.56/~jnz1568/getInfo.php?workbook=20_14.xlsx&amp;sheet=U0&amp;row=2390&amp;col=6&amp;number=3.6&amp;sourceID=14","3.6")</f>
        <v>3.6</v>
      </c>
      <c r="G2390" s="4" t="str">
        <f>HYPERLINK("http://141.218.60.56/~jnz1568/getInfo.php?workbook=20_14.xlsx&amp;sheet=U0&amp;row=2390&amp;col=7&amp;number=3.08&amp;sourceID=14","3.08")</f>
        <v>3.08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HYPERLINK("http://141.218.60.56/~jnz1568/getInfo.php?workbook=20_14.xlsx&amp;sheet=U0&amp;row=2391&amp;col=6&amp;number=3.7&amp;sourceID=14","3.7")</f>
        <v>3.7</v>
      </c>
      <c r="G2391" s="4" t="str">
        <f>HYPERLINK("http://141.218.60.56/~jnz1568/getInfo.php?workbook=20_14.xlsx&amp;sheet=U0&amp;row=2391&amp;col=7&amp;number=3.08&amp;sourceID=14","3.08")</f>
        <v>3.08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HYPERLINK("http://141.218.60.56/~jnz1568/getInfo.php?workbook=20_14.xlsx&amp;sheet=U0&amp;row=2392&amp;col=6&amp;number=3.8&amp;sourceID=14","3.8")</f>
        <v>3.8</v>
      </c>
      <c r="G2392" s="4" t="str">
        <f>HYPERLINK("http://141.218.60.56/~jnz1568/getInfo.php?workbook=20_14.xlsx&amp;sheet=U0&amp;row=2392&amp;col=7&amp;number=3.08&amp;sourceID=14","3.08")</f>
        <v>3.08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HYPERLINK("http://141.218.60.56/~jnz1568/getInfo.php?workbook=20_14.xlsx&amp;sheet=U0&amp;row=2393&amp;col=6&amp;number=3.9&amp;sourceID=14","3.9")</f>
        <v>3.9</v>
      </c>
      <c r="G2393" s="4" t="str">
        <f>HYPERLINK("http://141.218.60.56/~jnz1568/getInfo.php?workbook=20_14.xlsx&amp;sheet=U0&amp;row=2393&amp;col=7&amp;number=3.09&amp;sourceID=14","3.09")</f>
        <v>3.09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HYPERLINK("http://141.218.60.56/~jnz1568/getInfo.php?workbook=20_14.xlsx&amp;sheet=U0&amp;row=2394&amp;col=6&amp;number=4&amp;sourceID=14","4")</f>
        <v>4</v>
      </c>
      <c r="G2394" s="4" t="str">
        <f>HYPERLINK("http://141.218.60.56/~jnz1568/getInfo.php?workbook=20_14.xlsx&amp;sheet=U0&amp;row=2394&amp;col=7&amp;number=3.09&amp;sourceID=14","3.09")</f>
        <v>3.09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HYPERLINK("http://141.218.60.56/~jnz1568/getInfo.php?workbook=20_14.xlsx&amp;sheet=U0&amp;row=2395&amp;col=6&amp;number=4.1&amp;sourceID=14","4.1")</f>
        <v>4.1</v>
      </c>
      <c r="G2395" s="4" t="str">
        <f>HYPERLINK("http://141.218.60.56/~jnz1568/getInfo.php?workbook=20_14.xlsx&amp;sheet=U0&amp;row=2395&amp;col=7&amp;number=3.1&amp;sourceID=14","3.1")</f>
        <v>3.1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HYPERLINK("http://141.218.60.56/~jnz1568/getInfo.php?workbook=20_14.xlsx&amp;sheet=U0&amp;row=2396&amp;col=6&amp;number=4.2&amp;sourceID=14","4.2")</f>
        <v>4.2</v>
      </c>
      <c r="G2396" s="4" t="str">
        <f>HYPERLINK("http://141.218.60.56/~jnz1568/getInfo.php?workbook=20_14.xlsx&amp;sheet=U0&amp;row=2396&amp;col=7&amp;number=3.11&amp;sourceID=14","3.11")</f>
        <v>3.11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HYPERLINK("http://141.218.60.56/~jnz1568/getInfo.php?workbook=20_14.xlsx&amp;sheet=U0&amp;row=2397&amp;col=6&amp;number=4.3&amp;sourceID=14","4.3")</f>
        <v>4.3</v>
      </c>
      <c r="G2397" s="4" t="str">
        <f>HYPERLINK("http://141.218.60.56/~jnz1568/getInfo.php?workbook=20_14.xlsx&amp;sheet=U0&amp;row=2397&amp;col=7&amp;number=3.12&amp;sourceID=14","3.12")</f>
        <v>3.12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HYPERLINK("http://141.218.60.56/~jnz1568/getInfo.php?workbook=20_14.xlsx&amp;sheet=U0&amp;row=2398&amp;col=6&amp;number=4.4&amp;sourceID=14","4.4")</f>
        <v>4.4</v>
      </c>
      <c r="G2398" s="4" t="str">
        <f>HYPERLINK("http://141.218.60.56/~jnz1568/getInfo.php?workbook=20_14.xlsx&amp;sheet=U0&amp;row=2398&amp;col=7&amp;number=3.13&amp;sourceID=14","3.13")</f>
        <v>3.13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HYPERLINK("http://141.218.60.56/~jnz1568/getInfo.php?workbook=20_14.xlsx&amp;sheet=U0&amp;row=2399&amp;col=6&amp;number=4.5&amp;sourceID=14","4.5")</f>
        <v>4.5</v>
      </c>
      <c r="G2399" s="4" t="str">
        <f>HYPERLINK("http://141.218.60.56/~jnz1568/getInfo.php?workbook=20_14.xlsx&amp;sheet=U0&amp;row=2399&amp;col=7&amp;number=3.15&amp;sourceID=14","3.15")</f>
        <v>3.15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HYPERLINK("http://141.218.60.56/~jnz1568/getInfo.php?workbook=20_14.xlsx&amp;sheet=U0&amp;row=2400&amp;col=6&amp;number=4.6&amp;sourceID=14","4.6")</f>
        <v>4.6</v>
      </c>
      <c r="G2400" s="4" t="str">
        <f>HYPERLINK("http://141.218.60.56/~jnz1568/getInfo.php?workbook=20_14.xlsx&amp;sheet=U0&amp;row=2400&amp;col=7&amp;number=3.17&amp;sourceID=14","3.17")</f>
        <v>3.17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HYPERLINK("http://141.218.60.56/~jnz1568/getInfo.php?workbook=20_14.xlsx&amp;sheet=U0&amp;row=2401&amp;col=6&amp;number=4.7&amp;sourceID=14","4.7")</f>
        <v>4.7</v>
      </c>
      <c r="G2401" s="4" t="str">
        <f>HYPERLINK("http://141.218.60.56/~jnz1568/getInfo.php?workbook=20_14.xlsx&amp;sheet=U0&amp;row=2401&amp;col=7&amp;number=3.19&amp;sourceID=14","3.19")</f>
        <v>3.19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HYPERLINK("http://141.218.60.56/~jnz1568/getInfo.php?workbook=20_14.xlsx&amp;sheet=U0&amp;row=2402&amp;col=6&amp;number=4.8&amp;sourceID=14","4.8")</f>
        <v>4.8</v>
      </c>
      <c r="G2402" s="4" t="str">
        <f>HYPERLINK("http://141.218.60.56/~jnz1568/getInfo.php?workbook=20_14.xlsx&amp;sheet=U0&amp;row=2402&amp;col=7&amp;number=3.22&amp;sourceID=14","3.22")</f>
        <v>3.22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HYPERLINK("http://141.218.60.56/~jnz1568/getInfo.php?workbook=20_14.xlsx&amp;sheet=U0&amp;row=2403&amp;col=6&amp;number=4.9&amp;sourceID=14","4.9")</f>
        <v>4.9</v>
      </c>
      <c r="G2403" s="4" t="str">
        <f>HYPERLINK("http://141.218.60.56/~jnz1568/getInfo.php?workbook=20_14.xlsx&amp;sheet=U0&amp;row=2403&amp;col=7&amp;number=3.26&amp;sourceID=14","3.26")</f>
        <v>3.26</v>
      </c>
    </row>
    <row r="2404" spans="1:7">
      <c r="A2404" s="3">
        <v>20</v>
      </c>
      <c r="B2404" s="3">
        <v>14</v>
      </c>
      <c r="C2404" s="3">
        <v>6</v>
      </c>
      <c r="D2404" s="3">
        <v>7</v>
      </c>
      <c r="E2404" s="3">
        <v>1</v>
      </c>
      <c r="F2404" s="4" t="str">
        <f>HYPERLINK("http://141.218.60.56/~jnz1568/getInfo.php?workbook=20_14.xlsx&amp;sheet=U0&amp;row=2404&amp;col=6&amp;number=3&amp;sourceID=14","3")</f>
        <v>3</v>
      </c>
      <c r="G2404" s="4" t="str">
        <f>HYPERLINK("http://141.218.60.56/~jnz1568/getInfo.php?workbook=20_14.xlsx&amp;sheet=U0&amp;row=2404&amp;col=7&amp;number=0.0792&amp;sourceID=14","0.0792")</f>
        <v>0.0792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HYPERLINK("http://141.218.60.56/~jnz1568/getInfo.php?workbook=20_14.xlsx&amp;sheet=U0&amp;row=2405&amp;col=6&amp;number=3.1&amp;sourceID=14","3.1")</f>
        <v>3.1</v>
      </c>
      <c r="G2405" s="4" t="str">
        <f>HYPERLINK("http://141.218.60.56/~jnz1568/getInfo.php?workbook=20_14.xlsx&amp;sheet=U0&amp;row=2405&amp;col=7&amp;number=0.0792&amp;sourceID=14","0.0792")</f>
        <v>0.0792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HYPERLINK("http://141.218.60.56/~jnz1568/getInfo.php?workbook=20_14.xlsx&amp;sheet=U0&amp;row=2406&amp;col=6&amp;number=3.2&amp;sourceID=14","3.2")</f>
        <v>3.2</v>
      </c>
      <c r="G2406" s="4" t="str">
        <f>HYPERLINK("http://141.218.60.56/~jnz1568/getInfo.php?workbook=20_14.xlsx&amp;sheet=U0&amp;row=2406&amp;col=7&amp;number=0.0791&amp;sourceID=14","0.0791")</f>
        <v>0.0791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HYPERLINK("http://141.218.60.56/~jnz1568/getInfo.php?workbook=20_14.xlsx&amp;sheet=U0&amp;row=2407&amp;col=6&amp;number=3.3&amp;sourceID=14","3.3")</f>
        <v>3.3</v>
      </c>
      <c r="G2407" s="4" t="str">
        <f>HYPERLINK("http://141.218.60.56/~jnz1568/getInfo.php?workbook=20_14.xlsx&amp;sheet=U0&amp;row=2407&amp;col=7&amp;number=0.0791&amp;sourceID=14","0.0791")</f>
        <v>0.0791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HYPERLINK("http://141.218.60.56/~jnz1568/getInfo.php?workbook=20_14.xlsx&amp;sheet=U0&amp;row=2408&amp;col=6&amp;number=3.4&amp;sourceID=14","3.4")</f>
        <v>3.4</v>
      </c>
      <c r="G2408" s="4" t="str">
        <f>HYPERLINK("http://141.218.60.56/~jnz1568/getInfo.php?workbook=20_14.xlsx&amp;sheet=U0&amp;row=2408&amp;col=7&amp;number=0.0791&amp;sourceID=14","0.0791")</f>
        <v>0.0791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HYPERLINK("http://141.218.60.56/~jnz1568/getInfo.php?workbook=20_14.xlsx&amp;sheet=U0&amp;row=2409&amp;col=6&amp;number=3.5&amp;sourceID=14","3.5")</f>
        <v>3.5</v>
      </c>
      <c r="G2409" s="4" t="str">
        <f>HYPERLINK("http://141.218.60.56/~jnz1568/getInfo.php?workbook=20_14.xlsx&amp;sheet=U0&amp;row=2409&amp;col=7&amp;number=0.0791&amp;sourceID=14","0.0791")</f>
        <v>0.0791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HYPERLINK("http://141.218.60.56/~jnz1568/getInfo.php?workbook=20_14.xlsx&amp;sheet=U0&amp;row=2410&amp;col=6&amp;number=3.6&amp;sourceID=14","3.6")</f>
        <v>3.6</v>
      </c>
      <c r="G2410" s="4" t="str">
        <f>HYPERLINK("http://141.218.60.56/~jnz1568/getInfo.php?workbook=20_14.xlsx&amp;sheet=U0&amp;row=2410&amp;col=7&amp;number=0.079&amp;sourceID=14","0.079")</f>
        <v>0.079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HYPERLINK("http://141.218.60.56/~jnz1568/getInfo.php?workbook=20_14.xlsx&amp;sheet=U0&amp;row=2411&amp;col=6&amp;number=3.7&amp;sourceID=14","3.7")</f>
        <v>3.7</v>
      </c>
      <c r="G2411" s="4" t="str">
        <f>HYPERLINK("http://141.218.60.56/~jnz1568/getInfo.php?workbook=20_14.xlsx&amp;sheet=U0&amp;row=2411&amp;col=7&amp;number=0.079&amp;sourceID=14","0.079")</f>
        <v>0.079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HYPERLINK("http://141.218.60.56/~jnz1568/getInfo.php?workbook=20_14.xlsx&amp;sheet=U0&amp;row=2412&amp;col=6&amp;number=3.8&amp;sourceID=14","3.8")</f>
        <v>3.8</v>
      </c>
      <c r="G2412" s="4" t="str">
        <f>HYPERLINK("http://141.218.60.56/~jnz1568/getInfo.php?workbook=20_14.xlsx&amp;sheet=U0&amp;row=2412&amp;col=7&amp;number=0.0789&amp;sourceID=14","0.0789")</f>
        <v>0.0789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HYPERLINK("http://141.218.60.56/~jnz1568/getInfo.php?workbook=20_14.xlsx&amp;sheet=U0&amp;row=2413&amp;col=6&amp;number=3.9&amp;sourceID=14","3.9")</f>
        <v>3.9</v>
      </c>
      <c r="G2413" s="4" t="str">
        <f>HYPERLINK("http://141.218.60.56/~jnz1568/getInfo.php?workbook=20_14.xlsx&amp;sheet=U0&amp;row=2413&amp;col=7&amp;number=0.0789&amp;sourceID=14","0.0789")</f>
        <v>0.0789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HYPERLINK("http://141.218.60.56/~jnz1568/getInfo.php?workbook=20_14.xlsx&amp;sheet=U0&amp;row=2414&amp;col=6&amp;number=4&amp;sourceID=14","4")</f>
        <v>4</v>
      </c>
      <c r="G2414" s="4" t="str">
        <f>HYPERLINK("http://141.218.60.56/~jnz1568/getInfo.php?workbook=20_14.xlsx&amp;sheet=U0&amp;row=2414&amp;col=7&amp;number=0.0788&amp;sourceID=14","0.0788")</f>
        <v>0.0788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HYPERLINK("http://141.218.60.56/~jnz1568/getInfo.php?workbook=20_14.xlsx&amp;sheet=U0&amp;row=2415&amp;col=6&amp;number=4.1&amp;sourceID=14","4.1")</f>
        <v>4.1</v>
      </c>
      <c r="G2415" s="4" t="str">
        <f>HYPERLINK("http://141.218.60.56/~jnz1568/getInfo.php?workbook=20_14.xlsx&amp;sheet=U0&amp;row=2415&amp;col=7&amp;number=0.0787&amp;sourceID=14","0.0787")</f>
        <v>0.0787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HYPERLINK("http://141.218.60.56/~jnz1568/getInfo.php?workbook=20_14.xlsx&amp;sheet=U0&amp;row=2416&amp;col=6&amp;number=4.2&amp;sourceID=14","4.2")</f>
        <v>4.2</v>
      </c>
      <c r="G2416" s="4" t="str">
        <f>HYPERLINK("http://141.218.60.56/~jnz1568/getInfo.php?workbook=20_14.xlsx&amp;sheet=U0&amp;row=2416&amp;col=7&amp;number=0.0785&amp;sourceID=14","0.0785")</f>
        <v>0.0785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HYPERLINK("http://141.218.60.56/~jnz1568/getInfo.php?workbook=20_14.xlsx&amp;sheet=U0&amp;row=2417&amp;col=6&amp;number=4.3&amp;sourceID=14","4.3")</f>
        <v>4.3</v>
      </c>
      <c r="G2417" s="4" t="str">
        <f>HYPERLINK("http://141.218.60.56/~jnz1568/getInfo.php?workbook=20_14.xlsx&amp;sheet=U0&amp;row=2417&amp;col=7&amp;number=0.0783&amp;sourceID=14","0.0783")</f>
        <v>0.0783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HYPERLINK("http://141.218.60.56/~jnz1568/getInfo.php?workbook=20_14.xlsx&amp;sheet=U0&amp;row=2418&amp;col=6&amp;number=4.4&amp;sourceID=14","4.4")</f>
        <v>4.4</v>
      </c>
      <c r="G2418" s="4" t="str">
        <f>HYPERLINK("http://141.218.60.56/~jnz1568/getInfo.php?workbook=20_14.xlsx&amp;sheet=U0&amp;row=2418&amp;col=7&amp;number=0.0781&amp;sourceID=14","0.0781")</f>
        <v>0.0781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HYPERLINK("http://141.218.60.56/~jnz1568/getInfo.php?workbook=20_14.xlsx&amp;sheet=U0&amp;row=2419&amp;col=6&amp;number=4.5&amp;sourceID=14","4.5")</f>
        <v>4.5</v>
      </c>
      <c r="G2419" s="4" t="str">
        <f>HYPERLINK("http://141.218.60.56/~jnz1568/getInfo.php?workbook=20_14.xlsx&amp;sheet=U0&amp;row=2419&amp;col=7&amp;number=0.0778&amp;sourceID=14","0.0778")</f>
        <v>0.0778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HYPERLINK("http://141.218.60.56/~jnz1568/getInfo.php?workbook=20_14.xlsx&amp;sheet=U0&amp;row=2420&amp;col=6&amp;number=4.6&amp;sourceID=14","4.6")</f>
        <v>4.6</v>
      </c>
      <c r="G2420" s="4" t="str">
        <f>HYPERLINK("http://141.218.60.56/~jnz1568/getInfo.php?workbook=20_14.xlsx&amp;sheet=U0&amp;row=2420&amp;col=7&amp;number=0.0775&amp;sourceID=14","0.0775")</f>
        <v>0.0775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HYPERLINK("http://141.218.60.56/~jnz1568/getInfo.php?workbook=20_14.xlsx&amp;sheet=U0&amp;row=2421&amp;col=6&amp;number=4.7&amp;sourceID=14","4.7")</f>
        <v>4.7</v>
      </c>
      <c r="G2421" s="4" t="str">
        <f>HYPERLINK("http://141.218.60.56/~jnz1568/getInfo.php?workbook=20_14.xlsx&amp;sheet=U0&amp;row=2421&amp;col=7&amp;number=0.0771&amp;sourceID=14","0.0771")</f>
        <v>0.0771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HYPERLINK("http://141.218.60.56/~jnz1568/getInfo.php?workbook=20_14.xlsx&amp;sheet=U0&amp;row=2422&amp;col=6&amp;number=4.8&amp;sourceID=14","4.8")</f>
        <v>4.8</v>
      </c>
      <c r="G2422" s="4" t="str">
        <f>HYPERLINK("http://141.218.60.56/~jnz1568/getInfo.php?workbook=20_14.xlsx&amp;sheet=U0&amp;row=2422&amp;col=7&amp;number=0.0765&amp;sourceID=14","0.0765")</f>
        <v>0.0765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HYPERLINK("http://141.218.60.56/~jnz1568/getInfo.php?workbook=20_14.xlsx&amp;sheet=U0&amp;row=2423&amp;col=6&amp;number=4.9&amp;sourceID=14","4.9")</f>
        <v>4.9</v>
      </c>
      <c r="G2423" s="4" t="str">
        <f>HYPERLINK("http://141.218.60.56/~jnz1568/getInfo.php?workbook=20_14.xlsx&amp;sheet=U0&amp;row=2423&amp;col=7&amp;number=0.0759&amp;sourceID=14","0.0759")</f>
        <v>0.0759</v>
      </c>
    </row>
    <row r="2424" spans="1:7">
      <c r="A2424" s="3">
        <v>20</v>
      </c>
      <c r="B2424" s="3">
        <v>14</v>
      </c>
      <c r="C2424" s="3">
        <v>6</v>
      </c>
      <c r="D2424" s="3">
        <v>8</v>
      </c>
      <c r="E2424" s="3">
        <v>1</v>
      </c>
      <c r="F2424" s="4" t="str">
        <f>HYPERLINK("http://141.218.60.56/~jnz1568/getInfo.php?workbook=20_14.xlsx&amp;sheet=U0&amp;row=2424&amp;col=6&amp;number=3&amp;sourceID=14","3")</f>
        <v>3</v>
      </c>
      <c r="G2424" s="4" t="str">
        <f>HYPERLINK("http://141.218.60.56/~jnz1568/getInfo.php?workbook=20_14.xlsx&amp;sheet=U0&amp;row=2424&amp;col=7&amp;number=0.132&amp;sourceID=14","0.132")</f>
        <v>0.132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HYPERLINK("http://141.218.60.56/~jnz1568/getInfo.php?workbook=20_14.xlsx&amp;sheet=U0&amp;row=2425&amp;col=6&amp;number=3.1&amp;sourceID=14","3.1")</f>
        <v>3.1</v>
      </c>
      <c r="G2425" s="4" t="str">
        <f>HYPERLINK("http://141.218.60.56/~jnz1568/getInfo.php?workbook=20_14.xlsx&amp;sheet=U0&amp;row=2425&amp;col=7&amp;number=0.132&amp;sourceID=14","0.132")</f>
        <v>0.132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HYPERLINK("http://141.218.60.56/~jnz1568/getInfo.php?workbook=20_14.xlsx&amp;sheet=U0&amp;row=2426&amp;col=6&amp;number=3.2&amp;sourceID=14","3.2")</f>
        <v>3.2</v>
      </c>
      <c r="G2426" s="4" t="str">
        <f>HYPERLINK("http://141.218.60.56/~jnz1568/getInfo.php?workbook=20_14.xlsx&amp;sheet=U0&amp;row=2426&amp;col=7&amp;number=0.132&amp;sourceID=14","0.132")</f>
        <v>0.132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HYPERLINK("http://141.218.60.56/~jnz1568/getInfo.php?workbook=20_14.xlsx&amp;sheet=U0&amp;row=2427&amp;col=6&amp;number=3.3&amp;sourceID=14","3.3")</f>
        <v>3.3</v>
      </c>
      <c r="G2427" s="4" t="str">
        <f>HYPERLINK("http://141.218.60.56/~jnz1568/getInfo.php?workbook=20_14.xlsx&amp;sheet=U0&amp;row=2427&amp;col=7&amp;number=0.132&amp;sourceID=14","0.132")</f>
        <v>0.132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HYPERLINK("http://141.218.60.56/~jnz1568/getInfo.php?workbook=20_14.xlsx&amp;sheet=U0&amp;row=2428&amp;col=6&amp;number=3.4&amp;sourceID=14","3.4")</f>
        <v>3.4</v>
      </c>
      <c r="G2428" s="4" t="str">
        <f>HYPERLINK("http://141.218.60.56/~jnz1568/getInfo.php?workbook=20_14.xlsx&amp;sheet=U0&amp;row=2428&amp;col=7&amp;number=0.132&amp;sourceID=14","0.132")</f>
        <v>0.132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HYPERLINK("http://141.218.60.56/~jnz1568/getInfo.php?workbook=20_14.xlsx&amp;sheet=U0&amp;row=2429&amp;col=6&amp;number=3.5&amp;sourceID=14","3.5")</f>
        <v>3.5</v>
      </c>
      <c r="G2429" s="4" t="str">
        <f>HYPERLINK("http://141.218.60.56/~jnz1568/getInfo.php?workbook=20_14.xlsx&amp;sheet=U0&amp;row=2429&amp;col=7&amp;number=0.132&amp;sourceID=14","0.132")</f>
        <v>0.132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HYPERLINK("http://141.218.60.56/~jnz1568/getInfo.php?workbook=20_14.xlsx&amp;sheet=U0&amp;row=2430&amp;col=6&amp;number=3.6&amp;sourceID=14","3.6")</f>
        <v>3.6</v>
      </c>
      <c r="G2430" s="4" t="str">
        <f>HYPERLINK("http://141.218.60.56/~jnz1568/getInfo.php?workbook=20_14.xlsx&amp;sheet=U0&amp;row=2430&amp;col=7&amp;number=0.132&amp;sourceID=14","0.132")</f>
        <v>0.132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HYPERLINK("http://141.218.60.56/~jnz1568/getInfo.php?workbook=20_14.xlsx&amp;sheet=U0&amp;row=2431&amp;col=6&amp;number=3.7&amp;sourceID=14","3.7")</f>
        <v>3.7</v>
      </c>
      <c r="G2431" s="4" t="str">
        <f>HYPERLINK("http://141.218.60.56/~jnz1568/getInfo.php?workbook=20_14.xlsx&amp;sheet=U0&amp;row=2431&amp;col=7&amp;number=0.132&amp;sourceID=14","0.132")</f>
        <v>0.132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HYPERLINK("http://141.218.60.56/~jnz1568/getInfo.php?workbook=20_14.xlsx&amp;sheet=U0&amp;row=2432&amp;col=6&amp;number=3.8&amp;sourceID=14","3.8")</f>
        <v>3.8</v>
      </c>
      <c r="G2432" s="4" t="str">
        <f>HYPERLINK("http://141.218.60.56/~jnz1568/getInfo.php?workbook=20_14.xlsx&amp;sheet=U0&amp;row=2432&amp;col=7&amp;number=0.132&amp;sourceID=14","0.132")</f>
        <v>0.132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HYPERLINK("http://141.218.60.56/~jnz1568/getInfo.php?workbook=20_14.xlsx&amp;sheet=U0&amp;row=2433&amp;col=6&amp;number=3.9&amp;sourceID=14","3.9")</f>
        <v>3.9</v>
      </c>
      <c r="G2433" s="4" t="str">
        <f>HYPERLINK("http://141.218.60.56/~jnz1568/getInfo.php?workbook=20_14.xlsx&amp;sheet=U0&amp;row=2433&amp;col=7&amp;number=0.132&amp;sourceID=14","0.132")</f>
        <v>0.132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HYPERLINK("http://141.218.60.56/~jnz1568/getInfo.php?workbook=20_14.xlsx&amp;sheet=U0&amp;row=2434&amp;col=6&amp;number=4&amp;sourceID=14","4")</f>
        <v>4</v>
      </c>
      <c r="G2434" s="4" t="str">
        <f>HYPERLINK("http://141.218.60.56/~jnz1568/getInfo.php?workbook=20_14.xlsx&amp;sheet=U0&amp;row=2434&amp;col=7&amp;number=0.132&amp;sourceID=14","0.132")</f>
        <v>0.132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HYPERLINK("http://141.218.60.56/~jnz1568/getInfo.php?workbook=20_14.xlsx&amp;sheet=U0&amp;row=2435&amp;col=6&amp;number=4.1&amp;sourceID=14","4.1")</f>
        <v>4.1</v>
      </c>
      <c r="G2435" s="4" t="str">
        <f>HYPERLINK("http://141.218.60.56/~jnz1568/getInfo.php?workbook=20_14.xlsx&amp;sheet=U0&amp;row=2435&amp;col=7&amp;number=0.131&amp;sourceID=14","0.131")</f>
        <v>0.131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HYPERLINK("http://141.218.60.56/~jnz1568/getInfo.php?workbook=20_14.xlsx&amp;sheet=U0&amp;row=2436&amp;col=6&amp;number=4.2&amp;sourceID=14","4.2")</f>
        <v>4.2</v>
      </c>
      <c r="G2436" s="4" t="str">
        <f>HYPERLINK("http://141.218.60.56/~jnz1568/getInfo.php?workbook=20_14.xlsx&amp;sheet=U0&amp;row=2436&amp;col=7&amp;number=0.131&amp;sourceID=14","0.131")</f>
        <v>0.131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HYPERLINK("http://141.218.60.56/~jnz1568/getInfo.php?workbook=20_14.xlsx&amp;sheet=U0&amp;row=2437&amp;col=6&amp;number=4.3&amp;sourceID=14","4.3")</f>
        <v>4.3</v>
      </c>
      <c r="G2437" s="4" t="str">
        <f>HYPERLINK("http://141.218.60.56/~jnz1568/getInfo.php?workbook=20_14.xlsx&amp;sheet=U0&amp;row=2437&amp;col=7&amp;number=0.131&amp;sourceID=14","0.131")</f>
        <v>0.131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HYPERLINK("http://141.218.60.56/~jnz1568/getInfo.php?workbook=20_14.xlsx&amp;sheet=U0&amp;row=2438&amp;col=6&amp;number=4.4&amp;sourceID=14","4.4")</f>
        <v>4.4</v>
      </c>
      <c r="G2438" s="4" t="str">
        <f>HYPERLINK("http://141.218.60.56/~jnz1568/getInfo.php?workbook=20_14.xlsx&amp;sheet=U0&amp;row=2438&amp;col=7&amp;number=0.131&amp;sourceID=14","0.131")</f>
        <v>0.131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HYPERLINK("http://141.218.60.56/~jnz1568/getInfo.php?workbook=20_14.xlsx&amp;sheet=U0&amp;row=2439&amp;col=6&amp;number=4.5&amp;sourceID=14","4.5")</f>
        <v>4.5</v>
      </c>
      <c r="G2439" s="4" t="str">
        <f>HYPERLINK("http://141.218.60.56/~jnz1568/getInfo.php?workbook=20_14.xlsx&amp;sheet=U0&amp;row=2439&amp;col=7&amp;number=0.13&amp;sourceID=14","0.13")</f>
        <v>0.13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HYPERLINK("http://141.218.60.56/~jnz1568/getInfo.php?workbook=20_14.xlsx&amp;sheet=U0&amp;row=2440&amp;col=6&amp;number=4.6&amp;sourceID=14","4.6")</f>
        <v>4.6</v>
      </c>
      <c r="G2440" s="4" t="str">
        <f>HYPERLINK("http://141.218.60.56/~jnz1568/getInfo.php?workbook=20_14.xlsx&amp;sheet=U0&amp;row=2440&amp;col=7&amp;number=0.13&amp;sourceID=14","0.13")</f>
        <v>0.13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HYPERLINK("http://141.218.60.56/~jnz1568/getInfo.php?workbook=20_14.xlsx&amp;sheet=U0&amp;row=2441&amp;col=6&amp;number=4.7&amp;sourceID=14","4.7")</f>
        <v>4.7</v>
      </c>
      <c r="G2441" s="4" t="str">
        <f>HYPERLINK("http://141.218.60.56/~jnz1568/getInfo.php?workbook=20_14.xlsx&amp;sheet=U0&amp;row=2441&amp;col=7&amp;number=0.129&amp;sourceID=14","0.129")</f>
        <v>0.129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HYPERLINK("http://141.218.60.56/~jnz1568/getInfo.php?workbook=20_14.xlsx&amp;sheet=U0&amp;row=2442&amp;col=6&amp;number=4.8&amp;sourceID=14","4.8")</f>
        <v>4.8</v>
      </c>
      <c r="G2442" s="4" t="str">
        <f>HYPERLINK("http://141.218.60.56/~jnz1568/getInfo.php?workbook=20_14.xlsx&amp;sheet=U0&amp;row=2442&amp;col=7&amp;number=0.128&amp;sourceID=14","0.128")</f>
        <v>0.128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HYPERLINK("http://141.218.60.56/~jnz1568/getInfo.php?workbook=20_14.xlsx&amp;sheet=U0&amp;row=2443&amp;col=6&amp;number=4.9&amp;sourceID=14","4.9")</f>
        <v>4.9</v>
      </c>
      <c r="G2443" s="4" t="str">
        <f>HYPERLINK("http://141.218.60.56/~jnz1568/getInfo.php?workbook=20_14.xlsx&amp;sheet=U0&amp;row=2443&amp;col=7&amp;number=0.127&amp;sourceID=14","0.127")</f>
        <v>0.127</v>
      </c>
    </row>
    <row r="2444" spans="1:7">
      <c r="A2444" s="3">
        <v>20</v>
      </c>
      <c r="B2444" s="3">
        <v>14</v>
      </c>
      <c r="C2444" s="3">
        <v>6</v>
      </c>
      <c r="D2444" s="3">
        <v>9</v>
      </c>
      <c r="E2444" s="3">
        <v>1</v>
      </c>
      <c r="F2444" s="4" t="str">
        <f>HYPERLINK("http://141.218.60.56/~jnz1568/getInfo.php?workbook=20_14.xlsx&amp;sheet=U0&amp;row=2444&amp;col=6&amp;number=3&amp;sourceID=14","3")</f>
        <v>3</v>
      </c>
      <c r="G2444" s="4" t="str">
        <f>HYPERLINK("http://141.218.60.56/~jnz1568/getInfo.php?workbook=20_14.xlsx&amp;sheet=U0&amp;row=2444&amp;col=7&amp;number=0.186&amp;sourceID=14","0.186")</f>
        <v>0.186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HYPERLINK("http://141.218.60.56/~jnz1568/getInfo.php?workbook=20_14.xlsx&amp;sheet=U0&amp;row=2445&amp;col=6&amp;number=3.1&amp;sourceID=14","3.1")</f>
        <v>3.1</v>
      </c>
      <c r="G2445" s="4" t="str">
        <f>HYPERLINK("http://141.218.60.56/~jnz1568/getInfo.php?workbook=20_14.xlsx&amp;sheet=U0&amp;row=2445&amp;col=7&amp;number=0.186&amp;sourceID=14","0.186")</f>
        <v>0.186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HYPERLINK("http://141.218.60.56/~jnz1568/getInfo.php?workbook=20_14.xlsx&amp;sheet=U0&amp;row=2446&amp;col=6&amp;number=3.2&amp;sourceID=14","3.2")</f>
        <v>3.2</v>
      </c>
      <c r="G2446" s="4" t="str">
        <f>HYPERLINK("http://141.218.60.56/~jnz1568/getInfo.php?workbook=20_14.xlsx&amp;sheet=U0&amp;row=2446&amp;col=7&amp;number=0.186&amp;sourceID=14","0.186")</f>
        <v>0.186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HYPERLINK("http://141.218.60.56/~jnz1568/getInfo.php?workbook=20_14.xlsx&amp;sheet=U0&amp;row=2447&amp;col=6&amp;number=3.3&amp;sourceID=14","3.3")</f>
        <v>3.3</v>
      </c>
      <c r="G2447" s="4" t="str">
        <f>HYPERLINK("http://141.218.60.56/~jnz1568/getInfo.php?workbook=20_14.xlsx&amp;sheet=U0&amp;row=2447&amp;col=7&amp;number=0.186&amp;sourceID=14","0.186")</f>
        <v>0.186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HYPERLINK("http://141.218.60.56/~jnz1568/getInfo.php?workbook=20_14.xlsx&amp;sheet=U0&amp;row=2448&amp;col=6&amp;number=3.4&amp;sourceID=14","3.4")</f>
        <v>3.4</v>
      </c>
      <c r="G2448" s="4" t="str">
        <f>HYPERLINK("http://141.218.60.56/~jnz1568/getInfo.php?workbook=20_14.xlsx&amp;sheet=U0&amp;row=2448&amp;col=7&amp;number=0.186&amp;sourceID=14","0.186")</f>
        <v>0.186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HYPERLINK("http://141.218.60.56/~jnz1568/getInfo.php?workbook=20_14.xlsx&amp;sheet=U0&amp;row=2449&amp;col=6&amp;number=3.5&amp;sourceID=14","3.5")</f>
        <v>3.5</v>
      </c>
      <c r="G2449" s="4" t="str">
        <f>HYPERLINK("http://141.218.60.56/~jnz1568/getInfo.php?workbook=20_14.xlsx&amp;sheet=U0&amp;row=2449&amp;col=7&amp;number=0.186&amp;sourceID=14","0.186")</f>
        <v>0.186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HYPERLINK("http://141.218.60.56/~jnz1568/getInfo.php?workbook=20_14.xlsx&amp;sheet=U0&amp;row=2450&amp;col=6&amp;number=3.6&amp;sourceID=14","3.6")</f>
        <v>3.6</v>
      </c>
      <c r="G2450" s="4" t="str">
        <f>HYPERLINK("http://141.218.60.56/~jnz1568/getInfo.php?workbook=20_14.xlsx&amp;sheet=U0&amp;row=2450&amp;col=7&amp;number=0.186&amp;sourceID=14","0.186")</f>
        <v>0.186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HYPERLINK("http://141.218.60.56/~jnz1568/getInfo.php?workbook=20_14.xlsx&amp;sheet=U0&amp;row=2451&amp;col=6&amp;number=3.7&amp;sourceID=14","3.7")</f>
        <v>3.7</v>
      </c>
      <c r="G2451" s="4" t="str">
        <f>HYPERLINK("http://141.218.60.56/~jnz1568/getInfo.php?workbook=20_14.xlsx&amp;sheet=U0&amp;row=2451&amp;col=7&amp;number=0.186&amp;sourceID=14","0.186")</f>
        <v>0.186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HYPERLINK("http://141.218.60.56/~jnz1568/getInfo.php?workbook=20_14.xlsx&amp;sheet=U0&amp;row=2452&amp;col=6&amp;number=3.8&amp;sourceID=14","3.8")</f>
        <v>3.8</v>
      </c>
      <c r="G2452" s="4" t="str">
        <f>HYPERLINK("http://141.218.60.56/~jnz1568/getInfo.php?workbook=20_14.xlsx&amp;sheet=U0&amp;row=2452&amp;col=7&amp;number=0.186&amp;sourceID=14","0.186")</f>
        <v>0.186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HYPERLINK("http://141.218.60.56/~jnz1568/getInfo.php?workbook=20_14.xlsx&amp;sheet=U0&amp;row=2453&amp;col=6&amp;number=3.9&amp;sourceID=14","3.9")</f>
        <v>3.9</v>
      </c>
      <c r="G2453" s="4" t="str">
        <f>HYPERLINK("http://141.218.60.56/~jnz1568/getInfo.php?workbook=20_14.xlsx&amp;sheet=U0&amp;row=2453&amp;col=7&amp;number=0.185&amp;sourceID=14","0.185")</f>
        <v>0.185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HYPERLINK("http://141.218.60.56/~jnz1568/getInfo.php?workbook=20_14.xlsx&amp;sheet=U0&amp;row=2454&amp;col=6&amp;number=4&amp;sourceID=14","4")</f>
        <v>4</v>
      </c>
      <c r="G2454" s="4" t="str">
        <f>HYPERLINK("http://141.218.60.56/~jnz1568/getInfo.php?workbook=20_14.xlsx&amp;sheet=U0&amp;row=2454&amp;col=7&amp;number=0.185&amp;sourceID=14","0.185")</f>
        <v>0.185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HYPERLINK("http://141.218.60.56/~jnz1568/getInfo.php?workbook=20_14.xlsx&amp;sheet=U0&amp;row=2455&amp;col=6&amp;number=4.1&amp;sourceID=14","4.1")</f>
        <v>4.1</v>
      </c>
      <c r="G2455" s="4" t="str">
        <f>HYPERLINK("http://141.218.60.56/~jnz1568/getInfo.php?workbook=20_14.xlsx&amp;sheet=U0&amp;row=2455&amp;col=7&amp;number=0.185&amp;sourceID=14","0.185")</f>
        <v>0.185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HYPERLINK("http://141.218.60.56/~jnz1568/getInfo.php?workbook=20_14.xlsx&amp;sheet=U0&amp;row=2456&amp;col=6&amp;number=4.2&amp;sourceID=14","4.2")</f>
        <v>4.2</v>
      </c>
      <c r="G2456" s="4" t="str">
        <f>HYPERLINK("http://141.218.60.56/~jnz1568/getInfo.php?workbook=20_14.xlsx&amp;sheet=U0&amp;row=2456&amp;col=7&amp;number=0.185&amp;sourceID=14","0.185")</f>
        <v>0.185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HYPERLINK("http://141.218.60.56/~jnz1568/getInfo.php?workbook=20_14.xlsx&amp;sheet=U0&amp;row=2457&amp;col=6&amp;number=4.3&amp;sourceID=14","4.3")</f>
        <v>4.3</v>
      </c>
      <c r="G2457" s="4" t="str">
        <f>HYPERLINK("http://141.218.60.56/~jnz1568/getInfo.php?workbook=20_14.xlsx&amp;sheet=U0&amp;row=2457&amp;col=7&amp;number=0.184&amp;sourceID=14","0.184")</f>
        <v>0.184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HYPERLINK("http://141.218.60.56/~jnz1568/getInfo.php?workbook=20_14.xlsx&amp;sheet=U0&amp;row=2458&amp;col=6&amp;number=4.4&amp;sourceID=14","4.4")</f>
        <v>4.4</v>
      </c>
      <c r="G2458" s="4" t="str">
        <f>HYPERLINK("http://141.218.60.56/~jnz1568/getInfo.php?workbook=20_14.xlsx&amp;sheet=U0&amp;row=2458&amp;col=7&amp;number=0.184&amp;sourceID=14","0.184")</f>
        <v>0.184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HYPERLINK("http://141.218.60.56/~jnz1568/getInfo.php?workbook=20_14.xlsx&amp;sheet=U0&amp;row=2459&amp;col=6&amp;number=4.5&amp;sourceID=14","4.5")</f>
        <v>4.5</v>
      </c>
      <c r="G2459" s="4" t="str">
        <f>HYPERLINK("http://141.218.60.56/~jnz1568/getInfo.php?workbook=20_14.xlsx&amp;sheet=U0&amp;row=2459&amp;col=7&amp;number=0.183&amp;sourceID=14","0.183")</f>
        <v>0.183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HYPERLINK("http://141.218.60.56/~jnz1568/getInfo.php?workbook=20_14.xlsx&amp;sheet=U0&amp;row=2460&amp;col=6&amp;number=4.6&amp;sourceID=14","4.6")</f>
        <v>4.6</v>
      </c>
      <c r="G2460" s="4" t="str">
        <f>HYPERLINK("http://141.218.60.56/~jnz1568/getInfo.php?workbook=20_14.xlsx&amp;sheet=U0&amp;row=2460&amp;col=7&amp;number=0.182&amp;sourceID=14","0.182")</f>
        <v>0.182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HYPERLINK("http://141.218.60.56/~jnz1568/getInfo.php?workbook=20_14.xlsx&amp;sheet=U0&amp;row=2461&amp;col=6&amp;number=4.7&amp;sourceID=14","4.7")</f>
        <v>4.7</v>
      </c>
      <c r="G2461" s="4" t="str">
        <f>HYPERLINK("http://141.218.60.56/~jnz1568/getInfo.php?workbook=20_14.xlsx&amp;sheet=U0&amp;row=2461&amp;col=7&amp;number=0.181&amp;sourceID=14","0.181")</f>
        <v>0.181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HYPERLINK("http://141.218.60.56/~jnz1568/getInfo.php?workbook=20_14.xlsx&amp;sheet=U0&amp;row=2462&amp;col=6&amp;number=4.8&amp;sourceID=14","4.8")</f>
        <v>4.8</v>
      </c>
      <c r="G2462" s="4" t="str">
        <f>HYPERLINK("http://141.218.60.56/~jnz1568/getInfo.php?workbook=20_14.xlsx&amp;sheet=U0&amp;row=2462&amp;col=7&amp;number=0.18&amp;sourceID=14","0.18")</f>
        <v>0.18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HYPERLINK("http://141.218.60.56/~jnz1568/getInfo.php?workbook=20_14.xlsx&amp;sheet=U0&amp;row=2463&amp;col=6&amp;number=4.9&amp;sourceID=14","4.9")</f>
        <v>4.9</v>
      </c>
      <c r="G2463" s="4" t="str">
        <f>HYPERLINK("http://141.218.60.56/~jnz1568/getInfo.php?workbook=20_14.xlsx&amp;sheet=U0&amp;row=2463&amp;col=7&amp;number=0.178&amp;sourceID=14","0.178")</f>
        <v>0.178</v>
      </c>
    </row>
    <row r="2464" spans="1:7">
      <c r="A2464" s="3">
        <v>20</v>
      </c>
      <c r="B2464" s="3">
        <v>14</v>
      </c>
      <c r="C2464" s="3">
        <v>6</v>
      </c>
      <c r="D2464" s="3">
        <v>10</v>
      </c>
      <c r="E2464" s="3">
        <v>1</v>
      </c>
      <c r="F2464" s="4" t="str">
        <f>HYPERLINK("http://141.218.60.56/~jnz1568/getInfo.php?workbook=20_14.xlsx&amp;sheet=U0&amp;row=2464&amp;col=6&amp;number=3&amp;sourceID=14","3")</f>
        <v>3</v>
      </c>
      <c r="G2464" s="4" t="str">
        <f>HYPERLINK("http://141.218.60.56/~jnz1568/getInfo.php?workbook=20_14.xlsx&amp;sheet=U0&amp;row=2464&amp;col=7&amp;number=0.0108&amp;sourceID=14","0.0108")</f>
        <v>0.0108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HYPERLINK("http://141.218.60.56/~jnz1568/getInfo.php?workbook=20_14.xlsx&amp;sheet=U0&amp;row=2465&amp;col=6&amp;number=3.1&amp;sourceID=14","3.1")</f>
        <v>3.1</v>
      </c>
      <c r="G2465" s="4" t="str">
        <f>HYPERLINK("http://141.218.60.56/~jnz1568/getInfo.php?workbook=20_14.xlsx&amp;sheet=U0&amp;row=2465&amp;col=7&amp;number=0.0108&amp;sourceID=14","0.0108")</f>
        <v>0.0108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HYPERLINK("http://141.218.60.56/~jnz1568/getInfo.php?workbook=20_14.xlsx&amp;sheet=U0&amp;row=2466&amp;col=6&amp;number=3.2&amp;sourceID=14","3.2")</f>
        <v>3.2</v>
      </c>
      <c r="G2466" s="4" t="str">
        <f>HYPERLINK("http://141.218.60.56/~jnz1568/getInfo.php?workbook=20_14.xlsx&amp;sheet=U0&amp;row=2466&amp;col=7&amp;number=0.0107&amp;sourceID=14","0.0107")</f>
        <v>0.0107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HYPERLINK("http://141.218.60.56/~jnz1568/getInfo.php?workbook=20_14.xlsx&amp;sheet=U0&amp;row=2467&amp;col=6&amp;number=3.3&amp;sourceID=14","3.3")</f>
        <v>3.3</v>
      </c>
      <c r="G2467" s="4" t="str">
        <f>HYPERLINK("http://141.218.60.56/~jnz1568/getInfo.php?workbook=20_14.xlsx&amp;sheet=U0&amp;row=2467&amp;col=7&amp;number=0.0107&amp;sourceID=14","0.0107")</f>
        <v>0.0107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HYPERLINK("http://141.218.60.56/~jnz1568/getInfo.php?workbook=20_14.xlsx&amp;sheet=U0&amp;row=2468&amp;col=6&amp;number=3.4&amp;sourceID=14","3.4")</f>
        <v>3.4</v>
      </c>
      <c r="G2468" s="4" t="str">
        <f>HYPERLINK("http://141.218.60.56/~jnz1568/getInfo.php?workbook=20_14.xlsx&amp;sheet=U0&amp;row=2468&amp;col=7&amp;number=0.0107&amp;sourceID=14","0.0107")</f>
        <v>0.0107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HYPERLINK("http://141.218.60.56/~jnz1568/getInfo.php?workbook=20_14.xlsx&amp;sheet=U0&amp;row=2469&amp;col=6&amp;number=3.5&amp;sourceID=14","3.5")</f>
        <v>3.5</v>
      </c>
      <c r="G2469" s="4" t="str">
        <f>HYPERLINK("http://141.218.60.56/~jnz1568/getInfo.php?workbook=20_14.xlsx&amp;sheet=U0&amp;row=2469&amp;col=7&amp;number=0.0107&amp;sourceID=14","0.0107")</f>
        <v>0.0107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HYPERLINK("http://141.218.60.56/~jnz1568/getInfo.php?workbook=20_14.xlsx&amp;sheet=U0&amp;row=2470&amp;col=6&amp;number=3.6&amp;sourceID=14","3.6")</f>
        <v>3.6</v>
      </c>
      <c r="G2470" s="4" t="str">
        <f>HYPERLINK("http://141.218.60.56/~jnz1568/getInfo.php?workbook=20_14.xlsx&amp;sheet=U0&amp;row=2470&amp;col=7&amp;number=0.0107&amp;sourceID=14","0.0107")</f>
        <v>0.0107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HYPERLINK("http://141.218.60.56/~jnz1568/getInfo.php?workbook=20_14.xlsx&amp;sheet=U0&amp;row=2471&amp;col=6&amp;number=3.7&amp;sourceID=14","3.7")</f>
        <v>3.7</v>
      </c>
      <c r="G2471" s="4" t="str">
        <f>HYPERLINK("http://141.218.60.56/~jnz1568/getInfo.php?workbook=20_14.xlsx&amp;sheet=U0&amp;row=2471&amp;col=7&amp;number=0.0107&amp;sourceID=14","0.0107")</f>
        <v>0.0107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HYPERLINK("http://141.218.60.56/~jnz1568/getInfo.php?workbook=20_14.xlsx&amp;sheet=U0&amp;row=2472&amp;col=6&amp;number=3.8&amp;sourceID=14","3.8")</f>
        <v>3.8</v>
      </c>
      <c r="G2472" s="4" t="str">
        <f>HYPERLINK("http://141.218.60.56/~jnz1568/getInfo.php?workbook=20_14.xlsx&amp;sheet=U0&amp;row=2472&amp;col=7&amp;number=0.0107&amp;sourceID=14","0.0107")</f>
        <v>0.0107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HYPERLINK("http://141.218.60.56/~jnz1568/getInfo.php?workbook=20_14.xlsx&amp;sheet=U0&amp;row=2473&amp;col=6&amp;number=3.9&amp;sourceID=14","3.9")</f>
        <v>3.9</v>
      </c>
      <c r="G2473" s="4" t="str">
        <f>HYPERLINK("http://141.218.60.56/~jnz1568/getInfo.php?workbook=20_14.xlsx&amp;sheet=U0&amp;row=2473&amp;col=7&amp;number=0.0107&amp;sourceID=14","0.0107")</f>
        <v>0.0107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HYPERLINK("http://141.218.60.56/~jnz1568/getInfo.php?workbook=20_14.xlsx&amp;sheet=U0&amp;row=2474&amp;col=6&amp;number=4&amp;sourceID=14","4")</f>
        <v>4</v>
      </c>
      <c r="G2474" s="4" t="str">
        <f>HYPERLINK("http://141.218.60.56/~jnz1568/getInfo.php?workbook=20_14.xlsx&amp;sheet=U0&amp;row=2474&amp;col=7&amp;number=0.0107&amp;sourceID=14","0.0107")</f>
        <v>0.0107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HYPERLINK("http://141.218.60.56/~jnz1568/getInfo.php?workbook=20_14.xlsx&amp;sheet=U0&amp;row=2475&amp;col=6&amp;number=4.1&amp;sourceID=14","4.1")</f>
        <v>4.1</v>
      </c>
      <c r="G2475" s="4" t="str">
        <f>HYPERLINK("http://141.218.60.56/~jnz1568/getInfo.php?workbook=20_14.xlsx&amp;sheet=U0&amp;row=2475&amp;col=7&amp;number=0.0107&amp;sourceID=14","0.0107")</f>
        <v>0.0107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HYPERLINK("http://141.218.60.56/~jnz1568/getInfo.php?workbook=20_14.xlsx&amp;sheet=U0&amp;row=2476&amp;col=6&amp;number=4.2&amp;sourceID=14","4.2")</f>
        <v>4.2</v>
      </c>
      <c r="G2476" s="4" t="str">
        <f>HYPERLINK("http://141.218.60.56/~jnz1568/getInfo.php?workbook=20_14.xlsx&amp;sheet=U0&amp;row=2476&amp;col=7&amp;number=0.0106&amp;sourceID=14","0.0106")</f>
        <v>0.0106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HYPERLINK("http://141.218.60.56/~jnz1568/getInfo.php?workbook=20_14.xlsx&amp;sheet=U0&amp;row=2477&amp;col=6&amp;number=4.3&amp;sourceID=14","4.3")</f>
        <v>4.3</v>
      </c>
      <c r="G2477" s="4" t="str">
        <f>HYPERLINK("http://141.218.60.56/~jnz1568/getInfo.php?workbook=20_14.xlsx&amp;sheet=U0&amp;row=2477&amp;col=7&amp;number=0.0106&amp;sourceID=14","0.0106")</f>
        <v>0.0106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HYPERLINK("http://141.218.60.56/~jnz1568/getInfo.php?workbook=20_14.xlsx&amp;sheet=U0&amp;row=2478&amp;col=6&amp;number=4.4&amp;sourceID=14","4.4")</f>
        <v>4.4</v>
      </c>
      <c r="G2478" s="4" t="str">
        <f>HYPERLINK("http://141.218.60.56/~jnz1568/getInfo.php?workbook=20_14.xlsx&amp;sheet=U0&amp;row=2478&amp;col=7&amp;number=0.0106&amp;sourceID=14","0.0106")</f>
        <v>0.0106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HYPERLINK("http://141.218.60.56/~jnz1568/getInfo.php?workbook=20_14.xlsx&amp;sheet=U0&amp;row=2479&amp;col=6&amp;number=4.5&amp;sourceID=14","4.5")</f>
        <v>4.5</v>
      </c>
      <c r="G2479" s="4" t="str">
        <f>HYPERLINK("http://141.218.60.56/~jnz1568/getInfo.php?workbook=20_14.xlsx&amp;sheet=U0&amp;row=2479&amp;col=7&amp;number=0.0105&amp;sourceID=14","0.0105")</f>
        <v>0.0105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HYPERLINK("http://141.218.60.56/~jnz1568/getInfo.php?workbook=20_14.xlsx&amp;sheet=U0&amp;row=2480&amp;col=6&amp;number=4.6&amp;sourceID=14","4.6")</f>
        <v>4.6</v>
      </c>
      <c r="G2480" s="4" t="str">
        <f>HYPERLINK("http://141.218.60.56/~jnz1568/getInfo.php?workbook=20_14.xlsx&amp;sheet=U0&amp;row=2480&amp;col=7&amp;number=0.0105&amp;sourceID=14","0.0105")</f>
        <v>0.0105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HYPERLINK("http://141.218.60.56/~jnz1568/getInfo.php?workbook=20_14.xlsx&amp;sheet=U0&amp;row=2481&amp;col=6&amp;number=4.7&amp;sourceID=14","4.7")</f>
        <v>4.7</v>
      </c>
      <c r="G2481" s="4" t="str">
        <f>HYPERLINK("http://141.218.60.56/~jnz1568/getInfo.php?workbook=20_14.xlsx&amp;sheet=U0&amp;row=2481&amp;col=7&amp;number=0.0104&amp;sourceID=14","0.0104")</f>
        <v>0.0104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HYPERLINK("http://141.218.60.56/~jnz1568/getInfo.php?workbook=20_14.xlsx&amp;sheet=U0&amp;row=2482&amp;col=6&amp;number=4.8&amp;sourceID=14","4.8")</f>
        <v>4.8</v>
      </c>
      <c r="G2482" s="4" t="str">
        <f>HYPERLINK("http://141.218.60.56/~jnz1568/getInfo.php?workbook=20_14.xlsx&amp;sheet=U0&amp;row=2482&amp;col=7&amp;number=0.0103&amp;sourceID=14","0.0103")</f>
        <v>0.0103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HYPERLINK("http://141.218.60.56/~jnz1568/getInfo.php?workbook=20_14.xlsx&amp;sheet=U0&amp;row=2483&amp;col=6&amp;number=4.9&amp;sourceID=14","4.9")</f>
        <v>4.9</v>
      </c>
      <c r="G2483" s="4" t="str">
        <f>HYPERLINK("http://141.218.60.56/~jnz1568/getInfo.php?workbook=20_14.xlsx&amp;sheet=U0&amp;row=2483&amp;col=7&amp;number=0.0102&amp;sourceID=14","0.0102")</f>
        <v>0.0102</v>
      </c>
    </row>
    <row r="2484" spans="1:7">
      <c r="A2484" s="3">
        <v>20</v>
      </c>
      <c r="B2484" s="3">
        <v>14</v>
      </c>
      <c r="C2484" s="3">
        <v>6</v>
      </c>
      <c r="D2484" s="3">
        <v>11</v>
      </c>
      <c r="E2484" s="3">
        <v>1</v>
      </c>
      <c r="F2484" s="4" t="str">
        <f>HYPERLINK("http://141.218.60.56/~jnz1568/getInfo.php?workbook=20_14.xlsx&amp;sheet=U0&amp;row=2484&amp;col=6&amp;number=3&amp;sourceID=14","3")</f>
        <v>3</v>
      </c>
      <c r="G2484" s="4" t="str">
        <f>HYPERLINK("http://141.218.60.56/~jnz1568/getInfo.php?workbook=20_14.xlsx&amp;sheet=U0&amp;row=2484&amp;col=7&amp;number=0.0324&amp;sourceID=14","0.0324")</f>
        <v>0.0324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HYPERLINK("http://141.218.60.56/~jnz1568/getInfo.php?workbook=20_14.xlsx&amp;sheet=U0&amp;row=2485&amp;col=6&amp;number=3.1&amp;sourceID=14","3.1")</f>
        <v>3.1</v>
      </c>
      <c r="G2485" s="4" t="str">
        <f>HYPERLINK("http://141.218.60.56/~jnz1568/getInfo.php?workbook=20_14.xlsx&amp;sheet=U0&amp;row=2485&amp;col=7&amp;number=0.0324&amp;sourceID=14","0.0324")</f>
        <v>0.0324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HYPERLINK("http://141.218.60.56/~jnz1568/getInfo.php?workbook=20_14.xlsx&amp;sheet=U0&amp;row=2486&amp;col=6&amp;number=3.2&amp;sourceID=14","3.2")</f>
        <v>3.2</v>
      </c>
      <c r="G2486" s="4" t="str">
        <f>HYPERLINK("http://141.218.60.56/~jnz1568/getInfo.php?workbook=20_14.xlsx&amp;sheet=U0&amp;row=2486&amp;col=7&amp;number=0.0324&amp;sourceID=14","0.0324")</f>
        <v>0.0324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HYPERLINK("http://141.218.60.56/~jnz1568/getInfo.php?workbook=20_14.xlsx&amp;sheet=U0&amp;row=2487&amp;col=6&amp;number=3.3&amp;sourceID=14","3.3")</f>
        <v>3.3</v>
      </c>
      <c r="G2487" s="4" t="str">
        <f>HYPERLINK("http://141.218.60.56/~jnz1568/getInfo.php?workbook=20_14.xlsx&amp;sheet=U0&amp;row=2487&amp;col=7&amp;number=0.0324&amp;sourceID=14","0.0324")</f>
        <v>0.0324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HYPERLINK("http://141.218.60.56/~jnz1568/getInfo.php?workbook=20_14.xlsx&amp;sheet=U0&amp;row=2488&amp;col=6&amp;number=3.4&amp;sourceID=14","3.4")</f>
        <v>3.4</v>
      </c>
      <c r="G2488" s="4" t="str">
        <f>HYPERLINK("http://141.218.60.56/~jnz1568/getInfo.php?workbook=20_14.xlsx&amp;sheet=U0&amp;row=2488&amp;col=7&amp;number=0.0324&amp;sourceID=14","0.0324")</f>
        <v>0.0324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HYPERLINK("http://141.218.60.56/~jnz1568/getInfo.php?workbook=20_14.xlsx&amp;sheet=U0&amp;row=2489&amp;col=6&amp;number=3.5&amp;sourceID=14","3.5")</f>
        <v>3.5</v>
      </c>
      <c r="G2489" s="4" t="str">
        <f>HYPERLINK("http://141.218.60.56/~jnz1568/getInfo.php?workbook=20_14.xlsx&amp;sheet=U0&amp;row=2489&amp;col=7&amp;number=0.0324&amp;sourceID=14","0.0324")</f>
        <v>0.0324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HYPERLINK("http://141.218.60.56/~jnz1568/getInfo.php?workbook=20_14.xlsx&amp;sheet=U0&amp;row=2490&amp;col=6&amp;number=3.6&amp;sourceID=14","3.6")</f>
        <v>3.6</v>
      </c>
      <c r="G2490" s="4" t="str">
        <f>HYPERLINK("http://141.218.60.56/~jnz1568/getInfo.php?workbook=20_14.xlsx&amp;sheet=U0&amp;row=2490&amp;col=7&amp;number=0.0324&amp;sourceID=14","0.0324")</f>
        <v>0.0324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HYPERLINK("http://141.218.60.56/~jnz1568/getInfo.php?workbook=20_14.xlsx&amp;sheet=U0&amp;row=2491&amp;col=6&amp;number=3.7&amp;sourceID=14","3.7")</f>
        <v>3.7</v>
      </c>
      <c r="G2491" s="4" t="str">
        <f>HYPERLINK("http://141.218.60.56/~jnz1568/getInfo.php?workbook=20_14.xlsx&amp;sheet=U0&amp;row=2491&amp;col=7&amp;number=0.0324&amp;sourceID=14","0.0324")</f>
        <v>0.0324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HYPERLINK("http://141.218.60.56/~jnz1568/getInfo.php?workbook=20_14.xlsx&amp;sheet=U0&amp;row=2492&amp;col=6&amp;number=3.8&amp;sourceID=14","3.8")</f>
        <v>3.8</v>
      </c>
      <c r="G2492" s="4" t="str">
        <f>HYPERLINK("http://141.218.60.56/~jnz1568/getInfo.php?workbook=20_14.xlsx&amp;sheet=U0&amp;row=2492&amp;col=7&amp;number=0.0323&amp;sourceID=14","0.0323")</f>
        <v>0.0323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HYPERLINK("http://141.218.60.56/~jnz1568/getInfo.php?workbook=20_14.xlsx&amp;sheet=U0&amp;row=2493&amp;col=6&amp;number=3.9&amp;sourceID=14","3.9")</f>
        <v>3.9</v>
      </c>
      <c r="G2493" s="4" t="str">
        <f>HYPERLINK("http://141.218.60.56/~jnz1568/getInfo.php?workbook=20_14.xlsx&amp;sheet=U0&amp;row=2493&amp;col=7&amp;number=0.0323&amp;sourceID=14","0.0323")</f>
        <v>0.0323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HYPERLINK("http://141.218.60.56/~jnz1568/getInfo.php?workbook=20_14.xlsx&amp;sheet=U0&amp;row=2494&amp;col=6&amp;number=4&amp;sourceID=14","4")</f>
        <v>4</v>
      </c>
      <c r="G2494" s="4" t="str">
        <f>HYPERLINK("http://141.218.60.56/~jnz1568/getInfo.php?workbook=20_14.xlsx&amp;sheet=U0&amp;row=2494&amp;col=7&amp;number=0.0323&amp;sourceID=14","0.0323")</f>
        <v>0.0323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HYPERLINK("http://141.218.60.56/~jnz1568/getInfo.php?workbook=20_14.xlsx&amp;sheet=U0&amp;row=2495&amp;col=6&amp;number=4.1&amp;sourceID=14","4.1")</f>
        <v>4.1</v>
      </c>
      <c r="G2495" s="4" t="str">
        <f>HYPERLINK("http://141.218.60.56/~jnz1568/getInfo.php?workbook=20_14.xlsx&amp;sheet=U0&amp;row=2495&amp;col=7&amp;number=0.0322&amp;sourceID=14","0.0322")</f>
        <v>0.0322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HYPERLINK("http://141.218.60.56/~jnz1568/getInfo.php?workbook=20_14.xlsx&amp;sheet=U0&amp;row=2496&amp;col=6&amp;number=4.2&amp;sourceID=14","4.2")</f>
        <v>4.2</v>
      </c>
      <c r="G2496" s="4" t="str">
        <f>HYPERLINK("http://141.218.60.56/~jnz1568/getInfo.php?workbook=20_14.xlsx&amp;sheet=U0&amp;row=2496&amp;col=7&amp;number=0.0321&amp;sourceID=14","0.0321")</f>
        <v>0.0321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HYPERLINK("http://141.218.60.56/~jnz1568/getInfo.php?workbook=20_14.xlsx&amp;sheet=U0&amp;row=2497&amp;col=6&amp;number=4.3&amp;sourceID=14","4.3")</f>
        <v>4.3</v>
      </c>
      <c r="G2497" s="4" t="str">
        <f>HYPERLINK("http://141.218.60.56/~jnz1568/getInfo.php?workbook=20_14.xlsx&amp;sheet=U0&amp;row=2497&amp;col=7&amp;number=0.032&amp;sourceID=14","0.032")</f>
        <v>0.032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HYPERLINK("http://141.218.60.56/~jnz1568/getInfo.php?workbook=20_14.xlsx&amp;sheet=U0&amp;row=2498&amp;col=6&amp;number=4.4&amp;sourceID=14","4.4")</f>
        <v>4.4</v>
      </c>
      <c r="G2498" s="4" t="str">
        <f>HYPERLINK("http://141.218.60.56/~jnz1568/getInfo.php?workbook=20_14.xlsx&amp;sheet=U0&amp;row=2498&amp;col=7&amp;number=0.0319&amp;sourceID=14","0.0319")</f>
        <v>0.0319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HYPERLINK("http://141.218.60.56/~jnz1568/getInfo.php?workbook=20_14.xlsx&amp;sheet=U0&amp;row=2499&amp;col=6&amp;number=4.5&amp;sourceID=14","4.5")</f>
        <v>4.5</v>
      </c>
      <c r="G2499" s="4" t="str">
        <f>HYPERLINK("http://141.218.60.56/~jnz1568/getInfo.php?workbook=20_14.xlsx&amp;sheet=U0&amp;row=2499&amp;col=7&amp;number=0.0318&amp;sourceID=14","0.0318")</f>
        <v>0.0318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HYPERLINK("http://141.218.60.56/~jnz1568/getInfo.php?workbook=20_14.xlsx&amp;sheet=U0&amp;row=2500&amp;col=6&amp;number=4.6&amp;sourceID=14","4.6")</f>
        <v>4.6</v>
      </c>
      <c r="G2500" s="4" t="str">
        <f>HYPERLINK("http://141.218.60.56/~jnz1568/getInfo.php?workbook=20_14.xlsx&amp;sheet=U0&amp;row=2500&amp;col=7&amp;number=0.0316&amp;sourceID=14","0.0316")</f>
        <v>0.0316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HYPERLINK("http://141.218.60.56/~jnz1568/getInfo.php?workbook=20_14.xlsx&amp;sheet=U0&amp;row=2501&amp;col=6&amp;number=4.7&amp;sourceID=14","4.7")</f>
        <v>4.7</v>
      </c>
      <c r="G2501" s="4" t="str">
        <f>HYPERLINK("http://141.218.60.56/~jnz1568/getInfo.php?workbook=20_14.xlsx&amp;sheet=U0&amp;row=2501&amp;col=7&amp;number=0.0314&amp;sourceID=14","0.0314")</f>
        <v>0.0314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HYPERLINK("http://141.218.60.56/~jnz1568/getInfo.php?workbook=20_14.xlsx&amp;sheet=U0&amp;row=2502&amp;col=6&amp;number=4.8&amp;sourceID=14","4.8")</f>
        <v>4.8</v>
      </c>
      <c r="G2502" s="4" t="str">
        <f>HYPERLINK("http://141.218.60.56/~jnz1568/getInfo.php?workbook=20_14.xlsx&amp;sheet=U0&amp;row=2502&amp;col=7&amp;number=0.0312&amp;sourceID=14","0.0312")</f>
        <v>0.0312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HYPERLINK("http://141.218.60.56/~jnz1568/getInfo.php?workbook=20_14.xlsx&amp;sheet=U0&amp;row=2503&amp;col=6&amp;number=4.9&amp;sourceID=14","4.9")</f>
        <v>4.9</v>
      </c>
      <c r="G2503" s="4" t="str">
        <f>HYPERLINK("http://141.218.60.56/~jnz1568/getInfo.php?workbook=20_14.xlsx&amp;sheet=U0&amp;row=2503&amp;col=7&amp;number=0.0309&amp;sourceID=14","0.0309")</f>
        <v>0.0309</v>
      </c>
    </row>
    <row r="2504" spans="1:7">
      <c r="A2504" s="3">
        <v>20</v>
      </c>
      <c r="B2504" s="3">
        <v>14</v>
      </c>
      <c r="C2504" s="3">
        <v>6</v>
      </c>
      <c r="D2504" s="3">
        <v>12</v>
      </c>
      <c r="E2504" s="3">
        <v>1</v>
      </c>
      <c r="F2504" s="4" t="str">
        <f>HYPERLINK("http://141.218.60.56/~jnz1568/getInfo.php?workbook=20_14.xlsx&amp;sheet=U0&amp;row=2504&amp;col=6&amp;number=3&amp;sourceID=14","3")</f>
        <v>3</v>
      </c>
      <c r="G2504" s="4" t="str">
        <f>HYPERLINK("http://141.218.60.56/~jnz1568/getInfo.php?workbook=20_14.xlsx&amp;sheet=U0&amp;row=2504&amp;col=7&amp;number=0.054&amp;sourceID=14","0.054")</f>
        <v>0.054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HYPERLINK("http://141.218.60.56/~jnz1568/getInfo.php?workbook=20_14.xlsx&amp;sheet=U0&amp;row=2505&amp;col=6&amp;number=3.1&amp;sourceID=14","3.1")</f>
        <v>3.1</v>
      </c>
      <c r="G2505" s="4" t="str">
        <f>HYPERLINK("http://141.218.60.56/~jnz1568/getInfo.php?workbook=20_14.xlsx&amp;sheet=U0&amp;row=2505&amp;col=7&amp;number=0.054&amp;sourceID=14","0.054")</f>
        <v>0.054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HYPERLINK("http://141.218.60.56/~jnz1568/getInfo.php?workbook=20_14.xlsx&amp;sheet=U0&amp;row=2506&amp;col=6&amp;number=3.2&amp;sourceID=14","3.2")</f>
        <v>3.2</v>
      </c>
      <c r="G2506" s="4" t="str">
        <f>HYPERLINK("http://141.218.60.56/~jnz1568/getInfo.php?workbook=20_14.xlsx&amp;sheet=U0&amp;row=2506&amp;col=7&amp;number=0.054&amp;sourceID=14","0.054")</f>
        <v>0.054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HYPERLINK("http://141.218.60.56/~jnz1568/getInfo.php?workbook=20_14.xlsx&amp;sheet=U0&amp;row=2507&amp;col=6&amp;number=3.3&amp;sourceID=14","3.3")</f>
        <v>3.3</v>
      </c>
      <c r="G2507" s="4" t="str">
        <f>HYPERLINK("http://141.218.60.56/~jnz1568/getInfo.php?workbook=20_14.xlsx&amp;sheet=U0&amp;row=2507&amp;col=7&amp;number=0.054&amp;sourceID=14","0.054")</f>
        <v>0.054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HYPERLINK("http://141.218.60.56/~jnz1568/getInfo.php?workbook=20_14.xlsx&amp;sheet=U0&amp;row=2508&amp;col=6&amp;number=3.4&amp;sourceID=14","3.4")</f>
        <v>3.4</v>
      </c>
      <c r="G2508" s="4" t="str">
        <f>HYPERLINK("http://141.218.60.56/~jnz1568/getInfo.php?workbook=20_14.xlsx&amp;sheet=U0&amp;row=2508&amp;col=7&amp;number=0.054&amp;sourceID=14","0.054")</f>
        <v>0.054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HYPERLINK("http://141.218.60.56/~jnz1568/getInfo.php?workbook=20_14.xlsx&amp;sheet=U0&amp;row=2509&amp;col=6&amp;number=3.5&amp;sourceID=14","3.5")</f>
        <v>3.5</v>
      </c>
      <c r="G2509" s="4" t="str">
        <f>HYPERLINK("http://141.218.60.56/~jnz1568/getInfo.php?workbook=20_14.xlsx&amp;sheet=U0&amp;row=2509&amp;col=7&amp;number=0.054&amp;sourceID=14","0.054")</f>
        <v>0.054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HYPERLINK("http://141.218.60.56/~jnz1568/getInfo.php?workbook=20_14.xlsx&amp;sheet=U0&amp;row=2510&amp;col=6&amp;number=3.6&amp;sourceID=14","3.6")</f>
        <v>3.6</v>
      </c>
      <c r="G2510" s="4" t="str">
        <f>HYPERLINK("http://141.218.60.56/~jnz1568/getInfo.php?workbook=20_14.xlsx&amp;sheet=U0&amp;row=2510&amp;col=7&amp;number=0.0539&amp;sourceID=14","0.0539")</f>
        <v>0.0539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HYPERLINK("http://141.218.60.56/~jnz1568/getInfo.php?workbook=20_14.xlsx&amp;sheet=U0&amp;row=2511&amp;col=6&amp;number=3.7&amp;sourceID=14","3.7")</f>
        <v>3.7</v>
      </c>
      <c r="G2511" s="4" t="str">
        <f>HYPERLINK("http://141.218.60.56/~jnz1568/getInfo.php?workbook=20_14.xlsx&amp;sheet=U0&amp;row=2511&amp;col=7&amp;number=0.0539&amp;sourceID=14","0.0539")</f>
        <v>0.0539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HYPERLINK("http://141.218.60.56/~jnz1568/getInfo.php?workbook=20_14.xlsx&amp;sheet=U0&amp;row=2512&amp;col=6&amp;number=3.8&amp;sourceID=14","3.8")</f>
        <v>3.8</v>
      </c>
      <c r="G2512" s="4" t="str">
        <f>HYPERLINK("http://141.218.60.56/~jnz1568/getInfo.php?workbook=20_14.xlsx&amp;sheet=U0&amp;row=2512&amp;col=7&amp;number=0.0538&amp;sourceID=14","0.0538")</f>
        <v>0.0538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HYPERLINK("http://141.218.60.56/~jnz1568/getInfo.php?workbook=20_14.xlsx&amp;sheet=U0&amp;row=2513&amp;col=6&amp;number=3.9&amp;sourceID=14","3.9")</f>
        <v>3.9</v>
      </c>
      <c r="G2513" s="4" t="str">
        <f>HYPERLINK("http://141.218.60.56/~jnz1568/getInfo.php?workbook=20_14.xlsx&amp;sheet=U0&amp;row=2513&amp;col=7&amp;number=0.0538&amp;sourceID=14","0.0538")</f>
        <v>0.0538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HYPERLINK("http://141.218.60.56/~jnz1568/getInfo.php?workbook=20_14.xlsx&amp;sheet=U0&amp;row=2514&amp;col=6&amp;number=4&amp;sourceID=14","4")</f>
        <v>4</v>
      </c>
      <c r="G2514" s="4" t="str">
        <f>HYPERLINK("http://141.218.60.56/~jnz1568/getInfo.php?workbook=20_14.xlsx&amp;sheet=U0&amp;row=2514&amp;col=7&amp;number=0.0537&amp;sourceID=14","0.0537")</f>
        <v>0.0537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HYPERLINK("http://141.218.60.56/~jnz1568/getInfo.php?workbook=20_14.xlsx&amp;sheet=U0&amp;row=2515&amp;col=6&amp;number=4.1&amp;sourceID=14","4.1")</f>
        <v>4.1</v>
      </c>
      <c r="G2515" s="4" t="str">
        <f>HYPERLINK("http://141.218.60.56/~jnz1568/getInfo.php?workbook=20_14.xlsx&amp;sheet=U0&amp;row=2515&amp;col=7&amp;number=0.0536&amp;sourceID=14","0.0536")</f>
        <v>0.0536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HYPERLINK("http://141.218.60.56/~jnz1568/getInfo.php?workbook=20_14.xlsx&amp;sheet=U0&amp;row=2516&amp;col=6&amp;number=4.2&amp;sourceID=14","4.2")</f>
        <v>4.2</v>
      </c>
      <c r="G2516" s="4" t="str">
        <f>HYPERLINK("http://141.218.60.56/~jnz1568/getInfo.php?workbook=20_14.xlsx&amp;sheet=U0&amp;row=2516&amp;col=7&amp;number=0.0535&amp;sourceID=14","0.0535")</f>
        <v>0.0535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HYPERLINK("http://141.218.60.56/~jnz1568/getInfo.php?workbook=20_14.xlsx&amp;sheet=U0&amp;row=2517&amp;col=6&amp;number=4.3&amp;sourceID=14","4.3")</f>
        <v>4.3</v>
      </c>
      <c r="G2517" s="4" t="str">
        <f>HYPERLINK("http://141.218.60.56/~jnz1568/getInfo.php?workbook=20_14.xlsx&amp;sheet=U0&amp;row=2517&amp;col=7&amp;number=0.0534&amp;sourceID=14","0.0534")</f>
        <v>0.0534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HYPERLINK("http://141.218.60.56/~jnz1568/getInfo.php?workbook=20_14.xlsx&amp;sheet=U0&amp;row=2518&amp;col=6&amp;number=4.4&amp;sourceID=14","4.4")</f>
        <v>4.4</v>
      </c>
      <c r="G2518" s="4" t="str">
        <f>HYPERLINK("http://141.218.60.56/~jnz1568/getInfo.php?workbook=20_14.xlsx&amp;sheet=U0&amp;row=2518&amp;col=7&amp;number=0.0532&amp;sourceID=14","0.0532")</f>
        <v>0.0532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HYPERLINK("http://141.218.60.56/~jnz1568/getInfo.php?workbook=20_14.xlsx&amp;sheet=U0&amp;row=2519&amp;col=6&amp;number=4.5&amp;sourceID=14","4.5")</f>
        <v>4.5</v>
      </c>
      <c r="G2519" s="4" t="str">
        <f>HYPERLINK("http://141.218.60.56/~jnz1568/getInfo.php?workbook=20_14.xlsx&amp;sheet=U0&amp;row=2519&amp;col=7&amp;number=0.053&amp;sourceID=14","0.053")</f>
        <v>0.053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HYPERLINK("http://141.218.60.56/~jnz1568/getInfo.php?workbook=20_14.xlsx&amp;sheet=U0&amp;row=2520&amp;col=6&amp;number=4.6&amp;sourceID=14","4.6")</f>
        <v>4.6</v>
      </c>
      <c r="G2520" s="4" t="str">
        <f>HYPERLINK("http://141.218.60.56/~jnz1568/getInfo.php?workbook=20_14.xlsx&amp;sheet=U0&amp;row=2520&amp;col=7&amp;number=0.0527&amp;sourceID=14","0.0527")</f>
        <v>0.0527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HYPERLINK("http://141.218.60.56/~jnz1568/getInfo.php?workbook=20_14.xlsx&amp;sheet=U0&amp;row=2521&amp;col=6&amp;number=4.7&amp;sourceID=14","4.7")</f>
        <v>4.7</v>
      </c>
      <c r="G2521" s="4" t="str">
        <f>HYPERLINK("http://141.218.60.56/~jnz1568/getInfo.php?workbook=20_14.xlsx&amp;sheet=U0&amp;row=2521&amp;col=7&amp;number=0.0524&amp;sourceID=14","0.0524")</f>
        <v>0.0524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HYPERLINK("http://141.218.60.56/~jnz1568/getInfo.php?workbook=20_14.xlsx&amp;sheet=U0&amp;row=2522&amp;col=6&amp;number=4.8&amp;sourceID=14","4.8")</f>
        <v>4.8</v>
      </c>
      <c r="G2522" s="4" t="str">
        <f>HYPERLINK("http://141.218.60.56/~jnz1568/getInfo.php?workbook=20_14.xlsx&amp;sheet=U0&amp;row=2522&amp;col=7&amp;number=0.052&amp;sourceID=14","0.052")</f>
        <v>0.052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HYPERLINK("http://141.218.60.56/~jnz1568/getInfo.php?workbook=20_14.xlsx&amp;sheet=U0&amp;row=2523&amp;col=6&amp;number=4.9&amp;sourceID=14","4.9")</f>
        <v>4.9</v>
      </c>
      <c r="G2523" s="4" t="str">
        <f>HYPERLINK("http://141.218.60.56/~jnz1568/getInfo.php?workbook=20_14.xlsx&amp;sheet=U0&amp;row=2523&amp;col=7&amp;number=0.0514&amp;sourceID=14","0.0514")</f>
        <v>0.0514</v>
      </c>
    </row>
    <row r="2524" spans="1:7">
      <c r="A2524" s="3">
        <v>20</v>
      </c>
      <c r="B2524" s="3">
        <v>14</v>
      </c>
      <c r="C2524" s="3">
        <v>6</v>
      </c>
      <c r="D2524" s="3">
        <v>13</v>
      </c>
      <c r="E2524" s="3">
        <v>1</v>
      </c>
      <c r="F2524" s="4" t="str">
        <f>HYPERLINK("http://141.218.60.56/~jnz1568/getInfo.php?workbook=20_14.xlsx&amp;sheet=U0&amp;row=2524&amp;col=6&amp;number=3&amp;sourceID=14","3")</f>
        <v>3</v>
      </c>
      <c r="G2524" s="4" t="str">
        <f>HYPERLINK("http://141.218.60.56/~jnz1568/getInfo.php?workbook=20_14.xlsx&amp;sheet=U0&amp;row=2524&amp;col=7&amp;number=9.41e-05&amp;sourceID=14","9.41e-05")</f>
        <v>9.41e-05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HYPERLINK("http://141.218.60.56/~jnz1568/getInfo.php?workbook=20_14.xlsx&amp;sheet=U0&amp;row=2525&amp;col=6&amp;number=3.1&amp;sourceID=14","3.1")</f>
        <v>3.1</v>
      </c>
      <c r="G2525" s="4" t="str">
        <f>HYPERLINK("http://141.218.60.56/~jnz1568/getInfo.php?workbook=20_14.xlsx&amp;sheet=U0&amp;row=2525&amp;col=7&amp;number=9.41e-05&amp;sourceID=14","9.41e-05")</f>
        <v>9.41e-05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HYPERLINK("http://141.218.60.56/~jnz1568/getInfo.php?workbook=20_14.xlsx&amp;sheet=U0&amp;row=2526&amp;col=6&amp;number=3.2&amp;sourceID=14","3.2")</f>
        <v>3.2</v>
      </c>
      <c r="G2526" s="4" t="str">
        <f>HYPERLINK("http://141.218.60.56/~jnz1568/getInfo.php?workbook=20_14.xlsx&amp;sheet=U0&amp;row=2526&amp;col=7&amp;number=9.41e-05&amp;sourceID=14","9.41e-05")</f>
        <v>9.41e-05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HYPERLINK("http://141.218.60.56/~jnz1568/getInfo.php?workbook=20_14.xlsx&amp;sheet=U0&amp;row=2527&amp;col=6&amp;number=3.3&amp;sourceID=14","3.3")</f>
        <v>3.3</v>
      </c>
      <c r="G2527" s="4" t="str">
        <f>HYPERLINK("http://141.218.60.56/~jnz1568/getInfo.php?workbook=20_14.xlsx&amp;sheet=U0&amp;row=2527&amp;col=7&amp;number=9.4e-05&amp;sourceID=14","9.4e-05")</f>
        <v>9.4e-05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HYPERLINK("http://141.218.60.56/~jnz1568/getInfo.php?workbook=20_14.xlsx&amp;sheet=U0&amp;row=2528&amp;col=6&amp;number=3.4&amp;sourceID=14","3.4")</f>
        <v>3.4</v>
      </c>
      <c r="G2528" s="4" t="str">
        <f>HYPERLINK("http://141.218.60.56/~jnz1568/getInfo.php?workbook=20_14.xlsx&amp;sheet=U0&amp;row=2528&amp;col=7&amp;number=9.4e-05&amp;sourceID=14","9.4e-05")</f>
        <v>9.4e-05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HYPERLINK("http://141.218.60.56/~jnz1568/getInfo.php?workbook=20_14.xlsx&amp;sheet=U0&amp;row=2529&amp;col=6&amp;number=3.5&amp;sourceID=14","3.5")</f>
        <v>3.5</v>
      </c>
      <c r="G2529" s="4" t="str">
        <f>HYPERLINK("http://141.218.60.56/~jnz1568/getInfo.php?workbook=20_14.xlsx&amp;sheet=U0&amp;row=2529&amp;col=7&amp;number=9.4e-05&amp;sourceID=14","9.4e-05")</f>
        <v>9.4e-05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HYPERLINK("http://141.218.60.56/~jnz1568/getInfo.php?workbook=20_14.xlsx&amp;sheet=U0&amp;row=2530&amp;col=6&amp;number=3.6&amp;sourceID=14","3.6")</f>
        <v>3.6</v>
      </c>
      <c r="G2530" s="4" t="str">
        <f>HYPERLINK("http://141.218.60.56/~jnz1568/getInfo.php?workbook=20_14.xlsx&amp;sheet=U0&amp;row=2530&amp;col=7&amp;number=9.39e-05&amp;sourceID=14","9.39e-05")</f>
        <v>9.39e-05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HYPERLINK("http://141.218.60.56/~jnz1568/getInfo.php?workbook=20_14.xlsx&amp;sheet=U0&amp;row=2531&amp;col=6&amp;number=3.7&amp;sourceID=14","3.7")</f>
        <v>3.7</v>
      </c>
      <c r="G2531" s="4" t="str">
        <f>HYPERLINK("http://141.218.60.56/~jnz1568/getInfo.php?workbook=20_14.xlsx&amp;sheet=U0&amp;row=2531&amp;col=7&amp;number=9.39e-05&amp;sourceID=14","9.39e-05")</f>
        <v>9.39e-05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HYPERLINK("http://141.218.60.56/~jnz1568/getInfo.php?workbook=20_14.xlsx&amp;sheet=U0&amp;row=2532&amp;col=6&amp;number=3.8&amp;sourceID=14","3.8")</f>
        <v>3.8</v>
      </c>
      <c r="G2532" s="4" t="str">
        <f>HYPERLINK("http://141.218.60.56/~jnz1568/getInfo.php?workbook=20_14.xlsx&amp;sheet=U0&amp;row=2532&amp;col=7&amp;number=9.38e-05&amp;sourceID=14","9.38e-05")</f>
        <v>9.38e-05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HYPERLINK("http://141.218.60.56/~jnz1568/getInfo.php?workbook=20_14.xlsx&amp;sheet=U0&amp;row=2533&amp;col=6&amp;number=3.9&amp;sourceID=14","3.9")</f>
        <v>3.9</v>
      </c>
      <c r="G2533" s="4" t="str">
        <f>HYPERLINK("http://141.218.60.56/~jnz1568/getInfo.php?workbook=20_14.xlsx&amp;sheet=U0&amp;row=2533&amp;col=7&amp;number=9.37e-05&amp;sourceID=14","9.37e-05")</f>
        <v>9.37e-05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HYPERLINK("http://141.218.60.56/~jnz1568/getInfo.php?workbook=20_14.xlsx&amp;sheet=U0&amp;row=2534&amp;col=6&amp;number=4&amp;sourceID=14","4")</f>
        <v>4</v>
      </c>
      <c r="G2534" s="4" t="str">
        <f>HYPERLINK("http://141.218.60.56/~jnz1568/getInfo.php?workbook=20_14.xlsx&amp;sheet=U0&amp;row=2534&amp;col=7&amp;number=9.36e-05&amp;sourceID=14","9.36e-05")</f>
        <v>9.36e-05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HYPERLINK("http://141.218.60.56/~jnz1568/getInfo.php?workbook=20_14.xlsx&amp;sheet=U0&amp;row=2535&amp;col=6&amp;number=4.1&amp;sourceID=14","4.1")</f>
        <v>4.1</v>
      </c>
      <c r="G2535" s="4" t="str">
        <f>HYPERLINK("http://141.218.60.56/~jnz1568/getInfo.php?workbook=20_14.xlsx&amp;sheet=U0&amp;row=2535&amp;col=7&amp;number=9.34e-05&amp;sourceID=14","9.34e-05")</f>
        <v>9.34e-05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HYPERLINK("http://141.218.60.56/~jnz1568/getInfo.php?workbook=20_14.xlsx&amp;sheet=U0&amp;row=2536&amp;col=6&amp;number=4.2&amp;sourceID=14","4.2")</f>
        <v>4.2</v>
      </c>
      <c r="G2536" s="4" t="str">
        <f>HYPERLINK("http://141.218.60.56/~jnz1568/getInfo.php?workbook=20_14.xlsx&amp;sheet=U0&amp;row=2536&amp;col=7&amp;number=9.32e-05&amp;sourceID=14","9.32e-05")</f>
        <v>9.32e-05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HYPERLINK("http://141.218.60.56/~jnz1568/getInfo.php?workbook=20_14.xlsx&amp;sheet=U0&amp;row=2537&amp;col=6&amp;number=4.3&amp;sourceID=14","4.3")</f>
        <v>4.3</v>
      </c>
      <c r="G2537" s="4" t="str">
        <f>HYPERLINK("http://141.218.60.56/~jnz1568/getInfo.php?workbook=20_14.xlsx&amp;sheet=U0&amp;row=2537&amp;col=7&amp;number=9.29e-05&amp;sourceID=14","9.29e-05")</f>
        <v>9.29e-05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HYPERLINK("http://141.218.60.56/~jnz1568/getInfo.php?workbook=20_14.xlsx&amp;sheet=U0&amp;row=2538&amp;col=6&amp;number=4.4&amp;sourceID=14","4.4")</f>
        <v>4.4</v>
      </c>
      <c r="G2538" s="4" t="str">
        <f>HYPERLINK("http://141.218.60.56/~jnz1568/getInfo.php?workbook=20_14.xlsx&amp;sheet=U0&amp;row=2538&amp;col=7&amp;number=9.26e-05&amp;sourceID=14","9.26e-05")</f>
        <v>9.26e-05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HYPERLINK("http://141.218.60.56/~jnz1568/getInfo.php?workbook=20_14.xlsx&amp;sheet=U0&amp;row=2539&amp;col=6&amp;number=4.5&amp;sourceID=14","4.5")</f>
        <v>4.5</v>
      </c>
      <c r="G2539" s="4" t="str">
        <f>HYPERLINK("http://141.218.60.56/~jnz1568/getInfo.php?workbook=20_14.xlsx&amp;sheet=U0&amp;row=2539&amp;col=7&amp;number=9.22e-05&amp;sourceID=14","9.22e-05")</f>
        <v>9.22e-05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HYPERLINK("http://141.218.60.56/~jnz1568/getInfo.php?workbook=20_14.xlsx&amp;sheet=U0&amp;row=2540&amp;col=6&amp;number=4.6&amp;sourceID=14","4.6")</f>
        <v>4.6</v>
      </c>
      <c r="G2540" s="4" t="str">
        <f>HYPERLINK("http://141.218.60.56/~jnz1568/getInfo.php?workbook=20_14.xlsx&amp;sheet=U0&amp;row=2540&amp;col=7&amp;number=9.18e-05&amp;sourceID=14","9.18e-05")</f>
        <v>9.18e-05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HYPERLINK("http://141.218.60.56/~jnz1568/getInfo.php?workbook=20_14.xlsx&amp;sheet=U0&amp;row=2541&amp;col=6&amp;number=4.7&amp;sourceID=14","4.7")</f>
        <v>4.7</v>
      </c>
      <c r="G2541" s="4" t="str">
        <f>HYPERLINK("http://141.218.60.56/~jnz1568/getInfo.php?workbook=20_14.xlsx&amp;sheet=U0&amp;row=2541&amp;col=7&amp;number=9.12e-05&amp;sourceID=14","9.12e-05")</f>
        <v>9.12e-05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HYPERLINK("http://141.218.60.56/~jnz1568/getInfo.php?workbook=20_14.xlsx&amp;sheet=U0&amp;row=2542&amp;col=6&amp;number=4.8&amp;sourceID=14","4.8")</f>
        <v>4.8</v>
      </c>
      <c r="G2542" s="4" t="str">
        <f>HYPERLINK("http://141.218.60.56/~jnz1568/getInfo.php?workbook=20_14.xlsx&amp;sheet=U0&amp;row=2542&amp;col=7&amp;number=9.04e-05&amp;sourceID=14","9.04e-05")</f>
        <v>9.04e-05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HYPERLINK("http://141.218.60.56/~jnz1568/getInfo.php?workbook=20_14.xlsx&amp;sheet=U0&amp;row=2543&amp;col=6&amp;number=4.9&amp;sourceID=14","4.9")</f>
        <v>4.9</v>
      </c>
      <c r="G2543" s="4" t="str">
        <f>HYPERLINK("http://141.218.60.56/~jnz1568/getInfo.php?workbook=20_14.xlsx&amp;sheet=U0&amp;row=2543&amp;col=7&amp;number=8.95e-05&amp;sourceID=14","8.95e-05")</f>
        <v>8.95e-05</v>
      </c>
    </row>
    <row r="2544" spans="1:7">
      <c r="A2544" s="3">
        <v>20</v>
      </c>
      <c r="B2544" s="3">
        <v>14</v>
      </c>
      <c r="C2544" s="3">
        <v>6</v>
      </c>
      <c r="D2544" s="3">
        <v>14</v>
      </c>
      <c r="E2544" s="3">
        <v>1</v>
      </c>
      <c r="F2544" s="4" t="str">
        <f>HYPERLINK("http://141.218.60.56/~jnz1568/getInfo.php?workbook=20_14.xlsx&amp;sheet=U0&amp;row=2544&amp;col=6&amp;number=3&amp;sourceID=14","3")</f>
        <v>3</v>
      </c>
      <c r="G2544" s="4" t="str">
        <f>HYPERLINK("http://141.218.60.56/~jnz1568/getInfo.php?workbook=20_14.xlsx&amp;sheet=U0&amp;row=2544&amp;col=7&amp;number=3.7e-05&amp;sourceID=14","3.7e-05")</f>
        <v>3.7e-05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HYPERLINK("http://141.218.60.56/~jnz1568/getInfo.php?workbook=20_14.xlsx&amp;sheet=U0&amp;row=2545&amp;col=6&amp;number=3.1&amp;sourceID=14","3.1")</f>
        <v>3.1</v>
      </c>
      <c r="G2545" s="4" t="str">
        <f>HYPERLINK("http://141.218.60.56/~jnz1568/getInfo.php?workbook=20_14.xlsx&amp;sheet=U0&amp;row=2545&amp;col=7&amp;number=3.7e-05&amp;sourceID=14","3.7e-05")</f>
        <v>3.7e-05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HYPERLINK("http://141.218.60.56/~jnz1568/getInfo.php?workbook=20_14.xlsx&amp;sheet=U0&amp;row=2546&amp;col=6&amp;number=3.2&amp;sourceID=14","3.2")</f>
        <v>3.2</v>
      </c>
      <c r="G2546" s="4" t="str">
        <f>HYPERLINK("http://141.218.60.56/~jnz1568/getInfo.php?workbook=20_14.xlsx&amp;sheet=U0&amp;row=2546&amp;col=7&amp;number=3.7e-05&amp;sourceID=14","3.7e-05")</f>
        <v>3.7e-05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HYPERLINK("http://141.218.60.56/~jnz1568/getInfo.php?workbook=20_14.xlsx&amp;sheet=U0&amp;row=2547&amp;col=6&amp;number=3.3&amp;sourceID=14","3.3")</f>
        <v>3.3</v>
      </c>
      <c r="G2547" s="4" t="str">
        <f>HYPERLINK("http://141.218.60.56/~jnz1568/getInfo.php?workbook=20_14.xlsx&amp;sheet=U0&amp;row=2547&amp;col=7&amp;number=3.7e-05&amp;sourceID=14","3.7e-05")</f>
        <v>3.7e-05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HYPERLINK("http://141.218.60.56/~jnz1568/getInfo.php?workbook=20_14.xlsx&amp;sheet=U0&amp;row=2548&amp;col=6&amp;number=3.4&amp;sourceID=14","3.4")</f>
        <v>3.4</v>
      </c>
      <c r="G2548" s="4" t="str">
        <f>HYPERLINK("http://141.218.60.56/~jnz1568/getInfo.php?workbook=20_14.xlsx&amp;sheet=U0&amp;row=2548&amp;col=7&amp;number=3.7e-05&amp;sourceID=14","3.7e-05")</f>
        <v>3.7e-05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HYPERLINK("http://141.218.60.56/~jnz1568/getInfo.php?workbook=20_14.xlsx&amp;sheet=U0&amp;row=2549&amp;col=6&amp;number=3.5&amp;sourceID=14","3.5")</f>
        <v>3.5</v>
      </c>
      <c r="G2549" s="4" t="str">
        <f>HYPERLINK("http://141.218.60.56/~jnz1568/getInfo.php?workbook=20_14.xlsx&amp;sheet=U0&amp;row=2549&amp;col=7&amp;number=3.7e-05&amp;sourceID=14","3.7e-05")</f>
        <v>3.7e-05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HYPERLINK("http://141.218.60.56/~jnz1568/getInfo.php?workbook=20_14.xlsx&amp;sheet=U0&amp;row=2550&amp;col=6&amp;number=3.6&amp;sourceID=14","3.6")</f>
        <v>3.6</v>
      </c>
      <c r="G2550" s="4" t="str">
        <f>HYPERLINK("http://141.218.60.56/~jnz1568/getInfo.php?workbook=20_14.xlsx&amp;sheet=U0&amp;row=2550&amp;col=7&amp;number=3.7e-05&amp;sourceID=14","3.7e-05")</f>
        <v>3.7e-05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HYPERLINK("http://141.218.60.56/~jnz1568/getInfo.php?workbook=20_14.xlsx&amp;sheet=U0&amp;row=2551&amp;col=6&amp;number=3.7&amp;sourceID=14","3.7")</f>
        <v>3.7</v>
      </c>
      <c r="G2551" s="4" t="str">
        <f>HYPERLINK("http://141.218.60.56/~jnz1568/getInfo.php?workbook=20_14.xlsx&amp;sheet=U0&amp;row=2551&amp;col=7&amp;number=3.69e-05&amp;sourceID=14","3.69e-05")</f>
        <v>3.69e-05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HYPERLINK("http://141.218.60.56/~jnz1568/getInfo.php?workbook=20_14.xlsx&amp;sheet=U0&amp;row=2552&amp;col=6&amp;number=3.8&amp;sourceID=14","3.8")</f>
        <v>3.8</v>
      </c>
      <c r="G2552" s="4" t="str">
        <f>HYPERLINK("http://141.218.60.56/~jnz1568/getInfo.php?workbook=20_14.xlsx&amp;sheet=U0&amp;row=2552&amp;col=7&amp;number=3.69e-05&amp;sourceID=14","3.69e-05")</f>
        <v>3.69e-05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HYPERLINK("http://141.218.60.56/~jnz1568/getInfo.php?workbook=20_14.xlsx&amp;sheet=U0&amp;row=2553&amp;col=6&amp;number=3.9&amp;sourceID=14","3.9")</f>
        <v>3.9</v>
      </c>
      <c r="G2553" s="4" t="str">
        <f>HYPERLINK("http://141.218.60.56/~jnz1568/getInfo.php?workbook=20_14.xlsx&amp;sheet=U0&amp;row=2553&amp;col=7&amp;number=3.69e-05&amp;sourceID=14","3.69e-05")</f>
        <v>3.69e-05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HYPERLINK("http://141.218.60.56/~jnz1568/getInfo.php?workbook=20_14.xlsx&amp;sheet=U0&amp;row=2554&amp;col=6&amp;number=4&amp;sourceID=14","4")</f>
        <v>4</v>
      </c>
      <c r="G2554" s="4" t="str">
        <f>HYPERLINK("http://141.218.60.56/~jnz1568/getInfo.php?workbook=20_14.xlsx&amp;sheet=U0&amp;row=2554&amp;col=7&amp;number=3.68e-05&amp;sourceID=14","3.68e-05")</f>
        <v>3.68e-05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HYPERLINK("http://141.218.60.56/~jnz1568/getInfo.php?workbook=20_14.xlsx&amp;sheet=U0&amp;row=2555&amp;col=6&amp;number=4.1&amp;sourceID=14","4.1")</f>
        <v>4.1</v>
      </c>
      <c r="G2555" s="4" t="str">
        <f>HYPERLINK("http://141.218.60.56/~jnz1568/getInfo.php?workbook=20_14.xlsx&amp;sheet=U0&amp;row=2555&amp;col=7&amp;number=3.68e-05&amp;sourceID=14","3.68e-05")</f>
        <v>3.68e-05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HYPERLINK("http://141.218.60.56/~jnz1568/getInfo.php?workbook=20_14.xlsx&amp;sheet=U0&amp;row=2556&amp;col=6&amp;number=4.2&amp;sourceID=14","4.2")</f>
        <v>4.2</v>
      </c>
      <c r="G2556" s="4" t="str">
        <f>HYPERLINK("http://141.218.60.56/~jnz1568/getInfo.php?workbook=20_14.xlsx&amp;sheet=U0&amp;row=2556&amp;col=7&amp;number=3.67e-05&amp;sourceID=14","3.67e-05")</f>
        <v>3.67e-05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HYPERLINK("http://141.218.60.56/~jnz1568/getInfo.php?workbook=20_14.xlsx&amp;sheet=U0&amp;row=2557&amp;col=6&amp;number=4.3&amp;sourceID=14","4.3")</f>
        <v>4.3</v>
      </c>
      <c r="G2557" s="4" t="str">
        <f>HYPERLINK("http://141.218.60.56/~jnz1568/getInfo.php?workbook=20_14.xlsx&amp;sheet=U0&amp;row=2557&amp;col=7&amp;number=3.66e-05&amp;sourceID=14","3.66e-05")</f>
        <v>3.66e-05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HYPERLINK("http://141.218.60.56/~jnz1568/getInfo.php?workbook=20_14.xlsx&amp;sheet=U0&amp;row=2558&amp;col=6&amp;number=4.4&amp;sourceID=14","4.4")</f>
        <v>4.4</v>
      </c>
      <c r="G2558" s="4" t="str">
        <f>HYPERLINK("http://141.218.60.56/~jnz1568/getInfo.php?workbook=20_14.xlsx&amp;sheet=U0&amp;row=2558&amp;col=7&amp;number=3.65e-05&amp;sourceID=14","3.65e-05")</f>
        <v>3.65e-05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HYPERLINK("http://141.218.60.56/~jnz1568/getInfo.php?workbook=20_14.xlsx&amp;sheet=U0&amp;row=2559&amp;col=6&amp;number=4.5&amp;sourceID=14","4.5")</f>
        <v>4.5</v>
      </c>
      <c r="G2559" s="4" t="str">
        <f>HYPERLINK("http://141.218.60.56/~jnz1568/getInfo.php?workbook=20_14.xlsx&amp;sheet=U0&amp;row=2559&amp;col=7&amp;number=3.64e-05&amp;sourceID=14","3.64e-05")</f>
        <v>3.64e-05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HYPERLINK("http://141.218.60.56/~jnz1568/getInfo.php?workbook=20_14.xlsx&amp;sheet=U0&amp;row=2560&amp;col=6&amp;number=4.6&amp;sourceID=14","4.6")</f>
        <v>4.6</v>
      </c>
      <c r="G2560" s="4" t="str">
        <f>HYPERLINK("http://141.218.60.56/~jnz1568/getInfo.php?workbook=20_14.xlsx&amp;sheet=U0&amp;row=2560&amp;col=7&amp;number=3.62e-05&amp;sourceID=14","3.62e-05")</f>
        <v>3.62e-05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HYPERLINK("http://141.218.60.56/~jnz1568/getInfo.php?workbook=20_14.xlsx&amp;sheet=U0&amp;row=2561&amp;col=6&amp;number=4.7&amp;sourceID=14","4.7")</f>
        <v>4.7</v>
      </c>
      <c r="G2561" s="4" t="str">
        <f>HYPERLINK("http://141.218.60.56/~jnz1568/getInfo.php?workbook=20_14.xlsx&amp;sheet=U0&amp;row=2561&amp;col=7&amp;number=3.6e-05&amp;sourceID=14","3.6e-05")</f>
        <v>3.6e-05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HYPERLINK("http://141.218.60.56/~jnz1568/getInfo.php?workbook=20_14.xlsx&amp;sheet=U0&amp;row=2562&amp;col=6&amp;number=4.8&amp;sourceID=14","4.8")</f>
        <v>4.8</v>
      </c>
      <c r="G2562" s="4" t="str">
        <f>HYPERLINK("http://141.218.60.56/~jnz1568/getInfo.php?workbook=20_14.xlsx&amp;sheet=U0&amp;row=2562&amp;col=7&amp;number=3.57e-05&amp;sourceID=14","3.57e-05")</f>
        <v>3.57e-05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HYPERLINK("http://141.218.60.56/~jnz1568/getInfo.php?workbook=20_14.xlsx&amp;sheet=U0&amp;row=2563&amp;col=6&amp;number=4.9&amp;sourceID=14","4.9")</f>
        <v>4.9</v>
      </c>
      <c r="G2563" s="4" t="str">
        <f>HYPERLINK("http://141.218.60.56/~jnz1568/getInfo.php?workbook=20_14.xlsx&amp;sheet=U0&amp;row=2563&amp;col=7&amp;number=3.54e-05&amp;sourceID=14","3.54e-05")</f>
        <v>3.54e-05</v>
      </c>
    </row>
    <row r="2564" spans="1:7">
      <c r="A2564" s="3">
        <v>20</v>
      </c>
      <c r="B2564" s="3">
        <v>14</v>
      </c>
      <c r="C2564" s="3">
        <v>6</v>
      </c>
      <c r="D2564" s="3">
        <v>15</v>
      </c>
      <c r="E2564" s="3">
        <v>1</v>
      </c>
      <c r="F2564" s="4" t="str">
        <f>HYPERLINK("http://141.218.60.56/~jnz1568/getInfo.php?workbook=20_14.xlsx&amp;sheet=U0&amp;row=2564&amp;col=6&amp;number=3&amp;sourceID=14","3")</f>
        <v>3</v>
      </c>
      <c r="G2564" s="4" t="str">
        <f>HYPERLINK("http://141.218.60.56/~jnz1568/getInfo.php?workbook=20_14.xlsx&amp;sheet=U0&amp;row=2564&amp;col=7&amp;number=7.49e-05&amp;sourceID=14","7.49e-05")</f>
        <v>7.49e-05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HYPERLINK("http://141.218.60.56/~jnz1568/getInfo.php?workbook=20_14.xlsx&amp;sheet=U0&amp;row=2565&amp;col=6&amp;number=3.1&amp;sourceID=14","3.1")</f>
        <v>3.1</v>
      </c>
      <c r="G2565" s="4" t="str">
        <f>HYPERLINK("http://141.218.60.56/~jnz1568/getInfo.php?workbook=20_14.xlsx&amp;sheet=U0&amp;row=2565&amp;col=7&amp;number=7.49e-05&amp;sourceID=14","7.49e-05")</f>
        <v>7.49e-05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HYPERLINK("http://141.218.60.56/~jnz1568/getInfo.php?workbook=20_14.xlsx&amp;sheet=U0&amp;row=2566&amp;col=6&amp;number=3.2&amp;sourceID=14","3.2")</f>
        <v>3.2</v>
      </c>
      <c r="G2566" s="4" t="str">
        <f>HYPERLINK("http://141.218.60.56/~jnz1568/getInfo.php?workbook=20_14.xlsx&amp;sheet=U0&amp;row=2566&amp;col=7&amp;number=7.49e-05&amp;sourceID=14","7.49e-05")</f>
        <v>7.49e-05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HYPERLINK("http://141.218.60.56/~jnz1568/getInfo.php?workbook=20_14.xlsx&amp;sheet=U0&amp;row=2567&amp;col=6&amp;number=3.3&amp;sourceID=14","3.3")</f>
        <v>3.3</v>
      </c>
      <c r="G2567" s="4" t="str">
        <f>HYPERLINK("http://141.218.60.56/~jnz1568/getInfo.php?workbook=20_14.xlsx&amp;sheet=U0&amp;row=2567&amp;col=7&amp;number=7.49e-05&amp;sourceID=14","7.49e-05")</f>
        <v>7.49e-05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HYPERLINK("http://141.218.60.56/~jnz1568/getInfo.php?workbook=20_14.xlsx&amp;sheet=U0&amp;row=2568&amp;col=6&amp;number=3.4&amp;sourceID=14","3.4")</f>
        <v>3.4</v>
      </c>
      <c r="G2568" s="4" t="str">
        <f>HYPERLINK("http://141.218.60.56/~jnz1568/getInfo.php?workbook=20_14.xlsx&amp;sheet=U0&amp;row=2568&amp;col=7&amp;number=7.49e-05&amp;sourceID=14","7.49e-05")</f>
        <v>7.49e-05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HYPERLINK("http://141.218.60.56/~jnz1568/getInfo.php?workbook=20_14.xlsx&amp;sheet=U0&amp;row=2569&amp;col=6&amp;number=3.5&amp;sourceID=14","3.5")</f>
        <v>3.5</v>
      </c>
      <c r="G2569" s="4" t="str">
        <f>HYPERLINK("http://141.218.60.56/~jnz1568/getInfo.php?workbook=20_14.xlsx&amp;sheet=U0&amp;row=2569&amp;col=7&amp;number=7.49e-05&amp;sourceID=14","7.49e-05")</f>
        <v>7.49e-05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HYPERLINK("http://141.218.60.56/~jnz1568/getInfo.php?workbook=20_14.xlsx&amp;sheet=U0&amp;row=2570&amp;col=6&amp;number=3.6&amp;sourceID=14","3.6")</f>
        <v>3.6</v>
      </c>
      <c r="G2570" s="4" t="str">
        <f>HYPERLINK("http://141.218.60.56/~jnz1568/getInfo.php?workbook=20_14.xlsx&amp;sheet=U0&amp;row=2570&amp;col=7&amp;number=7.48e-05&amp;sourceID=14","7.48e-05")</f>
        <v>7.48e-05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HYPERLINK("http://141.218.60.56/~jnz1568/getInfo.php?workbook=20_14.xlsx&amp;sheet=U0&amp;row=2571&amp;col=6&amp;number=3.7&amp;sourceID=14","3.7")</f>
        <v>3.7</v>
      </c>
      <c r="G2571" s="4" t="str">
        <f>HYPERLINK("http://141.218.60.56/~jnz1568/getInfo.php?workbook=20_14.xlsx&amp;sheet=U0&amp;row=2571&amp;col=7&amp;number=7.48e-05&amp;sourceID=14","7.48e-05")</f>
        <v>7.48e-05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HYPERLINK("http://141.218.60.56/~jnz1568/getInfo.php?workbook=20_14.xlsx&amp;sheet=U0&amp;row=2572&amp;col=6&amp;number=3.8&amp;sourceID=14","3.8")</f>
        <v>3.8</v>
      </c>
      <c r="G2572" s="4" t="str">
        <f>HYPERLINK("http://141.218.60.56/~jnz1568/getInfo.php?workbook=20_14.xlsx&amp;sheet=U0&amp;row=2572&amp;col=7&amp;number=7.47e-05&amp;sourceID=14","7.47e-05")</f>
        <v>7.47e-05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HYPERLINK("http://141.218.60.56/~jnz1568/getInfo.php?workbook=20_14.xlsx&amp;sheet=U0&amp;row=2573&amp;col=6&amp;number=3.9&amp;sourceID=14","3.9")</f>
        <v>3.9</v>
      </c>
      <c r="G2573" s="4" t="str">
        <f>HYPERLINK("http://141.218.60.56/~jnz1568/getInfo.php?workbook=20_14.xlsx&amp;sheet=U0&amp;row=2573&amp;col=7&amp;number=7.47e-05&amp;sourceID=14","7.47e-05")</f>
        <v>7.47e-05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HYPERLINK("http://141.218.60.56/~jnz1568/getInfo.php?workbook=20_14.xlsx&amp;sheet=U0&amp;row=2574&amp;col=6&amp;number=4&amp;sourceID=14","4")</f>
        <v>4</v>
      </c>
      <c r="G2574" s="4" t="str">
        <f>HYPERLINK("http://141.218.60.56/~jnz1568/getInfo.php?workbook=20_14.xlsx&amp;sheet=U0&amp;row=2574&amp;col=7&amp;number=7.46e-05&amp;sourceID=14","7.46e-05")</f>
        <v>7.46e-05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HYPERLINK("http://141.218.60.56/~jnz1568/getInfo.php?workbook=20_14.xlsx&amp;sheet=U0&amp;row=2575&amp;col=6&amp;number=4.1&amp;sourceID=14","4.1")</f>
        <v>4.1</v>
      </c>
      <c r="G2575" s="4" t="str">
        <f>HYPERLINK("http://141.218.60.56/~jnz1568/getInfo.php?workbook=20_14.xlsx&amp;sheet=U0&amp;row=2575&amp;col=7&amp;number=7.45e-05&amp;sourceID=14","7.45e-05")</f>
        <v>7.45e-05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HYPERLINK("http://141.218.60.56/~jnz1568/getInfo.php?workbook=20_14.xlsx&amp;sheet=U0&amp;row=2576&amp;col=6&amp;number=4.2&amp;sourceID=14","4.2")</f>
        <v>4.2</v>
      </c>
      <c r="G2576" s="4" t="str">
        <f>HYPERLINK("http://141.218.60.56/~jnz1568/getInfo.php?workbook=20_14.xlsx&amp;sheet=U0&amp;row=2576&amp;col=7&amp;number=7.43e-05&amp;sourceID=14","7.43e-05")</f>
        <v>7.43e-05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HYPERLINK("http://141.218.60.56/~jnz1568/getInfo.php?workbook=20_14.xlsx&amp;sheet=U0&amp;row=2577&amp;col=6&amp;number=4.3&amp;sourceID=14","4.3")</f>
        <v>4.3</v>
      </c>
      <c r="G2577" s="4" t="str">
        <f>HYPERLINK("http://141.218.60.56/~jnz1568/getInfo.php?workbook=20_14.xlsx&amp;sheet=U0&amp;row=2577&amp;col=7&amp;number=7.42e-05&amp;sourceID=14","7.42e-05")</f>
        <v>7.42e-05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HYPERLINK("http://141.218.60.56/~jnz1568/getInfo.php?workbook=20_14.xlsx&amp;sheet=U0&amp;row=2578&amp;col=6&amp;number=4.4&amp;sourceID=14","4.4")</f>
        <v>4.4</v>
      </c>
      <c r="G2578" s="4" t="str">
        <f>HYPERLINK("http://141.218.60.56/~jnz1568/getInfo.php?workbook=20_14.xlsx&amp;sheet=U0&amp;row=2578&amp;col=7&amp;number=7.39e-05&amp;sourceID=14","7.39e-05")</f>
        <v>7.39e-05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HYPERLINK("http://141.218.60.56/~jnz1568/getInfo.php?workbook=20_14.xlsx&amp;sheet=U0&amp;row=2579&amp;col=6&amp;number=4.5&amp;sourceID=14","4.5")</f>
        <v>4.5</v>
      </c>
      <c r="G2579" s="4" t="str">
        <f>HYPERLINK("http://141.218.60.56/~jnz1568/getInfo.php?workbook=20_14.xlsx&amp;sheet=U0&amp;row=2579&amp;col=7&amp;number=7.37e-05&amp;sourceID=14","7.37e-05")</f>
        <v>7.37e-05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HYPERLINK("http://141.218.60.56/~jnz1568/getInfo.php?workbook=20_14.xlsx&amp;sheet=U0&amp;row=2580&amp;col=6&amp;number=4.6&amp;sourceID=14","4.6")</f>
        <v>4.6</v>
      </c>
      <c r="G2580" s="4" t="str">
        <f>HYPERLINK("http://141.218.60.56/~jnz1568/getInfo.php?workbook=20_14.xlsx&amp;sheet=U0&amp;row=2580&amp;col=7&amp;number=7.33e-05&amp;sourceID=14","7.33e-05")</f>
        <v>7.33e-05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HYPERLINK("http://141.218.60.56/~jnz1568/getInfo.php?workbook=20_14.xlsx&amp;sheet=U0&amp;row=2581&amp;col=6&amp;number=4.7&amp;sourceID=14","4.7")</f>
        <v>4.7</v>
      </c>
      <c r="G2581" s="4" t="str">
        <f>HYPERLINK("http://141.218.60.56/~jnz1568/getInfo.php?workbook=20_14.xlsx&amp;sheet=U0&amp;row=2581&amp;col=7&amp;number=7.29e-05&amp;sourceID=14","7.29e-05")</f>
        <v>7.29e-05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HYPERLINK("http://141.218.60.56/~jnz1568/getInfo.php?workbook=20_14.xlsx&amp;sheet=U0&amp;row=2582&amp;col=6&amp;number=4.8&amp;sourceID=14","4.8")</f>
        <v>4.8</v>
      </c>
      <c r="G2582" s="4" t="str">
        <f>HYPERLINK("http://141.218.60.56/~jnz1568/getInfo.php?workbook=20_14.xlsx&amp;sheet=U0&amp;row=2582&amp;col=7&amp;number=7.24e-05&amp;sourceID=14","7.24e-05")</f>
        <v>7.24e-05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HYPERLINK("http://141.218.60.56/~jnz1568/getInfo.php?workbook=20_14.xlsx&amp;sheet=U0&amp;row=2583&amp;col=6&amp;number=4.9&amp;sourceID=14","4.9")</f>
        <v>4.9</v>
      </c>
      <c r="G2583" s="4" t="str">
        <f>HYPERLINK("http://141.218.60.56/~jnz1568/getInfo.php?workbook=20_14.xlsx&amp;sheet=U0&amp;row=2583&amp;col=7&amp;number=7.17e-05&amp;sourceID=14","7.17e-05")</f>
        <v>7.17e-05</v>
      </c>
    </row>
    <row r="2584" spans="1:7">
      <c r="A2584" s="3">
        <v>20</v>
      </c>
      <c r="B2584" s="3">
        <v>14</v>
      </c>
      <c r="C2584" s="3">
        <v>6</v>
      </c>
      <c r="D2584" s="3">
        <v>16</v>
      </c>
      <c r="E2584" s="3">
        <v>1</v>
      </c>
      <c r="F2584" s="4" t="str">
        <f>HYPERLINK("http://141.218.60.56/~jnz1568/getInfo.php?workbook=20_14.xlsx&amp;sheet=U0&amp;row=2584&amp;col=6&amp;number=3&amp;sourceID=14","3")</f>
        <v>3</v>
      </c>
      <c r="G2584" s="4" t="str">
        <f>HYPERLINK("http://141.218.60.56/~jnz1568/getInfo.php?workbook=20_14.xlsx&amp;sheet=U0&amp;row=2584&amp;col=7&amp;number=8.61e-05&amp;sourceID=14","8.61e-05")</f>
        <v>8.61e-05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HYPERLINK("http://141.218.60.56/~jnz1568/getInfo.php?workbook=20_14.xlsx&amp;sheet=U0&amp;row=2585&amp;col=6&amp;number=3.1&amp;sourceID=14","3.1")</f>
        <v>3.1</v>
      </c>
      <c r="G2585" s="4" t="str">
        <f>HYPERLINK("http://141.218.60.56/~jnz1568/getInfo.php?workbook=20_14.xlsx&amp;sheet=U0&amp;row=2585&amp;col=7&amp;number=8.61e-05&amp;sourceID=14","8.61e-05")</f>
        <v>8.61e-05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HYPERLINK("http://141.218.60.56/~jnz1568/getInfo.php?workbook=20_14.xlsx&amp;sheet=U0&amp;row=2586&amp;col=6&amp;number=3.2&amp;sourceID=14","3.2")</f>
        <v>3.2</v>
      </c>
      <c r="G2586" s="4" t="str">
        <f>HYPERLINK("http://141.218.60.56/~jnz1568/getInfo.php?workbook=20_14.xlsx&amp;sheet=U0&amp;row=2586&amp;col=7&amp;number=8.61e-05&amp;sourceID=14","8.61e-05")</f>
        <v>8.61e-05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HYPERLINK("http://141.218.60.56/~jnz1568/getInfo.php?workbook=20_14.xlsx&amp;sheet=U0&amp;row=2587&amp;col=6&amp;number=3.3&amp;sourceID=14","3.3")</f>
        <v>3.3</v>
      </c>
      <c r="G2587" s="4" t="str">
        <f>HYPERLINK("http://141.218.60.56/~jnz1568/getInfo.php?workbook=20_14.xlsx&amp;sheet=U0&amp;row=2587&amp;col=7&amp;number=8.61e-05&amp;sourceID=14","8.61e-05")</f>
        <v>8.61e-05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HYPERLINK("http://141.218.60.56/~jnz1568/getInfo.php?workbook=20_14.xlsx&amp;sheet=U0&amp;row=2588&amp;col=6&amp;number=3.4&amp;sourceID=14","3.4")</f>
        <v>3.4</v>
      </c>
      <c r="G2588" s="4" t="str">
        <f>HYPERLINK("http://141.218.60.56/~jnz1568/getInfo.php?workbook=20_14.xlsx&amp;sheet=U0&amp;row=2588&amp;col=7&amp;number=8.61e-05&amp;sourceID=14","8.61e-05")</f>
        <v>8.61e-05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HYPERLINK("http://141.218.60.56/~jnz1568/getInfo.php?workbook=20_14.xlsx&amp;sheet=U0&amp;row=2589&amp;col=6&amp;number=3.5&amp;sourceID=14","3.5")</f>
        <v>3.5</v>
      </c>
      <c r="G2589" s="4" t="str">
        <f>HYPERLINK("http://141.218.60.56/~jnz1568/getInfo.php?workbook=20_14.xlsx&amp;sheet=U0&amp;row=2589&amp;col=7&amp;number=8.6e-05&amp;sourceID=14","8.6e-05")</f>
        <v>8.6e-05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HYPERLINK("http://141.218.60.56/~jnz1568/getInfo.php?workbook=20_14.xlsx&amp;sheet=U0&amp;row=2590&amp;col=6&amp;number=3.6&amp;sourceID=14","3.6")</f>
        <v>3.6</v>
      </c>
      <c r="G2590" s="4" t="str">
        <f>HYPERLINK("http://141.218.60.56/~jnz1568/getInfo.php?workbook=20_14.xlsx&amp;sheet=U0&amp;row=2590&amp;col=7&amp;number=8.6e-05&amp;sourceID=14","8.6e-05")</f>
        <v>8.6e-05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HYPERLINK("http://141.218.60.56/~jnz1568/getInfo.php?workbook=20_14.xlsx&amp;sheet=U0&amp;row=2591&amp;col=6&amp;number=3.7&amp;sourceID=14","3.7")</f>
        <v>3.7</v>
      </c>
      <c r="G2591" s="4" t="str">
        <f>HYPERLINK("http://141.218.60.56/~jnz1568/getInfo.php?workbook=20_14.xlsx&amp;sheet=U0&amp;row=2591&amp;col=7&amp;number=8.6e-05&amp;sourceID=14","8.6e-05")</f>
        <v>8.6e-05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HYPERLINK("http://141.218.60.56/~jnz1568/getInfo.php?workbook=20_14.xlsx&amp;sheet=U0&amp;row=2592&amp;col=6&amp;number=3.8&amp;sourceID=14","3.8")</f>
        <v>3.8</v>
      </c>
      <c r="G2592" s="4" t="str">
        <f>HYPERLINK("http://141.218.60.56/~jnz1568/getInfo.php?workbook=20_14.xlsx&amp;sheet=U0&amp;row=2592&amp;col=7&amp;number=8.59e-05&amp;sourceID=14","8.59e-05")</f>
        <v>8.59e-05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HYPERLINK("http://141.218.60.56/~jnz1568/getInfo.php?workbook=20_14.xlsx&amp;sheet=U0&amp;row=2593&amp;col=6&amp;number=3.9&amp;sourceID=14","3.9")</f>
        <v>3.9</v>
      </c>
      <c r="G2593" s="4" t="str">
        <f>HYPERLINK("http://141.218.60.56/~jnz1568/getInfo.php?workbook=20_14.xlsx&amp;sheet=U0&amp;row=2593&amp;col=7&amp;number=8.59e-05&amp;sourceID=14","8.59e-05")</f>
        <v>8.59e-05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HYPERLINK("http://141.218.60.56/~jnz1568/getInfo.php?workbook=20_14.xlsx&amp;sheet=U0&amp;row=2594&amp;col=6&amp;number=4&amp;sourceID=14","4")</f>
        <v>4</v>
      </c>
      <c r="G2594" s="4" t="str">
        <f>HYPERLINK("http://141.218.60.56/~jnz1568/getInfo.php?workbook=20_14.xlsx&amp;sheet=U0&amp;row=2594&amp;col=7&amp;number=8.58e-05&amp;sourceID=14","8.58e-05")</f>
        <v>8.58e-05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HYPERLINK("http://141.218.60.56/~jnz1568/getInfo.php?workbook=20_14.xlsx&amp;sheet=U0&amp;row=2595&amp;col=6&amp;number=4.1&amp;sourceID=14","4.1")</f>
        <v>4.1</v>
      </c>
      <c r="G2595" s="4" t="str">
        <f>HYPERLINK("http://141.218.60.56/~jnz1568/getInfo.php?workbook=20_14.xlsx&amp;sheet=U0&amp;row=2595&amp;col=7&amp;number=8.58e-05&amp;sourceID=14","8.58e-05")</f>
        <v>8.58e-05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HYPERLINK("http://141.218.60.56/~jnz1568/getInfo.php?workbook=20_14.xlsx&amp;sheet=U0&amp;row=2596&amp;col=6&amp;number=4.2&amp;sourceID=14","4.2")</f>
        <v>4.2</v>
      </c>
      <c r="G2596" s="4" t="str">
        <f>HYPERLINK("http://141.218.60.56/~jnz1568/getInfo.php?workbook=20_14.xlsx&amp;sheet=U0&amp;row=2596&amp;col=7&amp;number=8.57e-05&amp;sourceID=14","8.57e-05")</f>
        <v>8.57e-05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HYPERLINK("http://141.218.60.56/~jnz1568/getInfo.php?workbook=20_14.xlsx&amp;sheet=U0&amp;row=2597&amp;col=6&amp;number=4.3&amp;sourceID=14","4.3")</f>
        <v>4.3</v>
      </c>
      <c r="G2597" s="4" t="str">
        <f>HYPERLINK("http://141.218.60.56/~jnz1568/getInfo.php?workbook=20_14.xlsx&amp;sheet=U0&amp;row=2597&amp;col=7&amp;number=8.55e-05&amp;sourceID=14","8.55e-05")</f>
        <v>8.55e-05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HYPERLINK("http://141.218.60.56/~jnz1568/getInfo.php?workbook=20_14.xlsx&amp;sheet=U0&amp;row=2598&amp;col=6&amp;number=4.4&amp;sourceID=14","4.4")</f>
        <v>4.4</v>
      </c>
      <c r="G2598" s="4" t="str">
        <f>HYPERLINK("http://141.218.60.56/~jnz1568/getInfo.php?workbook=20_14.xlsx&amp;sheet=U0&amp;row=2598&amp;col=7&amp;number=8.54e-05&amp;sourceID=14","8.54e-05")</f>
        <v>8.54e-05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HYPERLINK("http://141.218.60.56/~jnz1568/getInfo.php?workbook=20_14.xlsx&amp;sheet=U0&amp;row=2599&amp;col=6&amp;number=4.5&amp;sourceID=14","4.5")</f>
        <v>4.5</v>
      </c>
      <c r="G2599" s="4" t="str">
        <f>HYPERLINK("http://141.218.60.56/~jnz1568/getInfo.php?workbook=20_14.xlsx&amp;sheet=U0&amp;row=2599&amp;col=7&amp;number=8.52e-05&amp;sourceID=14","8.52e-05")</f>
        <v>8.52e-05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HYPERLINK("http://141.218.60.56/~jnz1568/getInfo.php?workbook=20_14.xlsx&amp;sheet=U0&amp;row=2600&amp;col=6&amp;number=4.6&amp;sourceID=14","4.6")</f>
        <v>4.6</v>
      </c>
      <c r="G2600" s="4" t="str">
        <f>HYPERLINK("http://141.218.60.56/~jnz1568/getInfo.php?workbook=20_14.xlsx&amp;sheet=U0&amp;row=2600&amp;col=7&amp;number=8.49e-05&amp;sourceID=14","8.49e-05")</f>
        <v>8.49e-05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HYPERLINK("http://141.218.60.56/~jnz1568/getInfo.php?workbook=20_14.xlsx&amp;sheet=U0&amp;row=2601&amp;col=6&amp;number=4.7&amp;sourceID=14","4.7")</f>
        <v>4.7</v>
      </c>
      <c r="G2601" s="4" t="str">
        <f>HYPERLINK("http://141.218.60.56/~jnz1568/getInfo.php?workbook=20_14.xlsx&amp;sheet=U0&amp;row=2601&amp;col=7&amp;number=8.46e-05&amp;sourceID=14","8.46e-05")</f>
        <v>8.46e-05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HYPERLINK("http://141.218.60.56/~jnz1568/getInfo.php?workbook=20_14.xlsx&amp;sheet=U0&amp;row=2602&amp;col=6&amp;number=4.8&amp;sourceID=14","4.8")</f>
        <v>4.8</v>
      </c>
      <c r="G2602" s="4" t="str">
        <f>HYPERLINK("http://141.218.60.56/~jnz1568/getInfo.php?workbook=20_14.xlsx&amp;sheet=U0&amp;row=2602&amp;col=7&amp;number=8.42e-05&amp;sourceID=14","8.42e-05")</f>
        <v>8.42e-05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HYPERLINK("http://141.218.60.56/~jnz1568/getInfo.php?workbook=20_14.xlsx&amp;sheet=U0&amp;row=2603&amp;col=6&amp;number=4.9&amp;sourceID=14","4.9")</f>
        <v>4.9</v>
      </c>
      <c r="G2603" s="4" t="str">
        <f>HYPERLINK("http://141.218.60.56/~jnz1568/getInfo.php?workbook=20_14.xlsx&amp;sheet=U0&amp;row=2603&amp;col=7&amp;number=8.38e-05&amp;sourceID=14","8.38e-05")</f>
        <v>8.38e-05</v>
      </c>
    </row>
    <row r="2604" spans="1:7">
      <c r="A2604" s="3">
        <v>20</v>
      </c>
      <c r="B2604" s="3">
        <v>14</v>
      </c>
      <c r="C2604" s="3">
        <v>6</v>
      </c>
      <c r="D2604" s="3">
        <v>17</v>
      </c>
      <c r="E2604" s="3">
        <v>1</v>
      </c>
      <c r="F2604" s="4" t="str">
        <f>HYPERLINK("http://141.218.60.56/~jnz1568/getInfo.php?workbook=20_14.xlsx&amp;sheet=U0&amp;row=2604&amp;col=6&amp;number=3&amp;sourceID=14","3")</f>
        <v>3</v>
      </c>
      <c r="G2604" s="4" t="str">
        <f>HYPERLINK("http://141.218.60.56/~jnz1568/getInfo.php?workbook=20_14.xlsx&amp;sheet=U0&amp;row=2604&amp;col=7&amp;number=0.00086&amp;sourceID=14","0.00086")</f>
        <v>0.00086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HYPERLINK("http://141.218.60.56/~jnz1568/getInfo.php?workbook=20_14.xlsx&amp;sheet=U0&amp;row=2605&amp;col=6&amp;number=3.1&amp;sourceID=14","3.1")</f>
        <v>3.1</v>
      </c>
      <c r="G2605" s="4" t="str">
        <f>HYPERLINK("http://141.218.60.56/~jnz1568/getInfo.php?workbook=20_14.xlsx&amp;sheet=U0&amp;row=2605&amp;col=7&amp;number=0.00086&amp;sourceID=14","0.00086")</f>
        <v>0.00086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HYPERLINK("http://141.218.60.56/~jnz1568/getInfo.php?workbook=20_14.xlsx&amp;sheet=U0&amp;row=2606&amp;col=6&amp;number=3.2&amp;sourceID=14","3.2")</f>
        <v>3.2</v>
      </c>
      <c r="G2606" s="4" t="str">
        <f>HYPERLINK("http://141.218.60.56/~jnz1568/getInfo.php?workbook=20_14.xlsx&amp;sheet=U0&amp;row=2606&amp;col=7&amp;number=0.00086&amp;sourceID=14","0.00086")</f>
        <v>0.00086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HYPERLINK("http://141.218.60.56/~jnz1568/getInfo.php?workbook=20_14.xlsx&amp;sheet=U0&amp;row=2607&amp;col=6&amp;number=3.3&amp;sourceID=14","3.3")</f>
        <v>3.3</v>
      </c>
      <c r="G2607" s="4" t="str">
        <f>HYPERLINK("http://141.218.60.56/~jnz1568/getInfo.php?workbook=20_14.xlsx&amp;sheet=U0&amp;row=2607&amp;col=7&amp;number=0.00086&amp;sourceID=14","0.00086")</f>
        <v>0.00086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HYPERLINK("http://141.218.60.56/~jnz1568/getInfo.php?workbook=20_14.xlsx&amp;sheet=U0&amp;row=2608&amp;col=6&amp;number=3.4&amp;sourceID=14","3.4")</f>
        <v>3.4</v>
      </c>
      <c r="G2608" s="4" t="str">
        <f>HYPERLINK("http://141.218.60.56/~jnz1568/getInfo.php?workbook=20_14.xlsx&amp;sheet=U0&amp;row=2608&amp;col=7&amp;number=0.000859&amp;sourceID=14","0.000859")</f>
        <v>0.000859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HYPERLINK("http://141.218.60.56/~jnz1568/getInfo.php?workbook=20_14.xlsx&amp;sheet=U0&amp;row=2609&amp;col=6&amp;number=3.5&amp;sourceID=14","3.5")</f>
        <v>3.5</v>
      </c>
      <c r="G2609" s="4" t="str">
        <f>HYPERLINK("http://141.218.60.56/~jnz1568/getInfo.php?workbook=20_14.xlsx&amp;sheet=U0&amp;row=2609&amp;col=7&amp;number=0.000859&amp;sourceID=14","0.000859")</f>
        <v>0.000859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HYPERLINK("http://141.218.60.56/~jnz1568/getInfo.php?workbook=20_14.xlsx&amp;sheet=U0&amp;row=2610&amp;col=6&amp;number=3.6&amp;sourceID=14","3.6")</f>
        <v>3.6</v>
      </c>
      <c r="G2610" s="4" t="str">
        <f>HYPERLINK("http://141.218.60.56/~jnz1568/getInfo.php?workbook=20_14.xlsx&amp;sheet=U0&amp;row=2610&amp;col=7&amp;number=0.000859&amp;sourceID=14","0.000859")</f>
        <v>0.000859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HYPERLINK("http://141.218.60.56/~jnz1568/getInfo.php?workbook=20_14.xlsx&amp;sheet=U0&amp;row=2611&amp;col=6&amp;number=3.7&amp;sourceID=14","3.7")</f>
        <v>3.7</v>
      </c>
      <c r="G2611" s="4" t="str">
        <f>HYPERLINK("http://141.218.60.56/~jnz1568/getInfo.php?workbook=20_14.xlsx&amp;sheet=U0&amp;row=2611&amp;col=7&amp;number=0.000858&amp;sourceID=14","0.000858")</f>
        <v>0.000858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HYPERLINK("http://141.218.60.56/~jnz1568/getInfo.php?workbook=20_14.xlsx&amp;sheet=U0&amp;row=2612&amp;col=6&amp;number=3.8&amp;sourceID=14","3.8")</f>
        <v>3.8</v>
      </c>
      <c r="G2612" s="4" t="str">
        <f>HYPERLINK("http://141.218.60.56/~jnz1568/getInfo.php?workbook=20_14.xlsx&amp;sheet=U0&amp;row=2612&amp;col=7&amp;number=0.000857&amp;sourceID=14","0.000857")</f>
        <v>0.000857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HYPERLINK("http://141.218.60.56/~jnz1568/getInfo.php?workbook=20_14.xlsx&amp;sheet=U0&amp;row=2613&amp;col=6&amp;number=3.9&amp;sourceID=14","3.9")</f>
        <v>3.9</v>
      </c>
      <c r="G2613" s="4" t="str">
        <f>HYPERLINK("http://141.218.60.56/~jnz1568/getInfo.php?workbook=20_14.xlsx&amp;sheet=U0&amp;row=2613&amp;col=7&amp;number=0.000856&amp;sourceID=14","0.000856")</f>
        <v>0.000856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HYPERLINK("http://141.218.60.56/~jnz1568/getInfo.php?workbook=20_14.xlsx&amp;sheet=U0&amp;row=2614&amp;col=6&amp;number=4&amp;sourceID=14","4")</f>
        <v>4</v>
      </c>
      <c r="G2614" s="4" t="str">
        <f>HYPERLINK("http://141.218.60.56/~jnz1568/getInfo.php?workbook=20_14.xlsx&amp;sheet=U0&amp;row=2614&amp;col=7&amp;number=0.000855&amp;sourceID=14","0.000855")</f>
        <v>0.000855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HYPERLINK("http://141.218.60.56/~jnz1568/getInfo.php?workbook=20_14.xlsx&amp;sheet=U0&amp;row=2615&amp;col=6&amp;number=4.1&amp;sourceID=14","4.1")</f>
        <v>4.1</v>
      </c>
      <c r="G2615" s="4" t="str">
        <f>HYPERLINK("http://141.218.60.56/~jnz1568/getInfo.php?workbook=20_14.xlsx&amp;sheet=U0&amp;row=2615&amp;col=7&amp;number=0.000853&amp;sourceID=14","0.000853")</f>
        <v>0.000853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HYPERLINK("http://141.218.60.56/~jnz1568/getInfo.php?workbook=20_14.xlsx&amp;sheet=U0&amp;row=2616&amp;col=6&amp;number=4.2&amp;sourceID=14","4.2")</f>
        <v>4.2</v>
      </c>
      <c r="G2616" s="4" t="str">
        <f>HYPERLINK("http://141.218.60.56/~jnz1568/getInfo.php?workbook=20_14.xlsx&amp;sheet=U0&amp;row=2616&amp;col=7&amp;number=0.000852&amp;sourceID=14","0.000852")</f>
        <v>0.000852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HYPERLINK("http://141.218.60.56/~jnz1568/getInfo.php?workbook=20_14.xlsx&amp;sheet=U0&amp;row=2617&amp;col=6&amp;number=4.3&amp;sourceID=14","4.3")</f>
        <v>4.3</v>
      </c>
      <c r="G2617" s="4" t="str">
        <f>HYPERLINK("http://141.218.60.56/~jnz1568/getInfo.php?workbook=20_14.xlsx&amp;sheet=U0&amp;row=2617&amp;col=7&amp;number=0.000849&amp;sourceID=14","0.000849")</f>
        <v>0.000849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HYPERLINK("http://141.218.60.56/~jnz1568/getInfo.php?workbook=20_14.xlsx&amp;sheet=U0&amp;row=2618&amp;col=6&amp;number=4.4&amp;sourceID=14","4.4")</f>
        <v>4.4</v>
      </c>
      <c r="G2618" s="4" t="str">
        <f>HYPERLINK("http://141.218.60.56/~jnz1568/getInfo.php?workbook=20_14.xlsx&amp;sheet=U0&amp;row=2618&amp;col=7&amp;number=0.000846&amp;sourceID=14","0.000846")</f>
        <v>0.000846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HYPERLINK("http://141.218.60.56/~jnz1568/getInfo.php?workbook=20_14.xlsx&amp;sheet=U0&amp;row=2619&amp;col=6&amp;number=4.5&amp;sourceID=14","4.5")</f>
        <v>4.5</v>
      </c>
      <c r="G2619" s="4" t="str">
        <f>HYPERLINK("http://141.218.60.56/~jnz1568/getInfo.php?workbook=20_14.xlsx&amp;sheet=U0&amp;row=2619&amp;col=7&amp;number=0.000842&amp;sourceID=14","0.000842")</f>
        <v>0.000842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HYPERLINK("http://141.218.60.56/~jnz1568/getInfo.php?workbook=20_14.xlsx&amp;sheet=U0&amp;row=2620&amp;col=6&amp;number=4.6&amp;sourceID=14","4.6")</f>
        <v>4.6</v>
      </c>
      <c r="G2620" s="4" t="str">
        <f>HYPERLINK("http://141.218.60.56/~jnz1568/getInfo.php?workbook=20_14.xlsx&amp;sheet=U0&amp;row=2620&amp;col=7&amp;number=0.000838&amp;sourceID=14","0.000838")</f>
        <v>0.000838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HYPERLINK("http://141.218.60.56/~jnz1568/getInfo.php?workbook=20_14.xlsx&amp;sheet=U0&amp;row=2621&amp;col=6&amp;number=4.7&amp;sourceID=14","4.7")</f>
        <v>4.7</v>
      </c>
      <c r="G2621" s="4" t="str">
        <f>HYPERLINK("http://141.218.60.56/~jnz1568/getInfo.php?workbook=20_14.xlsx&amp;sheet=U0&amp;row=2621&amp;col=7&amp;number=0.000832&amp;sourceID=14","0.000832")</f>
        <v>0.000832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HYPERLINK("http://141.218.60.56/~jnz1568/getInfo.php?workbook=20_14.xlsx&amp;sheet=U0&amp;row=2622&amp;col=6&amp;number=4.8&amp;sourceID=14","4.8")</f>
        <v>4.8</v>
      </c>
      <c r="G2622" s="4" t="str">
        <f>HYPERLINK("http://141.218.60.56/~jnz1568/getInfo.php?workbook=20_14.xlsx&amp;sheet=U0&amp;row=2622&amp;col=7&amp;number=0.000825&amp;sourceID=14","0.000825")</f>
        <v>0.000825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HYPERLINK("http://141.218.60.56/~jnz1568/getInfo.php?workbook=20_14.xlsx&amp;sheet=U0&amp;row=2623&amp;col=6&amp;number=4.9&amp;sourceID=14","4.9")</f>
        <v>4.9</v>
      </c>
      <c r="G2623" s="4" t="str">
        <f>HYPERLINK("http://141.218.60.56/~jnz1568/getInfo.php?workbook=20_14.xlsx&amp;sheet=U0&amp;row=2623&amp;col=7&amp;number=0.000816&amp;sourceID=14","0.000816")</f>
        <v>0.000816</v>
      </c>
    </row>
    <row r="2624" spans="1:7">
      <c r="A2624" s="3">
        <v>20</v>
      </c>
      <c r="B2624" s="3">
        <v>14</v>
      </c>
      <c r="C2624" s="3">
        <v>6</v>
      </c>
      <c r="D2624" s="3">
        <v>18</v>
      </c>
      <c r="E2624" s="3">
        <v>1</v>
      </c>
      <c r="F2624" s="4" t="str">
        <f>HYPERLINK("http://141.218.60.56/~jnz1568/getInfo.php?workbook=20_14.xlsx&amp;sheet=U0&amp;row=2624&amp;col=6&amp;number=3&amp;sourceID=14","3")</f>
        <v>3</v>
      </c>
      <c r="G2624" s="4" t="str">
        <f>HYPERLINK("http://141.218.60.56/~jnz1568/getInfo.php?workbook=20_14.xlsx&amp;sheet=U0&amp;row=2624&amp;col=7&amp;number=0.00874&amp;sourceID=14","0.00874")</f>
        <v>0.00874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HYPERLINK("http://141.218.60.56/~jnz1568/getInfo.php?workbook=20_14.xlsx&amp;sheet=U0&amp;row=2625&amp;col=6&amp;number=3.1&amp;sourceID=14","3.1")</f>
        <v>3.1</v>
      </c>
      <c r="G2625" s="4" t="str">
        <f>HYPERLINK("http://141.218.60.56/~jnz1568/getInfo.php?workbook=20_14.xlsx&amp;sheet=U0&amp;row=2625&amp;col=7&amp;number=0.00874&amp;sourceID=14","0.00874")</f>
        <v>0.00874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HYPERLINK("http://141.218.60.56/~jnz1568/getInfo.php?workbook=20_14.xlsx&amp;sheet=U0&amp;row=2626&amp;col=6&amp;number=3.2&amp;sourceID=14","3.2")</f>
        <v>3.2</v>
      </c>
      <c r="G2626" s="4" t="str">
        <f>HYPERLINK("http://141.218.60.56/~jnz1568/getInfo.php?workbook=20_14.xlsx&amp;sheet=U0&amp;row=2626&amp;col=7&amp;number=0.00873&amp;sourceID=14","0.00873")</f>
        <v>0.00873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HYPERLINK("http://141.218.60.56/~jnz1568/getInfo.php?workbook=20_14.xlsx&amp;sheet=U0&amp;row=2627&amp;col=6&amp;number=3.3&amp;sourceID=14","3.3")</f>
        <v>3.3</v>
      </c>
      <c r="G2627" s="4" t="str">
        <f>HYPERLINK("http://141.218.60.56/~jnz1568/getInfo.php?workbook=20_14.xlsx&amp;sheet=U0&amp;row=2627&amp;col=7&amp;number=0.00873&amp;sourceID=14","0.00873")</f>
        <v>0.00873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HYPERLINK("http://141.218.60.56/~jnz1568/getInfo.php?workbook=20_14.xlsx&amp;sheet=U0&amp;row=2628&amp;col=6&amp;number=3.4&amp;sourceID=14","3.4")</f>
        <v>3.4</v>
      </c>
      <c r="G2628" s="4" t="str">
        <f>HYPERLINK("http://141.218.60.56/~jnz1568/getInfo.php?workbook=20_14.xlsx&amp;sheet=U0&amp;row=2628&amp;col=7&amp;number=0.00873&amp;sourceID=14","0.00873")</f>
        <v>0.00873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HYPERLINK("http://141.218.60.56/~jnz1568/getInfo.php?workbook=20_14.xlsx&amp;sheet=U0&amp;row=2629&amp;col=6&amp;number=3.5&amp;sourceID=14","3.5")</f>
        <v>3.5</v>
      </c>
      <c r="G2629" s="4" t="str">
        <f>HYPERLINK("http://141.218.60.56/~jnz1568/getInfo.php?workbook=20_14.xlsx&amp;sheet=U0&amp;row=2629&amp;col=7&amp;number=0.00872&amp;sourceID=14","0.00872")</f>
        <v>0.00872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HYPERLINK("http://141.218.60.56/~jnz1568/getInfo.php?workbook=20_14.xlsx&amp;sheet=U0&amp;row=2630&amp;col=6&amp;number=3.6&amp;sourceID=14","3.6")</f>
        <v>3.6</v>
      </c>
      <c r="G2630" s="4" t="str">
        <f>HYPERLINK("http://141.218.60.56/~jnz1568/getInfo.php?workbook=20_14.xlsx&amp;sheet=U0&amp;row=2630&amp;col=7&amp;number=0.00872&amp;sourceID=14","0.00872")</f>
        <v>0.00872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HYPERLINK("http://141.218.60.56/~jnz1568/getInfo.php?workbook=20_14.xlsx&amp;sheet=U0&amp;row=2631&amp;col=6&amp;number=3.7&amp;sourceID=14","3.7")</f>
        <v>3.7</v>
      </c>
      <c r="G2631" s="4" t="str">
        <f>HYPERLINK("http://141.218.60.56/~jnz1568/getInfo.php?workbook=20_14.xlsx&amp;sheet=U0&amp;row=2631&amp;col=7&amp;number=0.00871&amp;sourceID=14","0.00871")</f>
        <v>0.00871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HYPERLINK("http://141.218.60.56/~jnz1568/getInfo.php?workbook=20_14.xlsx&amp;sheet=U0&amp;row=2632&amp;col=6&amp;number=3.8&amp;sourceID=14","3.8")</f>
        <v>3.8</v>
      </c>
      <c r="G2632" s="4" t="str">
        <f>HYPERLINK("http://141.218.60.56/~jnz1568/getInfo.php?workbook=20_14.xlsx&amp;sheet=U0&amp;row=2632&amp;col=7&amp;number=0.0087&amp;sourceID=14","0.0087")</f>
        <v>0.0087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HYPERLINK("http://141.218.60.56/~jnz1568/getInfo.php?workbook=20_14.xlsx&amp;sheet=U0&amp;row=2633&amp;col=6&amp;number=3.9&amp;sourceID=14","3.9")</f>
        <v>3.9</v>
      </c>
      <c r="G2633" s="4" t="str">
        <f>HYPERLINK("http://141.218.60.56/~jnz1568/getInfo.php?workbook=20_14.xlsx&amp;sheet=U0&amp;row=2633&amp;col=7&amp;number=0.00869&amp;sourceID=14","0.00869")</f>
        <v>0.00869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HYPERLINK("http://141.218.60.56/~jnz1568/getInfo.php?workbook=20_14.xlsx&amp;sheet=U0&amp;row=2634&amp;col=6&amp;number=4&amp;sourceID=14","4")</f>
        <v>4</v>
      </c>
      <c r="G2634" s="4" t="str">
        <f>HYPERLINK("http://141.218.60.56/~jnz1568/getInfo.php?workbook=20_14.xlsx&amp;sheet=U0&amp;row=2634&amp;col=7&amp;number=0.00868&amp;sourceID=14","0.00868")</f>
        <v>0.00868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HYPERLINK("http://141.218.60.56/~jnz1568/getInfo.php?workbook=20_14.xlsx&amp;sheet=U0&amp;row=2635&amp;col=6&amp;number=4.1&amp;sourceID=14","4.1")</f>
        <v>4.1</v>
      </c>
      <c r="G2635" s="4" t="str">
        <f>HYPERLINK("http://141.218.60.56/~jnz1568/getInfo.php?workbook=20_14.xlsx&amp;sheet=U0&amp;row=2635&amp;col=7&amp;number=0.00866&amp;sourceID=14","0.00866")</f>
        <v>0.00866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HYPERLINK("http://141.218.60.56/~jnz1568/getInfo.php?workbook=20_14.xlsx&amp;sheet=U0&amp;row=2636&amp;col=6&amp;number=4.2&amp;sourceID=14","4.2")</f>
        <v>4.2</v>
      </c>
      <c r="G2636" s="4" t="str">
        <f>HYPERLINK("http://141.218.60.56/~jnz1568/getInfo.php?workbook=20_14.xlsx&amp;sheet=U0&amp;row=2636&amp;col=7&amp;number=0.00864&amp;sourceID=14","0.00864")</f>
        <v>0.00864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HYPERLINK("http://141.218.60.56/~jnz1568/getInfo.php?workbook=20_14.xlsx&amp;sheet=U0&amp;row=2637&amp;col=6&amp;number=4.3&amp;sourceID=14","4.3")</f>
        <v>4.3</v>
      </c>
      <c r="G2637" s="4" t="str">
        <f>HYPERLINK("http://141.218.60.56/~jnz1568/getInfo.php?workbook=20_14.xlsx&amp;sheet=U0&amp;row=2637&amp;col=7&amp;number=0.00862&amp;sourceID=14","0.00862")</f>
        <v>0.00862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HYPERLINK("http://141.218.60.56/~jnz1568/getInfo.php?workbook=20_14.xlsx&amp;sheet=U0&amp;row=2638&amp;col=6&amp;number=4.4&amp;sourceID=14","4.4")</f>
        <v>4.4</v>
      </c>
      <c r="G2638" s="4" t="str">
        <f>HYPERLINK("http://141.218.60.56/~jnz1568/getInfo.php?workbook=20_14.xlsx&amp;sheet=U0&amp;row=2638&amp;col=7&amp;number=0.00859&amp;sourceID=14","0.00859")</f>
        <v>0.00859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HYPERLINK("http://141.218.60.56/~jnz1568/getInfo.php?workbook=20_14.xlsx&amp;sheet=U0&amp;row=2639&amp;col=6&amp;number=4.5&amp;sourceID=14","4.5")</f>
        <v>4.5</v>
      </c>
      <c r="G2639" s="4" t="str">
        <f>HYPERLINK("http://141.218.60.56/~jnz1568/getInfo.php?workbook=20_14.xlsx&amp;sheet=U0&amp;row=2639&amp;col=7&amp;number=0.00855&amp;sourceID=14","0.00855")</f>
        <v>0.00855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HYPERLINK("http://141.218.60.56/~jnz1568/getInfo.php?workbook=20_14.xlsx&amp;sheet=U0&amp;row=2640&amp;col=6&amp;number=4.6&amp;sourceID=14","4.6")</f>
        <v>4.6</v>
      </c>
      <c r="G2640" s="4" t="str">
        <f>HYPERLINK("http://141.218.60.56/~jnz1568/getInfo.php?workbook=20_14.xlsx&amp;sheet=U0&amp;row=2640&amp;col=7&amp;number=0.0085&amp;sourceID=14","0.0085")</f>
        <v>0.0085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HYPERLINK("http://141.218.60.56/~jnz1568/getInfo.php?workbook=20_14.xlsx&amp;sheet=U0&amp;row=2641&amp;col=6&amp;number=4.7&amp;sourceID=14","4.7")</f>
        <v>4.7</v>
      </c>
      <c r="G2641" s="4" t="str">
        <f>HYPERLINK("http://141.218.60.56/~jnz1568/getInfo.php?workbook=20_14.xlsx&amp;sheet=U0&amp;row=2641&amp;col=7&amp;number=0.00844&amp;sourceID=14","0.00844")</f>
        <v>0.00844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HYPERLINK("http://141.218.60.56/~jnz1568/getInfo.php?workbook=20_14.xlsx&amp;sheet=U0&amp;row=2642&amp;col=6&amp;number=4.8&amp;sourceID=14","4.8")</f>
        <v>4.8</v>
      </c>
      <c r="G2642" s="4" t="str">
        <f>HYPERLINK("http://141.218.60.56/~jnz1568/getInfo.php?workbook=20_14.xlsx&amp;sheet=U0&amp;row=2642&amp;col=7&amp;number=0.00836&amp;sourceID=14","0.00836")</f>
        <v>0.00836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HYPERLINK("http://141.218.60.56/~jnz1568/getInfo.php?workbook=20_14.xlsx&amp;sheet=U0&amp;row=2643&amp;col=6&amp;number=4.9&amp;sourceID=14","4.9")</f>
        <v>4.9</v>
      </c>
      <c r="G2643" s="4" t="str">
        <f>HYPERLINK("http://141.218.60.56/~jnz1568/getInfo.php?workbook=20_14.xlsx&amp;sheet=U0&amp;row=2643&amp;col=7&amp;number=0.00827&amp;sourceID=14","0.00827")</f>
        <v>0.00827</v>
      </c>
    </row>
    <row r="2644" spans="1:7">
      <c r="A2644" s="3">
        <v>20</v>
      </c>
      <c r="B2644" s="3">
        <v>14</v>
      </c>
      <c r="C2644" s="3">
        <v>6</v>
      </c>
      <c r="D2644" s="3">
        <v>19</v>
      </c>
      <c r="E2644" s="3">
        <v>1</v>
      </c>
      <c r="F2644" s="4" t="str">
        <f>HYPERLINK("http://141.218.60.56/~jnz1568/getInfo.php?workbook=20_14.xlsx&amp;sheet=U0&amp;row=2644&amp;col=6&amp;number=3&amp;sourceID=14","3")</f>
        <v>3</v>
      </c>
      <c r="G2644" s="4" t="str">
        <f>HYPERLINK("http://141.218.60.56/~jnz1568/getInfo.php?workbook=20_14.xlsx&amp;sheet=U0&amp;row=2644&amp;col=7&amp;number=0.00141&amp;sourceID=14","0.00141")</f>
        <v>0.00141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HYPERLINK("http://141.218.60.56/~jnz1568/getInfo.php?workbook=20_14.xlsx&amp;sheet=U0&amp;row=2645&amp;col=6&amp;number=3.1&amp;sourceID=14","3.1")</f>
        <v>3.1</v>
      </c>
      <c r="G2645" s="4" t="str">
        <f>HYPERLINK("http://141.218.60.56/~jnz1568/getInfo.php?workbook=20_14.xlsx&amp;sheet=U0&amp;row=2645&amp;col=7&amp;number=0.00141&amp;sourceID=14","0.00141")</f>
        <v>0.00141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HYPERLINK("http://141.218.60.56/~jnz1568/getInfo.php?workbook=20_14.xlsx&amp;sheet=U0&amp;row=2646&amp;col=6&amp;number=3.2&amp;sourceID=14","3.2")</f>
        <v>3.2</v>
      </c>
      <c r="G2646" s="4" t="str">
        <f>HYPERLINK("http://141.218.60.56/~jnz1568/getInfo.php?workbook=20_14.xlsx&amp;sheet=U0&amp;row=2646&amp;col=7&amp;number=0.00141&amp;sourceID=14","0.00141")</f>
        <v>0.00141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HYPERLINK("http://141.218.60.56/~jnz1568/getInfo.php?workbook=20_14.xlsx&amp;sheet=U0&amp;row=2647&amp;col=6&amp;number=3.3&amp;sourceID=14","3.3")</f>
        <v>3.3</v>
      </c>
      <c r="G2647" s="4" t="str">
        <f>HYPERLINK("http://141.218.60.56/~jnz1568/getInfo.php?workbook=20_14.xlsx&amp;sheet=U0&amp;row=2647&amp;col=7&amp;number=0.00141&amp;sourceID=14","0.00141")</f>
        <v>0.00141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HYPERLINK("http://141.218.60.56/~jnz1568/getInfo.php?workbook=20_14.xlsx&amp;sheet=U0&amp;row=2648&amp;col=6&amp;number=3.4&amp;sourceID=14","3.4")</f>
        <v>3.4</v>
      </c>
      <c r="G2648" s="4" t="str">
        <f>HYPERLINK("http://141.218.60.56/~jnz1568/getInfo.php?workbook=20_14.xlsx&amp;sheet=U0&amp;row=2648&amp;col=7&amp;number=0.00141&amp;sourceID=14","0.00141")</f>
        <v>0.00141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HYPERLINK("http://141.218.60.56/~jnz1568/getInfo.php?workbook=20_14.xlsx&amp;sheet=U0&amp;row=2649&amp;col=6&amp;number=3.5&amp;sourceID=14","3.5")</f>
        <v>3.5</v>
      </c>
      <c r="G2649" s="4" t="str">
        <f>HYPERLINK("http://141.218.60.56/~jnz1568/getInfo.php?workbook=20_14.xlsx&amp;sheet=U0&amp;row=2649&amp;col=7&amp;number=0.00141&amp;sourceID=14","0.00141")</f>
        <v>0.00141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HYPERLINK("http://141.218.60.56/~jnz1568/getInfo.php?workbook=20_14.xlsx&amp;sheet=U0&amp;row=2650&amp;col=6&amp;number=3.6&amp;sourceID=14","3.6")</f>
        <v>3.6</v>
      </c>
      <c r="G2650" s="4" t="str">
        <f>HYPERLINK("http://141.218.60.56/~jnz1568/getInfo.php?workbook=20_14.xlsx&amp;sheet=U0&amp;row=2650&amp;col=7&amp;number=0.00141&amp;sourceID=14","0.00141")</f>
        <v>0.00141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HYPERLINK("http://141.218.60.56/~jnz1568/getInfo.php?workbook=20_14.xlsx&amp;sheet=U0&amp;row=2651&amp;col=6&amp;number=3.7&amp;sourceID=14","3.7")</f>
        <v>3.7</v>
      </c>
      <c r="G2651" s="4" t="str">
        <f>HYPERLINK("http://141.218.60.56/~jnz1568/getInfo.php?workbook=20_14.xlsx&amp;sheet=U0&amp;row=2651&amp;col=7&amp;number=0.00141&amp;sourceID=14","0.00141")</f>
        <v>0.00141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HYPERLINK("http://141.218.60.56/~jnz1568/getInfo.php?workbook=20_14.xlsx&amp;sheet=U0&amp;row=2652&amp;col=6&amp;number=3.8&amp;sourceID=14","3.8")</f>
        <v>3.8</v>
      </c>
      <c r="G2652" s="4" t="str">
        <f>HYPERLINK("http://141.218.60.56/~jnz1568/getInfo.php?workbook=20_14.xlsx&amp;sheet=U0&amp;row=2652&amp;col=7&amp;number=0.00141&amp;sourceID=14","0.00141")</f>
        <v>0.00141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HYPERLINK("http://141.218.60.56/~jnz1568/getInfo.php?workbook=20_14.xlsx&amp;sheet=U0&amp;row=2653&amp;col=6&amp;number=3.9&amp;sourceID=14","3.9")</f>
        <v>3.9</v>
      </c>
      <c r="G2653" s="4" t="str">
        <f>HYPERLINK("http://141.218.60.56/~jnz1568/getInfo.php?workbook=20_14.xlsx&amp;sheet=U0&amp;row=2653&amp;col=7&amp;number=0.00141&amp;sourceID=14","0.00141")</f>
        <v>0.00141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HYPERLINK("http://141.218.60.56/~jnz1568/getInfo.php?workbook=20_14.xlsx&amp;sheet=U0&amp;row=2654&amp;col=6&amp;number=4&amp;sourceID=14","4")</f>
        <v>4</v>
      </c>
      <c r="G2654" s="4" t="str">
        <f>HYPERLINK("http://141.218.60.56/~jnz1568/getInfo.php?workbook=20_14.xlsx&amp;sheet=U0&amp;row=2654&amp;col=7&amp;number=0.00141&amp;sourceID=14","0.00141")</f>
        <v>0.00141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HYPERLINK("http://141.218.60.56/~jnz1568/getInfo.php?workbook=20_14.xlsx&amp;sheet=U0&amp;row=2655&amp;col=6&amp;number=4.1&amp;sourceID=14","4.1")</f>
        <v>4.1</v>
      </c>
      <c r="G2655" s="4" t="str">
        <f>HYPERLINK("http://141.218.60.56/~jnz1568/getInfo.php?workbook=20_14.xlsx&amp;sheet=U0&amp;row=2655&amp;col=7&amp;number=0.0014&amp;sourceID=14","0.0014")</f>
        <v>0.0014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HYPERLINK("http://141.218.60.56/~jnz1568/getInfo.php?workbook=20_14.xlsx&amp;sheet=U0&amp;row=2656&amp;col=6&amp;number=4.2&amp;sourceID=14","4.2")</f>
        <v>4.2</v>
      </c>
      <c r="G2656" s="4" t="str">
        <f>HYPERLINK("http://141.218.60.56/~jnz1568/getInfo.php?workbook=20_14.xlsx&amp;sheet=U0&amp;row=2656&amp;col=7&amp;number=0.0014&amp;sourceID=14","0.0014")</f>
        <v>0.0014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HYPERLINK("http://141.218.60.56/~jnz1568/getInfo.php?workbook=20_14.xlsx&amp;sheet=U0&amp;row=2657&amp;col=6&amp;number=4.3&amp;sourceID=14","4.3")</f>
        <v>4.3</v>
      </c>
      <c r="G2657" s="4" t="str">
        <f>HYPERLINK("http://141.218.60.56/~jnz1568/getInfo.php?workbook=20_14.xlsx&amp;sheet=U0&amp;row=2657&amp;col=7&amp;number=0.0014&amp;sourceID=14","0.0014")</f>
        <v>0.0014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HYPERLINK("http://141.218.60.56/~jnz1568/getInfo.php?workbook=20_14.xlsx&amp;sheet=U0&amp;row=2658&amp;col=6&amp;number=4.4&amp;sourceID=14","4.4")</f>
        <v>4.4</v>
      </c>
      <c r="G2658" s="4" t="str">
        <f>HYPERLINK("http://141.218.60.56/~jnz1568/getInfo.php?workbook=20_14.xlsx&amp;sheet=U0&amp;row=2658&amp;col=7&amp;number=0.00139&amp;sourceID=14","0.00139")</f>
        <v>0.00139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HYPERLINK("http://141.218.60.56/~jnz1568/getInfo.php?workbook=20_14.xlsx&amp;sheet=U0&amp;row=2659&amp;col=6&amp;number=4.5&amp;sourceID=14","4.5")</f>
        <v>4.5</v>
      </c>
      <c r="G2659" s="4" t="str">
        <f>HYPERLINK("http://141.218.60.56/~jnz1568/getInfo.php?workbook=20_14.xlsx&amp;sheet=U0&amp;row=2659&amp;col=7&amp;number=0.00139&amp;sourceID=14","0.00139")</f>
        <v>0.00139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HYPERLINK("http://141.218.60.56/~jnz1568/getInfo.php?workbook=20_14.xlsx&amp;sheet=U0&amp;row=2660&amp;col=6&amp;number=4.6&amp;sourceID=14","4.6")</f>
        <v>4.6</v>
      </c>
      <c r="G2660" s="4" t="str">
        <f>HYPERLINK("http://141.218.60.56/~jnz1568/getInfo.php?workbook=20_14.xlsx&amp;sheet=U0&amp;row=2660&amp;col=7&amp;number=0.00138&amp;sourceID=14","0.00138")</f>
        <v>0.00138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HYPERLINK("http://141.218.60.56/~jnz1568/getInfo.php?workbook=20_14.xlsx&amp;sheet=U0&amp;row=2661&amp;col=6&amp;number=4.7&amp;sourceID=14","4.7")</f>
        <v>4.7</v>
      </c>
      <c r="G2661" s="4" t="str">
        <f>HYPERLINK("http://141.218.60.56/~jnz1568/getInfo.php?workbook=20_14.xlsx&amp;sheet=U0&amp;row=2661&amp;col=7&amp;number=0.00137&amp;sourceID=14","0.00137")</f>
        <v>0.00137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HYPERLINK("http://141.218.60.56/~jnz1568/getInfo.php?workbook=20_14.xlsx&amp;sheet=U0&amp;row=2662&amp;col=6&amp;number=4.8&amp;sourceID=14","4.8")</f>
        <v>4.8</v>
      </c>
      <c r="G2662" s="4" t="str">
        <f>HYPERLINK("http://141.218.60.56/~jnz1568/getInfo.php?workbook=20_14.xlsx&amp;sheet=U0&amp;row=2662&amp;col=7&amp;number=0.00136&amp;sourceID=14","0.00136")</f>
        <v>0.00136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HYPERLINK("http://141.218.60.56/~jnz1568/getInfo.php?workbook=20_14.xlsx&amp;sheet=U0&amp;row=2663&amp;col=6&amp;number=4.9&amp;sourceID=14","4.9")</f>
        <v>4.9</v>
      </c>
      <c r="G2663" s="4" t="str">
        <f>HYPERLINK("http://141.218.60.56/~jnz1568/getInfo.php?workbook=20_14.xlsx&amp;sheet=U0&amp;row=2663&amp;col=7&amp;number=0.00134&amp;sourceID=14","0.00134")</f>
        <v>0.00134</v>
      </c>
    </row>
    <row r="2664" spans="1:7">
      <c r="A2664" s="3">
        <v>20</v>
      </c>
      <c r="B2664" s="3">
        <v>14</v>
      </c>
      <c r="C2664" s="3">
        <v>6</v>
      </c>
      <c r="D2664" s="3">
        <v>20</v>
      </c>
      <c r="E2664" s="3">
        <v>1</v>
      </c>
      <c r="F2664" s="4" t="str">
        <f>HYPERLINK("http://141.218.60.56/~jnz1568/getInfo.php?workbook=20_14.xlsx&amp;sheet=U0&amp;row=2664&amp;col=6&amp;number=3&amp;sourceID=14","3")</f>
        <v>3</v>
      </c>
      <c r="G2664" s="4" t="str">
        <f>HYPERLINK("http://141.218.60.56/~jnz1568/getInfo.php?workbook=20_14.xlsx&amp;sheet=U0&amp;row=2664&amp;col=7&amp;number=0.0137&amp;sourceID=14","0.0137")</f>
        <v>0.0137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HYPERLINK("http://141.218.60.56/~jnz1568/getInfo.php?workbook=20_14.xlsx&amp;sheet=U0&amp;row=2665&amp;col=6&amp;number=3.1&amp;sourceID=14","3.1")</f>
        <v>3.1</v>
      </c>
      <c r="G2665" s="4" t="str">
        <f>HYPERLINK("http://141.218.60.56/~jnz1568/getInfo.php?workbook=20_14.xlsx&amp;sheet=U0&amp;row=2665&amp;col=7&amp;number=0.0137&amp;sourceID=14","0.0137")</f>
        <v>0.0137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HYPERLINK("http://141.218.60.56/~jnz1568/getInfo.php?workbook=20_14.xlsx&amp;sheet=U0&amp;row=2666&amp;col=6&amp;number=3.2&amp;sourceID=14","3.2")</f>
        <v>3.2</v>
      </c>
      <c r="G2666" s="4" t="str">
        <f>HYPERLINK("http://141.218.60.56/~jnz1568/getInfo.php?workbook=20_14.xlsx&amp;sheet=U0&amp;row=2666&amp;col=7&amp;number=0.0137&amp;sourceID=14","0.0137")</f>
        <v>0.0137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HYPERLINK("http://141.218.60.56/~jnz1568/getInfo.php?workbook=20_14.xlsx&amp;sheet=U0&amp;row=2667&amp;col=6&amp;number=3.3&amp;sourceID=14","3.3")</f>
        <v>3.3</v>
      </c>
      <c r="G2667" s="4" t="str">
        <f>HYPERLINK("http://141.218.60.56/~jnz1568/getInfo.php?workbook=20_14.xlsx&amp;sheet=U0&amp;row=2667&amp;col=7&amp;number=0.0136&amp;sourceID=14","0.0136")</f>
        <v>0.0136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HYPERLINK("http://141.218.60.56/~jnz1568/getInfo.php?workbook=20_14.xlsx&amp;sheet=U0&amp;row=2668&amp;col=6&amp;number=3.4&amp;sourceID=14","3.4")</f>
        <v>3.4</v>
      </c>
      <c r="G2668" s="4" t="str">
        <f>HYPERLINK("http://141.218.60.56/~jnz1568/getInfo.php?workbook=20_14.xlsx&amp;sheet=U0&amp;row=2668&amp;col=7&amp;number=0.0136&amp;sourceID=14","0.0136")</f>
        <v>0.0136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HYPERLINK("http://141.218.60.56/~jnz1568/getInfo.php?workbook=20_14.xlsx&amp;sheet=U0&amp;row=2669&amp;col=6&amp;number=3.5&amp;sourceID=14","3.5")</f>
        <v>3.5</v>
      </c>
      <c r="G2669" s="4" t="str">
        <f>HYPERLINK("http://141.218.60.56/~jnz1568/getInfo.php?workbook=20_14.xlsx&amp;sheet=U0&amp;row=2669&amp;col=7&amp;number=0.0136&amp;sourceID=14","0.0136")</f>
        <v>0.0136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HYPERLINK("http://141.218.60.56/~jnz1568/getInfo.php?workbook=20_14.xlsx&amp;sheet=U0&amp;row=2670&amp;col=6&amp;number=3.6&amp;sourceID=14","3.6")</f>
        <v>3.6</v>
      </c>
      <c r="G2670" s="4" t="str">
        <f>HYPERLINK("http://141.218.60.56/~jnz1568/getInfo.php?workbook=20_14.xlsx&amp;sheet=U0&amp;row=2670&amp;col=7&amp;number=0.0136&amp;sourceID=14","0.0136")</f>
        <v>0.0136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HYPERLINK("http://141.218.60.56/~jnz1568/getInfo.php?workbook=20_14.xlsx&amp;sheet=U0&amp;row=2671&amp;col=6&amp;number=3.7&amp;sourceID=14","3.7")</f>
        <v>3.7</v>
      </c>
      <c r="G2671" s="4" t="str">
        <f>HYPERLINK("http://141.218.60.56/~jnz1568/getInfo.php?workbook=20_14.xlsx&amp;sheet=U0&amp;row=2671&amp;col=7&amp;number=0.0135&amp;sourceID=14","0.0135")</f>
        <v>0.0135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HYPERLINK("http://141.218.60.56/~jnz1568/getInfo.php?workbook=20_14.xlsx&amp;sheet=U0&amp;row=2672&amp;col=6&amp;number=3.8&amp;sourceID=14","3.8")</f>
        <v>3.8</v>
      </c>
      <c r="G2672" s="4" t="str">
        <f>HYPERLINK("http://141.218.60.56/~jnz1568/getInfo.php?workbook=20_14.xlsx&amp;sheet=U0&amp;row=2672&amp;col=7&amp;number=0.0134&amp;sourceID=14","0.0134")</f>
        <v>0.0134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HYPERLINK("http://141.218.60.56/~jnz1568/getInfo.php?workbook=20_14.xlsx&amp;sheet=U0&amp;row=2673&amp;col=6&amp;number=3.9&amp;sourceID=14","3.9")</f>
        <v>3.9</v>
      </c>
      <c r="G2673" s="4" t="str">
        <f>HYPERLINK("http://141.218.60.56/~jnz1568/getInfo.php?workbook=20_14.xlsx&amp;sheet=U0&amp;row=2673&amp;col=7&amp;number=0.0134&amp;sourceID=14","0.0134")</f>
        <v>0.0134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HYPERLINK("http://141.218.60.56/~jnz1568/getInfo.php?workbook=20_14.xlsx&amp;sheet=U0&amp;row=2674&amp;col=6&amp;number=4&amp;sourceID=14","4")</f>
        <v>4</v>
      </c>
      <c r="G2674" s="4" t="str">
        <f>HYPERLINK("http://141.218.60.56/~jnz1568/getInfo.php?workbook=20_14.xlsx&amp;sheet=U0&amp;row=2674&amp;col=7&amp;number=0.0133&amp;sourceID=14","0.0133")</f>
        <v>0.0133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HYPERLINK("http://141.218.60.56/~jnz1568/getInfo.php?workbook=20_14.xlsx&amp;sheet=U0&amp;row=2675&amp;col=6&amp;number=4.1&amp;sourceID=14","4.1")</f>
        <v>4.1</v>
      </c>
      <c r="G2675" s="4" t="str">
        <f>HYPERLINK("http://141.218.60.56/~jnz1568/getInfo.php?workbook=20_14.xlsx&amp;sheet=U0&amp;row=2675&amp;col=7&amp;number=0.0132&amp;sourceID=14","0.0132")</f>
        <v>0.0132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HYPERLINK("http://141.218.60.56/~jnz1568/getInfo.php?workbook=20_14.xlsx&amp;sheet=U0&amp;row=2676&amp;col=6&amp;number=4.2&amp;sourceID=14","4.2")</f>
        <v>4.2</v>
      </c>
      <c r="G2676" s="4" t="str">
        <f>HYPERLINK("http://141.218.60.56/~jnz1568/getInfo.php?workbook=20_14.xlsx&amp;sheet=U0&amp;row=2676&amp;col=7&amp;number=0.013&amp;sourceID=14","0.013")</f>
        <v>0.013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HYPERLINK("http://141.218.60.56/~jnz1568/getInfo.php?workbook=20_14.xlsx&amp;sheet=U0&amp;row=2677&amp;col=6&amp;number=4.3&amp;sourceID=14","4.3")</f>
        <v>4.3</v>
      </c>
      <c r="G2677" s="4" t="str">
        <f>HYPERLINK("http://141.218.60.56/~jnz1568/getInfo.php?workbook=20_14.xlsx&amp;sheet=U0&amp;row=2677&amp;col=7&amp;number=0.0129&amp;sourceID=14","0.0129")</f>
        <v>0.0129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HYPERLINK("http://141.218.60.56/~jnz1568/getInfo.php?workbook=20_14.xlsx&amp;sheet=U0&amp;row=2678&amp;col=6&amp;number=4.4&amp;sourceID=14","4.4")</f>
        <v>4.4</v>
      </c>
      <c r="G2678" s="4" t="str">
        <f>HYPERLINK("http://141.218.60.56/~jnz1568/getInfo.php?workbook=20_14.xlsx&amp;sheet=U0&amp;row=2678&amp;col=7&amp;number=0.0127&amp;sourceID=14","0.0127")</f>
        <v>0.0127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HYPERLINK("http://141.218.60.56/~jnz1568/getInfo.php?workbook=20_14.xlsx&amp;sheet=U0&amp;row=2679&amp;col=6&amp;number=4.5&amp;sourceID=14","4.5")</f>
        <v>4.5</v>
      </c>
      <c r="G2679" s="4" t="str">
        <f>HYPERLINK("http://141.218.60.56/~jnz1568/getInfo.php?workbook=20_14.xlsx&amp;sheet=U0&amp;row=2679&amp;col=7&amp;number=0.0124&amp;sourceID=14","0.0124")</f>
        <v>0.0124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HYPERLINK("http://141.218.60.56/~jnz1568/getInfo.php?workbook=20_14.xlsx&amp;sheet=U0&amp;row=2680&amp;col=6&amp;number=4.6&amp;sourceID=14","4.6")</f>
        <v>4.6</v>
      </c>
      <c r="G2680" s="4" t="str">
        <f>HYPERLINK("http://141.218.60.56/~jnz1568/getInfo.php?workbook=20_14.xlsx&amp;sheet=U0&amp;row=2680&amp;col=7&amp;number=0.0121&amp;sourceID=14","0.0121")</f>
        <v>0.0121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HYPERLINK("http://141.218.60.56/~jnz1568/getInfo.php?workbook=20_14.xlsx&amp;sheet=U0&amp;row=2681&amp;col=6&amp;number=4.7&amp;sourceID=14","4.7")</f>
        <v>4.7</v>
      </c>
      <c r="G2681" s="4" t="str">
        <f>HYPERLINK("http://141.218.60.56/~jnz1568/getInfo.php?workbook=20_14.xlsx&amp;sheet=U0&amp;row=2681&amp;col=7&amp;number=0.0118&amp;sourceID=14","0.0118")</f>
        <v>0.0118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HYPERLINK("http://141.218.60.56/~jnz1568/getInfo.php?workbook=20_14.xlsx&amp;sheet=U0&amp;row=2682&amp;col=6&amp;number=4.8&amp;sourceID=14","4.8")</f>
        <v>4.8</v>
      </c>
      <c r="G2682" s="4" t="str">
        <f>HYPERLINK("http://141.218.60.56/~jnz1568/getInfo.php?workbook=20_14.xlsx&amp;sheet=U0&amp;row=2682&amp;col=7&amp;number=0.0114&amp;sourceID=14","0.0114")</f>
        <v>0.0114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HYPERLINK("http://141.218.60.56/~jnz1568/getInfo.php?workbook=20_14.xlsx&amp;sheet=U0&amp;row=2683&amp;col=6&amp;number=4.9&amp;sourceID=14","4.9")</f>
        <v>4.9</v>
      </c>
      <c r="G2683" s="4" t="str">
        <f>HYPERLINK("http://141.218.60.56/~jnz1568/getInfo.php?workbook=20_14.xlsx&amp;sheet=U0&amp;row=2683&amp;col=7&amp;number=0.0109&amp;sourceID=14","0.0109")</f>
        <v>0.0109</v>
      </c>
    </row>
    <row r="2684" spans="1:7">
      <c r="A2684" s="3">
        <v>20</v>
      </c>
      <c r="B2684" s="3">
        <v>14</v>
      </c>
      <c r="C2684" s="3">
        <v>6</v>
      </c>
      <c r="D2684" s="3">
        <v>21</v>
      </c>
      <c r="E2684" s="3">
        <v>1</v>
      </c>
      <c r="F2684" s="4" t="str">
        <f>HYPERLINK("http://141.218.60.56/~jnz1568/getInfo.php?workbook=20_14.xlsx&amp;sheet=U0&amp;row=2684&amp;col=6&amp;number=3&amp;sourceID=14","3")</f>
        <v>3</v>
      </c>
      <c r="G2684" s="4" t="str">
        <f>HYPERLINK("http://141.218.60.56/~jnz1568/getInfo.php?workbook=20_14.xlsx&amp;sheet=U0&amp;row=2684&amp;col=7&amp;number=0.0218&amp;sourceID=14","0.0218")</f>
        <v>0.0218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HYPERLINK("http://141.218.60.56/~jnz1568/getInfo.php?workbook=20_14.xlsx&amp;sheet=U0&amp;row=2685&amp;col=6&amp;number=3.1&amp;sourceID=14","3.1")</f>
        <v>3.1</v>
      </c>
      <c r="G2685" s="4" t="str">
        <f>HYPERLINK("http://141.218.60.56/~jnz1568/getInfo.php?workbook=20_14.xlsx&amp;sheet=U0&amp;row=2685&amp;col=7&amp;number=0.0218&amp;sourceID=14","0.0218")</f>
        <v>0.0218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HYPERLINK("http://141.218.60.56/~jnz1568/getInfo.php?workbook=20_14.xlsx&amp;sheet=U0&amp;row=2686&amp;col=6&amp;number=3.2&amp;sourceID=14","3.2")</f>
        <v>3.2</v>
      </c>
      <c r="G2686" s="4" t="str">
        <f>HYPERLINK("http://141.218.60.56/~jnz1568/getInfo.php?workbook=20_14.xlsx&amp;sheet=U0&amp;row=2686&amp;col=7&amp;number=0.0218&amp;sourceID=14","0.0218")</f>
        <v>0.0218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HYPERLINK("http://141.218.60.56/~jnz1568/getInfo.php?workbook=20_14.xlsx&amp;sheet=U0&amp;row=2687&amp;col=6&amp;number=3.3&amp;sourceID=14","3.3")</f>
        <v>3.3</v>
      </c>
      <c r="G2687" s="4" t="str">
        <f>HYPERLINK("http://141.218.60.56/~jnz1568/getInfo.php?workbook=20_14.xlsx&amp;sheet=U0&amp;row=2687&amp;col=7&amp;number=0.0218&amp;sourceID=14","0.0218")</f>
        <v>0.0218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HYPERLINK("http://141.218.60.56/~jnz1568/getInfo.php?workbook=20_14.xlsx&amp;sheet=U0&amp;row=2688&amp;col=6&amp;number=3.4&amp;sourceID=14","3.4")</f>
        <v>3.4</v>
      </c>
      <c r="G2688" s="4" t="str">
        <f>HYPERLINK("http://141.218.60.56/~jnz1568/getInfo.php?workbook=20_14.xlsx&amp;sheet=U0&amp;row=2688&amp;col=7&amp;number=0.0217&amp;sourceID=14","0.0217")</f>
        <v>0.0217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HYPERLINK("http://141.218.60.56/~jnz1568/getInfo.php?workbook=20_14.xlsx&amp;sheet=U0&amp;row=2689&amp;col=6&amp;number=3.5&amp;sourceID=14","3.5")</f>
        <v>3.5</v>
      </c>
      <c r="G2689" s="4" t="str">
        <f>HYPERLINK("http://141.218.60.56/~jnz1568/getInfo.php?workbook=20_14.xlsx&amp;sheet=U0&amp;row=2689&amp;col=7&amp;number=0.0217&amp;sourceID=14","0.0217")</f>
        <v>0.0217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HYPERLINK("http://141.218.60.56/~jnz1568/getInfo.php?workbook=20_14.xlsx&amp;sheet=U0&amp;row=2690&amp;col=6&amp;number=3.6&amp;sourceID=14","3.6")</f>
        <v>3.6</v>
      </c>
      <c r="G2690" s="4" t="str">
        <f>HYPERLINK("http://141.218.60.56/~jnz1568/getInfo.php?workbook=20_14.xlsx&amp;sheet=U0&amp;row=2690&amp;col=7&amp;number=0.0216&amp;sourceID=14","0.0216")</f>
        <v>0.0216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HYPERLINK("http://141.218.60.56/~jnz1568/getInfo.php?workbook=20_14.xlsx&amp;sheet=U0&amp;row=2691&amp;col=6&amp;number=3.7&amp;sourceID=14","3.7")</f>
        <v>3.7</v>
      </c>
      <c r="G2691" s="4" t="str">
        <f>HYPERLINK("http://141.218.60.56/~jnz1568/getInfo.php?workbook=20_14.xlsx&amp;sheet=U0&amp;row=2691&amp;col=7&amp;number=0.0216&amp;sourceID=14","0.0216")</f>
        <v>0.0216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HYPERLINK("http://141.218.60.56/~jnz1568/getInfo.php?workbook=20_14.xlsx&amp;sheet=U0&amp;row=2692&amp;col=6&amp;number=3.8&amp;sourceID=14","3.8")</f>
        <v>3.8</v>
      </c>
      <c r="G2692" s="4" t="str">
        <f>HYPERLINK("http://141.218.60.56/~jnz1568/getInfo.php?workbook=20_14.xlsx&amp;sheet=U0&amp;row=2692&amp;col=7&amp;number=0.0215&amp;sourceID=14","0.0215")</f>
        <v>0.0215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HYPERLINK("http://141.218.60.56/~jnz1568/getInfo.php?workbook=20_14.xlsx&amp;sheet=U0&amp;row=2693&amp;col=6&amp;number=3.9&amp;sourceID=14","3.9")</f>
        <v>3.9</v>
      </c>
      <c r="G2693" s="4" t="str">
        <f>HYPERLINK("http://141.218.60.56/~jnz1568/getInfo.php?workbook=20_14.xlsx&amp;sheet=U0&amp;row=2693&amp;col=7&amp;number=0.0214&amp;sourceID=14","0.0214")</f>
        <v>0.0214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HYPERLINK("http://141.218.60.56/~jnz1568/getInfo.php?workbook=20_14.xlsx&amp;sheet=U0&amp;row=2694&amp;col=6&amp;number=4&amp;sourceID=14","4")</f>
        <v>4</v>
      </c>
      <c r="G2694" s="4" t="str">
        <f>HYPERLINK("http://141.218.60.56/~jnz1568/getInfo.php?workbook=20_14.xlsx&amp;sheet=U0&amp;row=2694&amp;col=7&amp;number=0.0213&amp;sourceID=14","0.0213")</f>
        <v>0.0213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HYPERLINK("http://141.218.60.56/~jnz1568/getInfo.php?workbook=20_14.xlsx&amp;sheet=U0&amp;row=2695&amp;col=6&amp;number=4.1&amp;sourceID=14","4.1")</f>
        <v>4.1</v>
      </c>
      <c r="G2695" s="4" t="str">
        <f>HYPERLINK("http://141.218.60.56/~jnz1568/getInfo.php?workbook=20_14.xlsx&amp;sheet=U0&amp;row=2695&amp;col=7&amp;number=0.0211&amp;sourceID=14","0.0211")</f>
        <v>0.0211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HYPERLINK("http://141.218.60.56/~jnz1568/getInfo.php?workbook=20_14.xlsx&amp;sheet=U0&amp;row=2696&amp;col=6&amp;number=4.2&amp;sourceID=14","4.2")</f>
        <v>4.2</v>
      </c>
      <c r="G2696" s="4" t="str">
        <f>HYPERLINK("http://141.218.60.56/~jnz1568/getInfo.php?workbook=20_14.xlsx&amp;sheet=U0&amp;row=2696&amp;col=7&amp;number=0.0209&amp;sourceID=14","0.0209")</f>
        <v>0.0209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HYPERLINK("http://141.218.60.56/~jnz1568/getInfo.php?workbook=20_14.xlsx&amp;sheet=U0&amp;row=2697&amp;col=6&amp;number=4.3&amp;sourceID=14","4.3")</f>
        <v>4.3</v>
      </c>
      <c r="G2697" s="4" t="str">
        <f>HYPERLINK("http://141.218.60.56/~jnz1568/getInfo.php?workbook=20_14.xlsx&amp;sheet=U0&amp;row=2697&amp;col=7&amp;number=0.0206&amp;sourceID=14","0.0206")</f>
        <v>0.0206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HYPERLINK("http://141.218.60.56/~jnz1568/getInfo.php?workbook=20_14.xlsx&amp;sheet=U0&amp;row=2698&amp;col=6&amp;number=4.4&amp;sourceID=14","4.4")</f>
        <v>4.4</v>
      </c>
      <c r="G2698" s="4" t="str">
        <f>HYPERLINK("http://141.218.60.56/~jnz1568/getInfo.php?workbook=20_14.xlsx&amp;sheet=U0&amp;row=2698&amp;col=7&amp;number=0.0203&amp;sourceID=14","0.0203")</f>
        <v>0.0203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HYPERLINK("http://141.218.60.56/~jnz1568/getInfo.php?workbook=20_14.xlsx&amp;sheet=U0&amp;row=2699&amp;col=6&amp;number=4.5&amp;sourceID=14","4.5")</f>
        <v>4.5</v>
      </c>
      <c r="G2699" s="4" t="str">
        <f>HYPERLINK("http://141.218.60.56/~jnz1568/getInfo.php?workbook=20_14.xlsx&amp;sheet=U0&amp;row=2699&amp;col=7&amp;number=0.02&amp;sourceID=14","0.02")</f>
        <v>0.02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HYPERLINK("http://141.218.60.56/~jnz1568/getInfo.php?workbook=20_14.xlsx&amp;sheet=U0&amp;row=2700&amp;col=6&amp;number=4.6&amp;sourceID=14","4.6")</f>
        <v>4.6</v>
      </c>
      <c r="G2700" s="4" t="str">
        <f>HYPERLINK("http://141.218.60.56/~jnz1568/getInfo.php?workbook=20_14.xlsx&amp;sheet=U0&amp;row=2700&amp;col=7&amp;number=0.0195&amp;sourceID=14","0.0195")</f>
        <v>0.0195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HYPERLINK("http://141.218.60.56/~jnz1568/getInfo.php?workbook=20_14.xlsx&amp;sheet=U0&amp;row=2701&amp;col=6&amp;number=4.7&amp;sourceID=14","4.7")</f>
        <v>4.7</v>
      </c>
      <c r="G2701" s="4" t="str">
        <f>HYPERLINK("http://141.218.60.56/~jnz1568/getInfo.php?workbook=20_14.xlsx&amp;sheet=U0&amp;row=2701&amp;col=7&amp;number=0.019&amp;sourceID=14","0.019")</f>
        <v>0.019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HYPERLINK("http://141.218.60.56/~jnz1568/getInfo.php?workbook=20_14.xlsx&amp;sheet=U0&amp;row=2702&amp;col=6&amp;number=4.8&amp;sourceID=14","4.8")</f>
        <v>4.8</v>
      </c>
      <c r="G2702" s="4" t="str">
        <f>HYPERLINK("http://141.218.60.56/~jnz1568/getInfo.php?workbook=20_14.xlsx&amp;sheet=U0&amp;row=2702&amp;col=7&amp;number=0.0184&amp;sourceID=14","0.0184")</f>
        <v>0.0184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HYPERLINK("http://141.218.60.56/~jnz1568/getInfo.php?workbook=20_14.xlsx&amp;sheet=U0&amp;row=2703&amp;col=6&amp;number=4.9&amp;sourceID=14","4.9")</f>
        <v>4.9</v>
      </c>
      <c r="G2703" s="4" t="str">
        <f>HYPERLINK("http://141.218.60.56/~jnz1568/getInfo.php?workbook=20_14.xlsx&amp;sheet=U0&amp;row=2703&amp;col=7&amp;number=0.0177&amp;sourceID=14","0.0177")</f>
        <v>0.0177</v>
      </c>
    </row>
    <row r="2704" spans="1:7">
      <c r="A2704" s="3">
        <v>20</v>
      </c>
      <c r="B2704" s="3">
        <v>14</v>
      </c>
      <c r="C2704" s="3">
        <v>6</v>
      </c>
      <c r="D2704" s="3">
        <v>22</v>
      </c>
      <c r="E2704" s="3">
        <v>1</v>
      </c>
      <c r="F2704" s="4" t="str">
        <f>HYPERLINK("http://141.218.60.56/~jnz1568/getInfo.php?workbook=20_14.xlsx&amp;sheet=U0&amp;row=2704&amp;col=6&amp;number=3&amp;sourceID=14","3")</f>
        <v>3</v>
      </c>
      <c r="G2704" s="4" t="str">
        <f>HYPERLINK("http://141.218.60.56/~jnz1568/getInfo.php?workbook=20_14.xlsx&amp;sheet=U0&amp;row=2704&amp;col=7&amp;number=0.000499&amp;sourceID=14","0.000499")</f>
        <v>0.000499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HYPERLINK("http://141.218.60.56/~jnz1568/getInfo.php?workbook=20_14.xlsx&amp;sheet=U0&amp;row=2705&amp;col=6&amp;number=3.1&amp;sourceID=14","3.1")</f>
        <v>3.1</v>
      </c>
      <c r="G2705" s="4" t="str">
        <f>HYPERLINK("http://141.218.60.56/~jnz1568/getInfo.php?workbook=20_14.xlsx&amp;sheet=U0&amp;row=2705&amp;col=7&amp;number=0.000498&amp;sourceID=14","0.000498")</f>
        <v>0.000498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HYPERLINK("http://141.218.60.56/~jnz1568/getInfo.php?workbook=20_14.xlsx&amp;sheet=U0&amp;row=2706&amp;col=6&amp;number=3.2&amp;sourceID=14","3.2")</f>
        <v>3.2</v>
      </c>
      <c r="G2706" s="4" t="str">
        <f>HYPERLINK("http://141.218.60.56/~jnz1568/getInfo.php?workbook=20_14.xlsx&amp;sheet=U0&amp;row=2706&amp;col=7&amp;number=0.000498&amp;sourceID=14","0.000498")</f>
        <v>0.000498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HYPERLINK("http://141.218.60.56/~jnz1568/getInfo.php?workbook=20_14.xlsx&amp;sheet=U0&amp;row=2707&amp;col=6&amp;number=3.3&amp;sourceID=14","3.3")</f>
        <v>3.3</v>
      </c>
      <c r="G2707" s="4" t="str">
        <f>HYPERLINK("http://141.218.60.56/~jnz1568/getInfo.php?workbook=20_14.xlsx&amp;sheet=U0&amp;row=2707&amp;col=7&amp;number=0.000498&amp;sourceID=14","0.000498")</f>
        <v>0.000498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HYPERLINK("http://141.218.60.56/~jnz1568/getInfo.php?workbook=20_14.xlsx&amp;sheet=U0&amp;row=2708&amp;col=6&amp;number=3.4&amp;sourceID=14","3.4")</f>
        <v>3.4</v>
      </c>
      <c r="G2708" s="4" t="str">
        <f>HYPERLINK("http://141.218.60.56/~jnz1568/getInfo.php?workbook=20_14.xlsx&amp;sheet=U0&amp;row=2708&amp;col=7&amp;number=0.000498&amp;sourceID=14","0.000498")</f>
        <v>0.000498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HYPERLINK("http://141.218.60.56/~jnz1568/getInfo.php?workbook=20_14.xlsx&amp;sheet=U0&amp;row=2709&amp;col=6&amp;number=3.5&amp;sourceID=14","3.5")</f>
        <v>3.5</v>
      </c>
      <c r="G2709" s="4" t="str">
        <f>HYPERLINK("http://141.218.60.56/~jnz1568/getInfo.php?workbook=20_14.xlsx&amp;sheet=U0&amp;row=2709&amp;col=7&amp;number=0.000498&amp;sourceID=14","0.000498")</f>
        <v>0.000498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HYPERLINK("http://141.218.60.56/~jnz1568/getInfo.php?workbook=20_14.xlsx&amp;sheet=U0&amp;row=2710&amp;col=6&amp;number=3.6&amp;sourceID=14","3.6")</f>
        <v>3.6</v>
      </c>
      <c r="G2710" s="4" t="str">
        <f>HYPERLINK("http://141.218.60.56/~jnz1568/getInfo.php?workbook=20_14.xlsx&amp;sheet=U0&amp;row=2710&amp;col=7&amp;number=0.000497&amp;sourceID=14","0.000497")</f>
        <v>0.000497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HYPERLINK("http://141.218.60.56/~jnz1568/getInfo.php?workbook=20_14.xlsx&amp;sheet=U0&amp;row=2711&amp;col=6&amp;number=3.7&amp;sourceID=14","3.7")</f>
        <v>3.7</v>
      </c>
      <c r="G2711" s="4" t="str">
        <f>HYPERLINK("http://141.218.60.56/~jnz1568/getInfo.php?workbook=20_14.xlsx&amp;sheet=U0&amp;row=2711&amp;col=7&amp;number=0.000497&amp;sourceID=14","0.000497")</f>
        <v>0.000497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HYPERLINK("http://141.218.60.56/~jnz1568/getInfo.php?workbook=20_14.xlsx&amp;sheet=U0&amp;row=2712&amp;col=6&amp;number=3.8&amp;sourceID=14","3.8")</f>
        <v>3.8</v>
      </c>
      <c r="G2712" s="4" t="str">
        <f>HYPERLINK("http://141.218.60.56/~jnz1568/getInfo.php?workbook=20_14.xlsx&amp;sheet=U0&amp;row=2712&amp;col=7&amp;number=0.000496&amp;sourceID=14","0.000496")</f>
        <v>0.000496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HYPERLINK("http://141.218.60.56/~jnz1568/getInfo.php?workbook=20_14.xlsx&amp;sheet=U0&amp;row=2713&amp;col=6&amp;number=3.9&amp;sourceID=14","3.9")</f>
        <v>3.9</v>
      </c>
      <c r="G2713" s="4" t="str">
        <f>HYPERLINK("http://141.218.60.56/~jnz1568/getInfo.php?workbook=20_14.xlsx&amp;sheet=U0&amp;row=2713&amp;col=7&amp;number=0.000495&amp;sourceID=14","0.000495")</f>
        <v>0.000495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HYPERLINK("http://141.218.60.56/~jnz1568/getInfo.php?workbook=20_14.xlsx&amp;sheet=U0&amp;row=2714&amp;col=6&amp;number=4&amp;sourceID=14","4")</f>
        <v>4</v>
      </c>
      <c r="G2714" s="4" t="str">
        <f>HYPERLINK("http://141.218.60.56/~jnz1568/getInfo.php?workbook=20_14.xlsx&amp;sheet=U0&amp;row=2714&amp;col=7&amp;number=0.000494&amp;sourceID=14","0.000494")</f>
        <v>0.000494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HYPERLINK("http://141.218.60.56/~jnz1568/getInfo.php?workbook=20_14.xlsx&amp;sheet=U0&amp;row=2715&amp;col=6&amp;number=4.1&amp;sourceID=14","4.1")</f>
        <v>4.1</v>
      </c>
      <c r="G2715" s="4" t="str">
        <f>HYPERLINK("http://141.218.60.56/~jnz1568/getInfo.php?workbook=20_14.xlsx&amp;sheet=U0&amp;row=2715&amp;col=7&amp;number=0.000493&amp;sourceID=14","0.000493")</f>
        <v>0.000493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HYPERLINK("http://141.218.60.56/~jnz1568/getInfo.php?workbook=20_14.xlsx&amp;sheet=U0&amp;row=2716&amp;col=6&amp;number=4.2&amp;sourceID=14","4.2")</f>
        <v>4.2</v>
      </c>
      <c r="G2716" s="4" t="str">
        <f>HYPERLINK("http://141.218.60.56/~jnz1568/getInfo.php?workbook=20_14.xlsx&amp;sheet=U0&amp;row=2716&amp;col=7&amp;number=0.000492&amp;sourceID=14","0.000492")</f>
        <v>0.000492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HYPERLINK("http://141.218.60.56/~jnz1568/getInfo.php?workbook=20_14.xlsx&amp;sheet=U0&amp;row=2717&amp;col=6&amp;number=4.3&amp;sourceID=14","4.3")</f>
        <v>4.3</v>
      </c>
      <c r="G2717" s="4" t="str">
        <f>HYPERLINK("http://141.218.60.56/~jnz1568/getInfo.php?workbook=20_14.xlsx&amp;sheet=U0&amp;row=2717&amp;col=7&amp;number=0.00049&amp;sourceID=14","0.00049")</f>
        <v>0.00049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HYPERLINK("http://141.218.60.56/~jnz1568/getInfo.php?workbook=20_14.xlsx&amp;sheet=U0&amp;row=2718&amp;col=6&amp;number=4.4&amp;sourceID=14","4.4")</f>
        <v>4.4</v>
      </c>
      <c r="G2718" s="4" t="str">
        <f>HYPERLINK("http://141.218.60.56/~jnz1568/getInfo.php?workbook=20_14.xlsx&amp;sheet=U0&amp;row=2718&amp;col=7&amp;number=0.000488&amp;sourceID=14","0.000488")</f>
        <v>0.000488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HYPERLINK("http://141.218.60.56/~jnz1568/getInfo.php?workbook=20_14.xlsx&amp;sheet=U0&amp;row=2719&amp;col=6&amp;number=4.5&amp;sourceID=14","4.5")</f>
        <v>4.5</v>
      </c>
      <c r="G2719" s="4" t="str">
        <f>HYPERLINK("http://141.218.60.56/~jnz1568/getInfo.php?workbook=20_14.xlsx&amp;sheet=U0&amp;row=2719&amp;col=7&amp;number=0.000485&amp;sourceID=14","0.000485")</f>
        <v>0.000485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HYPERLINK("http://141.218.60.56/~jnz1568/getInfo.php?workbook=20_14.xlsx&amp;sheet=U0&amp;row=2720&amp;col=6&amp;number=4.6&amp;sourceID=14","4.6")</f>
        <v>4.6</v>
      </c>
      <c r="G2720" s="4" t="str">
        <f>HYPERLINK("http://141.218.60.56/~jnz1568/getInfo.php?workbook=20_14.xlsx&amp;sheet=U0&amp;row=2720&amp;col=7&amp;number=0.000482&amp;sourceID=14","0.000482")</f>
        <v>0.000482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HYPERLINK("http://141.218.60.56/~jnz1568/getInfo.php?workbook=20_14.xlsx&amp;sheet=U0&amp;row=2721&amp;col=6&amp;number=4.7&amp;sourceID=14","4.7")</f>
        <v>4.7</v>
      </c>
      <c r="G2721" s="4" t="str">
        <f>HYPERLINK("http://141.218.60.56/~jnz1568/getInfo.php?workbook=20_14.xlsx&amp;sheet=U0&amp;row=2721&amp;col=7&amp;number=0.000478&amp;sourceID=14","0.000478")</f>
        <v>0.000478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HYPERLINK("http://141.218.60.56/~jnz1568/getInfo.php?workbook=20_14.xlsx&amp;sheet=U0&amp;row=2722&amp;col=6&amp;number=4.8&amp;sourceID=14","4.8")</f>
        <v>4.8</v>
      </c>
      <c r="G2722" s="4" t="str">
        <f>HYPERLINK("http://141.218.60.56/~jnz1568/getInfo.php?workbook=20_14.xlsx&amp;sheet=U0&amp;row=2722&amp;col=7&amp;number=0.000473&amp;sourceID=14","0.000473")</f>
        <v>0.000473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HYPERLINK("http://141.218.60.56/~jnz1568/getInfo.php?workbook=20_14.xlsx&amp;sheet=U0&amp;row=2723&amp;col=6&amp;number=4.9&amp;sourceID=14","4.9")</f>
        <v>4.9</v>
      </c>
      <c r="G2723" s="4" t="str">
        <f>HYPERLINK("http://141.218.60.56/~jnz1568/getInfo.php?workbook=20_14.xlsx&amp;sheet=U0&amp;row=2723&amp;col=7&amp;number=0.000466&amp;sourceID=14","0.000466")</f>
        <v>0.000466</v>
      </c>
    </row>
    <row r="2724" spans="1:7">
      <c r="A2724" s="3">
        <v>20</v>
      </c>
      <c r="B2724" s="3">
        <v>14</v>
      </c>
      <c r="C2724" s="3">
        <v>6</v>
      </c>
      <c r="D2724" s="3">
        <v>23</v>
      </c>
      <c r="E2724" s="3">
        <v>1</v>
      </c>
      <c r="F2724" s="4" t="str">
        <f>HYPERLINK("http://141.218.60.56/~jnz1568/getInfo.php?workbook=20_14.xlsx&amp;sheet=U0&amp;row=2724&amp;col=6&amp;number=3&amp;sourceID=14","3")</f>
        <v>3</v>
      </c>
      <c r="G2724" s="4" t="str">
        <f>HYPERLINK("http://141.218.60.56/~jnz1568/getInfo.php?workbook=20_14.xlsx&amp;sheet=U0&amp;row=2724&amp;col=7&amp;number=0.0112&amp;sourceID=14","0.0112")</f>
        <v>0.0112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HYPERLINK("http://141.218.60.56/~jnz1568/getInfo.php?workbook=20_14.xlsx&amp;sheet=U0&amp;row=2725&amp;col=6&amp;number=3.1&amp;sourceID=14","3.1")</f>
        <v>3.1</v>
      </c>
      <c r="G2725" s="4" t="str">
        <f>HYPERLINK("http://141.218.60.56/~jnz1568/getInfo.php?workbook=20_14.xlsx&amp;sheet=U0&amp;row=2725&amp;col=7&amp;number=0.0112&amp;sourceID=14","0.0112")</f>
        <v>0.0112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HYPERLINK("http://141.218.60.56/~jnz1568/getInfo.php?workbook=20_14.xlsx&amp;sheet=U0&amp;row=2726&amp;col=6&amp;number=3.2&amp;sourceID=14","3.2")</f>
        <v>3.2</v>
      </c>
      <c r="G2726" s="4" t="str">
        <f>HYPERLINK("http://141.218.60.56/~jnz1568/getInfo.php?workbook=20_14.xlsx&amp;sheet=U0&amp;row=2726&amp;col=7&amp;number=0.0112&amp;sourceID=14","0.0112")</f>
        <v>0.0112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HYPERLINK("http://141.218.60.56/~jnz1568/getInfo.php?workbook=20_14.xlsx&amp;sheet=U0&amp;row=2727&amp;col=6&amp;number=3.3&amp;sourceID=14","3.3")</f>
        <v>3.3</v>
      </c>
      <c r="G2727" s="4" t="str">
        <f>HYPERLINK("http://141.218.60.56/~jnz1568/getInfo.php?workbook=20_14.xlsx&amp;sheet=U0&amp;row=2727&amp;col=7&amp;number=0.0112&amp;sourceID=14","0.0112")</f>
        <v>0.0112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HYPERLINK("http://141.218.60.56/~jnz1568/getInfo.php?workbook=20_14.xlsx&amp;sheet=U0&amp;row=2728&amp;col=6&amp;number=3.4&amp;sourceID=14","3.4")</f>
        <v>3.4</v>
      </c>
      <c r="G2728" s="4" t="str">
        <f>HYPERLINK("http://141.218.60.56/~jnz1568/getInfo.php?workbook=20_14.xlsx&amp;sheet=U0&amp;row=2728&amp;col=7&amp;number=0.0112&amp;sourceID=14","0.0112")</f>
        <v>0.0112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HYPERLINK("http://141.218.60.56/~jnz1568/getInfo.php?workbook=20_14.xlsx&amp;sheet=U0&amp;row=2729&amp;col=6&amp;number=3.5&amp;sourceID=14","3.5")</f>
        <v>3.5</v>
      </c>
      <c r="G2729" s="4" t="str">
        <f>HYPERLINK("http://141.218.60.56/~jnz1568/getInfo.php?workbook=20_14.xlsx&amp;sheet=U0&amp;row=2729&amp;col=7&amp;number=0.0112&amp;sourceID=14","0.0112")</f>
        <v>0.0112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HYPERLINK("http://141.218.60.56/~jnz1568/getInfo.php?workbook=20_14.xlsx&amp;sheet=U0&amp;row=2730&amp;col=6&amp;number=3.6&amp;sourceID=14","3.6")</f>
        <v>3.6</v>
      </c>
      <c r="G2730" s="4" t="str">
        <f>HYPERLINK("http://141.218.60.56/~jnz1568/getInfo.php?workbook=20_14.xlsx&amp;sheet=U0&amp;row=2730&amp;col=7&amp;number=0.0112&amp;sourceID=14","0.0112")</f>
        <v>0.0112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HYPERLINK("http://141.218.60.56/~jnz1568/getInfo.php?workbook=20_14.xlsx&amp;sheet=U0&amp;row=2731&amp;col=6&amp;number=3.7&amp;sourceID=14","3.7")</f>
        <v>3.7</v>
      </c>
      <c r="G2731" s="4" t="str">
        <f>HYPERLINK("http://141.218.60.56/~jnz1568/getInfo.php?workbook=20_14.xlsx&amp;sheet=U0&amp;row=2731&amp;col=7&amp;number=0.0112&amp;sourceID=14","0.0112")</f>
        <v>0.0112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HYPERLINK("http://141.218.60.56/~jnz1568/getInfo.php?workbook=20_14.xlsx&amp;sheet=U0&amp;row=2732&amp;col=6&amp;number=3.8&amp;sourceID=14","3.8")</f>
        <v>3.8</v>
      </c>
      <c r="G2732" s="4" t="str">
        <f>HYPERLINK("http://141.218.60.56/~jnz1568/getInfo.php?workbook=20_14.xlsx&amp;sheet=U0&amp;row=2732&amp;col=7&amp;number=0.0112&amp;sourceID=14","0.0112")</f>
        <v>0.0112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HYPERLINK("http://141.218.60.56/~jnz1568/getInfo.php?workbook=20_14.xlsx&amp;sheet=U0&amp;row=2733&amp;col=6&amp;number=3.9&amp;sourceID=14","3.9")</f>
        <v>3.9</v>
      </c>
      <c r="G2733" s="4" t="str">
        <f>HYPERLINK("http://141.218.60.56/~jnz1568/getInfo.php?workbook=20_14.xlsx&amp;sheet=U0&amp;row=2733&amp;col=7&amp;number=0.0112&amp;sourceID=14","0.0112")</f>
        <v>0.0112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HYPERLINK("http://141.218.60.56/~jnz1568/getInfo.php?workbook=20_14.xlsx&amp;sheet=U0&amp;row=2734&amp;col=6&amp;number=4&amp;sourceID=14","4")</f>
        <v>4</v>
      </c>
      <c r="G2734" s="4" t="str">
        <f>HYPERLINK("http://141.218.60.56/~jnz1568/getInfo.php?workbook=20_14.xlsx&amp;sheet=U0&amp;row=2734&amp;col=7&amp;number=0.0112&amp;sourceID=14","0.0112")</f>
        <v>0.0112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HYPERLINK("http://141.218.60.56/~jnz1568/getInfo.php?workbook=20_14.xlsx&amp;sheet=U0&amp;row=2735&amp;col=6&amp;number=4.1&amp;sourceID=14","4.1")</f>
        <v>4.1</v>
      </c>
      <c r="G2735" s="4" t="str">
        <f>HYPERLINK("http://141.218.60.56/~jnz1568/getInfo.php?workbook=20_14.xlsx&amp;sheet=U0&amp;row=2735&amp;col=7&amp;number=0.0112&amp;sourceID=14","0.0112")</f>
        <v>0.0112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HYPERLINK("http://141.218.60.56/~jnz1568/getInfo.php?workbook=20_14.xlsx&amp;sheet=U0&amp;row=2736&amp;col=6&amp;number=4.2&amp;sourceID=14","4.2")</f>
        <v>4.2</v>
      </c>
      <c r="G2736" s="4" t="str">
        <f>HYPERLINK("http://141.218.60.56/~jnz1568/getInfo.php?workbook=20_14.xlsx&amp;sheet=U0&amp;row=2736&amp;col=7&amp;number=0.0111&amp;sourceID=14","0.0111")</f>
        <v>0.0111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HYPERLINK("http://141.218.60.56/~jnz1568/getInfo.php?workbook=20_14.xlsx&amp;sheet=U0&amp;row=2737&amp;col=6&amp;number=4.3&amp;sourceID=14","4.3")</f>
        <v>4.3</v>
      </c>
      <c r="G2737" s="4" t="str">
        <f>HYPERLINK("http://141.218.60.56/~jnz1568/getInfo.php?workbook=20_14.xlsx&amp;sheet=U0&amp;row=2737&amp;col=7&amp;number=0.0111&amp;sourceID=14","0.0111")</f>
        <v>0.0111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HYPERLINK("http://141.218.60.56/~jnz1568/getInfo.php?workbook=20_14.xlsx&amp;sheet=U0&amp;row=2738&amp;col=6&amp;number=4.4&amp;sourceID=14","4.4")</f>
        <v>4.4</v>
      </c>
      <c r="G2738" s="4" t="str">
        <f>HYPERLINK("http://141.218.60.56/~jnz1568/getInfo.php?workbook=20_14.xlsx&amp;sheet=U0&amp;row=2738&amp;col=7&amp;number=0.0111&amp;sourceID=14","0.0111")</f>
        <v>0.0111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HYPERLINK("http://141.218.60.56/~jnz1568/getInfo.php?workbook=20_14.xlsx&amp;sheet=U0&amp;row=2739&amp;col=6&amp;number=4.5&amp;sourceID=14","4.5")</f>
        <v>4.5</v>
      </c>
      <c r="G2739" s="4" t="str">
        <f>HYPERLINK("http://141.218.60.56/~jnz1568/getInfo.php?workbook=20_14.xlsx&amp;sheet=U0&amp;row=2739&amp;col=7&amp;number=0.011&amp;sourceID=14","0.011")</f>
        <v>0.011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HYPERLINK("http://141.218.60.56/~jnz1568/getInfo.php?workbook=20_14.xlsx&amp;sheet=U0&amp;row=2740&amp;col=6&amp;number=4.6&amp;sourceID=14","4.6")</f>
        <v>4.6</v>
      </c>
      <c r="G2740" s="4" t="str">
        <f>HYPERLINK("http://141.218.60.56/~jnz1568/getInfo.php?workbook=20_14.xlsx&amp;sheet=U0&amp;row=2740&amp;col=7&amp;number=0.011&amp;sourceID=14","0.011")</f>
        <v>0.011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HYPERLINK("http://141.218.60.56/~jnz1568/getInfo.php?workbook=20_14.xlsx&amp;sheet=U0&amp;row=2741&amp;col=6&amp;number=4.7&amp;sourceID=14","4.7")</f>
        <v>4.7</v>
      </c>
      <c r="G2741" s="4" t="str">
        <f>HYPERLINK("http://141.218.60.56/~jnz1568/getInfo.php?workbook=20_14.xlsx&amp;sheet=U0&amp;row=2741&amp;col=7&amp;number=0.0109&amp;sourceID=14","0.0109")</f>
        <v>0.0109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HYPERLINK("http://141.218.60.56/~jnz1568/getInfo.php?workbook=20_14.xlsx&amp;sheet=U0&amp;row=2742&amp;col=6&amp;number=4.8&amp;sourceID=14","4.8")</f>
        <v>4.8</v>
      </c>
      <c r="G2742" s="4" t="str">
        <f>HYPERLINK("http://141.218.60.56/~jnz1568/getInfo.php?workbook=20_14.xlsx&amp;sheet=U0&amp;row=2742&amp;col=7&amp;number=0.0108&amp;sourceID=14","0.0108")</f>
        <v>0.0108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HYPERLINK("http://141.218.60.56/~jnz1568/getInfo.php?workbook=20_14.xlsx&amp;sheet=U0&amp;row=2743&amp;col=6&amp;number=4.9&amp;sourceID=14","4.9")</f>
        <v>4.9</v>
      </c>
      <c r="G2743" s="4" t="str">
        <f>HYPERLINK("http://141.218.60.56/~jnz1568/getInfo.php?workbook=20_14.xlsx&amp;sheet=U0&amp;row=2743&amp;col=7&amp;number=0.0107&amp;sourceID=14","0.0107")</f>
        <v>0.0107</v>
      </c>
    </row>
    <row r="2744" spans="1:7">
      <c r="A2744" s="3">
        <v>20</v>
      </c>
      <c r="B2744" s="3">
        <v>14</v>
      </c>
      <c r="C2744" s="3">
        <v>6</v>
      </c>
      <c r="D2744" s="3">
        <v>24</v>
      </c>
      <c r="E2744" s="3">
        <v>1</v>
      </c>
      <c r="F2744" s="4" t="str">
        <f>HYPERLINK("http://141.218.60.56/~jnz1568/getInfo.php?workbook=20_14.xlsx&amp;sheet=U0&amp;row=2744&amp;col=6&amp;number=3&amp;sourceID=14","3")</f>
        <v>3</v>
      </c>
      <c r="G2744" s="4" t="str">
        <f>HYPERLINK("http://141.218.60.56/~jnz1568/getInfo.php?workbook=20_14.xlsx&amp;sheet=U0&amp;row=2744&amp;col=7&amp;number=0.0133&amp;sourceID=14","0.0133")</f>
        <v>0.0133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HYPERLINK("http://141.218.60.56/~jnz1568/getInfo.php?workbook=20_14.xlsx&amp;sheet=U0&amp;row=2745&amp;col=6&amp;number=3.1&amp;sourceID=14","3.1")</f>
        <v>3.1</v>
      </c>
      <c r="G2745" s="4" t="str">
        <f>HYPERLINK("http://141.218.60.56/~jnz1568/getInfo.php?workbook=20_14.xlsx&amp;sheet=U0&amp;row=2745&amp;col=7&amp;number=0.0133&amp;sourceID=14","0.0133")</f>
        <v>0.0133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HYPERLINK("http://141.218.60.56/~jnz1568/getInfo.php?workbook=20_14.xlsx&amp;sheet=U0&amp;row=2746&amp;col=6&amp;number=3.2&amp;sourceID=14","3.2")</f>
        <v>3.2</v>
      </c>
      <c r="G2746" s="4" t="str">
        <f>HYPERLINK("http://141.218.60.56/~jnz1568/getInfo.php?workbook=20_14.xlsx&amp;sheet=U0&amp;row=2746&amp;col=7&amp;number=0.0134&amp;sourceID=14","0.0134")</f>
        <v>0.0134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HYPERLINK("http://141.218.60.56/~jnz1568/getInfo.php?workbook=20_14.xlsx&amp;sheet=U0&amp;row=2747&amp;col=6&amp;number=3.3&amp;sourceID=14","3.3")</f>
        <v>3.3</v>
      </c>
      <c r="G2747" s="4" t="str">
        <f>HYPERLINK("http://141.218.60.56/~jnz1568/getInfo.php?workbook=20_14.xlsx&amp;sheet=U0&amp;row=2747&amp;col=7&amp;number=0.0134&amp;sourceID=14","0.0134")</f>
        <v>0.0134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HYPERLINK("http://141.218.60.56/~jnz1568/getInfo.php?workbook=20_14.xlsx&amp;sheet=U0&amp;row=2748&amp;col=6&amp;number=3.4&amp;sourceID=14","3.4")</f>
        <v>3.4</v>
      </c>
      <c r="G2748" s="4" t="str">
        <f>HYPERLINK("http://141.218.60.56/~jnz1568/getInfo.php?workbook=20_14.xlsx&amp;sheet=U0&amp;row=2748&amp;col=7&amp;number=0.0134&amp;sourceID=14","0.0134")</f>
        <v>0.0134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HYPERLINK("http://141.218.60.56/~jnz1568/getInfo.php?workbook=20_14.xlsx&amp;sheet=U0&amp;row=2749&amp;col=6&amp;number=3.5&amp;sourceID=14","3.5")</f>
        <v>3.5</v>
      </c>
      <c r="G2749" s="4" t="str">
        <f>HYPERLINK("http://141.218.60.56/~jnz1568/getInfo.php?workbook=20_14.xlsx&amp;sheet=U0&amp;row=2749&amp;col=7&amp;number=0.0134&amp;sourceID=14","0.0134")</f>
        <v>0.0134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HYPERLINK("http://141.218.60.56/~jnz1568/getInfo.php?workbook=20_14.xlsx&amp;sheet=U0&amp;row=2750&amp;col=6&amp;number=3.6&amp;sourceID=14","3.6")</f>
        <v>3.6</v>
      </c>
      <c r="G2750" s="4" t="str">
        <f>HYPERLINK("http://141.218.60.56/~jnz1568/getInfo.php?workbook=20_14.xlsx&amp;sheet=U0&amp;row=2750&amp;col=7&amp;number=0.0134&amp;sourceID=14","0.0134")</f>
        <v>0.0134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HYPERLINK("http://141.218.60.56/~jnz1568/getInfo.php?workbook=20_14.xlsx&amp;sheet=U0&amp;row=2751&amp;col=6&amp;number=3.7&amp;sourceID=14","3.7")</f>
        <v>3.7</v>
      </c>
      <c r="G2751" s="4" t="str">
        <f>HYPERLINK("http://141.218.60.56/~jnz1568/getInfo.php?workbook=20_14.xlsx&amp;sheet=U0&amp;row=2751&amp;col=7&amp;number=0.0135&amp;sourceID=14","0.0135")</f>
        <v>0.0135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HYPERLINK("http://141.218.60.56/~jnz1568/getInfo.php?workbook=20_14.xlsx&amp;sheet=U0&amp;row=2752&amp;col=6&amp;number=3.8&amp;sourceID=14","3.8")</f>
        <v>3.8</v>
      </c>
      <c r="G2752" s="4" t="str">
        <f>HYPERLINK("http://141.218.60.56/~jnz1568/getInfo.php?workbook=20_14.xlsx&amp;sheet=U0&amp;row=2752&amp;col=7&amp;number=0.0135&amp;sourceID=14","0.0135")</f>
        <v>0.0135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HYPERLINK("http://141.218.60.56/~jnz1568/getInfo.php?workbook=20_14.xlsx&amp;sheet=U0&amp;row=2753&amp;col=6&amp;number=3.9&amp;sourceID=14","3.9")</f>
        <v>3.9</v>
      </c>
      <c r="G2753" s="4" t="str">
        <f>HYPERLINK("http://141.218.60.56/~jnz1568/getInfo.php?workbook=20_14.xlsx&amp;sheet=U0&amp;row=2753&amp;col=7&amp;number=0.0136&amp;sourceID=14","0.0136")</f>
        <v>0.0136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HYPERLINK("http://141.218.60.56/~jnz1568/getInfo.php?workbook=20_14.xlsx&amp;sheet=U0&amp;row=2754&amp;col=6&amp;number=4&amp;sourceID=14","4")</f>
        <v>4</v>
      </c>
      <c r="G2754" s="4" t="str">
        <f>HYPERLINK("http://141.218.60.56/~jnz1568/getInfo.php?workbook=20_14.xlsx&amp;sheet=U0&amp;row=2754&amp;col=7&amp;number=0.0137&amp;sourceID=14","0.0137")</f>
        <v>0.0137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HYPERLINK("http://141.218.60.56/~jnz1568/getInfo.php?workbook=20_14.xlsx&amp;sheet=U0&amp;row=2755&amp;col=6&amp;number=4.1&amp;sourceID=14","4.1")</f>
        <v>4.1</v>
      </c>
      <c r="G2755" s="4" t="str">
        <f>HYPERLINK("http://141.218.60.56/~jnz1568/getInfo.php?workbook=20_14.xlsx&amp;sheet=U0&amp;row=2755&amp;col=7&amp;number=0.0138&amp;sourceID=14","0.0138")</f>
        <v>0.0138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HYPERLINK("http://141.218.60.56/~jnz1568/getInfo.php?workbook=20_14.xlsx&amp;sheet=U0&amp;row=2756&amp;col=6&amp;number=4.2&amp;sourceID=14","4.2")</f>
        <v>4.2</v>
      </c>
      <c r="G2756" s="4" t="str">
        <f>HYPERLINK("http://141.218.60.56/~jnz1568/getInfo.php?workbook=20_14.xlsx&amp;sheet=U0&amp;row=2756&amp;col=7&amp;number=0.0139&amp;sourceID=14","0.0139")</f>
        <v>0.0139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HYPERLINK("http://141.218.60.56/~jnz1568/getInfo.php?workbook=20_14.xlsx&amp;sheet=U0&amp;row=2757&amp;col=6&amp;number=4.3&amp;sourceID=14","4.3")</f>
        <v>4.3</v>
      </c>
      <c r="G2757" s="4" t="str">
        <f>HYPERLINK("http://141.218.60.56/~jnz1568/getInfo.php?workbook=20_14.xlsx&amp;sheet=U0&amp;row=2757&amp;col=7&amp;number=0.014&amp;sourceID=14","0.014")</f>
        <v>0.014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HYPERLINK("http://141.218.60.56/~jnz1568/getInfo.php?workbook=20_14.xlsx&amp;sheet=U0&amp;row=2758&amp;col=6&amp;number=4.4&amp;sourceID=14","4.4")</f>
        <v>4.4</v>
      </c>
      <c r="G2758" s="4" t="str">
        <f>HYPERLINK("http://141.218.60.56/~jnz1568/getInfo.php?workbook=20_14.xlsx&amp;sheet=U0&amp;row=2758&amp;col=7&amp;number=0.0142&amp;sourceID=14","0.0142")</f>
        <v>0.0142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HYPERLINK("http://141.218.60.56/~jnz1568/getInfo.php?workbook=20_14.xlsx&amp;sheet=U0&amp;row=2759&amp;col=6&amp;number=4.5&amp;sourceID=14","4.5")</f>
        <v>4.5</v>
      </c>
      <c r="G2759" s="4" t="str">
        <f>HYPERLINK("http://141.218.60.56/~jnz1568/getInfo.php?workbook=20_14.xlsx&amp;sheet=U0&amp;row=2759&amp;col=7&amp;number=0.0143&amp;sourceID=14","0.0143")</f>
        <v>0.0143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HYPERLINK("http://141.218.60.56/~jnz1568/getInfo.php?workbook=20_14.xlsx&amp;sheet=U0&amp;row=2760&amp;col=6&amp;number=4.6&amp;sourceID=14","4.6")</f>
        <v>4.6</v>
      </c>
      <c r="G2760" s="4" t="str">
        <f>HYPERLINK("http://141.218.60.56/~jnz1568/getInfo.php?workbook=20_14.xlsx&amp;sheet=U0&amp;row=2760&amp;col=7&amp;number=0.0146&amp;sourceID=14","0.0146")</f>
        <v>0.0146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HYPERLINK("http://141.218.60.56/~jnz1568/getInfo.php?workbook=20_14.xlsx&amp;sheet=U0&amp;row=2761&amp;col=6&amp;number=4.7&amp;sourceID=14","4.7")</f>
        <v>4.7</v>
      </c>
      <c r="G2761" s="4" t="str">
        <f>HYPERLINK("http://141.218.60.56/~jnz1568/getInfo.php?workbook=20_14.xlsx&amp;sheet=U0&amp;row=2761&amp;col=7&amp;number=0.0148&amp;sourceID=14","0.0148")</f>
        <v>0.0148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HYPERLINK("http://141.218.60.56/~jnz1568/getInfo.php?workbook=20_14.xlsx&amp;sheet=U0&amp;row=2762&amp;col=6&amp;number=4.8&amp;sourceID=14","4.8")</f>
        <v>4.8</v>
      </c>
      <c r="G2762" s="4" t="str">
        <f>HYPERLINK("http://141.218.60.56/~jnz1568/getInfo.php?workbook=20_14.xlsx&amp;sheet=U0&amp;row=2762&amp;col=7&amp;number=0.0151&amp;sourceID=14","0.0151")</f>
        <v>0.0151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HYPERLINK("http://141.218.60.56/~jnz1568/getInfo.php?workbook=20_14.xlsx&amp;sheet=U0&amp;row=2763&amp;col=6&amp;number=4.9&amp;sourceID=14","4.9")</f>
        <v>4.9</v>
      </c>
      <c r="G2763" s="4" t="str">
        <f>HYPERLINK("http://141.218.60.56/~jnz1568/getInfo.php?workbook=20_14.xlsx&amp;sheet=U0&amp;row=2763&amp;col=7&amp;number=0.0154&amp;sourceID=14","0.0154")</f>
        <v>0.0154</v>
      </c>
    </row>
    <row r="2764" spans="1:7">
      <c r="A2764" s="3">
        <v>20</v>
      </c>
      <c r="B2764" s="3">
        <v>14</v>
      </c>
      <c r="C2764" s="3">
        <v>6</v>
      </c>
      <c r="D2764" s="3">
        <v>25</v>
      </c>
      <c r="E2764" s="3">
        <v>1</v>
      </c>
      <c r="F2764" s="4" t="str">
        <f>HYPERLINK("http://141.218.60.56/~jnz1568/getInfo.php?workbook=20_14.xlsx&amp;sheet=U0&amp;row=2764&amp;col=6&amp;number=3&amp;sourceID=14","3")</f>
        <v>3</v>
      </c>
      <c r="G2764" s="4" t="str">
        <f>HYPERLINK("http://141.218.60.56/~jnz1568/getInfo.php?workbook=20_14.xlsx&amp;sheet=U0&amp;row=2764&amp;col=7&amp;number=0.0255&amp;sourceID=14","0.0255")</f>
        <v>0.0255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HYPERLINK("http://141.218.60.56/~jnz1568/getInfo.php?workbook=20_14.xlsx&amp;sheet=U0&amp;row=2765&amp;col=6&amp;number=3.1&amp;sourceID=14","3.1")</f>
        <v>3.1</v>
      </c>
      <c r="G2765" s="4" t="str">
        <f>HYPERLINK("http://141.218.60.56/~jnz1568/getInfo.php?workbook=20_14.xlsx&amp;sheet=U0&amp;row=2765&amp;col=7&amp;number=0.0255&amp;sourceID=14","0.0255")</f>
        <v>0.0255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HYPERLINK("http://141.218.60.56/~jnz1568/getInfo.php?workbook=20_14.xlsx&amp;sheet=U0&amp;row=2766&amp;col=6&amp;number=3.2&amp;sourceID=14","3.2")</f>
        <v>3.2</v>
      </c>
      <c r="G2766" s="4" t="str">
        <f>HYPERLINK("http://141.218.60.56/~jnz1568/getInfo.php?workbook=20_14.xlsx&amp;sheet=U0&amp;row=2766&amp;col=7&amp;number=0.0255&amp;sourceID=14","0.0255")</f>
        <v>0.0255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HYPERLINK("http://141.218.60.56/~jnz1568/getInfo.php?workbook=20_14.xlsx&amp;sheet=U0&amp;row=2767&amp;col=6&amp;number=3.3&amp;sourceID=14","3.3")</f>
        <v>3.3</v>
      </c>
      <c r="G2767" s="4" t="str">
        <f>HYPERLINK("http://141.218.60.56/~jnz1568/getInfo.php?workbook=20_14.xlsx&amp;sheet=U0&amp;row=2767&amp;col=7&amp;number=0.0255&amp;sourceID=14","0.0255")</f>
        <v>0.0255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HYPERLINK("http://141.218.60.56/~jnz1568/getInfo.php?workbook=20_14.xlsx&amp;sheet=U0&amp;row=2768&amp;col=6&amp;number=3.4&amp;sourceID=14","3.4")</f>
        <v>3.4</v>
      </c>
      <c r="G2768" s="4" t="str">
        <f>HYPERLINK("http://141.218.60.56/~jnz1568/getInfo.php?workbook=20_14.xlsx&amp;sheet=U0&amp;row=2768&amp;col=7&amp;number=0.0255&amp;sourceID=14","0.0255")</f>
        <v>0.0255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HYPERLINK("http://141.218.60.56/~jnz1568/getInfo.php?workbook=20_14.xlsx&amp;sheet=U0&amp;row=2769&amp;col=6&amp;number=3.5&amp;sourceID=14","3.5")</f>
        <v>3.5</v>
      </c>
      <c r="G2769" s="4" t="str">
        <f>HYPERLINK("http://141.218.60.56/~jnz1568/getInfo.php?workbook=20_14.xlsx&amp;sheet=U0&amp;row=2769&amp;col=7&amp;number=0.0255&amp;sourceID=14","0.0255")</f>
        <v>0.0255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HYPERLINK("http://141.218.60.56/~jnz1568/getInfo.php?workbook=20_14.xlsx&amp;sheet=U0&amp;row=2770&amp;col=6&amp;number=3.6&amp;sourceID=14","3.6")</f>
        <v>3.6</v>
      </c>
      <c r="G2770" s="4" t="str">
        <f>HYPERLINK("http://141.218.60.56/~jnz1568/getInfo.php?workbook=20_14.xlsx&amp;sheet=U0&amp;row=2770&amp;col=7&amp;number=0.0254&amp;sourceID=14","0.0254")</f>
        <v>0.0254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HYPERLINK("http://141.218.60.56/~jnz1568/getInfo.php?workbook=20_14.xlsx&amp;sheet=U0&amp;row=2771&amp;col=6&amp;number=3.7&amp;sourceID=14","3.7")</f>
        <v>3.7</v>
      </c>
      <c r="G2771" s="4" t="str">
        <f>HYPERLINK("http://141.218.60.56/~jnz1568/getInfo.php?workbook=20_14.xlsx&amp;sheet=U0&amp;row=2771&amp;col=7&amp;number=0.0254&amp;sourceID=14","0.0254")</f>
        <v>0.0254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HYPERLINK("http://141.218.60.56/~jnz1568/getInfo.php?workbook=20_14.xlsx&amp;sheet=U0&amp;row=2772&amp;col=6&amp;number=3.8&amp;sourceID=14","3.8")</f>
        <v>3.8</v>
      </c>
      <c r="G2772" s="4" t="str">
        <f>HYPERLINK("http://141.218.60.56/~jnz1568/getInfo.php?workbook=20_14.xlsx&amp;sheet=U0&amp;row=2772&amp;col=7&amp;number=0.0254&amp;sourceID=14","0.0254")</f>
        <v>0.0254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HYPERLINK("http://141.218.60.56/~jnz1568/getInfo.php?workbook=20_14.xlsx&amp;sheet=U0&amp;row=2773&amp;col=6&amp;number=3.9&amp;sourceID=14","3.9")</f>
        <v>3.9</v>
      </c>
      <c r="G2773" s="4" t="str">
        <f>HYPERLINK("http://141.218.60.56/~jnz1568/getInfo.php?workbook=20_14.xlsx&amp;sheet=U0&amp;row=2773&amp;col=7&amp;number=0.0254&amp;sourceID=14","0.0254")</f>
        <v>0.0254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HYPERLINK("http://141.218.60.56/~jnz1568/getInfo.php?workbook=20_14.xlsx&amp;sheet=U0&amp;row=2774&amp;col=6&amp;number=4&amp;sourceID=14","4")</f>
        <v>4</v>
      </c>
      <c r="G2774" s="4" t="str">
        <f>HYPERLINK("http://141.218.60.56/~jnz1568/getInfo.php?workbook=20_14.xlsx&amp;sheet=U0&amp;row=2774&amp;col=7&amp;number=0.0254&amp;sourceID=14","0.0254")</f>
        <v>0.0254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HYPERLINK("http://141.218.60.56/~jnz1568/getInfo.php?workbook=20_14.xlsx&amp;sheet=U0&amp;row=2775&amp;col=6&amp;number=4.1&amp;sourceID=14","4.1")</f>
        <v>4.1</v>
      </c>
      <c r="G2775" s="4" t="str">
        <f>HYPERLINK("http://141.218.60.56/~jnz1568/getInfo.php?workbook=20_14.xlsx&amp;sheet=U0&amp;row=2775&amp;col=7&amp;number=0.0253&amp;sourceID=14","0.0253")</f>
        <v>0.0253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HYPERLINK("http://141.218.60.56/~jnz1568/getInfo.php?workbook=20_14.xlsx&amp;sheet=U0&amp;row=2776&amp;col=6&amp;number=4.2&amp;sourceID=14","4.2")</f>
        <v>4.2</v>
      </c>
      <c r="G2776" s="4" t="str">
        <f>HYPERLINK("http://141.218.60.56/~jnz1568/getInfo.php?workbook=20_14.xlsx&amp;sheet=U0&amp;row=2776&amp;col=7&amp;number=0.0253&amp;sourceID=14","0.0253")</f>
        <v>0.0253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HYPERLINK("http://141.218.60.56/~jnz1568/getInfo.php?workbook=20_14.xlsx&amp;sheet=U0&amp;row=2777&amp;col=6&amp;number=4.3&amp;sourceID=14","4.3")</f>
        <v>4.3</v>
      </c>
      <c r="G2777" s="4" t="str">
        <f>HYPERLINK("http://141.218.60.56/~jnz1568/getInfo.php?workbook=20_14.xlsx&amp;sheet=U0&amp;row=2777&amp;col=7&amp;number=0.0252&amp;sourceID=14","0.0252")</f>
        <v>0.0252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HYPERLINK("http://141.218.60.56/~jnz1568/getInfo.php?workbook=20_14.xlsx&amp;sheet=U0&amp;row=2778&amp;col=6&amp;number=4.4&amp;sourceID=14","4.4")</f>
        <v>4.4</v>
      </c>
      <c r="G2778" s="4" t="str">
        <f>HYPERLINK("http://141.218.60.56/~jnz1568/getInfo.php?workbook=20_14.xlsx&amp;sheet=U0&amp;row=2778&amp;col=7&amp;number=0.0251&amp;sourceID=14","0.0251")</f>
        <v>0.0251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HYPERLINK("http://141.218.60.56/~jnz1568/getInfo.php?workbook=20_14.xlsx&amp;sheet=U0&amp;row=2779&amp;col=6&amp;number=4.5&amp;sourceID=14","4.5")</f>
        <v>4.5</v>
      </c>
      <c r="G2779" s="4" t="str">
        <f>HYPERLINK("http://141.218.60.56/~jnz1568/getInfo.php?workbook=20_14.xlsx&amp;sheet=U0&amp;row=2779&amp;col=7&amp;number=0.025&amp;sourceID=14","0.025")</f>
        <v>0.025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HYPERLINK("http://141.218.60.56/~jnz1568/getInfo.php?workbook=20_14.xlsx&amp;sheet=U0&amp;row=2780&amp;col=6&amp;number=4.6&amp;sourceID=14","4.6")</f>
        <v>4.6</v>
      </c>
      <c r="G2780" s="4" t="str">
        <f>HYPERLINK("http://141.218.60.56/~jnz1568/getInfo.php?workbook=20_14.xlsx&amp;sheet=U0&amp;row=2780&amp;col=7&amp;number=0.0249&amp;sourceID=14","0.0249")</f>
        <v>0.0249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HYPERLINK("http://141.218.60.56/~jnz1568/getInfo.php?workbook=20_14.xlsx&amp;sheet=U0&amp;row=2781&amp;col=6&amp;number=4.7&amp;sourceID=14","4.7")</f>
        <v>4.7</v>
      </c>
      <c r="G2781" s="4" t="str">
        <f>HYPERLINK("http://141.218.60.56/~jnz1568/getInfo.php?workbook=20_14.xlsx&amp;sheet=U0&amp;row=2781&amp;col=7&amp;number=0.0248&amp;sourceID=14","0.0248")</f>
        <v>0.0248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HYPERLINK("http://141.218.60.56/~jnz1568/getInfo.php?workbook=20_14.xlsx&amp;sheet=U0&amp;row=2782&amp;col=6&amp;number=4.8&amp;sourceID=14","4.8")</f>
        <v>4.8</v>
      </c>
      <c r="G2782" s="4" t="str">
        <f>HYPERLINK("http://141.218.60.56/~jnz1568/getInfo.php?workbook=20_14.xlsx&amp;sheet=U0&amp;row=2782&amp;col=7&amp;number=0.0246&amp;sourceID=14","0.0246")</f>
        <v>0.0246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HYPERLINK("http://141.218.60.56/~jnz1568/getInfo.php?workbook=20_14.xlsx&amp;sheet=U0&amp;row=2783&amp;col=6&amp;number=4.9&amp;sourceID=14","4.9")</f>
        <v>4.9</v>
      </c>
      <c r="G2783" s="4" t="str">
        <f>HYPERLINK("http://141.218.60.56/~jnz1568/getInfo.php?workbook=20_14.xlsx&amp;sheet=U0&amp;row=2783&amp;col=7&amp;number=0.0244&amp;sourceID=14","0.0244")</f>
        <v>0.0244</v>
      </c>
    </row>
    <row r="2784" spans="1:7">
      <c r="A2784" s="3">
        <v>20</v>
      </c>
      <c r="B2784" s="3">
        <v>14</v>
      </c>
      <c r="C2784" s="3">
        <v>7</v>
      </c>
      <c r="D2784" s="3">
        <v>16</v>
      </c>
      <c r="E2784" s="3">
        <v>1</v>
      </c>
      <c r="F2784" s="4" t="str">
        <f>HYPERLINK("http://141.218.60.56/~jnz1568/getInfo.php?workbook=20_14.xlsx&amp;sheet=U0&amp;row=2784&amp;col=6&amp;number=3&amp;sourceID=14","3")</f>
        <v>3</v>
      </c>
      <c r="G2784" s="4" t="str">
        <f>HYPERLINK("http://141.218.60.56/~jnz1568/getInfo.php?workbook=20_14.xlsx&amp;sheet=U0&amp;row=2784&amp;col=7&amp;number=0.00926&amp;sourceID=14","0.00926")</f>
        <v>0.00926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HYPERLINK("http://141.218.60.56/~jnz1568/getInfo.php?workbook=20_14.xlsx&amp;sheet=U0&amp;row=2785&amp;col=6&amp;number=3.1&amp;sourceID=14","3.1")</f>
        <v>3.1</v>
      </c>
      <c r="G2785" s="4" t="str">
        <f>HYPERLINK("http://141.218.60.56/~jnz1568/getInfo.php?workbook=20_14.xlsx&amp;sheet=U0&amp;row=2785&amp;col=7&amp;number=0.00926&amp;sourceID=14","0.00926")</f>
        <v>0.00926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HYPERLINK("http://141.218.60.56/~jnz1568/getInfo.php?workbook=20_14.xlsx&amp;sheet=U0&amp;row=2786&amp;col=6&amp;number=3.2&amp;sourceID=14","3.2")</f>
        <v>3.2</v>
      </c>
      <c r="G2786" s="4" t="str">
        <f>HYPERLINK("http://141.218.60.56/~jnz1568/getInfo.php?workbook=20_14.xlsx&amp;sheet=U0&amp;row=2786&amp;col=7&amp;number=0.00926&amp;sourceID=14","0.00926")</f>
        <v>0.00926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HYPERLINK("http://141.218.60.56/~jnz1568/getInfo.php?workbook=20_14.xlsx&amp;sheet=U0&amp;row=2787&amp;col=6&amp;number=3.3&amp;sourceID=14","3.3")</f>
        <v>3.3</v>
      </c>
      <c r="G2787" s="4" t="str">
        <f>HYPERLINK("http://141.218.60.56/~jnz1568/getInfo.php?workbook=20_14.xlsx&amp;sheet=U0&amp;row=2787&amp;col=7&amp;number=0.00926&amp;sourceID=14","0.00926")</f>
        <v>0.00926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HYPERLINK("http://141.218.60.56/~jnz1568/getInfo.php?workbook=20_14.xlsx&amp;sheet=U0&amp;row=2788&amp;col=6&amp;number=3.4&amp;sourceID=14","3.4")</f>
        <v>3.4</v>
      </c>
      <c r="G2788" s="4" t="str">
        <f>HYPERLINK("http://141.218.60.56/~jnz1568/getInfo.php?workbook=20_14.xlsx&amp;sheet=U0&amp;row=2788&amp;col=7&amp;number=0.00925&amp;sourceID=14","0.00925")</f>
        <v>0.00925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HYPERLINK("http://141.218.60.56/~jnz1568/getInfo.php?workbook=20_14.xlsx&amp;sheet=U0&amp;row=2789&amp;col=6&amp;number=3.5&amp;sourceID=14","3.5")</f>
        <v>3.5</v>
      </c>
      <c r="G2789" s="4" t="str">
        <f>HYPERLINK("http://141.218.60.56/~jnz1568/getInfo.php?workbook=20_14.xlsx&amp;sheet=U0&amp;row=2789&amp;col=7&amp;number=0.00925&amp;sourceID=14","0.00925")</f>
        <v>0.00925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HYPERLINK("http://141.218.60.56/~jnz1568/getInfo.php?workbook=20_14.xlsx&amp;sheet=U0&amp;row=2790&amp;col=6&amp;number=3.6&amp;sourceID=14","3.6")</f>
        <v>3.6</v>
      </c>
      <c r="G2790" s="4" t="str">
        <f>HYPERLINK("http://141.218.60.56/~jnz1568/getInfo.php?workbook=20_14.xlsx&amp;sheet=U0&amp;row=2790&amp;col=7&amp;number=0.00924&amp;sourceID=14","0.00924")</f>
        <v>0.00924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HYPERLINK("http://141.218.60.56/~jnz1568/getInfo.php?workbook=20_14.xlsx&amp;sheet=U0&amp;row=2791&amp;col=6&amp;number=3.7&amp;sourceID=14","3.7")</f>
        <v>3.7</v>
      </c>
      <c r="G2791" s="4" t="str">
        <f>HYPERLINK("http://141.218.60.56/~jnz1568/getInfo.php?workbook=20_14.xlsx&amp;sheet=U0&amp;row=2791&amp;col=7&amp;number=0.00924&amp;sourceID=14","0.00924")</f>
        <v>0.00924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HYPERLINK("http://141.218.60.56/~jnz1568/getInfo.php?workbook=20_14.xlsx&amp;sheet=U0&amp;row=2792&amp;col=6&amp;number=3.8&amp;sourceID=14","3.8")</f>
        <v>3.8</v>
      </c>
      <c r="G2792" s="4" t="str">
        <f>HYPERLINK("http://141.218.60.56/~jnz1568/getInfo.php?workbook=20_14.xlsx&amp;sheet=U0&amp;row=2792&amp;col=7&amp;number=0.00923&amp;sourceID=14","0.00923")</f>
        <v>0.00923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HYPERLINK("http://141.218.60.56/~jnz1568/getInfo.php?workbook=20_14.xlsx&amp;sheet=U0&amp;row=2793&amp;col=6&amp;number=3.9&amp;sourceID=14","3.9")</f>
        <v>3.9</v>
      </c>
      <c r="G2793" s="4" t="str">
        <f>HYPERLINK("http://141.218.60.56/~jnz1568/getInfo.php?workbook=20_14.xlsx&amp;sheet=U0&amp;row=2793&amp;col=7&amp;number=0.00922&amp;sourceID=14","0.00922")</f>
        <v>0.00922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HYPERLINK("http://141.218.60.56/~jnz1568/getInfo.php?workbook=20_14.xlsx&amp;sheet=U0&amp;row=2794&amp;col=6&amp;number=4&amp;sourceID=14","4")</f>
        <v>4</v>
      </c>
      <c r="G2794" s="4" t="str">
        <f>HYPERLINK("http://141.218.60.56/~jnz1568/getInfo.php?workbook=20_14.xlsx&amp;sheet=U0&amp;row=2794&amp;col=7&amp;number=0.00921&amp;sourceID=14","0.00921")</f>
        <v>0.00921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HYPERLINK("http://141.218.60.56/~jnz1568/getInfo.php?workbook=20_14.xlsx&amp;sheet=U0&amp;row=2795&amp;col=6&amp;number=4.1&amp;sourceID=14","4.1")</f>
        <v>4.1</v>
      </c>
      <c r="G2795" s="4" t="str">
        <f>HYPERLINK("http://141.218.60.56/~jnz1568/getInfo.php?workbook=20_14.xlsx&amp;sheet=U0&amp;row=2795&amp;col=7&amp;number=0.0092&amp;sourceID=14","0.0092")</f>
        <v>0.0092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HYPERLINK("http://141.218.60.56/~jnz1568/getInfo.php?workbook=20_14.xlsx&amp;sheet=U0&amp;row=2796&amp;col=6&amp;number=4.2&amp;sourceID=14","4.2")</f>
        <v>4.2</v>
      </c>
      <c r="G2796" s="4" t="str">
        <f>HYPERLINK("http://141.218.60.56/~jnz1568/getInfo.php?workbook=20_14.xlsx&amp;sheet=U0&amp;row=2796&amp;col=7&amp;number=0.00918&amp;sourceID=14","0.00918")</f>
        <v>0.00918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HYPERLINK("http://141.218.60.56/~jnz1568/getInfo.php?workbook=20_14.xlsx&amp;sheet=U0&amp;row=2797&amp;col=6&amp;number=4.3&amp;sourceID=14","4.3")</f>
        <v>4.3</v>
      </c>
      <c r="G2797" s="4" t="str">
        <f>HYPERLINK("http://141.218.60.56/~jnz1568/getInfo.php?workbook=20_14.xlsx&amp;sheet=U0&amp;row=2797&amp;col=7&amp;number=0.00916&amp;sourceID=14","0.00916")</f>
        <v>0.00916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HYPERLINK("http://141.218.60.56/~jnz1568/getInfo.php?workbook=20_14.xlsx&amp;sheet=U0&amp;row=2798&amp;col=6&amp;number=4.4&amp;sourceID=14","4.4")</f>
        <v>4.4</v>
      </c>
      <c r="G2798" s="4" t="str">
        <f>HYPERLINK("http://141.218.60.56/~jnz1568/getInfo.php?workbook=20_14.xlsx&amp;sheet=U0&amp;row=2798&amp;col=7&amp;number=0.00913&amp;sourceID=14","0.00913")</f>
        <v>0.00913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HYPERLINK("http://141.218.60.56/~jnz1568/getInfo.php?workbook=20_14.xlsx&amp;sheet=U0&amp;row=2799&amp;col=6&amp;number=4.5&amp;sourceID=14","4.5")</f>
        <v>4.5</v>
      </c>
      <c r="G2799" s="4" t="str">
        <f>HYPERLINK("http://141.218.60.56/~jnz1568/getInfo.php?workbook=20_14.xlsx&amp;sheet=U0&amp;row=2799&amp;col=7&amp;number=0.00909&amp;sourceID=14","0.00909")</f>
        <v>0.00909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HYPERLINK("http://141.218.60.56/~jnz1568/getInfo.php?workbook=20_14.xlsx&amp;sheet=U0&amp;row=2800&amp;col=6&amp;number=4.6&amp;sourceID=14","4.6")</f>
        <v>4.6</v>
      </c>
      <c r="G2800" s="4" t="str">
        <f>HYPERLINK("http://141.218.60.56/~jnz1568/getInfo.php?workbook=20_14.xlsx&amp;sheet=U0&amp;row=2800&amp;col=7&amp;number=0.00905&amp;sourceID=14","0.00905")</f>
        <v>0.00905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HYPERLINK("http://141.218.60.56/~jnz1568/getInfo.php?workbook=20_14.xlsx&amp;sheet=U0&amp;row=2801&amp;col=6&amp;number=4.7&amp;sourceID=14","4.7")</f>
        <v>4.7</v>
      </c>
      <c r="G2801" s="4" t="str">
        <f>HYPERLINK("http://141.218.60.56/~jnz1568/getInfo.php?workbook=20_14.xlsx&amp;sheet=U0&amp;row=2801&amp;col=7&amp;number=0.00899&amp;sourceID=14","0.00899")</f>
        <v>0.00899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HYPERLINK("http://141.218.60.56/~jnz1568/getInfo.php?workbook=20_14.xlsx&amp;sheet=U0&amp;row=2802&amp;col=6&amp;number=4.8&amp;sourceID=14","4.8")</f>
        <v>4.8</v>
      </c>
      <c r="G2802" s="4" t="str">
        <f>HYPERLINK("http://141.218.60.56/~jnz1568/getInfo.php?workbook=20_14.xlsx&amp;sheet=U0&amp;row=2802&amp;col=7&amp;number=0.00892&amp;sourceID=14","0.00892")</f>
        <v>0.00892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HYPERLINK("http://141.218.60.56/~jnz1568/getInfo.php?workbook=20_14.xlsx&amp;sheet=U0&amp;row=2803&amp;col=6&amp;number=4.9&amp;sourceID=14","4.9")</f>
        <v>4.9</v>
      </c>
      <c r="G2803" s="4" t="str">
        <f>HYPERLINK("http://141.218.60.56/~jnz1568/getInfo.php?workbook=20_14.xlsx&amp;sheet=U0&amp;row=2803&amp;col=7&amp;number=0.00883&amp;sourceID=14","0.00883")</f>
        <v>0.00883</v>
      </c>
    </row>
    <row r="2804" spans="1:7">
      <c r="A2804" s="3">
        <v>20</v>
      </c>
      <c r="B2804" s="3">
        <v>14</v>
      </c>
      <c r="C2804" s="3">
        <v>8</v>
      </c>
      <c r="D2804" s="3">
        <v>16</v>
      </c>
      <c r="E2804" s="3">
        <v>1</v>
      </c>
      <c r="F2804" s="4" t="str">
        <f>HYPERLINK("http://141.218.60.56/~jnz1568/getInfo.php?workbook=20_14.xlsx&amp;sheet=U0&amp;row=2804&amp;col=6&amp;number=3&amp;sourceID=14","3")</f>
        <v>3</v>
      </c>
      <c r="G2804" s="4" t="str">
        <f>HYPERLINK("http://141.218.60.56/~jnz1568/getInfo.php?workbook=20_14.xlsx&amp;sheet=U0&amp;row=2804&amp;col=7&amp;number=0.0213&amp;sourceID=14","0.0213")</f>
        <v>0.0213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HYPERLINK("http://141.218.60.56/~jnz1568/getInfo.php?workbook=20_14.xlsx&amp;sheet=U0&amp;row=2805&amp;col=6&amp;number=3.1&amp;sourceID=14","3.1")</f>
        <v>3.1</v>
      </c>
      <c r="G2805" s="4" t="str">
        <f>HYPERLINK("http://141.218.60.56/~jnz1568/getInfo.php?workbook=20_14.xlsx&amp;sheet=U0&amp;row=2805&amp;col=7&amp;number=0.0213&amp;sourceID=14","0.0213")</f>
        <v>0.0213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HYPERLINK("http://141.218.60.56/~jnz1568/getInfo.php?workbook=20_14.xlsx&amp;sheet=U0&amp;row=2806&amp;col=6&amp;number=3.2&amp;sourceID=14","3.2")</f>
        <v>3.2</v>
      </c>
      <c r="G2806" s="4" t="str">
        <f>HYPERLINK("http://141.218.60.56/~jnz1568/getInfo.php?workbook=20_14.xlsx&amp;sheet=U0&amp;row=2806&amp;col=7&amp;number=0.0213&amp;sourceID=14","0.0213")</f>
        <v>0.0213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HYPERLINK("http://141.218.60.56/~jnz1568/getInfo.php?workbook=20_14.xlsx&amp;sheet=U0&amp;row=2807&amp;col=6&amp;number=3.3&amp;sourceID=14","3.3")</f>
        <v>3.3</v>
      </c>
      <c r="G2807" s="4" t="str">
        <f>HYPERLINK("http://141.218.60.56/~jnz1568/getInfo.php?workbook=20_14.xlsx&amp;sheet=U0&amp;row=2807&amp;col=7&amp;number=0.0213&amp;sourceID=14","0.0213")</f>
        <v>0.0213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HYPERLINK("http://141.218.60.56/~jnz1568/getInfo.php?workbook=20_14.xlsx&amp;sheet=U0&amp;row=2808&amp;col=6&amp;number=3.4&amp;sourceID=14","3.4")</f>
        <v>3.4</v>
      </c>
      <c r="G2808" s="4" t="str">
        <f>HYPERLINK("http://141.218.60.56/~jnz1568/getInfo.php?workbook=20_14.xlsx&amp;sheet=U0&amp;row=2808&amp;col=7&amp;number=0.0213&amp;sourceID=14","0.0213")</f>
        <v>0.0213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HYPERLINK("http://141.218.60.56/~jnz1568/getInfo.php?workbook=20_14.xlsx&amp;sheet=U0&amp;row=2809&amp;col=6&amp;number=3.5&amp;sourceID=14","3.5")</f>
        <v>3.5</v>
      </c>
      <c r="G2809" s="4" t="str">
        <f>HYPERLINK("http://141.218.60.56/~jnz1568/getInfo.php?workbook=20_14.xlsx&amp;sheet=U0&amp;row=2809&amp;col=7&amp;number=0.0213&amp;sourceID=14","0.0213")</f>
        <v>0.0213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HYPERLINK("http://141.218.60.56/~jnz1568/getInfo.php?workbook=20_14.xlsx&amp;sheet=U0&amp;row=2810&amp;col=6&amp;number=3.6&amp;sourceID=14","3.6")</f>
        <v>3.6</v>
      </c>
      <c r="G2810" s="4" t="str">
        <f>HYPERLINK("http://141.218.60.56/~jnz1568/getInfo.php?workbook=20_14.xlsx&amp;sheet=U0&amp;row=2810&amp;col=7&amp;number=0.0213&amp;sourceID=14","0.0213")</f>
        <v>0.0213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HYPERLINK("http://141.218.60.56/~jnz1568/getInfo.php?workbook=20_14.xlsx&amp;sheet=U0&amp;row=2811&amp;col=6&amp;number=3.7&amp;sourceID=14","3.7")</f>
        <v>3.7</v>
      </c>
      <c r="G2811" s="4" t="str">
        <f>HYPERLINK("http://141.218.60.56/~jnz1568/getInfo.php?workbook=20_14.xlsx&amp;sheet=U0&amp;row=2811&amp;col=7&amp;number=0.0212&amp;sourceID=14","0.0212")</f>
        <v>0.0212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HYPERLINK("http://141.218.60.56/~jnz1568/getInfo.php?workbook=20_14.xlsx&amp;sheet=U0&amp;row=2812&amp;col=6&amp;number=3.8&amp;sourceID=14","3.8")</f>
        <v>3.8</v>
      </c>
      <c r="G2812" s="4" t="str">
        <f>HYPERLINK("http://141.218.60.56/~jnz1568/getInfo.php?workbook=20_14.xlsx&amp;sheet=U0&amp;row=2812&amp;col=7&amp;number=0.0212&amp;sourceID=14","0.0212")</f>
        <v>0.0212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HYPERLINK("http://141.218.60.56/~jnz1568/getInfo.php?workbook=20_14.xlsx&amp;sheet=U0&amp;row=2813&amp;col=6&amp;number=3.9&amp;sourceID=14","3.9")</f>
        <v>3.9</v>
      </c>
      <c r="G2813" s="4" t="str">
        <f>HYPERLINK("http://141.218.60.56/~jnz1568/getInfo.php?workbook=20_14.xlsx&amp;sheet=U0&amp;row=2813&amp;col=7&amp;number=0.0212&amp;sourceID=14","0.0212")</f>
        <v>0.0212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HYPERLINK("http://141.218.60.56/~jnz1568/getInfo.php?workbook=20_14.xlsx&amp;sheet=U0&amp;row=2814&amp;col=6&amp;number=4&amp;sourceID=14","4")</f>
        <v>4</v>
      </c>
      <c r="G2814" s="4" t="str">
        <f>HYPERLINK("http://141.218.60.56/~jnz1568/getInfo.php?workbook=20_14.xlsx&amp;sheet=U0&amp;row=2814&amp;col=7&amp;number=0.0212&amp;sourceID=14","0.0212")</f>
        <v>0.0212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HYPERLINK("http://141.218.60.56/~jnz1568/getInfo.php?workbook=20_14.xlsx&amp;sheet=U0&amp;row=2815&amp;col=6&amp;number=4.1&amp;sourceID=14","4.1")</f>
        <v>4.1</v>
      </c>
      <c r="G2815" s="4" t="str">
        <f>HYPERLINK("http://141.218.60.56/~jnz1568/getInfo.php?workbook=20_14.xlsx&amp;sheet=U0&amp;row=2815&amp;col=7&amp;number=0.0212&amp;sourceID=14","0.0212")</f>
        <v>0.0212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HYPERLINK("http://141.218.60.56/~jnz1568/getInfo.php?workbook=20_14.xlsx&amp;sheet=U0&amp;row=2816&amp;col=6&amp;number=4.2&amp;sourceID=14","4.2")</f>
        <v>4.2</v>
      </c>
      <c r="G2816" s="4" t="str">
        <f>HYPERLINK("http://141.218.60.56/~jnz1568/getInfo.php?workbook=20_14.xlsx&amp;sheet=U0&amp;row=2816&amp;col=7&amp;number=0.0211&amp;sourceID=14","0.0211")</f>
        <v>0.0211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HYPERLINK("http://141.218.60.56/~jnz1568/getInfo.php?workbook=20_14.xlsx&amp;sheet=U0&amp;row=2817&amp;col=6&amp;number=4.3&amp;sourceID=14","4.3")</f>
        <v>4.3</v>
      </c>
      <c r="G2817" s="4" t="str">
        <f>HYPERLINK("http://141.218.60.56/~jnz1568/getInfo.php?workbook=20_14.xlsx&amp;sheet=U0&amp;row=2817&amp;col=7&amp;number=0.0211&amp;sourceID=14","0.0211")</f>
        <v>0.0211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HYPERLINK("http://141.218.60.56/~jnz1568/getInfo.php?workbook=20_14.xlsx&amp;sheet=U0&amp;row=2818&amp;col=6&amp;number=4.4&amp;sourceID=14","4.4")</f>
        <v>4.4</v>
      </c>
      <c r="G2818" s="4" t="str">
        <f>HYPERLINK("http://141.218.60.56/~jnz1568/getInfo.php?workbook=20_14.xlsx&amp;sheet=U0&amp;row=2818&amp;col=7&amp;number=0.021&amp;sourceID=14","0.021")</f>
        <v>0.021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HYPERLINK("http://141.218.60.56/~jnz1568/getInfo.php?workbook=20_14.xlsx&amp;sheet=U0&amp;row=2819&amp;col=6&amp;number=4.5&amp;sourceID=14","4.5")</f>
        <v>4.5</v>
      </c>
      <c r="G2819" s="4" t="str">
        <f>HYPERLINK("http://141.218.60.56/~jnz1568/getInfo.php?workbook=20_14.xlsx&amp;sheet=U0&amp;row=2819&amp;col=7&amp;number=0.021&amp;sourceID=14","0.021")</f>
        <v>0.021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HYPERLINK("http://141.218.60.56/~jnz1568/getInfo.php?workbook=20_14.xlsx&amp;sheet=U0&amp;row=2820&amp;col=6&amp;number=4.6&amp;sourceID=14","4.6")</f>
        <v>4.6</v>
      </c>
      <c r="G2820" s="4" t="str">
        <f>HYPERLINK("http://141.218.60.56/~jnz1568/getInfo.php?workbook=20_14.xlsx&amp;sheet=U0&amp;row=2820&amp;col=7&amp;number=0.0209&amp;sourceID=14","0.0209")</f>
        <v>0.0209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HYPERLINK("http://141.218.60.56/~jnz1568/getInfo.php?workbook=20_14.xlsx&amp;sheet=U0&amp;row=2821&amp;col=6&amp;number=4.7&amp;sourceID=14","4.7")</f>
        <v>4.7</v>
      </c>
      <c r="G2821" s="4" t="str">
        <f>HYPERLINK("http://141.218.60.56/~jnz1568/getInfo.php?workbook=20_14.xlsx&amp;sheet=U0&amp;row=2821&amp;col=7&amp;number=0.0208&amp;sourceID=14","0.0208")</f>
        <v>0.0208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HYPERLINK("http://141.218.60.56/~jnz1568/getInfo.php?workbook=20_14.xlsx&amp;sheet=U0&amp;row=2822&amp;col=6&amp;number=4.8&amp;sourceID=14","4.8")</f>
        <v>4.8</v>
      </c>
      <c r="G2822" s="4" t="str">
        <f>HYPERLINK("http://141.218.60.56/~jnz1568/getInfo.php?workbook=20_14.xlsx&amp;sheet=U0&amp;row=2822&amp;col=7&amp;number=0.0207&amp;sourceID=14","0.0207")</f>
        <v>0.0207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HYPERLINK("http://141.218.60.56/~jnz1568/getInfo.php?workbook=20_14.xlsx&amp;sheet=U0&amp;row=2823&amp;col=6&amp;number=4.9&amp;sourceID=14","4.9")</f>
        <v>4.9</v>
      </c>
      <c r="G2823" s="4" t="str">
        <f>HYPERLINK("http://141.218.60.56/~jnz1568/getInfo.php?workbook=20_14.xlsx&amp;sheet=U0&amp;row=2823&amp;col=7&amp;number=0.0205&amp;sourceID=14","0.0205")</f>
        <v>0.0205</v>
      </c>
    </row>
    <row r="2824" spans="1:7">
      <c r="A2824" s="3">
        <v>20</v>
      </c>
      <c r="B2824" s="3">
        <v>14</v>
      </c>
      <c r="C2824" s="3">
        <v>9</v>
      </c>
      <c r="D2824" s="3">
        <v>16</v>
      </c>
      <c r="E2824" s="3">
        <v>1</v>
      </c>
      <c r="F2824" s="4" t="str">
        <f>HYPERLINK("http://141.218.60.56/~jnz1568/getInfo.php?workbook=20_14.xlsx&amp;sheet=U0&amp;row=2824&amp;col=6&amp;number=3&amp;sourceID=14","3")</f>
        <v>3</v>
      </c>
      <c r="G2824" s="4" t="str">
        <f>HYPERLINK("http://141.218.60.56/~jnz1568/getInfo.php?workbook=20_14.xlsx&amp;sheet=U0&amp;row=2824&amp;col=7&amp;number=0.0492&amp;sourceID=14","0.0492")</f>
        <v>0.0492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HYPERLINK("http://141.218.60.56/~jnz1568/getInfo.php?workbook=20_14.xlsx&amp;sheet=U0&amp;row=2825&amp;col=6&amp;number=3.1&amp;sourceID=14","3.1")</f>
        <v>3.1</v>
      </c>
      <c r="G2825" s="4" t="str">
        <f>HYPERLINK("http://141.218.60.56/~jnz1568/getInfo.php?workbook=20_14.xlsx&amp;sheet=U0&amp;row=2825&amp;col=7&amp;number=0.0492&amp;sourceID=14","0.0492")</f>
        <v>0.0492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HYPERLINK("http://141.218.60.56/~jnz1568/getInfo.php?workbook=20_14.xlsx&amp;sheet=U0&amp;row=2826&amp;col=6&amp;number=3.2&amp;sourceID=14","3.2")</f>
        <v>3.2</v>
      </c>
      <c r="G2826" s="4" t="str">
        <f>HYPERLINK("http://141.218.60.56/~jnz1568/getInfo.php?workbook=20_14.xlsx&amp;sheet=U0&amp;row=2826&amp;col=7&amp;number=0.0491&amp;sourceID=14","0.0491")</f>
        <v>0.0491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HYPERLINK("http://141.218.60.56/~jnz1568/getInfo.php?workbook=20_14.xlsx&amp;sheet=U0&amp;row=2827&amp;col=6&amp;number=3.3&amp;sourceID=14","3.3")</f>
        <v>3.3</v>
      </c>
      <c r="G2827" s="4" t="str">
        <f>HYPERLINK("http://141.218.60.56/~jnz1568/getInfo.php?workbook=20_14.xlsx&amp;sheet=U0&amp;row=2827&amp;col=7&amp;number=0.0491&amp;sourceID=14","0.0491")</f>
        <v>0.0491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HYPERLINK("http://141.218.60.56/~jnz1568/getInfo.php?workbook=20_14.xlsx&amp;sheet=U0&amp;row=2828&amp;col=6&amp;number=3.4&amp;sourceID=14","3.4")</f>
        <v>3.4</v>
      </c>
      <c r="G2828" s="4" t="str">
        <f>HYPERLINK("http://141.218.60.56/~jnz1568/getInfo.php?workbook=20_14.xlsx&amp;sheet=U0&amp;row=2828&amp;col=7&amp;number=0.0491&amp;sourceID=14","0.0491")</f>
        <v>0.0491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HYPERLINK("http://141.218.60.56/~jnz1568/getInfo.php?workbook=20_14.xlsx&amp;sheet=U0&amp;row=2829&amp;col=6&amp;number=3.5&amp;sourceID=14","3.5")</f>
        <v>3.5</v>
      </c>
      <c r="G2829" s="4" t="str">
        <f>HYPERLINK("http://141.218.60.56/~jnz1568/getInfo.php?workbook=20_14.xlsx&amp;sheet=U0&amp;row=2829&amp;col=7&amp;number=0.0491&amp;sourceID=14","0.0491")</f>
        <v>0.0491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HYPERLINK("http://141.218.60.56/~jnz1568/getInfo.php?workbook=20_14.xlsx&amp;sheet=U0&amp;row=2830&amp;col=6&amp;number=3.6&amp;sourceID=14","3.6")</f>
        <v>3.6</v>
      </c>
      <c r="G2830" s="4" t="str">
        <f>HYPERLINK("http://141.218.60.56/~jnz1568/getInfo.php?workbook=20_14.xlsx&amp;sheet=U0&amp;row=2830&amp;col=7&amp;number=0.0491&amp;sourceID=14","0.0491")</f>
        <v>0.0491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HYPERLINK("http://141.218.60.56/~jnz1568/getInfo.php?workbook=20_14.xlsx&amp;sheet=U0&amp;row=2831&amp;col=6&amp;number=3.7&amp;sourceID=14","3.7")</f>
        <v>3.7</v>
      </c>
      <c r="G2831" s="4" t="str">
        <f>HYPERLINK("http://141.218.60.56/~jnz1568/getInfo.php?workbook=20_14.xlsx&amp;sheet=U0&amp;row=2831&amp;col=7&amp;number=0.0491&amp;sourceID=14","0.0491")</f>
        <v>0.0491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HYPERLINK("http://141.218.60.56/~jnz1568/getInfo.php?workbook=20_14.xlsx&amp;sheet=U0&amp;row=2832&amp;col=6&amp;number=3.8&amp;sourceID=14","3.8")</f>
        <v>3.8</v>
      </c>
      <c r="G2832" s="4" t="str">
        <f>HYPERLINK("http://141.218.60.56/~jnz1568/getInfo.php?workbook=20_14.xlsx&amp;sheet=U0&amp;row=2832&amp;col=7&amp;number=0.049&amp;sourceID=14","0.049")</f>
        <v>0.049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HYPERLINK("http://141.218.60.56/~jnz1568/getInfo.php?workbook=20_14.xlsx&amp;sheet=U0&amp;row=2833&amp;col=6&amp;number=3.9&amp;sourceID=14","3.9")</f>
        <v>3.9</v>
      </c>
      <c r="G2833" s="4" t="str">
        <f>HYPERLINK("http://141.218.60.56/~jnz1568/getInfo.php?workbook=20_14.xlsx&amp;sheet=U0&amp;row=2833&amp;col=7&amp;number=0.049&amp;sourceID=14","0.049")</f>
        <v>0.049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HYPERLINK("http://141.218.60.56/~jnz1568/getInfo.php?workbook=20_14.xlsx&amp;sheet=U0&amp;row=2834&amp;col=6&amp;number=4&amp;sourceID=14","4")</f>
        <v>4</v>
      </c>
      <c r="G2834" s="4" t="str">
        <f>HYPERLINK("http://141.218.60.56/~jnz1568/getInfo.php?workbook=20_14.xlsx&amp;sheet=U0&amp;row=2834&amp;col=7&amp;number=0.0489&amp;sourceID=14","0.0489")</f>
        <v>0.0489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HYPERLINK("http://141.218.60.56/~jnz1568/getInfo.php?workbook=20_14.xlsx&amp;sheet=U0&amp;row=2835&amp;col=6&amp;number=4.1&amp;sourceID=14","4.1")</f>
        <v>4.1</v>
      </c>
      <c r="G2835" s="4" t="str">
        <f>HYPERLINK("http://141.218.60.56/~jnz1568/getInfo.php?workbook=20_14.xlsx&amp;sheet=U0&amp;row=2835&amp;col=7&amp;number=0.0489&amp;sourceID=14","0.0489")</f>
        <v>0.0489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HYPERLINK("http://141.218.60.56/~jnz1568/getInfo.php?workbook=20_14.xlsx&amp;sheet=U0&amp;row=2836&amp;col=6&amp;number=4.2&amp;sourceID=14","4.2")</f>
        <v>4.2</v>
      </c>
      <c r="G2836" s="4" t="str">
        <f>HYPERLINK("http://141.218.60.56/~jnz1568/getInfo.php?workbook=20_14.xlsx&amp;sheet=U0&amp;row=2836&amp;col=7&amp;number=0.0488&amp;sourceID=14","0.0488")</f>
        <v>0.0488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HYPERLINK("http://141.218.60.56/~jnz1568/getInfo.php?workbook=20_14.xlsx&amp;sheet=U0&amp;row=2837&amp;col=6&amp;number=4.3&amp;sourceID=14","4.3")</f>
        <v>4.3</v>
      </c>
      <c r="G2837" s="4" t="str">
        <f>HYPERLINK("http://141.218.60.56/~jnz1568/getInfo.php?workbook=20_14.xlsx&amp;sheet=U0&amp;row=2837&amp;col=7&amp;number=0.0487&amp;sourceID=14","0.0487")</f>
        <v>0.0487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HYPERLINK("http://141.218.60.56/~jnz1568/getInfo.php?workbook=20_14.xlsx&amp;sheet=U0&amp;row=2838&amp;col=6&amp;number=4.4&amp;sourceID=14","4.4")</f>
        <v>4.4</v>
      </c>
      <c r="G2838" s="4" t="str">
        <f>HYPERLINK("http://141.218.60.56/~jnz1568/getInfo.php?workbook=20_14.xlsx&amp;sheet=U0&amp;row=2838&amp;col=7&amp;number=0.0486&amp;sourceID=14","0.0486")</f>
        <v>0.0486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HYPERLINK("http://141.218.60.56/~jnz1568/getInfo.php?workbook=20_14.xlsx&amp;sheet=U0&amp;row=2839&amp;col=6&amp;number=4.5&amp;sourceID=14","4.5")</f>
        <v>4.5</v>
      </c>
      <c r="G2839" s="4" t="str">
        <f>HYPERLINK("http://141.218.60.56/~jnz1568/getInfo.php?workbook=20_14.xlsx&amp;sheet=U0&amp;row=2839&amp;col=7&amp;number=0.0485&amp;sourceID=14","0.0485")</f>
        <v>0.0485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HYPERLINK("http://141.218.60.56/~jnz1568/getInfo.php?workbook=20_14.xlsx&amp;sheet=U0&amp;row=2840&amp;col=6&amp;number=4.6&amp;sourceID=14","4.6")</f>
        <v>4.6</v>
      </c>
      <c r="G2840" s="4" t="str">
        <f>HYPERLINK("http://141.218.60.56/~jnz1568/getInfo.php?workbook=20_14.xlsx&amp;sheet=U0&amp;row=2840&amp;col=7&amp;number=0.0483&amp;sourceID=14","0.0483")</f>
        <v>0.0483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HYPERLINK("http://141.218.60.56/~jnz1568/getInfo.php?workbook=20_14.xlsx&amp;sheet=U0&amp;row=2841&amp;col=6&amp;number=4.7&amp;sourceID=14","4.7")</f>
        <v>4.7</v>
      </c>
      <c r="G2841" s="4" t="str">
        <f>HYPERLINK("http://141.218.60.56/~jnz1568/getInfo.php?workbook=20_14.xlsx&amp;sheet=U0&amp;row=2841&amp;col=7&amp;number=0.048&amp;sourceID=14","0.048")</f>
        <v>0.048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HYPERLINK("http://141.218.60.56/~jnz1568/getInfo.php?workbook=20_14.xlsx&amp;sheet=U0&amp;row=2842&amp;col=6&amp;number=4.8&amp;sourceID=14","4.8")</f>
        <v>4.8</v>
      </c>
      <c r="G2842" s="4" t="str">
        <f>HYPERLINK("http://141.218.60.56/~jnz1568/getInfo.php?workbook=20_14.xlsx&amp;sheet=U0&amp;row=2842&amp;col=7&amp;number=0.0477&amp;sourceID=14","0.0477")</f>
        <v>0.0477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HYPERLINK("http://141.218.60.56/~jnz1568/getInfo.php?workbook=20_14.xlsx&amp;sheet=U0&amp;row=2843&amp;col=6&amp;number=4.9&amp;sourceID=14","4.9")</f>
        <v>4.9</v>
      </c>
      <c r="G2843" s="4" t="str">
        <f>HYPERLINK("http://141.218.60.56/~jnz1568/getInfo.php?workbook=20_14.xlsx&amp;sheet=U0&amp;row=2843&amp;col=7&amp;number=0.0474&amp;sourceID=14","0.0474")</f>
        <v>0.0474</v>
      </c>
    </row>
    <row r="2844" spans="1:7">
      <c r="A2844" s="3">
        <v>20</v>
      </c>
      <c r="B2844" s="3">
        <v>14</v>
      </c>
      <c r="C2844" s="3">
        <v>10</v>
      </c>
      <c r="D2844" s="3">
        <v>16</v>
      </c>
      <c r="E2844" s="3">
        <v>1</v>
      </c>
      <c r="F2844" s="4" t="str">
        <f>HYPERLINK("http://141.218.60.56/~jnz1568/getInfo.php?workbook=20_14.xlsx&amp;sheet=U0&amp;row=2844&amp;col=6&amp;number=3&amp;sourceID=14","3")</f>
        <v>3</v>
      </c>
      <c r="G2844" s="4" t="str">
        <f>HYPERLINK("http://141.218.60.56/~jnz1568/getInfo.php?workbook=20_14.xlsx&amp;sheet=U0&amp;row=2844&amp;col=7&amp;number=0.0052&amp;sourceID=14","0.0052")</f>
        <v>0.0052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HYPERLINK("http://141.218.60.56/~jnz1568/getInfo.php?workbook=20_14.xlsx&amp;sheet=U0&amp;row=2845&amp;col=6&amp;number=3.1&amp;sourceID=14","3.1")</f>
        <v>3.1</v>
      </c>
      <c r="G2845" s="4" t="str">
        <f>HYPERLINK("http://141.218.60.56/~jnz1568/getInfo.php?workbook=20_14.xlsx&amp;sheet=U0&amp;row=2845&amp;col=7&amp;number=0.0052&amp;sourceID=14","0.0052")</f>
        <v>0.0052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HYPERLINK("http://141.218.60.56/~jnz1568/getInfo.php?workbook=20_14.xlsx&amp;sheet=U0&amp;row=2846&amp;col=6&amp;number=3.2&amp;sourceID=14","3.2")</f>
        <v>3.2</v>
      </c>
      <c r="G2846" s="4" t="str">
        <f>HYPERLINK("http://141.218.60.56/~jnz1568/getInfo.php?workbook=20_14.xlsx&amp;sheet=U0&amp;row=2846&amp;col=7&amp;number=0.00519&amp;sourceID=14","0.00519")</f>
        <v>0.00519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HYPERLINK("http://141.218.60.56/~jnz1568/getInfo.php?workbook=20_14.xlsx&amp;sheet=U0&amp;row=2847&amp;col=6&amp;number=3.3&amp;sourceID=14","3.3")</f>
        <v>3.3</v>
      </c>
      <c r="G2847" s="4" t="str">
        <f>HYPERLINK("http://141.218.60.56/~jnz1568/getInfo.php?workbook=20_14.xlsx&amp;sheet=U0&amp;row=2847&amp;col=7&amp;number=0.00519&amp;sourceID=14","0.00519")</f>
        <v>0.00519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HYPERLINK("http://141.218.60.56/~jnz1568/getInfo.php?workbook=20_14.xlsx&amp;sheet=U0&amp;row=2848&amp;col=6&amp;number=3.4&amp;sourceID=14","3.4")</f>
        <v>3.4</v>
      </c>
      <c r="G2848" s="4" t="str">
        <f>HYPERLINK("http://141.218.60.56/~jnz1568/getInfo.php?workbook=20_14.xlsx&amp;sheet=U0&amp;row=2848&amp;col=7&amp;number=0.00519&amp;sourceID=14","0.00519")</f>
        <v>0.00519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HYPERLINK("http://141.218.60.56/~jnz1568/getInfo.php?workbook=20_14.xlsx&amp;sheet=U0&amp;row=2849&amp;col=6&amp;number=3.5&amp;sourceID=14","3.5")</f>
        <v>3.5</v>
      </c>
      <c r="G2849" s="4" t="str">
        <f>HYPERLINK("http://141.218.60.56/~jnz1568/getInfo.php?workbook=20_14.xlsx&amp;sheet=U0&amp;row=2849&amp;col=7&amp;number=0.00519&amp;sourceID=14","0.00519")</f>
        <v>0.00519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HYPERLINK("http://141.218.60.56/~jnz1568/getInfo.php?workbook=20_14.xlsx&amp;sheet=U0&amp;row=2850&amp;col=6&amp;number=3.6&amp;sourceID=14","3.6")</f>
        <v>3.6</v>
      </c>
      <c r="G2850" s="4" t="str">
        <f>HYPERLINK("http://141.218.60.56/~jnz1568/getInfo.php?workbook=20_14.xlsx&amp;sheet=U0&amp;row=2850&amp;col=7&amp;number=0.00519&amp;sourceID=14","0.00519")</f>
        <v>0.00519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HYPERLINK("http://141.218.60.56/~jnz1568/getInfo.php?workbook=20_14.xlsx&amp;sheet=U0&amp;row=2851&amp;col=6&amp;number=3.7&amp;sourceID=14","3.7")</f>
        <v>3.7</v>
      </c>
      <c r="G2851" s="4" t="str">
        <f>HYPERLINK("http://141.218.60.56/~jnz1568/getInfo.php?workbook=20_14.xlsx&amp;sheet=U0&amp;row=2851&amp;col=7&amp;number=0.00518&amp;sourceID=14","0.00518")</f>
        <v>0.00518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HYPERLINK("http://141.218.60.56/~jnz1568/getInfo.php?workbook=20_14.xlsx&amp;sheet=U0&amp;row=2852&amp;col=6&amp;number=3.8&amp;sourceID=14","3.8")</f>
        <v>3.8</v>
      </c>
      <c r="G2852" s="4" t="str">
        <f>HYPERLINK("http://141.218.60.56/~jnz1568/getInfo.php?workbook=20_14.xlsx&amp;sheet=U0&amp;row=2852&amp;col=7&amp;number=0.00518&amp;sourceID=14","0.00518")</f>
        <v>0.00518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HYPERLINK("http://141.218.60.56/~jnz1568/getInfo.php?workbook=20_14.xlsx&amp;sheet=U0&amp;row=2853&amp;col=6&amp;number=3.9&amp;sourceID=14","3.9")</f>
        <v>3.9</v>
      </c>
      <c r="G2853" s="4" t="str">
        <f>HYPERLINK("http://141.218.60.56/~jnz1568/getInfo.php?workbook=20_14.xlsx&amp;sheet=U0&amp;row=2853&amp;col=7&amp;number=0.00518&amp;sourceID=14","0.00518")</f>
        <v>0.00518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HYPERLINK("http://141.218.60.56/~jnz1568/getInfo.php?workbook=20_14.xlsx&amp;sheet=U0&amp;row=2854&amp;col=6&amp;number=4&amp;sourceID=14","4")</f>
        <v>4</v>
      </c>
      <c r="G2854" s="4" t="str">
        <f>HYPERLINK("http://141.218.60.56/~jnz1568/getInfo.php?workbook=20_14.xlsx&amp;sheet=U0&amp;row=2854&amp;col=7&amp;number=0.00517&amp;sourceID=14","0.00517")</f>
        <v>0.00517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HYPERLINK("http://141.218.60.56/~jnz1568/getInfo.php?workbook=20_14.xlsx&amp;sheet=U0&amp;row=2855&amp;col=6&amp;number=4.1&amp;sourceID=14","4.1")</f>
        <v>4.1</v>
      </c>
      <c r="G2855" s="4" t="str">
        <f>HYPERLINK("http://141.218.60.56/~jnz1568/getInfo.php?workbook=20_14.xlsx&amp;sheet=U0&amp;row=2855&amp;col=7&amp;number=0.00516&amp;sourceID=14","0.00516")</f>
        <v>0.00516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HYPERLINK("http://141.218.60.56/~jnz1568/getInfo.php?workbook=20_14.xlsx&amp;sheet=U0&amp;row=2856&amp;col=6&amp;number=4.2&amp;sourceID=14","4.2")</f>
        <v>4.2</v>
      </c>
      <c r="G2856" s="4" t="str">
        <f>HYPERLINK("http://141.218.60.56/~jnz1568/getInfo.php?workbook=20_14.xlsx&amp;sheet=U0&amp;row=2856&amp;col=7&amp;number=0.00515&amp;sourceID=14","0.00515")</f>
        <v>0.00515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HYPERLINK("http://141.218.60.56/~jnz1568/getInfo.php?workbook=20_14.xlsx&amp;sheet=U0&amp;row=2857&amp;col=6&amp;number=4.3&amp;sourceID=14","4.3")</f>
        <v>4.3</v>
      </c>
      <c r="G2857" s="4" t="str">
        <f>HYPERLINK("http://141.218.60.56/~jnz1568/getInfo.php?workbook=20_14.xlsx&amp;sheet=U0&amp;row=2857&amp;col=7&amp;number=0.00514&amp;sourceID=14","0.00514")</f>
        <v>0.00514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HYPERLINK("http://141.218.60.56/~jnz1568/getInfo.php?workbook=20_14.xlsx&amp;sheet=U0&amp;row=2858&amp;col=6&amp;number=4.4&amp;sourceID=14","4.4")</f>
        <v>4.4</v>
      </c>
      <c r="G2858" s="4" t="str">
        <f>HYPERLINK("http://141.218.60.56/~jnz1568/getInfo.php?workbook=20_14.xlsx&amp;sheet=U0&amp;row=2858&amp;col=7&amp;number=0.00513&amp;sourceID=14","0.00513")</f>
        <v>0.00513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HYPERLINK("http://141.218.60.56/~jnz1568/getInfo.php?workbook=20_14.xlsx&amp;sheet=U0&amp;row=2859&amp;col=6&amp;number=4.5&amp;sourceID=14","4.5")</f>
        <v>4.5</v>
      </c>
      <c r="G2859" s="4" t="str">
        <f>HYPERLINK("http://141.218.60.56/~jnz1568/getInfo.php?workbook=20_14.xlsx&amp;sheet=U0&amp;row=2859&amp;col=7&amp;number=0.00511&amp;sourceID=14","0.00511")</f>
        <v>0.00511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HYPERLINK("http://141.218.60.56/~jnz1568/getInfo.php?workbook=20_14.xlsx&amp;sheet=U0&amp;row=2860&amp;col=6&amp;number=4.6&amp;sourceID=14","4.6")</f>
        <v>4.6</v>
      </c>
      <c r="G2860" s="4" t="str">
        <f>HYPERLINK("http://141.218.60.56/~jnz1568/getInfo.php?workbook=20_14.xlsx&amp;sheet=U0&amp;row=2860&amp;col=7&amp;number=0.00509&amp;sourceID=14","0.00509")</f>
        <v>0.00509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HYPERLINK("http://141.218.60.56/~jnz1568/getInfo.php?workbook=20_14.xlsx&amp;sheet=U0&amp;row=2861&amp;col=6&amp;number=4.7&amp;sourceID=14","4.7")</f>
        <v>4.7</v>
      </c>
      <c r="G2861" s="4" t="str">
        <f>HYPERLINK("http://141.218.60.56/~jnz1568/getInfo.php?workbook=20_14.xlsx&amp;sheet=U0&amp;row=2861&amp;col=7&amp;number=0.00506&amp;sourceID=14","0.00506")</f>
        <v>0.00506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HYPERLINK("http://141.218.60.56/~jnz1568/getInfo.php?workbook=20_14.xlsx&amp;sheet=U0&amp;row=2862&amp;col=6&amp;number=4.8&amp;sourceID=14","4.8")</f>
        <v>4.8</v>
      </c>
      <c r="G2862" s="4" t="str">
        <f>HYPERLINK("http://141.218.60.56/~jnz1568/getInfo.php?workbook=20_14.xlsx&amp;sheet=U0&amp;row=2862&amp;col=7&amp;number=0.00502&amp;sourceID=14","0.00502")</f>
        <v>0.00502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HYPERLINK("http://141.218.60.56/~jnz1568/getInfo.php?workbook=20_14.xlsx&amp;sheet=U0&amp;row=2863&amp;col=6&amp;number=4.9&amp;sourceID=14","4.9")</f>
        <v>4.9</v>
      </c>
      <c r="G2863" s="4" t="str">
        <f>HYPERLINK("http://141.218.60.56/~jnz1568/getInfo.php?workbook=20_14.xlsx&amp;sheet=U0&amp;row=2863&amp;col=7&amp;number=0.00498&amp;sourceID=14","0.00498")</f>
        <v>0.00498</v>
      </c>
    </row>
    <row r="2864" spans="1:7">
      <c r="A2864" s="3">
        <v>20</v>
      </c>
      <c r="B2864" s="3">
        <v>14</v>
      </c>
      <c r="C2864" s="3">
        <v>11</v>
      </c>
      <c r="D2864" s="3">
        <v>16</v>
      </c>
      <c r="E2864" s="3">
        <v>1</v>
      </c>
      <c r="F2864" s="4" t="str">
        <f>HYPERLINK("http://141.218.60.56/~jnz1568/getInfo.php?workbook=20_14.xlsx&amp;sheet=U0&amp;row=2864&amp;col=6&amp;number=3&amp;sourceID=14","3")</f>
        <v>3</v>
      </c>
      <c r="G2864" s="4" t="str">
        <f>HYPERLINK("http://141.218.60.56/~jnz1568/getInfo.php?workbook=20_14.xlsx&amp;sheet=U0&amp;row=2864&amp;col=7&amp;number=0.0206&amp;sourceID=14","0.0206")</f>
        <v>0.0206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HYPERLINK("http://141.218.60.56/~jnz1568/getInfo.php?workbook=20_14.xlsx&amp;sheet=U0&amp;row=2865&amp;col=6&amp;number=3.1&amp;sourceID=14","3.1")</f>
        <v>3.1</v>
      </c>
      <c r="G2865" s="4" t="str">
        <f>HYPERLINK("http://141.218.60.56/~jnz1568/getInfo.php?workbook=20_14.xlsx&amp;sheet=U0&amp;row=2865&amp;col=7&amp;number=0.0206&amp;sourceID=14","0.0206")</f>
        <v>0.0206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HYPERLINK("http://141.218.60.56/~jnz1568/getInfo.php?workbook=20_14.xlsx&amp;sheet=U0&amp;row=2866&amp;col=6&amp;number=3.2&amp;sourceID=14","3.2")</f>
        <v>3.2</v>
      </c>
      <c r="G2866" s="4" t="str">
        <f>HYPERLINK("http://141.218.60.56/~jnz1568/getInfo.php?workbook=20_14.xlsx&amp;sheet=U0&amp;row=2866&amp;col=7&amp;number=0.0206&amp;sourceID=14","0.0206")</f>
        <v>0.0206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HYPERLINK("http://141.218.60.56/~jnz1568/getInfo.php?workbook=20_14.xlsx&amp;sheet=U0&amp;row=2867&amp;col=6&amp;number=3.3&amp;sourceID=14","3.3")</f>
        <v>3.3</v>
      </c>
      <c r="G2867" s="4" t="str">
        <f>HYPERLINK("http://141.218.60.56/~jnz1568/getInfo.php?workbook=20_14.xlsx&amp;sheet=U0&amp;row=2867&amp;col=7&amp;number=0.0206&amp;sourceID=14","0.0206")</f>
        <v>0.0206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HYPERLINK("http://141.218.60.56/~jnz1568/getInfo.php?workbook=20_14.xlsx&amp;sheet=U0&amp;row=2868&amp;col=6&amp;number=3.4&amp;sourceID=14","3.4")</f>
        <v>3.4</v>
      </c>
      <c r="G2868" s="4" t="str">
        <f>HYPERLINK("http://141.218.60.56/~jnz1568/getInfo.php?workbook=20_14.xlsx&amp;sheet=U0&amp;row=2868&amp;col=7&amp;number=0.0206&amp;sourceID=14","0.0206")</f>
        <v>0.0206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HYPERLINK("http://141.218.60.56/~jnz1568/getInfo.php?workbook=20_14.xlsx&amp;sheet=U0&amp;row=2869&amp;col=6&amp;number=3.5&amp;sourceID=14","3.5")</f>
        <v>3.5</v>
      </c>
      <c r="G2869" s="4" t="str">
        <f>HYPERLINK("http://141.218.60.56/~jnz1568/getInfo.php?workbook=20_14.xlsx&amp;sheet=U0&amp;row=2869&amp;col=7&amp;number=0.0206&amp;sourceID=14","0.0206")</f>
        <v>0.0206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HYPERLINK("http://141.218.60.56/~jnz1568/getInfo.php?workbook=20_14.xlsx&amp;sheet=U0&amp;row=2870&amp;col=6&amp;number=3.6&amp;sourceID=14","3.6")</f>
        <v>3.6</v>
      </c>
      <c r="G2870" s="4" t="str">
        <f>HYPERLINK("http://141.218.60.56/~jnz1568/getInfo.php?workbook=20_14.xlsx&amp;sheet=U0&amp;row=2870&amp;col=7&amp;number=0.0206&amp;sourceID=14","0.0206")</f>
        <v>0.0206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HYPERLINK("http://141.218.60.56/~jnz1568/getInfo.php?workbook=20_14.xlsx&amp;sheet=U0&amp;row=2871&amp;col=6&amp;number=3.7&amp;sourceID=14","3.7")</f>
        <v>3.7</v>
      </c>
      <c r="G2871" s="4" t="str">
        <f>HYPERLINK("http://141.218.60.56/~jnz1568/getInfo.php?workbook=20_14.xlsx&amp;sheet=U0&amp;row=2871&amp;col=7&amp;number=0.0205&amp;sourceID=14","0.0205")</f>
        <v>0.0205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HYPERLINK("http://141.218.60.56/~jnz1568/getInfo.php?workbook=20_14.xlsx&amp;sheet=U0&amp;row=2872&amp;col=6&amp;number=3.8&amp;sourceID=14","3.8")</f>
        <v>3.8</v>
      </c>
      <c r="G2872" s="4" t="str">
        <f>HYPERLINK("http://141.218.60.56/~jnz1568/getInfo.php?workbook=20_14.xlsx&amp;sheet=U0&amp;row=2872&amp;col=7&amp;number=0.0205&amp;sourceID=14","0.0205")</f>
        <v>0.0205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HYPERLINK("http://141.218.60.56/~jnz1568/getInfo.php?workbook=20_14.xlsx&amp;sheet=U0&amp;row=2873&amp;col=6&amp;number=3.9&amp;sourceID=14","3.9")</f>
        <v>3.9</v>
      </c>
      <c r="G2873" s="4" t="str">
        <f>HYPERLINK("http://141.218.60.56/~jnz1568/getInfo.php?workbook=20_14.xlsx&amp;sheet=U0&amp;row=2873&amp;col=7&amp;number=0.0205&amp;sourceID=14","0.0205")</f>
        <v>0.0205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HYPERLINK("http://141.218.60.56/~jnz1568/getInfo.php?workbook=20_14.xlsx&amp;sheet=U0&amp;row=2874&amp;col=6&amp;number=4&amp;sourceID=14","4")</f>
        <v>4</v>
      </c>
      <c r="G2874" s="4" t="str">
        <f>HYPERLINK("http://141.218.60.56/~jnz1568/getInfo.php?workbook=20_14.xlsx&amp;sheet=U0&amp;row=2874&amp;col=7&amp;number=0.0205&amp;sourceID=14","0.0205")</f>
        <v>0.0205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HYPERLINK("http://141.218.60.56/~jnz1568/getInfo.php?workbook=20_14.xlsx&amp;sheet=U0&amp;row=2875&amp;col=6&amp;number=4.1&amp;sourceID=14","4.1")</f>
        <v>4.1</v>
      </c>
      <c r="G2875" s="4" t="str">
        <f>HYPERLINK("http://141.218.60.56/~jnz1568/getInfo.php?workbook=20_14.xlsx&amp;sheet=U0&amp;row=2875&amp;col=7&amp;number=0.0204&amp;sourceID=14","0.0204")</f>
        <v>0.0204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HYPERLINK("http://141.218.60.56/~jnz1568/getInfo.php?workbook=20_14.xlsx&amp;sheet=U0&amp;row=2876&amp;col=6&amp;number=4.2&amp;sourceID=14","4.2")</f>
        <v>4.2</v>
      </c>
      <c r="G2876" s="4" t="str">
        <f>HYPERLINK("http://141.218.60.56/~jnz1568/getInfo.php?workbook=20_14.xlsx&amp;sheet=U0&amp;row=2876&amp;col=7&amp;number=0.0204&amp;sourceID=14","0.0204")</f>
        <v>0.0204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HYPERLINK("http://141.218.60.56/~jnz1568/getInfo.php?workbook=20_14.xlsx&amp;sheet=U0&amp;row=2877&amp;col=6&amp;number=4.3&amp;sourceID=14","4.3")</f>
        <v>4.3</v>
      </c>
      <c r="G2877" s="4" t="str">
        <f>HYPERLINK("http://141.218.60.56/~jnz1568/getInfo.php?workbook=20_14.xlsx&amp;sheet=U0&amp;row=2877&amp;col=7&amp;number=0.0204&amp;sourceID=14","0.0204")</f>
        <v>0.0204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HYPERLINK("http://141.218.60.56/~jnz1568/getInfo.php?workbook=20_14.xlsx&amp;sheet=U0&amp;row=2878&amp;col=6&amp;number=4.4&amp;sourceID=14","4.4")</f>
        <v>4.4</v>
      </c>
      <c r="G2878" s="4" t="str">
        <f>HYPERLINK("http://141.218.60.56/~jnz1568/getInfo.php?workbook=20_14.xlsx&amp;sheet=U0&amp;row=2878&amp;col=7&amp;number=0.0203&amp;sourceID=14","0.0203")</f>
        <v>0.0203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HYPERLINK("http://141.218.60.56/~jnz1568/getInfo.php?workbook=20_14.xlsx&amp;sheet=U0&amp;row=2879&amp;col=6&amp;number=4.5&amp;sourceID=14","4.5")</f>
        <v>4.5</v>
      </c>
      <c r="G2879" s="4" t="str">
        <f>HYPERLINK("http://141.218.60.56/~jnz1568/getInfo.php?workbook=20_14.xlsx&amp;sheet=U0&amp;row=2879&amp;col=7&amp;number=0.0202&amp;sourceID=14","0.0202")</f>
        <v>0.0202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HYPERLINK("http://141.218.60.56/~jnz1568/getInfo.php?workbook=20_14.xlsx&amp;sheet=U0&amp;row=2880&amp;col=6&amp;number=4.6&amp;sourceID=14","4.6")</f>
        <v>4.6</v>
      </c>
      <c r="G2880" s="4" t="str">
        <f>HYPERLINK("http://141.218.60.56/~jnz1568/getInfo.php?workbook=20_14.xlsx&amp;sheet=U0&amp;row=2880&amp;col=7&amp;number=0.0201&amp;sourceID=14","0.0201")</f>
        <v>0.0201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HYPERLINK("http://141.218.60.56/~jnz1568/getInfo.php?workbook=20_14.xlsx&amp;sheet=U0&amp;row=2881&amp;col=6&amp;number=4.7&amp;sourceID=14","4.7")</f>
        <v>4.7</v>
      </c>
      <c r="G2881" s="4" t="str">
        <f>HYPERLINK("http://141.218.60.56/~jnz1568/getInfo.php?workbook=20_14.xlsx&amp;sheet=U0&amp;row=2881&amp;col=7&amp;number=0.02&amp;sourceID=14","0.02")</f>
        <v>0.02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HYPERLINK("http://141.218.60.56/~jnz1568/getInfo.php?workbook=20_14.xlsx&amp;sheet=U0&amp;row=2882&amp;col=6&amp;number=4.8&amp;sourceID=14","4.8")</f>
        <v>4.8</v>
      </c>
      <c r="G2882" s="4" t="str">
        <f>HYPERLINK("http://141.218.60.56/~jnz1568/getInfo.php?workbook=20_14.xlsx&amp;sheet=U0&amp;row=2882&amp;col=7&amp;number=0.0199&amp;sourceID=14","0.0199")</f>
        <v>0.0199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HYPERLINK("http://141.218.60.56/~jnz1568/getInfo.php?workbook=20_14.xlsx&amp;sheet=U0&amp;row=2883&amp;col=6&amp;number=4.9&amp;sourceID=14","4.9")</f>
        <v>4.9</v>
      </c>
      <c r="G2883" s="4" t="str">
        <f>HYPERLINK("http://141.218.60.56/~jnz1568/getInfo.php?workbook=20_14.xlsx&amp;sheet=U0&amp;row=2883&amp;col=7&amp;number=0.0197&amp;sourceID=14","0.0197")</f>
        <v>0.0197</v>
      </c>
    </row>
    <row r="2884" spans="1:7">
      <c r="A2884" s="3">
        <v>20</v>
      </c>
      <c r="B2884" s="3">
        <v>14</v>
      </c>
      <c r="C2884" s="3">
        <v>12</v>
      </c>
      <c r="D2884" s="3">
        <v>16</v>
      </c>
      <c r="E2884" s="3">
        <v>1</v>
      </c>
      <c r="F2884" s="4" t="str">
        <f>HYPERLINK("http://141.218.60.56/~jnz1568/getInfo.php?workbook=20_14.xlsx&amp;sheet=U0&amp;row=2884&amp;col=6&amp;number=3&amp;sourceID=14","3")</f>
        <v>3</v>
      </c>
      <c r="G2884" s="4" t="str">
        <f>HYPERLINK("http://141.218.60.56/~jnz1568/getInfo.php?workbook=20_14.xlsx&amp;sheet=U0&amp;row=2884&amp;col=7&amp;number=0.148&amp;sourceID=14","0.148")</f>
        <v>0.148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HYPERLINK("http://141.218.60.56/~jnz1568/getInfo.php?workbook=20_14.xlsx&amp;sheet=U0&amp;row=2885&amp;col=6&amp;number=3.1&amp;sourceID=14","3.1")</f>
        <v>3.1</v>
      </c>
      <c r="G2885" s="4" t="str">
        <f>HYPERLINK("http://141.218.60.56/~jnz1568/getInfo.php?workbook=20_14.xlsx&amp;sheet=U0&amp;row=2885&amp;col=7&amp;number=0.148&amp;sourceID=14","0.148")</f>
        <v>0.148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HYPERLINK("http://141.218.60.56/~jnz1568/getInfo.php?workbook=20_14.xlsx&amp;sheet=U0&amp;row=2886&amp;col=6&amp;number=3.2&amp;sourceID=14","3.2")</f>
        <v>3.2</v>
      </c>
      <c r="G2886" s="4" t="str">
        <f>HYPERLINK("http://141.218.60.56/~jnz1568/getInfo.php?workbook=20_14.xlsx&amp;sheet=U0&amp;row=2886&amp;col=7&amp;number=0.148&amp;sourceID=14","0.148")</f>
        <v>0.148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HYPERLINK("http://141.218.60.56/~jnz1568/getInfo.php?workbook=20_14.xlsx&amp;sheet=U0&amp;row=2887&amp;col=6&amp;number=3.3&amp;sourceID=14","3.3")</f>
        <v>3.3</v>
      </c>
      <c r="G2887" s="4" t="str">
        <f>HYPERLINK("http://141.218.60.56/~jnz1568/getInfo.php?workbook=20_14.xlsx&amp;sheet=U0&amp;row=2887&amp;col=7&amp;number=0.148&amp;sourceID=14","0.148")</f>
        <v>0.148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HYPERLINK("http://141.218.60.56/~jnz1568/getInfo.php?workbook=20_14.xlsx&amp;sheet=U0&amp;row=2888&amp;col=6&amp;number=3.4&amp;sourceID=14","3.4")</f>
        <v>3.4</v>
      </c>
      <c r="G2888" s="4" t="str">
        <f>HYPERLINK("http://141.218.60.56/~jnz1568/getInfo.php?workbook=20_14.xlsx&amp;sheet=U0&amp;row=2888&amp;col=7&amp;number=0.148&amp;sourceID=14","0.148")</f>
        <v>0.148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HYPERLINK("http://141.218.60.56/~jnz1568/getInfo.php?workbook=20_14.xlsx&amp;sheet=U0&amp;row=2889&amp;col=6&amp;number=3.5&amp;sourceID=14","3.5")</f>
        <v>3.5</v>
      </c>
      <c r="G2889" s="4" t="str">
        <f>HYPERLINK("http://141.218.60.56/~jnz1568/getInfo.php?workbook=20_14.xlsx&amp;sheet=U0&amp;row=2889&amp;col=7&amp;number=0.148&amp;sourceID=14","0.148")</f>
        <v>0.148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HYPERLINK("http://141.218.60.56/~jnz1568/getInfo.php?workbook=20_14.xlsx&amp;sheet=U0&amp;row=2890&amp;col=6&amp;number=3.6&amp;sourceID=14","3.6")</f>
        <v>3.6</v>
      </c>
      <c r="G2890" s="4" t="str">
        <f>HYPERLINK("http://141.218.60.56/~jnz1568/getInfo.php?workbook=20_14.xlsx&amp;sheet=U0&amp;row=2890&amp;col=7&amp;number=0.148&amp;sourceID=14","0.148")</f>
        <v>0.148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HYPERLINK("http://141.218.60.56/~jnz1568/getInfo.php?workbook=20_14.xlsx&amp;sheet=U0&amp;row=2891&amp;col=6&amp;number=3.7&amp;sourceID=14","3.7")</f>
        <v>3.7</v>
      </c>
      <c r="G2891" s="4" t="str">
        <f>HYPERLINK("http://141.218.60.56/~jnz1568/getInfo.php?workbook=20_14.xlsx&amp;sheet=U0&amp;row=2891&amp;col=7&amp;number=0.148&amp;sourceID=14","0.148")</f>
        <v>0.148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HYPERLINK("http://141.218.60.56/~jnz1568/getInfo.php?workbook=20_14.xlsx&amp;sheet=U0&amp;row=2892&amp;col=6&amp;number=3.8&amp;sourceID=14","3.8")</f>
        <v>3.8</v>
      </c>
      <c r="G2892" s="4" t="str">
        <f>HYPERLINK("http://141.218.60.56/~jnz1568/getInfo.php?workbook=20_14.xlsx&amp;sheet=U0&amp;row=2892&amp;col=7&amp;number=0.148&amp;sourceID=14","0.148")</f>
        <v>0.148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HYPERLINK("http://141.218.60.56/~jnz1568/getInfo.php?workbook=20_14.xlsx&amp;sheet=U0&amp;row=2893&amp;col=6&amp;number=3.9&amp;sourceID=14","3.9")</f>
        <v>3.9</v>
      </c>
      <c r="G2893" s="4" t="str">
        <f>HYPERLINK("http://141.218.60.56/~jnz1568/getInfo.php?workbook=20_14.xlsx&amp;sheet=U0&amp;row=2893&amp;col=7&amp;number=0.148&amp;sourceID=14","0.148")</f>
        <v>0.148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HYPERLINK("http://141.218.60.56/~jnz1568/getInfo.php?workbook=20_14.xlsx&amp;sheet=U0&amp;row=2894&amp;col=6&amp;number=4&amp;sourceID=14","4")</f>
        <v>4</v>
      </c>
      <c r="G2894" s="4" t="str">
        <f>HYPERLINK("http://141.218.60.56/~jnz1568/getInfo.php?workbook=20_14.xlsx&amp;sheet=U0&amp;row=2894&amp;col=7&amp;number=0.148&amp;sourceID=14","0.148")</f>
        <v>0.148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HYPERLINK("http://141.218.60.56/~jnz1568/getInfo.php?workbook=20_14.xlsx&amp;sheet=U0&amp;row=2895&amp;col=6&amp;number=4.1&amp;sourceID=14","4.1")</f>
        <v>4.1</v>
      </c>
      <c r="G2895" s="4" t="str">
        <f>HYPERLINK("http://141.218.60.56/~jnz1568/getInfo.php?workbook=20_14.xlsx&amp;sheet=U0&amp;row=2895&amp;col=7&amp;number=0.148&amp;sourceID=14","0.148")</f>
        <v>0.148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HYPERLINK("http://141.218.60.56/~jnz1568/getInfo.php?workbook=20_14.xlsx&amp;sheet=U0&amp;row=2896&amp;col=6&amp;number=4.2&amp;sourceID=14","4.2")</f>
        <v>4.2</v>
      </c>
      <c r="G2896" s="4" t="str">
        <f>HYPERLINK("http://141.218.60.56/~jnz1568/getInfo.php?workbook=20_14.xlsx&amp;sheet=U0&amp;row=2896&amp;col=7&amp;number=0.148&amp;sourceID=14","0.148")</f>
        <v>0.148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HYPERLINK("http://141.218.60.56/~jnz1568/getInfo.php?workbook=20_14.xlsx&amp;sheet=U0&amp;row=2897&amp;col=6&amp;number=4.3&amp;sourceID=14","4.3")</f>
        <v>4.3</v>
      </c>
      <c r="G2897" s="4" t="str">
        <f>HYPERLINK("http://141.218.60.56/~jnz1568/getInfo.php?workbook=20_14.xlsx&amp;sheet=U0&amp;row=2897&amp;col=7&amp;number=0.148&amp;sourceID=14","0.148")</f>
        <v>0.148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HYPERLINK("http://141.218.60.56/~jnz1568/getInfo.php?workbook=20_14.xlsx&amp;sheet=U0&amp;row=2898&amp;col=6&amp;number=4.4&amp;sourceID=14","4.4")</f>
        <v>4.4</v>
      </c>
      <c r="G2898" s="4" t="str">
        <f>HYPERLINK("http://141.218.60.56/~jnz1568/getInfo.php?workbook=20_14.xlsx&amp;sheet=U0&amp;row=2898&amp;col=7&amp;number=0.148&amp;sourceID=14","0.148")</f>
        <v>0.148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HYPERLINK("http://141.218.60.56/~jnz1568/getInfo.php?workbook=20_14.xlsx&amp;sheet=U0&amp;row=2899&amp;col=6&amp;number=4.5&amp;sourceID=14","4.5")</f>
        <v>4.5</v>
      </c>
      <c r="G2899" s="4" t="str">
        <f>HYPERLINK("http://141.218.60.56/~jnz1568/getInfo.php?workbook=20_14.xlsx&amp;sheet=U0&amp;row=2899&amp;col=7&amp;number=0.148&amp;sourceID=14","0.148")</f>
        <v>0.148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HYPERLINK("http://141.218.60.56/~jnz1568/getInfo.php?workbook=20_14.xlsx&amp;sheet=U0&amp;row=2900&amp;col=6&amp;number=4.6&amp;sourceID=14","4.6")</f>
        <v>4.6</v>
      </c>
      <c r="G2900" s="4" t="str">
        <f>HYPERLINK("http://141.218.60.56/~jnz1568/getInfo.php?workbook=20_14.xlsx&amp;sheet=U0&amp;row=2900&amp;col=7&amp;number=0.148&amp;sourceID=14","0.148")</f>
        <v>0.148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HYPERLINK("http://141.218.60.56/~jnz1568/getInfo.php?workbook=20_14.xlsx&amp;sheet=U0&amp;row=2901&amp;col=6&amp;number=4.7&amp;sourceID=14","4.7")</f>
        <v>4.7</v>
      </c>
      <c r="G2901" s="4" t="str">
        <f>HYPERLINK("http://141.218.60.56/~jnz1568/getInfo.php?workbook=20_14.xlsx&amp;sheet=U0&amp;row=2901&amp;col=7&amp;number=0.147&amp;sourceID=14","0.147")</f>
        <v>0.147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HYPERLINK("http://141.218.60.56/~jnz1568/getInfo.php?workbook=20_14.xlsx&amp;sheet=U0&amp;row=2902&amp;col=6&amp;number=4.8&amp;sourceID=14","4.8")</f>
        <v>4.8</v>
      </c>
      <c r="G2902" s="4" t="str">
        <f>HYPERLINK("http://141.218.60.56/~jnz1568/getInfo.php?workbook=20_14.xlsx&amp;sheet=U0&amp;row=2902&amp;col=7&amp;number=0.147&amp;sourceID=14","0.147")</f>
        <v>0.147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HYPERLINK("http://141.218.60.56/~jnz1568/getInfo.php?workbook=20_14.xlsx&amp;sheet=U0&amp;row=2903&amp;col=6&amp;number=4.9&amp;sourceID=14","4.9")</f>
        <v>4.9</v>
      </c>
      <c r="G2903" s="4" t="str">
        <f>HYPERLINK("http://141.218.60.56/~jnz1568/getInfo.php?workbook=20_14.xlsx&amp;sheet=U0&amp;row=2903&amp;col=7&amp;number=0.147&amp;sourceID=14","0.147")</f>
        <v>0.147</v>
      </c>
    </row>
    <row r="2904" spans="1:7">
      <c r="A2904" s="3">
        <v>20</v>
      </c>
      <c r="B2904" s="3">
        <v>14</v>
      </c>
      <c r="C2904" s="3">
        <v>13</v>
      </c>
      <c r="D2904" s="3">
        <v>16</v>
      </c>
      <c r="E2904" s="3">
        <v>1</v>
      </c>
      <c r="F2904" s="4" t="str">
        <f>HYPERLINK("http://141.218.60.56/~jnz1568/getInfo.php?workbook=20_14.xlsx&amp;sheet=U0&amp;row=2904&amp;col=6&amp;number=3&amp;sourceID=14","3")</f>
        <v>3</v>
      </c>
      <c r="G2904" s="4" t="str">
        <f>HYPERLINK("http://141.218.60.56/~jnz1568/getInfo.php?workbook=20_14.xlsx&amp;sheet=U0&amp;row=2904&amp;col=7&amp;number=0.234&amp;sourceID=14","0.234")</f>
        <v>0.234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HYPERLINK("http://141.218.60.56/~jnz1568/getInfo.php?workbook=20_14.xlsx&amp;sheet=U0&amp;row=2905&amp;col=6&amp;number=3.1&amp;sourceID=14","3.1")</f>
        <v>3.1</v>
      </c>
      <c r="G2905" s="4" t="str">
        <f>HYPERLINK("http://141.218.60.56/~jnz1568/getInfo.php?workbook=20_14.xlsx&amp;sheet=U0&amp;row=2905&amp;col=7&amp;number=0.234&amp;sourceID=14","0.234")</f>
        <v>0.234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HYPERLINK("http://141.218.60.56/~jnz1568/getInfo.php?workbook=20_14.xlsx&amp;sheet=U0&amp;row=2906&amp;col=6&amp;number=3.2&amp;sourceID=14","3.2")</f>
        <v>3.2</v>
      </c>
      <c r="G2906" s="4" t="str">
        <f>HYPERLINK("http://141.218.60.56/~jnz1568/getInfo.php?workbook=20_14.xlsx&amp;sheet=U0&amp;row=2906&amp;col=7&amp;number=0.234&amp;sourceID=14","0.234")</f>
        <v>0.234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HYPERLINK("http://141.218.60.56/~jnz1568/getInfo.php?workbook=20_14.xlsx&amp;sheet=U0&amp;row=2907&amp;col=6&amp;number=3.3&amp;sourceID=14","3.3")</f>
        <v>3.3</v>
      </c>
      <c r="G2907" s="4" t="str">
        <f>HYPERLINK("http://141.218.60.56/~jnz1568/getInfo.php?workbook=20_14.xlsx&amp;sheet=U0&amp;row=2907&amp;col=7&amp;number=0.234&amp;sourceID=14","0.234")</f>
        <v>0.234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HYPERLINK("http://141.218.60.56/~jnz1568/getInfo.php?workbook=20_14.xlsx&amp;sheet=U0&amp;row=2908&amp;col=6&amp;number=3.4&amp;sourceID=14","3.4")</f>
        <v>3.4</v>
      </c>
      <c r="G2908" s="4" t="str">
        <f>HYPERLINK("http://141.218.60.56/~jnz1568/getInfo.php?workbook=20_14.xlsx&amp;sheet=U0&amp;row=2908&amp;col=7&amp;number=0.234&amp;sourceID=14","0.234")</f>
        <v>0.234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HYPERLINK("http://141.218.60.56/~jnz1568/getInfo.php?workbook=20_14.xlsx&amp;sheet=U0&amp;row=2909&amp;col=6&amp;number=3.5&amp;sourceID=14","3.5")</f>
        <v>3.5</v>
      </c>
      <c r="G2909" s="4" t="str">
        <f>HYPERLINK("http://141.218.60.56/~jnz1568/getInfo.php?workbook=20_14.xlsx&amp;sheet=U0&amp;row=2909&amp;col=7&amp;number=0.234&amp;sourceID=14","0.234")</f>
        <v>0.234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HYPERLINK("http://141.218.60.56/~jnz1568/getInfo.php?workbook=20_14.xlsx&amp;sheet=U0&amp;row=2910&amp;col=6&amp;number=3.6&amp;sourceID=14","3.6")</f>
        <v>3.6</v>
      </c>
      <c r="G2910" s="4" t="str">
        <f>HYPERLINK("http://141.218.60.56/~jnz1568/getInfo.php?workbook=20_14.xlsx&amp;sheet=U0&amp;row=2910&amp;col=7&amp;number=0.234&amp;sourceID=14","0.234")</f>
        <v>0.234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HYPERLINK("http://141.218.60.56/~jnz1568/getInfo.php?workbook=20_14.xlsx&amp;sheet=U0&amp;row=2911&amp;col=6&amp;number=3.7&amp;sourceID=14","3.7")</f>
        <v>3.7</v>
      </c>
      <c r="G2911" s="4" t="str">
        <f>HYPERLINK("http://141.218.60.56/~jnz1568/getInfo.php?workbook=20_14.xlsx&amp;sheet=U0&amp;row=2911&amp;col=7&amp;number=0.234&amp;sourceID=14","0.234")</f>
        <v>0.234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HYPERLINK("http://141.218.60.56/~jnz1568/getInfo.php?workbook=20_14.xlsx&amp;sheet=U0&amp;row=2912&amp;col=6&amp;number=3.8&amp;sourceID=14","3.8")</f>
        <v>3.8</v>
      </c>
      <c r="G2912" s="4" t="str">
        <f>HYPERLINK("http://141.218.60.56/~jnz1568/getInfo.php?workbook=20_14.xlsx&amp;sheet=U0&amp;row=2912&amp;col=7&amp;number=0.234&amp;sourceID=14","0.234")</f>
        <v>0.234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HYPERLINK("http://141.218.60.56/~jnz1568/getInfo.php?workbook=20_14.xlsx&amp;sheet=U0&amp;row=2913&amp;col=6&amp;number=3.9&amp;sourceID=14","3.9")</f>
        <v>3.9</v>
      </c>
      <c r="G2913" s="4" t="str">
        <f>HYPERLINK("http://141.218.60.56/~jnz1568/getInfo.php?workbook=20_14.xlsx&amp;sheet=U0&amp;row=2913&amp;col=7&amp;number=0.233&amp;sourceID=14","0.233")</f>
        <v>0.233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HYPERLINK("http://141.218.60.56/~jnz1568/getInfo.php?workbook=20_14.xlsx&amp;sheet=U0&amp;row=2914&amp;col=6&amp;number=4&amp;sourceID=14","4")</f>
        <v>4</v>
      </c>
      <c r="G2914" s="4" t="str">
        <f>HYPERLINK("http://141.218.60.56/~jnz1568/getInfo.php?workbook=20_14.xlsx&amp;sheet=U0&amp;row=2914&amp;col=7&amp;number=0.233&amp;sourceID=14","0.233")</f>
        <v>0.233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HYPERLINK("http://141.218.60.56/~jnz1568/getInfo.php?workbook=20_14.xlsx&amp;sheet=U0&amp;row=2915&amp;col=6&amp;number=4.1&amp;sourceID=14","4.1")</f>
        <v>4.1</v>
      </c>
      <c r="G2915" s="4" t="str">
        <f>HYPERLINK("http://141.218.60.56/~jnz1568/getInfo.php?workbook=20_14.xlsx&amp;sheet=U0&amp;row=2915&amp;col=7&amp;number=0.233&amp;sourceID=14","0.233")</f>
        <v>0.233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HYPERLINK("http://141.218.60.56/~jnz1568/getInfo.php?workbook=20_14.xlsx&amp;sheet=U0&amp;row=2916&amp;col=6&amp;number=4.2&amp;sourceID=14","4.2")</f>
        <v>4.2</v>
      </c>
      <c r="G2916" s="4" t="str">
        <f>HYPERLINK("http://141.218.60.56/~jnz1568/getInfo.php?workbook=20_14.xlsx&amp;sheet=U0&amp;row=2916&amp;col=7&amp;number=0.232&amp;sourceID=14","0.232")</f>
        <v>0.232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HYPERLINK("http://141.218.60.56/~jnz1568/getInfo.php?workbook=20_14.xlsx&amp;sheet=U0&amp;row=2917&amp;col=6&amp;number=4.3&amp;sourceID=14","4.3")</f>
        <v>4.3</v>
      </c>
      <c r="G2917" s="4" t="str">
        <f>HYPERLINK("http://141.218.60.56/~jnz1568/getInfo.php?workbook=20_14.xlsx&amp;sheet=U0&amp;row=2917&amp;col=7&amp;number=0.232&amp;sourceID=14","0.232")</f>
        <v>0.232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HYPERLINK("http://141.218.60.56/~jnz1568/getInfo.php?workbook=20_14.xlsx&amp;sheet=U0&amp;row=2918&amp;col=6&amp;number=4.4&amp;sourceID=14","4.4")</f>
        <v>4.4</v>
      </c>
      <c r="G2918" s="4" t="str">
        <f>HYPERLINK("http://141.218.60.56/~jnz1568/getInfo.php?workbook=20_14.xlsx&amp;sheet=U0&amp;row=2918&amp;col=7&amp;number=0.231&amp;sourceID=14","0.231")</f>
        <v>0.231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HYPERLINK("http://141.218.60.56/~jnz1568/getInfo.php?workbook=20_14.xlsx&amp;sheet=U0&amp;row=2919&amp;col=6&amp;number=4.5&amp;sourceID=14","4.5")</f>
        <v>4.5</v>
      </c>
      <c r="G2919" s="4" t="str">
        <f>HYPERLINK("http://141.218.60.56/~jnz1568/getInfo.php?workbook=20_14.xlsx&amp;sheet=U0&amp;row=2919&amp;col=7&amp;number=0.23&amp;sourceID=14","0.23")</f>
        <v>0.23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HYPERLINK("http://141.218.60.56/~jnz1568/getInfo.php?workbook=20_14.xlsx&amp;sheet=U0&amp;row=2920&amp;col=6&amp;number=4.6&amp;sourceID=14","4.6")</f>
        <v>4.6</v>
      </c>
      <c r="G2920" s="4" t="str">
        <f>HYPERLINK("http://141.218.60.56/~jnz1568/getInfo.php?workbook=20_14.xlsx&amp;sheet=U0&amp;row=2920&amp;col=7&amp;number=0.229&amp;sourceID=14","0.229")</f>
        <v>0.229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HYPERLINK("http://141.218.60.56/~jnz1568/getInfo.php?workbook=20_14.xlsx&amp;sheet=U0&amp;row=2921&amp;col=6&amp;number=4.7&amp;sourceID=14","4.7")</f>
        <v>4.7</v>
      </c>
      <c r="G2921" s="4" t="str">
        <f>HYPERLINK("http://141.218.60.56/~jnz1568/getInfo.php?workbook=20_14.xlsx&amp;sheet=U0&amp;row=2921&amp;col=7&amp;number=0.227&amp;sourceID=14","0.227")</f>
        <v>0.227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HYPERLINK("http://141.218.60.56/~jnz1568/getInfo.php?workbook=20_14.xlsx&amp;sheet=U0&amp;row=2922&amp;col=6&amp;number=4.8&amp;sourceID=14","4.8")</f>
        <v>4.8</v>
      </c>
      <c r="G2922" s="4" t="str">
        <f>HYPERLINK("http://141.218.60.56/~jnz1568/getInfo.php?workbook=20_14.xlsx&amp;sheet=U0&amp;row=2922&amp;col=7&amp;number=0.225&amp;sourceID=14","0.225")</f>
        <v>0.225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HYPERLINK("http://141.218.60.56/~jnz1568/getInfo.php?workbook=20_14.xlsx&amp;sheet=U0&amp;row=2923&amp;col=6&amp;number=4.9&amp;sourceID=14","4.9")</f>
        <v>4.9</v>
      </c>
      <c r="G2923" s="4" t="str">
        <f>HYPERLINK("http://141.218.60.56/~jnz1568/getInfo.php?workbook=20_14.xlsx&amp;sheet=U0&amp;row=2923&amp;col=7&amp;number=0.223&amp;sourceID=14","0.223")</f>
        <v>0.223</v>
      </c>
    </row>
    <row r="2924" spans="1:7">
      <c r="A2924" s="3">
        <v>20</v>
      </c>
      <c r="B2924" s="3">
        <v>14</v>
      </c>
      <c r="C2924" s="3">
        <v>14</v>
      </c>
      <c r="D2924" s="3">
        <v>16</v>
      </c>
      <c r="E2924" s="3">
        <v>1</v>
      </c>
      <c r="F2924" s="4" t="str">
        <f>HYPERLINK("http://141.218.60.56/~jnz1568/getInfo.php?workbook=20_14.xlsx&amp;sheet=U0&amp;row=2924&amp;col=6&amp;number=3&amp;sourceID=14","3")</f>
        <v>3</v>
      </c>
      <c r="G2924" s="4" t="str">
        <f>HYPERLINK("http://141.218.60.56/~jnz1568/getInfo.php?workbook=20_14.xlsx&amp;sheet=U0&amp;row=2924&amp;col=7&amp;number=0.143&amp;sourceID=14","0.143")</f>
        <v>0.143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HYPERLINK("http://141.218.60.56/~jnz1568/getInfo.php?workbook=20_14.xlsx&amp;sheet=U0&amp;row=2925&amp;col=6&amp;number=3.1&amp;sourceID=14","3.1")</f>
        <v>3.1</v>
      </c>
      <c r="G2925" s="4" t="str">
        <f>HYPERLINK("http://141.218.60.56/~jnz1568/getInfo.php?workbook=20_14.xlsx&amp;sheet=U0&amp;row=2925&amp;col=7&amp;number=0.143&amp;sourceID=14","0.143")</f>
        <v>0.143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HYPERLINK("http://141.218.60.56/~jnz1568/getInfo.php?workbook=20_14.xlsx&amp;sheet=U0&amp;row=2926&amp;col=6&amp;number=3.2&amp;sourceID=14","3.2")</f>
        <v>3.2</v>
      </c>
      <c r="G2926" s="4" t="str">
        <f>HYPERLINK("http://141.218.60.56/~jnz1568/getInfo.php?workbook=20_14.xlsx&amp;sheet=U0&amp;row=2926&amp;col=7&amp;number=0.143&amp;sourceID=14","0.143")</f>
        <v>0.143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HYPERLINK("http://141.218.60.56/~jnz1568/getInfo.php?workbook=20_14.xlsx&amp;sheet=U0&amp;row=2927&amp;col=6&amp;number=3.3&amp;sourceID=14","3.3")</f>
        <v>3.3</v>
      </c>
      <c r="G2927" s="4" t="str">
        <f>HYPERLINK("http://141.218.60.56/~jnz1568/getInfo.php?workbook=20_14.xlsx&amp;sheet=U0&amp;row=2927&amp;col=7&amp;number=0.143&amp;sourceID=14","0.143")</f>
        <v>0.143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HYPERLINK("http://141.218.60.56/~jnz1568/getInfo.php?workbook=20_14.xlsx&amp;sheet=U0&amp;row=2928&amp;col=6&amp;number=3.4&amp;sourceID=14","3.4")</f>
        <v>3.4</v>
      </c>
      <c r="G2928" s="4" t="str">
        <f>HYPERLINK("http://141.218.60.56/~jnz1568/getInfo.php?workbook=20_14.xlsx&amp;sheet=U0&amp;row=2928&amp;col=7&amp;number=0.143&amp;sourceID=14","0.143")</f>
        <v>0.143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HYPERLINK("http://141.218.60.56/~jnz1568/getInfo.php?workbook=20_14.xlsx&amp;sheet=U0&amp;row=2929&amp;col=6&amp;number=3.5&amp;sourceID=14","3.5")</f>
        <v>3.5</v>
      </c>
      <c r="G2929" s="4" t="str">
        <f>HYPERLINK("http://141.218.60.56/~jnz1568/getInfo.php?workbook=20_14.xlsx&amp;sheet=U0&amp;row=2929&amp;col=7&amp;number=0.143&amp;sourceID=14","0.143")</f>
        <v>0.143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HYPERLINK("http://141.218.60.56/~jnz1568/getInfo.php?workbook=20_14.xlsx&amp;sheet=U0&amp;row=2930&amp;col=6&amp;number=3.6&amp;sourceID=14","3.6")</f>
        <v>3.6</v>
      </c>
      <c r="G2930" s="4" t="str">
        <f>HYPERLINK("http://141.218.60.56/~jnz1568/getInfo.php?workbook=20_14.xlsx&amp;sheet=U0&amp;row=2930&amp;col=7&amp;number=0.143&amp;sourceID=14","0.143")</f>
        <v>0.143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HYPERLINK("http://141.218.60.56/~jnz1568/getInfo.php?workbook=20_14.xlsx&amp;sheet=U0&amp;row=2931&amp;col=6&amp;number=3.7&amp;sourceID=14","3.7")</f>
        <v>3.7</v>
      </c>
      <c r="G2931" s="4" t="str">
        <f>HYPERLINK("http://141.218.60.56/~jnz1568/getInfo.php?workbook=20_14.xlsx&amp;sheet=U0&amp;row=2931&amp;col=7&amp;number=0.143&amp;sourceID=14","0.143")</f>
        <v>0.143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HYPERLINK("http://141.218.60.56/~jnz1568/getInfo.php?workbook=20_14.xlsx&amp;sheet=U0&amp;row=2932&amp;col=6&amp;number=3.8&amp;sourceID=14","3.8")</f>
        <v>3.8</v>
      </c>
      <c r="G2932" s="4" t="str">
        <f>HYPERLINK("http://141.218.60.56/~jnz1568/getInfo.php?workbook=20_14.xlsx&amp;sheet=U0&amp;row=2932&amp;col=7&amp;number=0.143&amp;sourceID=14","0.143")</f>
        <v>0.143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HYPERLINK("http://141.218.60.56/~jnz1568/getInfo.php?workbook=20_14.xlsx&amp;sheet=U0&amp;row=2933&amp;col=6&amp;number=3.9&amp;sourceID=14","3.9")</f>
        <v>3.9</v>
      </c>
      <c r="G2933" s="4" t="str">
        <f>HYPERLINK("http://141.218.60.56/~jnz1568/getInfo.php?workbook=20_14.xlsx&amp;sheet=U0&amp;row=2933&amp;col=7&amp;number=0.143&amp;sourceID=14","0.143")</f>
        <v>0.143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HYPERLINK("http://141.218.60.56/~jnz1568/getInfo.php?workbook=20_14.xlsx&amp;sheet=U0&amp;row=2934&amp;col=6&amp;number=4&amp;sourceID=14","4")</f>
        <v>4</v>
      </c>
      <c r="G2934" s="4" t="str">
        <f>HYPERLINK("http://141.218.60.56/~jnz1568/getInfo.php?workbook=20_14.xlsx&amp;sheet=U0&amp;row=2934&amp;col=7&amp;number=0.142&amp;sourceID=14","0.142")</f>
        <v>0.142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HYPERLINK("http://141.218.60.56/~jnz1568/getInfo.php?workbook=20_14.xlsx&amp;sheet=U0&amp;row=2935&amp;col=6&amp;number=4.1&amp;sourceID=14","4.1")</f>
        <v>4.1</v>
      </c>
      <c r="G2935" s="4" t="str">
        <f>HYPERLINK("http://141.218.60.56/~jnz1568/getInfo.php?workbook=20_14.xlsx&amp;sheet=U0&amp;row=2935&amp;col=7&amp;number=0.142&amp;sourceID=14","0.142")</f>
        <v>0.142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HYPERLINK("http://141.218.60.56/~jnz1568/getInfo.php?workbook=20_14.xlsx&amp;sheet=U0&amp;row=2936&amp;col=6&amp;number=4.2&amp;sourceID=14","4.2")</f>
        <v>4.2</v>
      </c>
      <c r="G2936" s="4" t="str">
        <f>HYPERLINK("http://141.218.60.56/~jnz1568/getInfo.php?workbook=20_14.xlsx&amp;sheet=U0&amp;row=2936&amp;col=7&amp;number=0.142&amp;sourceID=14","0.142")</f>
        <v>0.142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HYPERLINK("http://141.218.60.56/~jnz1568/getInfo.php?workbook=20_14.xlsx&amp;sheet=U0&amp;row=2937&amp;col=6&amp;number=4.3&amp;sourceID=14","4.3")</f>
        <v>4.3</v>
      </c>
      <c r="G2937" s="4" t="str">
        <f>HYPERLINK("http://141.218.60.56/~jnz1568/getInfo.php?workbook=20_14.xlsx&amp;sheet=U0&amp;row=2937&amp;col=7&amp;number=0.142&amp;sourceID=14","0.142")</f>
        <v>0.142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HYPERLINK("http://141.218.60.56/~jnz1568/getInfo.php?workbook=20_14.xlsx&amp;sheet=U0&amp;row=2938&amp;col=6&amp;number=4.4&amp;sourceID=14","4.4")</f>
        <v>4.4</v>
      </c>
      <c r="G2938" s="4" t="str">
        <f>HYPERLINK("http://141.218.60.56/~jnz1568/getInfo.php?workbook=20_14.xlsx&amp;sheet=U0&amp;row=2938&amp;col=7&amp;number=0.141&amp;sourceID=14","0.141")</f>
        <v>0.141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HYPERLINK("http://141.218.60.56/~jnz1568/getInfo.php?workbook=20_14.xlsx&amp;sheet=U0&amp;row=2939&amp;col=6&amp;number=4.5&amp;sourceID=14","4.5")</f>
        <v>4.5</v>
      </c>
      <c r="G2939" s="4" t="str">
        <f>HYPERLINK("http://141.218.60.56/~jnz1568/getInfo.php?workbook=20_14.xlsx&amp;sheet=U0&amp;row=2939&amp;col=7&amp;number=0.141&amp;sourceID=14","0.141")</f>
        <v>0.141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HYPERLINK("http://141.218.60.56/~jnz1568/getInfo.php?workbook=20_14.xlsx&amp;sheet=U0&amp;row=2940&amp;col=6&amp;number=4.6&amp;sourceID=14","4.6")</f>
        <v>4.6</v>
      </c>
      <c r="G2940" s="4" t="str">
        <f>HYPERLINK("http://141.218.60.56/~jnz1568/getInfo.php?workbook=20_14.xlsx&amp;sheet=U0&amp;row=2940&amp;col=7&amp;number=0.14&amp;sourceID=14","0.14")</f>
        <v>0.14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HYPERLINK("http://141.218.60.56/~jnz1568/getInfo.php?workbook=20_14.xlsx&amp;sheet=U0&amp;row=2941&amp;col=6&amp;number=4.7&amp;sourceID=14","4.7")</f>
        <v>4.7</v>
      </c>
      <c r="G2941" s="4" t="str">
        <f>HYPERLINK("http://141.218.60.56/~jnz1568/getInfo.php?workbook=20_14.xlsx&amp;sheet=U0&amp;row=2941&amp;col=7&amp;number=0.14&amp;sourceID=14","0.14")</f>
        <v>0.14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HYPERLINK("http://141.218.60.56/~jnz1568/getInfo.php?workbook=20_14.xlsx&amp;sheet=U0&amp;row=2942&amp;col=6&amp;number=4.8&amp;sourceID=14","4.8")</f>
        <v>4.8</v>
      </c>
      <c r="G2942" s="4" t="str">
        <f>HYPERLINK("http://141.218.60.56/~jnz1568/getInfo.php?workbook=20_14.xlsx&amp;sheet=U0&amp;row=2942&amp;col=7&amp;number=0.139&amp;sourceID=14","0.139")</f>
        <v>0.139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HYPERLINK("http://141.218.60.56/~jnz1568/getInfo.php?workbook=20_14.xlsx&amp;sheet=U0&amp;row=2943&amp;col=6&amp;number=4.9&amp;sourceID=14","4.9")</f>
        <v>4.9</v>
      </c>
      <c r="G2943" s="4" t="str">
        <f>HYPERLINK("http://141.218.60.56/~jnz1568/getInfo.php?workbook=20_14.xlsx&amp;sheet=U0&amp;row=2943&amp;col=7&amp;number=0.138&amp;sourceID=14","0.138")</f>
        <v>0.138</v>
      </c>
    </row>
    <row r="2944" spans="1:7">
      <c r="A2944" s="3">
        <v>20</v>
      </c>
      <c r="B2944" s="3">
        <v>14</v>
      </c>
      <c r="C2944" s="3">
        <v>15</v>
      </c>
      <c r="D2944" s="3">
        <v>16</v>
      </c>
      <c r="E2944" s="3">
        <v>1</v>
      </c>
      <c r="F2944" s="4" t="str">
        <f>HYPERLINK("http://141.218.60.56/~jnz1568/getInfo.php?workbook=20_14.xlsx&amp;sheet=U0&amp;row=2944&amp;col=6&amp;number=3&amp;sourceID=14","3")</f>
        <v>3</v>
      </c>
      <c r="G2944" s="4" t="str">
        <f>HYPERLINK("http://141.218.60.56/~jnz1568/getInfo.php?workbook=20_14.xlsx&amp;sheet=U0&amp;row=2944&amp;col=7&amp;number=1.47&amp;sourceID=14","1.47")</f>
        <v>1.47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HYPERLINK("http://141.218.60.56/~jnz1568/getInfo.php?workbook=20_14.xlsx&amp;sheet=U0&amp;row=2945&amp;col=6&amp;number=3.1&amp;sourceID=14","3.1")</f>
        <v>3.1</v>
      </c>
      <c r="G2945" s="4" t="str">
        <f>HYPERLINK("http://141.218.60.56/~jnz1568/getInfo.php?workbook=20_14.xlsx&amp;sheet=U0&amp;row=2945&amp;col=7&amp;number=1.47&amp;sourceID=14","1.47")</f>
        <v>1.47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HYPERLINK("http://141.218.60.56/~jnz1568/getInfo.php?workbook=20_14.xlsx&amp;sheet=U0&amp;row=2946&amp;col=6&amp;number=3.2&amp;sourceID=14","3.2")</f>
        <v>3.2</v>
      </c>
      <c r="G2946" s="4" t="str">
        <f>HYPERLINK("http://141.218.60.56/~jnz1568/getInfo.php?workbook=20_14.xlsx&amp;sheet=U0&amp;row=2946&amp;col=7&amp;number=1.47&amp;sourceID=14","1.47")</f>
        <v>1.47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HYPERLINK("http://141.218.60.56/~jnz1568/getInfo.php?workbook=20_14.xlsx&amp;sheet=U0&amp;row=2947&amp;col=6&amp;number=3.3&amp;sourceID=14","3.3")</f>
        <v>3.3</v>
      </c>
      <c r="G2947" s="4" t="str">
        <f>HYPERLINK("http://141.218.60.56/~jnz1568/getInfo.php?workbook=20_14.xlsx&amp;sheet=U0&amp;row=2947&amp;col=7&amp;number=1.47&amp;sourceID=14","1.47")</f>
        <v>1.47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HYPERLINK("http://141.218.60.56/~jnz1568/getInfo.php?workbook=20_14.xlsx&amp;sheet=U0&amp;row=2948&amp;col=6&amp;number=3.4&amp;sourceID=14","3.4")</f>
        <v>3.4</v>
      </c>
      <c r="G2948" s="4" t="str">
        <f>HYPERLINK("http://141.218.60.56/~jnz1568/getInfo.php?workbook=20_14.xlsx&amp;sheet=U0&amp;row=2948&amp;col=7&amp;number=1.47&amp;sourceID=14","1.47")</f>
        <v>1.47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HYPERLINK("http://141.218.60.56/~jnz1568/getInfo.php?workbook=20_14.xlsx&amp;sheet=U0&amp;row=2949&amp;col=6&amp;number=3.5&amp;sourceID=14","3.5")</f>
        <v>3.5</v>
      </c>
      <c r="G2949" s="4" t="str">
        <f>HYPERLINK("http://141.218.60.56/~jnz1568/getInfo.php?workbook=20_14.xlsx&amp;sheet=U0&amp;row=2949&amp;col=7&amp;number=1.47&amp;sourceID=14","1.47")</f>
        <v>1.47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HYPERLINK("http://141.218.60.56/~jnz1568/getInfo.php?workbook=20_14.xlsx&amp;sheet=U0&amp;row=2950&amp;col=6&amp;number=3.6&amp;sourceID=14","3.6")</f>
        <v>3.6</v>
      </c>
      <c r="G2950" s="4" t="str">
        <f>HYPERLINK("http://141.218.60.56/~jnz1568/getInfo.php?workbook=20_14.xlsx&amp;sheet=U0&amp;row=2950&amp;col=7&amp;number=1.47&amp;sourceID=14","1.47")</f>
        <v>1.47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HYPERLINK("http://141.218.60.56/~jnz1568/getInfo.php?workbook=20_14.xlsx&amp;sheet=U0&amp;row=2951&amp;col=6&amp;number=3.7&amp;sourceID=14","3.7")</f>
        <v>3.7</v>
      </c>
      <c r="G2951" s="4" t="str">
        <f>HYPERLINK("http://141.218.60.56/~jnz1568/getInfo.php?workbook=20_14.xlsx&amp;sheet=U0&amp;row=2951&amp;col=7&amp;number=1.47&amp;sourceID=14","1.47")</f>
        <v>1.47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HYPERLINK("http://141.218.60.56/~jnz1568/getInfo.php?workbook=20_14.xlsx&amp;sheet=U0&amp;row=2952&amp;col=6&amp;number=3.8&amp;sourceID=14","3.8")</f>
        <v>3.8</v>
      </c>
      <c r="G2952" s="4" t="str">
        <f>HYPERLINK("http://141.218.60.56/~jnz1568/getInfo.php?workbook=20_14.xlsx&amp;sheet=U0&amp;row=2952&amp;col=7&amp;number=1.47&amp;sourceID=14","1.47")</f>
        <v>1.47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HYPERLINK("http://141.218.60.56/~jnz1568/getInfo.php?workbook=20_14.xlsx&amp;sheet=U0&amp;row=2953&amp;col=6&amp;number=3.9&amp;sourceID=14","3.9")</f>
        <v>3.9</v>
      </c>
      <c r="G2953" s="4" t="str">
        <f>HYPERLINK("http://141.218.60.56/~jnz1568/getInfo.php?workbook=20_14.xlsx&amp;sheet=U0&amp;row=2953&amp;col=7&amp;number=1.47&amp;sourceID=14","1.47")</f>
        <v>1.47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HYPERLINK("http://141.218.60.56/~jnz1568/getInfo.php?workbook=20_14.xlsx&amp;sheet=U0&amp;row=2954&amp;col=6&amp;number=4&amp;sourceID=14","4")</f>
        <v>4</v>
      </c>
      <c r="G2954" s="4" t="str">
        <f>HYPERLINK("http://141.218.60.56/~jnz1568/getInfo.php?workbook=20_14.xlsx&amp;sheet=U0&amp;row=2954&amp;col=7&amp;number=1.47&amp;sourceID=14","1.47")</f>
        <v>1.47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HYPERLINK("http://141.218.60.56/~jnz1568/getInfo.php?workbook=20_14.xlsx&amp;sheet=U0&amp;row=2955&amp;col=6&amp;number=4.1&amp;sourceID=14","4.1")</f>
        <v>4.1</v>
      </c>
      <c r="G2955" s="4" t="str">
        <f>HYPERLINK("http://141.218.60.56/~jnz1568/getInfo.php?workbook=20_14.xlsx&amp;sheet=U0&amp;row=2955&amp;col=7&amp;number=1.47&amp;sourceID=14","1.47")</f>
        <v>1.47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HYPERLINK("http://141.218.60.56/~jnz1568/getInfo.php?workbook=20_14.xlsx&amp;sheet=U0&amp;row=2956&amp;col=6&amp;number=4.2&amp;sourceID=14","4.2")</f>
        <v>4.2</v>
      </c>
      <c r="G2956" s="4" t="str">
        <f>HYPERLINK("http://141.218.60.56/~jnz1568/getInfo.php?workbook=20_14.xlsx&amp;sheet=U0&amp;row=2956&amp;col=7&amp;number=1.46&amp;sourceID=14","1.46")</f>
        <v>1.46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HYPERLINK("http://141.218.60.56/~jnz1568/getInfo.php?workbook=20_14.xlsx&amp;sheet=U0&amp;row=2957&amp;col=6&amp;number=4.3&amp;sourceID=14","4.3")</f>
        <v>4.3</v>
      </c>
      <c r="G2957" s="4" t="str">
        <f>HYPERLINK("http://141.218.60.56/~jnz1568/getInfo.php?workbook=20_14.xlsx&amp;sheet=U0&amp;row=2957&amp;col=7&amp;number=1.46&amp;sourceID=14","1.46")</f>
        <v>1.46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HYPERLINK("http://141.218.60.56/~jnz1568/getInfo.php?workbook=20_14.xlsx&amp;sheet=U0&amp;row=2958&amp;col=6&amp;number=4.4&amp;sourceID=14","4.4")</f>
        <v>4.4</v>
      </c>
      <c r="G2958" s="4" t="str">
        <f>HYPERLINK("http://141.218.60.56/~jnz1568/getInfo.php?workbook=20_14.xlsx&amp;sheet=U0&amp;row=2958&amp;col=7&amp;number=1.46&amp;sourceID=14","1.46")</f>
        <v>1.46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HYPERLINK("http://141.218.60.56/~jnz1568/getInfo.php?workbook=20_14.xlsx&amp;sheet=U0&amp;row=2959&amp;col=6&amp;number=4.5&amp;sourceID=14","4.5")</f>
        <v>4.5</v>
      </c>
      <c r="G2959" s="4" t="str">
        <f>HYPERLINK("http://141.218.60.56/~jnz1568/getInfo.php?workbook=20_14.xlsx&amp;sheet=U0&amp;row=2959&amp;col=7&amp;number=1.45&amp;sourceID=14","1.45")</f>
        <v>1.45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HYPERLINK("http://141.218.60.56/~jnz1568/getInfo.php?workbook=20_14.xlsx&amp;sheet=U0&amp;row=2960&amp;col=6&amp;number=4.6&amp;sourceID=14","4.6")</f>
        <v>4.6</v>
      </c>
      <c r="G2960" s="4" t="str">
        <f>HYPERLINK("http://141.218.60.56/~jnz1568/getInfo.php?workbook=20_14.xlsx&amp;sheet=U0&amp;row=2960&amp;col=7&amp;number=1.45&amp;sourceID=14","1.45")</f>
        <v>1.45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HYPERLINK("http://141.218.60.56/~jnz1568/getInfo.php?workbook=20_14.xlsx&amp;sheet=U0&amp;row=2961&amp;col=6&amp;number=4.7&amp;sourceID=14","4.7")</f>
        <v>4.7</v>
      </c>
      <c r="G2961" s="4" t="str">
        <f>HYPERLINK("http://141.218.60.56/~jnz1568/getInfo.php?workbook=20_14.xlsx&amp;sheet=U0&amp;row=2961&amp;col=7&amp;number=1.44&amp;sourceID=14","1.44")</f>
        <v>1.44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HYPERLINK("http://141.218.60.56/~jnz1568/getInfo.php?workbook=20_14.xlsx&amp;sheet=U0&amp;row=2962&amp;col=6&amp;number=4.8&amp;sourceID=14","4.8")</f>
        <v>4.8</v>
      </c>
      <c r="G2962" s="4" t="str">
        <f>HYPERLINK("http://141.218.60.56/~jnz1568/getInfo.php?workbook=20_14.xlsx&amp;sheet=U0&amp;row=2962&amp;col=7&amp;number=1.44&amp;sourceID=14","1.44")</f>
        <v>1.44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HYPERLINK("http://141.218.60.56/~jnz1568/getInfo.php?workbook=20_14.xlsx&amp;sheet=U0&amp;row=2963&amp;col=6&amp;number=4.9&amp;sourceID=14","4.9")</f>
        <v>4.9</v>
      </c>
      <c r="G2963" s="4" t="str">
        <f>HYPERLINK("http://141.218.60.56/~jnz1568/getInfo.php?workbook=20_14.xlsx&amp;sheet=U0&amp;row=2963&amp;col=7&amp;number=1.43&amp;sourceID=14","1.43")</f>
        <v>1.43</v>
      </c>
    </row>
    <row r="2964" spans="1:7">
      <c r="A2964" s="3">
        <v>20</v>
      </c>
      <c r="B2964" s="3">
        <v>14</v>
      </c>
      <c r="C2964" s="3">
        <v>16</v>
      </c>
      <c r="D2964" s="3">
        <v>17</v>
      </c>
      <c r="E2964" s="3">
        <v>1</v>
      </c>
      <c r="F2964" s="4" t="str">
        <f>HYPERLINK("http://141.218.60.56/~jnz1568/getInfo.php?workbook=20_14.xlsx&amp;sheet=U0&amp;row=2964&amp;col=6&amp;number=3&amp;sourceID=14","3")</f>
        <v>3</v>
      </c>
      <c r="G2964" s="4" t="str">
        <f>HYPERLINK("http://141.218.60.56/~jnz1568/getInfo.php?workbook=20_14.xlsx&amp;sheet=U0&amp;row=2964&amp;col=7&amp;number=0.037&amp;sourceID=14","0.037")</f>
        <v>0.037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HYPERLINK("http://141.218.60.56/~jnz1568/getInfo.php?workbook=20_14.xlsx&amp;sheet=U0&amp;row=2965&amp;col=6&amp;number=3.1&amp;sourceID=14","3.1")</f>
        <v>3.1</v>
      </c>
      <c r="G2965" s="4" t="str">
        <f>HYPERLINK("http://141.218.60.56/~jnz1568/getInfo.php?workbook=20_14.xlsx&amp;sheet=U0&amp;row=2965&amp;col=7&amp;number=0.037&amp;sourceID=14","0.037")</f>
        <v>0.037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HYPERLINK("http://141.218.60.56/~jnz1568/getInfo.php?workbook=20_14.xlsx&amp;sheet=U0&amp;row=2966&amp;col=6&amp;number=3.2&amp;sourceID=14","3.2")</f>
        <v>3.2</v>
      </c>
      <c r="G2966" s="4" t="str">
        <f>HYPERLINK("http://141.218.60.56/~jnz1568/getInfo.php?workbook=20_14.xlsx&amp;sheet=U0&amp;row=2966&amp;col=7&amp;number=0.037&amp;sourceID=14","0.037")</f>
        <v>0.037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HYPERLINK("http://141.218.60.56/~jnz1568/getInfo.php?workbook=20_14.xlsx&amp;sheet=U0&amp;row=2967&amp;col=6&amp;number=3.3&amp;sourceID=14","3.3")</f>
        <v>3.3</v>
      </c>
      <c r="G2967" s="4" t="str">
        <f>HYPERLINK("http://141.218.60.56/~jnz1568/getInfo.php?workbook=20_14.xlsx&amp;sheet=U0&amp;row=2967&amp;col=7&amp;number=0.037&amp;sourceID=14","0.037")</f>
        <v>0.037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HYPERLINK("http://141.218.60.56/~jnz1568/getInfo.php?workbook=20_14.xlsx&amp;sheet=U0&amp;row=2968&amp;col=6&amp;number=3.4&amp;sourceID=14","3.4")</f>
        <v>3.4</v>
      </c>
      <c r="G2968" s="4" t="str">
        <f>HYPERLINK("http://141.218.60.56/~jnz1568/getInfo.php?workbook=20_14.xlsx&amp;sheet=U0&amp;row=2968&amp;col=7&amp;number=0.037&amp;sourceID=14","0.037")</f>
        <v>0.037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HYPERLINK("http://141.218.60.56/~jnz1568/getInfo.php?workbook=20_14.xlsx&amp;sheet=U0&amp;row=2969&amp;col=6&amp;number=3.5&amp;sourceID=14","3.5")</f>
        <v>3.5</v>
      </c>
      <c r="G2969" s="4" t="str">
        <f>HYPERLINK("http://141.218.60.56/~jnz1568/getInfo.php?workbook=20_14.xlsx&amp;sheet=U0&amp;row=2969&amp;col=7&amp;number=0.037&amp;sourceID=14","0.037")</f>
        <v>0.037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HYPERLINK("http://141.218.60.56/~jnz1568/getInfo.php?workbook=20_14.xlsx&amp;sheet=U0&amp;row=2970&amp;col=6&amp;number=3.6&amp;sourceID=14","3.6")</f>
        <v>3.6</v>
      </c>
      <c r="G2970" s="4" t="str">
        <f>HYPERLINK("http://141.218.60.56/~jnz1568/getInfo.php?workbook=20_14.xlsx&amp;sheet=U0&amp;row=2970&amp;col=7&amp;number=0.037&amp;sourceID=14","0.037")</f>
        <v>0.037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HYPERLINK("http://141.218.60.56/~jnz1568/getInfo.php?workbook=20_14.xlsx&amp;sheet=U0&amp;row=2971&amp;col=6&amp;number=3.7&amp;sourceID=14","3.7")</f>
        <v>3.7</v>
      </c>
      <c r="G2971" s="4" t="str">
        <f>HYPERLINK("http://141.218.60.56/~jnz1568/getInfo.php?workbook=20_14.xlsx&amp;sheet=U0&amp;row=2971&amp;col=7&amp;number=0.0369&amp;sourceID=14","0.0369")</f>
        <v>0.0369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HYPERLINK("http://141.218.60.56/~jnz1568/getInfo.php?workbook=20_14.xlsx&amp;sheet=U0&amp;row=2972&amp;col=6&amp;number=3.8&amp;sourceID=14","3.8")</f>
        <v>3.8</v>
      </c>
      <c r="G2972" s="4" t="str">
        <f>HYPERLINK("http://141.218.60.56/~jnz1568/getInfo.php?workbook=20_14.xlsx&amp;sheet=U0&amp;row=2972&amp;col=7&amp;number=0.0369&amp;sourceID=14","0.0369")</f>
        <v>0.0369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HYPERLINK("http://141.218.60.56/~jnz1568/getInfo.php?workbook=20_14.xlsx&amp;sheet=U0&amp;row=2973&amp;col=6&amp;number=3.9&amp;sourceID=14","3.9")</f>
        <v>3.9</v>
      </c>
      <c r="G2973" s="4" t="str">
        <f>HYPERLINK("http://141.218.60.56/~jnz1568/getInfo.php?workbook=20_14.xlsx&amp;sheet=U0&amp;row=2973&amp;col=7&amp;number=0.0369&amp;sourceID=14","0.0369")</f>
        <v>0.0369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HYPERLINK("http://141.218.60.56/~jnz1568/getInfo.php?workbook=20_14.xlsx&amp;sheet=U0&amp;row=2974&amp;col=6&amp;number=4&amp;sourceID=14","4")</f>
        <v>4</v>
      </c>
      <c r="G2974" s="4" t="str">
        <f>HYPERLINK("http://141.218.60.56/~jnz1568/getInfo.php?workbook=20_14.xlsx&amp;sheet=U0&amp;row=2974&amp;col=7&amp;number=0.0368&amp;sourceID=14","0.0368")</f>
        <v>0.0368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HYPERLINK("http://141.218.60.56/~jnz1568/getInfo.php?workbook=20_14.xlsx&amp;sheet=U0&amp;row=2975&amp;col=6&amp;number=4.1&amp;sourceID=14","4.1")</f>
        <v>4.1</v>
      </c>
      <c r="G2975" s="4" t="str">
        <f>HYPERLINK("http://141.218.60.56/~jnz1568/getInfo.php?workbook=20_14.xlsx&amp;sheet=U0&amp;row=2975&amp;col=7&amp;number=0.0368&amp;sourceID=14","0.0368")</f>
        <v>0.0368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HYPERLINK("http://141.218.60.56/~jnz1568/getInfo.php?workbook=20_14.xlsx&amp;sheet=U0&amp;row=2976&amp;col=6&amp;number=4.2&amp;sourceID=14","4.2")</f>
        <v>4.2</v>
      </c>
      <c r="G2976" s="4" t="str">
        <f>HYPERLINK("http://141.218.60.56/~jnz1568/getInfo.php?workbook=20_14.xlsx&amp;sheet=U0&amp;row=2976&amp;col=7&amp;number=0.0367&amp;sourceID=14","0.0367")</f>
        <v>0.0367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HYPERLINK("http://141.218.60.56/~jnz1568/getInfo.php?workbook=20_14.xlsx&amp;sheet=U0&amp;row=2977&amp;col=6&amp;number=4.3&amp;sourceID=14","4.3")</f>
        <v>4.3</v>
      </c>
      <c r="G2977" s="4" t="str">
        <f>HYPERLINK("http://141.218.60.56/~jnz1568/getInfo.php?workbook=20_14.xlsx&amp;sheet=U0&amp;row=2977&amp;col=7&amp;number=0.0366&amp;sourceID=14","0.0366")</f>
        <v>0.0366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HYPERLINK("http://141.218.60.56/~jnz1568/getInfo.php?workbook=20_14.xlsx&amp;sheet=U0&amp;row=2978&amp;col=6&amp;number=4.4&amp;sourceID=14","4.4")</f>
        <v>4.4</v>
      </c>
      <c r="G2978" s="4" t="str">
        <f>HYPERLINK("http://141.218.60.56/~jnz1568/getInfo.php?workbook=20_14.xlsx&amp;sheet=U0&amp;row=2978&amp;col=7&amp;number=0.0365&amp;sourceID=14","0.0365")</f>
        <v>0.0365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HYPERLINK("http://141.218.60.56/~jnz1568/getInfo.php?workbook=20_14.xlsx&amp;sheet=U0&amp;row=2979&amp;col=6&amp;number=4.5&amp;sourceID=14","4.5")</f>
        <v>4.5</v>
      </c>
      <c r="G2979" s="4" t="str">
        <f>HYPERLINK("http://141.218.60.56/~jnz1568/getInfo.php?workbook=20_14.xlsx&amp;sheet=U0&amp;row=2979&amp;col=7&amp;number=0.0363&amp;sourceID=14","0.0363")</f>
        <v>0.0363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HYPERLINK("http://141.218.60.56/~jnz1568/getInfo.php?workbook=20_14.xlsx&amp;sheet=U0&amp;row=2980&amp;col=6&amp;number=4.6&amp;sourceID=14","4.6")</f>
        <v>4.6</v>
      </c>
      <c r="G2980" s="4" t="str">
        <f>HYPERLINK("http://141.218.60.56/~jnz1568/getInfo.php?workbook=20_14.xlsx&amp;sheet=U0&amp;row=2980&amp;col=7&amp;number=0.0362&amp;sourceID=14","0.0362")</f>
        <v>0.0362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HYPERLINK("http://141.218.60.56/~jnz1568/getInfo.php?workbook=20_14.xlsx&amp;sheet=U0&amp;row=2981&amp;col=6&amp;number=4.7&amp;sourceID=14","4.7")</f>
        <v>4.7</v>
      </c>
      <c r="G2981" s="4" t="str">
        <f>HYPERLINK("http://141.218.60.56/~jnz1568/getInfo.php?workbook=20_14.xlsx&amp;sheet=U0&amp;row=2981&amp;col=7&amp;number=0.0359&amp;sourceID=14","0.0359")</f>
        <v>0.0359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HYPERLINK("http://141.218.60.56/~jnz1568/getInfo.php?workbook=20_14.xlsx&amp;sheet=U0&amp;row=2982&amp;col=6&amp;number=4.8&amp;sourceID=14","4.8")</f>
        <v>4.8</v>
      </c>
      <c r="G2982" s="4" t="str">
        <f>HYPERLINK("http://141.218.60.56/~jnz1568/getInfo.php?workbook=20_14.xlsx&amp;sheet=U0&amp;row=2982&amp;col=7&amp;number=0.0356&amp;sourceID=14","0.0356")</f>
        <v>0.0356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HYPERLINK("http://141.218.60.56/~jnz1568/getInfo.php?workbook=20_14.xlsx&amp;sheet=U0&amp;row=2983&amp;col=6&amp;number=4.9&amp;sourceID=14","4.9")</f>
        <v>4.9</v>
      </c>
      <c r="G2983" s="4" t="str">
        <f>HYPERLINK("http://141.218.60.56/~jnz1568/getInfo.php?workbook=20_14.xlsx&amp;sheet=U0&amp;row=2983&amp;col=7&amp;number=0.0353&amp;sourceID=14","0.0353")</f>
        <v>0.0353</v>
      </c>
    </row>
    <row r="2984" spans="1:7">
      <c r="A2984" s="3">
        <v>20</v>
      </c>
      <c r="B2984" s="3">
        <v>14</v>
      </c>
      <c r="C2984" s="3">
        <v>16</v>
      </c>
      <c r="D2984" s="3">
        <v>18</v>
      </c>
      <c r="E2984" s="3">
        <v>1</v>
      </c>
      <c r="F2984" s="4" t="str">
        <f>HYPERLINK("http://141.218.60.56/~jnz1568/getInfo.php?workbook=20_14.xlsx&amp;sheet=U0&amp;row=2984&amp;col=6&amp;number=3&amp;sourceID=14","3")</f>
        <v>3</v>
      </c>
      <c r="G2984" s="4" t="str">
        <f>HYPERLINK("http://141.218.60.56/~jnz1568/getInfo.php?workbook=20_14.xlsx&amp;sheet=U0&amp;row=2984&amp;col=7&amp;number=0.00479&amp;sourceID=14","0.00479")</f>
        <v>0.00479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HYPERLINK("http://141.218.60.56/~jnz1568/getInfo.php?workbook=20_14.xlsx&amp;sheet=U0&amp;row=2985&amp;col=6&amp;number=3.1&amp;sourceID=14","3.1")</f>
        <v>3.1</v>
      </c>
      <c r="G2985" s="4" t="str">
        <f>HYPERLINK("http://141.218.60.56/~jnz1568/getInfo.php?workbook=20_14.xlsx&amp;sheet=U0&amp;row=2985&amp;col=7&amp;number=0.00478&amp;sourceID=14","0.00478")</f>
        <v>0.00478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HYPERLINK("http://141.218.60.56/~jnz1568/getInfo.php?workbook=20_14.xlsx&amp;sheet=U0&amp;row=2986&amp;col=6&amp;number=3.2&amp;sourceID=14","3.2")</f>
        <v>3.2</v>
      </c>
      <c r="G2986" s="4" t="str">
        <f>HYPERLINK("http://141.218.60.56/~jnz1568/getInfo.php?workbook=20_14.xlsx&amp;sheet=U0&amp;row=2986&amp;col=7&amp;number=0.00478&amp;sourceID=14","0.00478")</f>
        <v>0.00478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HYPERLINK("http://141.218.60.56/~jnz1568/getInfo.php?workbook=20_14.xlsx&amp;sheet=U0&amp;row=2987&amp;col=6&amp;number=3.3&amp;sourceID=14","3.3")</f>
        <v>3.3</v>
      </c>
      <c r="G2987" s="4" t="str">
        <f>HYPERLINK("http://141.218.60.56/~jnz1568/getInfo.php?workbook=20_14.xlsx&amp;sheet=U0&amp;row=2987&amp;col=7&amp;number=0.00478&amp;sourceID=14","0.00478")</f>
        <v>0.00478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HYPERLINK("http://141.218.60.56/~jnz1568/getInfo.php?workbook=20_14.xlsx&amp;sheet=U0&amp;row=2988&amp;col=6&amp;number=3.4&amp;sourceID=14","3.4")</f>
        <v>3.4</v>
      </c>
      <c r="G2988" s="4" t="str">
        <f>HYPERLINK("http://141.218.60.56/~jnz1568/getInfo.php?workbook=20_14.xlsx&amp;sheet=U0&amp;row=2988&amp;col=7&amp;number=0.00478&amp;sourceID=14","0.00478")</f>
        <v>0.00478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HYPERLINK("http://141.218.60.56/~jnz1568/getInfo.php?workbook=20_14.xlsx&amp;sheet=U0&amp;row=2989&amp;col=6&amp;number=3.5&amp;sourceID=14","3.5")</f>
        <v>3.5</v>
      </c>
      <c r="G2989" s="4" t="str">
        <f>HYPERLINK("http://141.218.60.56/~jnz1568/getInfo.php?workbook=20_14.xlsx&amp;sheet=U0&amp;row=2989&amp;col=7&amp;number=0.00478&amp;sourceID=14","0.00478")</f>
        <v>0.00478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HYPERLINK("http://141.218.60.56/~jnz1568/getInfo.php?workbook=20_14.xlsx&amp;sheet=U0&amp;row=2990&amp;col=6&amp;number=3.6&amp;sourceID=14","3.6")</f>
        <v>3.6</v>
      </c>
      <c r="G2990" s="4" t="str">
        <f>HYPERLINK("http://141.218.60.56/~jnz1568/getInfo.php?workbook=20_14.xlsx&amp;sheet=U0&amp;row=2990&amp;col=7&amp;number=0.00478&amp;sourceID=14","0.00478")</f>
        <v>0.00478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HYPERLINK("http://141.218.60.56/~jnz1568/getInfo.php?workbook=20_14.xlsx&amp;sheet=U0&amp;row=2991&amp;col=6&amp;number=3.7&amp;sourceID=14","3.7")</f>
        <v>3.7</v>
      </c>
      <c r="G2991" s="4" t="str">
        <f>HYPERLINK("http://141.218.60.56/~jnz1568/getInfo.php?workbook=20_14.xlsx&amp;sheet=U0&amp;row=2991&amp;col=7&amp;number=0.00477&amp;sourceID=14","0.00477")</f>
        <v>0.00477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HYPERLINK("http://141.218.60.56/~jnz1568/getInfo.php?workbook=20_14.xlsx&amp;sheet=U0&amp;row=2992&amp;col=6&amp;number=3.8&amp;sourceID=14","3.8")</f>
        <v>3.8</v>
      </c>
      <c r="G2992" s="4" t="str">
        <f>HYPERLINK("http://141.218.60.56/~jnz1568/getInfo.php?workbook=20_14.xlsx&amp;sheet=U0&amp;row=2992&amp;col=7&amp;number=0.00477&amp;sourceID=14","0.00477")</f>
        <v>0.00477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HYPERLINK("http://141.218.60.56/~jnz1568/getInfo.php?workbook=20_14.xlsx&amp;sheet=U0&amp;row=2993&amp;col=6&amp;number=3.9&amp;sourceID=14","3.9")</f>
        <v>3.9</v>
      </c>
      <c r="G2993" s="4" t="str">
        <f>HYPERLINK("http://141.218.60.56/~jnz1568/getInfo.php?workbook=20_14.xlsx&amp;sheet=U0&amp;row=2993&amp;col=7&amp;number=0.00477&amp;sourceID=14","0.00477")</f>
        <v>0.00477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HYPERLINK("http://141.218.60.56/~jnz1568/getInfo.php?workbook=20_14.xlsx&amp;sheet=U0&amp;row=2994&amp;col=6&amp;number=4&amp;sourceID=14","4")</f>
        <v>4</v>
      </c>
      <c r="G2994" s="4" t="str">
        <f>HYPERLINK("http://141.218.60.56/~jnz1568/getInfo.php?workbook=20_14.xlsx&amp;sheet=U0&amp;row=2994&amp;col=7&amp;number=0.00476&amp;sourceID=14","0.00476")</f>
        <v>0.00476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HYPERLINK("http://141.218.60.56/~jnz1568/getInfo.php?workbook=20_14.xlsx&amp;sheet=U0&amp;row=2995&amp;col=6&amp;number=4.1&amp;sourceID=14","4.1")</f>
        <v>4.1</v>
      </c>
      <c r="G2995" s="4" t="str">
        <f>HYPERLINK("http://141.218.60.56/~jnz1568/getInfo.php?workbook=20_14.xlsx&amp;sheet=U0&amp;row=2995&amp;col=7&amp;number=0.00475&amp;sourceID=14","0.00475")</f>
        <v>0.00475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HYPERLINK("http://141.218.60.56/~jnz1568/getInfo.php?workbook=20_14.xlsx&amp;sheet=U0&amp;row=2996&amp;col=6&amp;number=4.2&amp;sourceID=14","4.2")</f>
        <v>4.2</v>
      </c>
      <c r="G2996" s="4" t="str">
        <f>HYPERLINK("http://141.218.60.56/~jnz1568/getInfo.php?workbook=20_14.xlsx&amp;sheet=U0&amp;row=2996&amp;col=7&amp;number=0.00475&amp;sourceID=14","0.00475")</f>
        <v>0.00475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HYPERLINK("http://141.218.60.56/~jnz1568/getInfo.php?workbook=20_14.xlsx&amp;sheet=U0&amp;row=2997&amp;col=6&amp;number=4.3&amp;sourceID=14","4.3")</f>
        <v>4.3</v>
      </c>
      <c r="G2997" s="4" t="str">
        <f>HYPERLINK("http://141.218.60.56/~jnz1568/getInfo.php?workbook=20_14.xlsx&amp;sheet=U0&amp;row=2997&amp;col=7&amp;number=0.00473&amp;sourceID=14","0.00473")</f>
        <v>0.00473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HYPERLINK("http://141.218.60.56/~jnz1568/getInfo.php?workbook=20_14.xlsx&amp;sheet=U0&amp;row=2998&amp;col=6&amp;number=4.4&amp;sourceID=14","4.4")</f>
        <v>4.4</v>
      </c>
      <c r="G2998" s="4" t="str">
        <f>HYPERLINK("http://141.218.60.56/~jnz1568/getInfo.php?workbook=20_14.xlsx&amp;sheet=U0&amp;row=2998&amp;col=7&amp;number=0.00472&amp;sourceID=14","0.00472")</f>
        <v>0.00472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HYPERLINK("http://141.218.60.56/~jnz1568/getInfo.php?workbook=20_14.xlsx&amp;sheet=U0&amp;row=2999&amp;col=6&amp;number=4.5&amp;sourceID=14","4.5")</f>
        <v>4.5</v>
      </c>
      <c r="G2999" s="4" t="str">
        <f>HYPERLINK("http://141.218.60.56/~jnz1568/getInfo.php?workbook=20_14.xlsx&amp;sheet=U0&amp;row=2999&amp;col=7&amp;number=0.0047&amp;sourceID=14","0.0047")</f>
        <v>0.0047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HYPERLINK("http://141.218.60.56/~jnz1568/getInfo.php?workbook=20_14.xlsx&amp;sheet=U0&amp;row=3000&amp;col=6&amp;number=4.6&amp;sourceID=14","4.6")</f>
        <v>4.6</v>
      </c>
      <c r="G3000" s="4" t="str">
        <f>HYPERLINK("http://141.218.60.56/~jnz1568/getInfo.php?workbook=20_14.xlsx&amp;sheet=U0&amp;row=3000&amp;col=7&amp;number=0.00468&amp;sourceID=14","0.00468")</f>
        <v>0.00468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HYPERLINK("http://141.218.60.56/~jnz1568/getInfo.php?workbook=20_14.xlsx&amp;sheet=U0&amp;row=3001&amp;col=6&amp;number=4.7&amp;sourceID=14","4.7")</f>
        <v>4.7</v>
      </c>
      <c r="G3001" s="4" t="str">
        <f>HYPERLINK("http://141.218.60.56/~jnz1568/getInfo.php?workbook=20_14.xlsx&amp;sheet=U0&amp;row=3001&amp;col=7&amp;number=0.00466&amp;sourceID=14","0.00466")</f>
        <v>0.00466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HYPERLINK("http://141.218.60.56/~jnz1568/getInfo.php?workbook=20_14.xlsx&amp;sheet=U0&amp;row=3002&amp;col=6&amp;number=4.8&amp;sourceID=14","4.8")</f>
        <v>4.8</v>
      </c>
      <c r="G3002" s="4" t="str">
        <f>HYPERLINK("http://141.218.60.56/~jnz1568/getInfo.php?workbook=20_14.xlsx&amp;sheet=U0&amp;row=3002&amp;col=7&amp;number=0.00462&amp;sourceID=14","0.00462")</f>
        <v>0.00462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HYPERLINK("http://141.218.60.56/~jnz1568/getInfo.php?workbook=20_14.xlsx&amp;sheet=U0&amp;row=3003&amp;col=6&amp;number=4.9&amp;sourceID=14","4.9")</f>
        <v>4.9</v>
      </c>
      <c r="G3003" s="4" t="str">
        <f>HYPERLINK("http://141.218.60.56/~jnz1568/getInfo.php?workbook=20_14.xlsx&amp;sheet=U0&amp;row=3003&amp;col=7&amp;number=0.00458&amp;sourceID=14","0.00458")</f>
        <v>0.00458</v>
      </c>
    </row>
    <row r="3004" spans="1:7">
      <c r="A3004" s="3">
        <v>20</v>
      </c>
      <c r="B3004" s="3">
        <v>14</v>
      </c>
      <c r="C3004" s="3">
        <v>16</v>
      </c>
      <c r="D3004" s="3">
        <v>19</v>
      </c>
      <c r="E3004" s="3">
        <v>1</v>
      </c>
      <c r="F3004" s="4" t="str">
        <f>HYPERLINK("http://141.218.60.56/~jnz1568/getInfo.php?workbook=20_14.xlsx&amp;sheet=U0&amp;row=3004&amp;col=6&amp;number=3&amp;sourceID=14","3")</f>
        <v>3</v>
      </c>
      <c r="G3004" s="4" t="str">
        <f>HYPERLINK("http://141.218.60.56/~jnz1568/getInfo.php?workbook=20_14.xlsx&amp;sheet=U0&amp;row=3004&amp;col=7&amp;number=0.044&amp;sourceID=14","0.044")</f>
        <v>0.044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HYPERLINK("http://141.218.60.56/~jnz1568/getInfo.php?workbook=20_14.xlsx&amp;sheet=U0&amp;row=3005&amp;col=6&amp;number=3.1&amp;sourceID=14","3.1")</f>
        <v>3.1</v>
      </c>
      <c r="G3005" s="4" t="str">
        <f>HYPERLINK("http://141.218.60.56/~jnz1568/getInfo.php?workbook=20_14.xlsx&amp;sheet=U0&amp;row=3005&amp;col=7&amp;number=0.044&amp;sourceID=14","0.044")</f>
        <v>0.044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HYPERLINK("http://141.218.60.56/~jnz1568/getInfo.php?workbook=20_14.xlsx&amp;sheet=U0&amp;row=3006&amp;col=6&amp;number=3.2&amp;sourceID=14","3.2")</f>
        <v>3.2</v>
      </c>
      <c r="G3006" s="4" t="str">
        <f>HYPERLINK("http://141.218.60.56/~jnz1568/getInfo.php?workbook=20_14.xlsx&amp;sheet=U0&amp;row=3006&amp;col=7&amp;number=0.044&amp;sourceID=14","0.044")</f>
        <v>0.044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HYPERLINK("http://141.218.60.56/~jnz1568/getInfo.php?workbook=20_14.xlsx&amp;sheet=U0&amp;row=3007&amp;col=6&amp;number=3.3&amp;sourceID=14","3.3")</f>
        <v>3.3</v>
      </c>
      <c r="G3007" s="4" t="str">
        <f>HYPERLINK("http://141.218.60.56/~jnz1568/getInfo.php?workbook=20_14.xlsx&amp;sheet=U0&amp;row=3007&amp;col=7&amp;number=0.044&amp;sourceID=14","0.044")</f>
        <v>0.044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HYPERLINK("http://141.218.60.56/~jnz1568/getInfo.php?workbook=20_14.xlsx&amp;sheet=U0&amp;row=3008&amp;col=6&amp;number=3.4&amp;sourceID=14","3.4")</f>
        <v>3.4</v>
      </c>
      <c r="G3008" s="4" t="str">
        <f>HYPERLINK("http://141.218.60.56/~jnz1568/getInfo.php?workbook=20_14.xlsx&amp;sheet=U0&amp;row=3008&amp;col=7&amp;number=0.044&amp;sourceID=14","0.044")</f>
        <v>0.044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HYPERLINK("http://141.218.60.56/~jnz1568/getInfo.php?workbook=20_14.xlsx&amp;sheet=U0&amp;row=3009&amp;col=6&amp;number=3.5&amp;sourceID=14","3.5")</f>
        <v>3.5</v>
      </c>
      <c r="G3009" s="4" t="str">
        <f>HYPERLINK("http://141.218.60.56/~jnz1568/getInfo.php?workbook=20_14.xlsx&amp;sheet=U0&amp;row=3009&amp;col=7&amp;number=0.044&amp;sourceID=14","0.044")</f>
        <v>0.044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HYPERLINK("http://141.218.60.56/~jnz1568/getInfo.php?workbook=20_14.xlsx&amp;sheet=U0&amp;row=3010&amp;col=6&amp;number=3.6&amp;sourceID=14","3.6")</f>
        <v>3.6</v>
      </c>
      <c r="G3010" s="4" t="str">
        <f>HYPERLINK("http://141.218.60.56/~jnz1568/getInfo.php?workbook=20_14.xlsx&amp;sheet=U0&amp;row=3010&amp;col=7&amp;number=0.0439&amp;sourceID=14","0.0439")</f>
        <v>0.0439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HYPERLINK("http://141.218.60.56/~jnz1568/getInfo.php?workbook=20_14.xlsx&amp;sheet=U0&amp;row=3011&amp;col=6&amp;number=3.7&amp;sourceID=14","3.7")</f>
        <v>3.7</v>
      </c>
      <c r="G3011" s="4" t="str">
        <f>HYPERLINK("http://141.218.60.56/~jnz1568/getInfo.php?workbook=20_14.xlsx&amp;sheet=U0&amp;row=3011&amp;col=7&amp;number=0.0439&amp;sourceID=14","0.0439")</f>
        <v>0.0439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HYPERLINK("http://141.218.60.56/~jnz1568/getInfo.php?workbook=20_14.xlsx&amp;sheet=U0&amp;row=3012&amp;col=6&amp;number=3.8&amp;sourceID=14","3.8")</f>
        <v>3.8</v>
      </c>
      <c r="G3012" s="4" t="str">
        <f>HYPERLINK("http://141.218.60.56/~jnz1568/getInfo.php?workbook=20_14.xlsx&amp;sheet=U0&amp;row=3012&amp;col=7&amp;number=0.0439&amp;sourceID=14","0.0439")</f>
        <v>0.0439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HYPERLINK("http://141.218.60.56/~jnz1568/getInfo.php?workbook=20_14.xlsx&amp;sheet=U0&amp;row=3013&amp;col=6&amp;number=3.9&amp;sourceID=14","3.9")</f>
        <v>3.9</v>
      </c>
      <c r="G3013" s="4" t="str">
        <f>HYPERLINK("http://141.218.60.56/~jnz1568/getInfo.php?workbook=20_14.xlsx&amp;sheet=U0&amp;row=3013&amp;col=7&amp;number=0.0438&amp;sourceID=14","0.0438")</f>
        <v>0.0438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HYPERLINK("http://141.218.60.56/~jnz1568/getInfo.php?workbook=20_14.xlsx&amp;sheet=U0&amp;row=3014&amp;col=6&amp;number=4&amp;sourceID=14","4")</f>
        <v>4</v>
      </c>
      <c r="G3014" s="4" t="str">
        <f>HYPERLINK("http://141.218.60.56/~jnz1568/getInfo.php?workbook=20_14.xlsx&amp;sheet=U0&amp;row=3014&amp;col=7&amp;number=0.0438&amp;sourceID=14","0.0438")</f>
        <v>0.0438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HYPERLINK("http://141.218.60.56/~jnz1568/getInfo.php?workbook=20_14.xlsx&amp;sheet=U0&amp;row=3015&amp;col=6&amp;number=4.1&amp;sourceID=14","4.1")</f>
        <v>4.1</v>
      </c>
      <c r="G3015" s="4" t="str">
        <f>HYPERLINK("http://141.218.60.56/~jnz1568/getInfo.php?workbook=20_14.xlsx&amp;sheet=U0&amp;row=3015&amp;col=7&amp;number=0.0437&amp;sourceID=14","0.0437")</f>
        <v>0.0437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HYPERLINK("http://141.218.60.56/~jnz1568/getInfo.php?workbook=20_14.xlsx&amp;sheet=U0&amp;row=3016&amp;col=6&amp;number=4.2&amp;sourceID=14","4.2")</f>
        <v>4.2</v>
      </c>
      <c r="G3016" s="4" t="str">
        <f>HYPERLINK("http://141.218.60.56/~jnz1568/getInfo.php?workbook=20_14.xlsx&amp;sheet=U0&amp;row=3016&amp;col=7&amp;number=0.0436&amp;sourceID=14","0.0436")</f>
        <v>0.0436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HYPERLINK("http://141.218.60.56/~jnz1568/getInfo.php?workbook=20_14.xlsx&amp;sheet=U0&amp;row=3017&amp;col=6&amp;number=4.3&amp;sourceID=14","4.3")</f>
        <v>4.3</v>
      </c>
      <c r="G3017" s="4" t="str">
        <f>HYPERLINK("http://141.218.60.56/~jnz1568/getInfo.php?workbook=20_14.xlsx&amp;sheet=U0&amp;row=3017&amp;col=7&amp;number=0.0435&amp;sourceID=14","0.0435")</f>
        <v>0.0435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HYPERLINK("http://141.218.60.56/~jnz1568/getInfo.php?workbook=20_14.xlsx&amp;sheet=U0&amp;row=3018&amp;col=6&amp;number=4.4&amp;sourceID=14","4.4")</f>
        <v>4.4</v>
      </c>
      <c r="G3018" s="4" t="str">
        <f>HYPERLINK("http://141.218.60.56/~jnz1568/getInfo.php?workbook=20_14.xlsx&amp;sheet=U0&amp;row=3018&amp;col=7&amp;number=0.0434&amp;sourceID=14","0.0434")</f>
        <v>0.0434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HYPERLINK("http://141.218.60.56/~jnz1568/getInfo.php?workbook=20_14.xlsx&amp;sheet=U0&amp;row=3019&amp;col=6&amp;number=4.5&amp;sourceID=14","4.5")</f>
        <v>4.5</v>
      </c>
      <c r="G3019" s="4" t="str">
        <f>HYPERLINK("http://141.218.60.56/~jnz1568/getInfo.php?workbook=20_14.xlsx&amp;sheet=U0&amp;row=3019&amp;col=7&amp;number=0.0432&amp;sourceID=14","0.0432")</f>
        <v>0.0432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HYPERLINK("http://141.218.60.56/~jnz1568/getInfo.php?workbook=20_14.xlsx&amp;sheet=U0&amp;row=3020&amp;col=6&amp;number=4.6&amp;sourceID=14","4.6")</f>
        <v>4.6</v>
      </c>
      <c r="G3020" s="4" t="str">
        <f>HYPERLINK("http://141.218.60.56/~jnz1568/getInfo.php?workbook=20_14.xlsx&amp;sheet=U0&amp;row=3020&amp;col=7&amp;number=0.0431&amp;sourceID=14","0.0431")</f>
        <v>0.0431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HYPERLINK("http://141.218.60.56/~jnz1568/getInfo.php?workbook=20_14.xlsx&amp;sheet=U0&amp;row=3021&amp;col=6&amp;number=4.7&amp;sourceID=14","4.7")</f>
        <v>4.7</v>
      </c>
      <c r="G3021" s="4" t="str">
        <f>HYPERLINK("http://141.218.60.56/~jnz1568/getInfo.php?workbook=20_14.xlsx&amp;sheet=U0&amp;row=3021&amp;col=7&amp;number=0.0428&amp;sourceID=14","0.0428")</f>
        <v>0.0428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HYPERLINK("http://141.218.60.56/~jnz1568/getInfo.php?workbook=20_14.xlsx&amp;sheet=U0&amp;row=3022&amp;col=6&amp;number=4.8&amp;sourceID=14","4.8")</f>
        <v>4.8</v>
      </c>
      <c r="G3022" s="4" t="str">
        <f>HYPERLINK("http://141.218.60.56/~jnz1568/getInfo.php?workbook=20_14.xlsx&amp;sheet=U0&amp;row=3022&amp;col=7&amp;number=0.0425&amp;sourceID=14","0.0425")</f>
        <v>0.0425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HYPERLINK("http://141.218.60.56/~jnz1568/getInfo.php?workbook=20_14.xlsx&amp;sheet=U0&amp;row=3023&amp;col=6&amp;number=4.9&amp;sourceID=14","4.9")</f>
        <v>4.9</v>
      </c>
      <c r="G3023" s="4" t="str">
        <f>HYPERLINK("http://141.218.60.56/~jnz1568/getInfo.php?workbook=20_14.xlsx&amp;sheet=U0&amp;row=3023&amp;col=7&amp;number=0.0421&amp;sourceID=14","0.0421")</f>
        <v>0.0421</v>
      </c>
    </row>
    <row r="3024" spans="1:7">
      <c r="A3024" s="3">
        <v>20</v>
      </c>
      <c r="B3024" s="3">
        <v>14</v>
      </c>
      <c r="C3024" s="3">
        <v>16</v>
      </c>
      <c r="D3024" s="3">
        <v>20</v>
      </c>
      <c r="E3024" s="3">
        <v>1</v>
      </c>
      <c r="F3024" s="4" t="str">
        <f>HYPERLINK("http://141.218.60.56/~jnz1568/getInfo.php?workbook=20_14.xlsx&amp;sheet=U0&amp;row=3024&amp;col=6&amp;number=3&amp;sourceID=14","3")</f>
        <v>3</v>
      </c>
      <c r="G3024" s="4" t="str">
        <f>HYPERLINK("http://141.218.60.56/~jnz1568/getInfo.php?workbook=20_14.xlsx&amp;sheet=U0&amp;row=3024&amp;col=7&amp;number=0.16&amp;sourceID=14","0.16")</f>
        <v>0.16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HYPERLINK("http://141.218.60.56/~jnz1568/getInfo.php?workbook=20_14.xlsx&amp;sheet=U0&amp;row=3025&amp;col=6&amp;number=3.1&amp;sourceID=14","3.1")</f>
        <v>3.1</v>
      </c>
      <c r="G3025" s="4" t="str">
        <f>HYPERLINK("http://141.218.60.56/~jnz1568/getInfo.php?workbook=20_14.xlsx&amp;sheet=U0&amp;row=3025&amp;col=7&amp;number=0.159&amp;sourceID=14","0.159")</f>
        <v>0.159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HYPERLINK("http://141.218.60.56/~jnz1568/getInfo.php?workbook=20_14.xlsx&amp;sheet=U0&amp;row=3026&amp;col=6&amp;number=3.2&amp;sourceID=14","3.2")</f>
        <v>3.2</v>
      </c>
      <c r="G3026" s="4" t="str">
        <f>HYPERLINK("http://141.218.60.56/~jnz1568/getInfo.php?workbook=20_14.xlsx&amp;sheet=U0&amp;row=3026&amp;col=7&amp;number=0.159&amp;sourceID=14","0.159")</f>
        <v>0.159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HYPERLINK("http://141.218.60.56/~jnz1568/getInfo.php?workbook=20_14.xlsx&amp;sheet=U0&amp;row=3027&amp;col=6&amp;number=3.3&amp;sourceID=14","3.3")</f>
        <v>3.3</v>
      </c>
      <c r="G3027" s="4" t="str">
        <f>HYPERLINK("http://141.218.60.56/~jnz1568/getInfo.php?workbook=20_14.xlsx&amp;sheet=U0&amp;row=3027&amp;col=7&amp;number=0.159&amp;sourceID=14","0.159")</f>
        <v>0.159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HYPERLINK("http://141.218.60.56/~jnz1568/getInfo.php?workbook=20_14.xlsx&amp;sheet=U0&amp;row=3028&amp;col=6&amp;number=3.4&amp;sourceID=14","3.4")</f>
        <v>3.4</v>
      </c>
      <c r="G3028" s="4" t="str">
        <f>HYPERLINK("http://141.218.60.56/~jnz1568/getInfo.php?workbook=20_14.xlsx&amp;sheet=U0&amp;row=3028&amp;col=7&amp;number=0.159&amp;sourceID=14","0.159")</f>
        <v>0.159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HYPERLINK("http://141.218.60.56/~jnz1568/getInfo.php?workbook=20_14.xlsx&amp;sheet=U0&amp;row=3029&amp;col=6&amp;number=3.5&amp;sourceID=14","3.5")</f>
        <v>3.5</v>
      </c>
      <c r="G3029" s="4" t="str">
        <f>HYPERLINK("http://141.218.60.56/~jnz1568/getInfo.php?workbook=20_14.xlsx&amp;sheet=U0&amp;row=3029&amp;col=7&amp;number=0.159&amp;sourceID=14","0.159")</f>
        <v>0.159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HYPERLINK("http://141.218.60.56/~jnz1568/getInfo.php?workbook=20_14.xlsx&amp;sheet=U0&amp;row=3030&amp;col=6&amp;number=3.6&amp;sourceID=14","3.6")</f>
        <v>3.6</v>
      </c>
      <c r="G3030" s="4" t="str">
        <f>HYPERLINK("http://141.218.60.56/~jnz1568/getInfo.php?workbook=20_14.xlsx&amp;sheet=U0&amp;row=3030&amp;col=7&amp;number=0.159&amp;sourceID=14","0.159")</f>
        <v>0.159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HYPERLINK("http://141.218.60.56/~jnz1568/getInfo.php?workbook=20_14.xlsx&amp;sheet=U0&amp;row=3031&amp;col=6&amp;number=3.7&amp;sourceID=14","3.7")</f>
        <v>3.7</v>
      </c>
      <c r="G3031" s="4" t="str">
        <f>HYPERLINK("http://141.218.60.56/~jnz1568/getInfo.php?workbook=20_14.xlsx&amp;sheet=U0&amp;row=3031&amp;col=7&amp;number=0.159&amp;sourceID=14","0.159")</f>
        <v>0.159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HYPERLINK("http://141.218.60.56/~jnz1568/getInfo.php?workbook=20_14.xlsx&amp;sheet=U0&amp;row=3032&amp;col=6&amp;number=3.8&amp;sourceID=14","3.8")</f>
        <v>3.8</v>
      </c>
      <c r="G3032" s="4" t="str">
        <f>HYPERLINK("http://141.218.60.56/~jnz1568/getInfo.php?workbook=20_14.xlsx&amp;sheet=U0&amp;row=3032&amp;col=7&amp;number=0.159&amp;sourceID=14","0.159")</f>
        <v>0.159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HYPERLINK("http://141.218.60.56/~jnz1568/getInfo.php?workbook=20_14.xlsx&amp;sheet=U0&amp;row=3033&amp;col=6&amp;number=3.9&amp;sourceID=14","3.9")</f>
        <v>3.9</v>
      </c>
      <c r="G3033" s="4" t="str">
        <f>HYPERLINK("http://141.218.60.56/~jnz1568/getInfo.php?workbook=20_14.xlsx&amp;sheet=U0&amp;row=3033&amp;col=7&amp;number=0.159&amp;sourceID=14","0.159")</f>
        <v>0.159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HYPERLINK("http://141.218.60.56/~jnz1568/getInfo.php?workbook=20_14.xlsx&amp;sheet=U0&amp;row=3034&amp;col=6&amp;number=4&amp;sourceID=14","4")</f>
        <v>4</v>
      </c>
      <c r="G3034" s="4" t="str">
        <f>HYPERLINK("http://141.218.60.56/~jnz1568/getInfo.php?workbook=20_14.xlsx&amp;sheet=U0&amp;row=3034&amp;col=7&amp;number=0.159&amp;sourceID=14","0.159")</f>
        <v>0.159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HYPERLINK("http://141.218.60.56/~jnz1568/getInfo.php?workbook=20_14.xlsx&amp;sheet=U0&amp;row=3035&amp;col=6&amp;number=4.1&amp;sourceID=14","4.1")</f>
        <v>4.1</v>
      </c>
      <c r="G3035" s="4" t="str">
        <f>HYPERLINK("http://141.218.60.56/~jnz1568/getInfo.php?workbook=20_14.xlsx&amp;sheet=U0&amp;row=3035&amp;col=7&amp;number=0.158&amp;sourceID=14","0.158")</f>
        <v>0.158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HYPERLINK("http://141.218.60.56/~jnz1568/getInfo.php?workbook=20_14.xlsx&amp;sheet=U0&amp;row=3036&amp;col=6&amp;number=4.2&amp;sourceID=14","4.2")</f>
        <v>4.2</v>
      </c>
      <c r="G3036" s="4" t="str">
        <f>HYPERLINK("http://141.218.60.56/~jnz1568/getInfo.php?workbook=20_14.xlsx&amp;sheet=U0&amp;row=3036&amp;col=7&amp;number=0.158&amp;sourceID=14","0.158")</f>
        <v>0.158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HYPERLINK("http://141.218.60.56/~jnz1568/getInfo.php?workbook=20_14.xlsx&amp;sheet=U0&amp;row=3037&amp;col=6&amp;number=4.3&amp;sourceID=14","4.3")</f>
        <v>4.3</v>
      </c>
      <c r="G3037" s="4" t="str">
        <f>HYPERLINK("http://141.218.60.56/~jnz1568/getInfo.php?workbook=20_14.xlsx&amp;sheet=U0&amp;row=3037&amp;col=7&amp;number=0.158&amp;sourceID=14","0.158")</f>
        <v>0.158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HYPERLINK("http://141.218.60.56/~jnz1568/getInfo.php?workbook=20_14.xlsx&amp;sheet=U0&amp;row=3038&amp;col=6&amp;number=4.4&amp;sourceID=14","4.4")</f>
        <v>4.4</v>
      </c>
      <c r="G3038" s="4" t="str">
        <f>HYPERLINK("http://141.218.60.56/~jnz1568/getInfo.php?workbook=20_14.xlsx&amp;sheet=U0&amp;row=3038&amp;col=7&amp;number=0.157&amp;sourceID=14","0.157")</f>
        <v>0.157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HYPERLINK("http://141.218.60.56/~jnz1568/getInfo.php?workbook=20_14.xlsx&amp;sheet=U0&amp;row=3039&amp;col=6&amp;number=4.5&amp;sourceID=14","4.5")</f>
        <v>4.5</v>
      </c>
      <c r="G3039" s="4" t="str">
        <f>HYPERLINK("http://141.218.60.56/~jnz1568/getInfo.php?workbook=20_14.xlsx&amp;sheet=U0&amp;row=3039&amp;col=7&amp;number=0.157&amp;sourceID=14","0.157")</f>
        <v>0.157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HYPERLINK("http://141.218.60.56/~jnz1568/getInfo.php?workbook=20_14.xlsx&amp;sheet=U0&amp;row=3040&amp;col=6&amp;number=4.6&amp;sourceID=14","4.6")</f>
        <v>4.6</v>
      </c>
      <c r="G3040" s="4" t="str">
        <f>HYPERLINK("http://141.218.60.56/~jnz1568/getInfo.php?workbook=20_14.xlsx&amp;sheet=U0&amp;row=3040&amp;col=7&amp;number=0.156&amp;sourceID=14","0.156")</f>
        <v>0.156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HYPERLINK("http://141.218.60.56/~jnz1568/getInfo.php?workbook=20_14.xlsx&amp;sheet=U0&amp;row=3041&amp;col=6&amp;number=4.7&amp;sourceID=14","4.7")</f>
        <v>4.7</v>
      </c>
      <c r="G3041" s="4" t="str">
        <f>HYPERLINK("http://141.218.60.56/~jnz1568/getInfo.php?workbook=20_14.xlsx&amp;sheet=U0&amp;row=3041&amp;col=7&amp;number=0.155&amp;sourceID=14","0.155")</f>
        <v>0.155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HYPERLINK("http://141.218.60.56/~jnz1568/getInfo.php?workbook=20_14.xlsx&amp;sheet=U0&amp;row=3042&amp;col=6&amp;number=4.8&amp;sourceID=14","4.8")</f>
        <v>4.8</v>
      </c>
      <c r="G3042" s="4" t="str">
        <f>HYPERLINK("http://141.218.60.56/~jnz1568/getInfo.php?workbook=20_14.xlsx&amp;sheet=U0&amp;row=3042&amp;col=7&amp;number=0.154&amp;sourceID=14","0.154")</f>
        <v>0.154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HYPERLINK("http://141.218.60.56/~jnz1568/getInfo.php?workbook=20_14.xlsx&amp;sheet=U0&amp;row=3043&amp;col=6&amp;number=4.9&amp;sourceID=14","4.9")</f>
        <v>4.9</v>
      </c>
      <c r="G3043" s="4" t="str">
        <f>HYPERLINK("http://141.218.60.56/~jnz1568/getInfo.php?workbook=20_14.xlsx&amp;sheet=U0&amp;row=3043&amp;col=7&amp;number=0.152&amp;sourceID=14","0.152")</f>
        <v>0.152</v>
      </c>
    </row>
    <row r="3044" spans="1:7">
      <c r="A3044" s="3">
        <v>20</v>
      </c>
      <c r="B3044" s="3">
        <v>14</v>
      </c>
      <c r="C3044" s="3">
        <v>16</v>
      </c>
      <c r="D3044" s="3">
        <v>21</v>
      </c>
      <c r="E3044" s="3">
        <v>1</v>
      </c>
      <c r="F3044" s="4" t="str">
        <f>HYPERLINK("http://141.218.60.56/~jnz1568/getInfo.php?workbook=20_14.xlsx&amp;sheet=U0&amp;row=3044&amp;col=6&amp;number=3&amp;sourceID=14","3")</f>
        <v>3</v>
      </c>
      <c r="G3044" s="4" t="str">
        <f>HYPERLINK("http://141.218.60.56/~jnz1568/getInfo.php?workbook=20_14.xlsx&amp;sheet=U0&amp;row=3044&amp;col=7&amp;number=1.09&amp;sourceID=14","1.09")</f>
        <v>1.09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HYPERLINK("http://141.218.60.56/~jnz1568/getInfo.php?workbook=20_14.xlsx&amp;sheet=U0&amp;row=3045&amp;col=6&amp;number=3.1&amp;sourceID=14","3.1")</f>
        <v>3.1</v>
      </c>
      <c r="G3045" s="4" t="str">
        <f>HYPERLINK("http://141.218.60.56/~jnz1568/getInfo.php?workbook=20_14.xlsx&amp;sheet=U0&amp;row=3045&amp;col=7&amp;number=1.09&amp;sourceID=14","1.09")</f>
        <v>1.09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HYPERLINK("http://141.218.60.56/~jnz1568/getInfo.php?workbook=20_14.xlsx&amp;sheet=U0&amp;row=3046&amp;col=6&amp;number=3.2&amp;sourceID=14","3.2")</f>
        <v>3.2</v>
      </c>
      <c r="G3046" s="4" t="str">
        <f>HYPERLINK("http://141.218.60.56/~jnz1568/getInfo.php?workbook=20_14.xlsx&amp;sheet=U0&amp;row=3046&amp;col=7&amp;number=1.09&amp;sourceID=14","1.09")</f>
        <v>1.09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HYPERLINK("http://141.218.60.56/~jnz1568/getInfo.php?workbook=20_14.xlsx&amp;sheet=U0&amp;row=3047&amp;col=6&amp;number=3.3&amp;sourceID=14","3.3")</f>
        <v>3.3</v>
      </c>
      <c r="G3047" s="4" t="str">
        <f>HYPERLINK("http://141.218.60.56/~jnz1568/getInfo.php?workbook=20_14.xlsx&amp;sheet=U0&amp;row=3047&amp;col=7&amp;number=1.09&amp;sourceID=14","1.09")</f>
        <v>1.09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HYPERLINK("http://141.218.60.56/~jnz1568/getInfo.php?workbook=20_14.xlsx&amp;sheet=U0&amp;row=3048&amp;col=6&amp;number=3.4&amp;sourceID=14","3.4")</f>
        <v>3.4</v>
      </c>
      <c r="G3048" s="4" t="str">
        <f>HYPERLINK("http://141.218.60.56/~jnz1568/getInfo.php?workbook=20_14.xlsx&amp;sheet=U0&amp;row=3048&amp;col=7&amp;number=1.09&amp;sourceID=14","1.09")</f>
        <v>1.09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HYPERLINK("http://141.218.60.56/~jnz1568/getInfo.php?workbook=20_14.xlsx&amp;sheet=U0&amp;row=3049&amp;col=6&amp;number=3.5&amp;sourceID=14","3.5")</f>
        <v>3.5</v>
      </c>
      <c r="G3049" s="4" t="str">
        <f>HYPERLINK("http://141.218.60.56/~jnz1568/getInfo.php?workbook=20_14.xlsx&amp;sheet=U0&amp;row=3049&amp;col=7&amp;number=1.09&amp;sourceID=14","1.09")</f>
        <v>1.09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HYPERLINK("http://141.218.60.56/~jnz1568/getInfo.php?workbook=20_14.xlsx&amp;sheet=U0&amp;row=3050&amp;col=6&amp;number=3.6&amp;sourceID=14","3.6")</f>
        <v>3.6</v>
      </c>
      <c r="G3050" s="4" t="str">
        <f>HYPERLINK("http://141.218.60.56/~jnz1568/getInfo.php?workbook=20_14.xlsx&amp;sheet=U0&amp;row=3050&amp;col=7&amp;number=1.09&amp;sourceID=14","1.09")</f>
        <v>1.09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HYPERLINK("http://141.218.60.56/~jnz1568/getInfo.php?workbook=20_14.xlsx&amp;sheet=U0&amp;row=3051&amp;col=6&amp;number=3.7&amp;sourceID=14","3.7")</f>
        <v>3.7</v>
      </c>
      <c r="G3051" s="4" t="str">
        <f>HYPERLINK("http://141.218.60.56/~jnz1568/getInfo.php?workbook=20_14.xlsx&amp;sheet=U0&amp;row=3051&amp;col=7&amp;number=1.09&amp;sourceID=14","1.09")</f>
        <v>1.09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HYPERLINK("http://141.218.60.56/~jnz1568/getInfo.php?workbook=20_14.xlsx&amp;sheet=U0&amp;row=3052&amp;col=6&amp;number=3.8&amp;sourceID=14","3.8")</f>
        <v>3.8</v>
      </c>
      <c r="G3052" s="4" t="str">
        <f>HYPERLINK("http://141.218.60.56/~jnz1568/getInfo.php?workbook=20_14.xlsx&amp;sheet=U0&amp;row=3052&amp;col=7&amp;number=1.09&amp;sourceID=14","1.09")</f>
        <v>1.09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HYPERLINK("http://141.218.60.56/~jnz1568/getInfo.php?workbook=20_14.xlsx&amp;sheet=U0&amp;row=3053&amp;col=6&amp;number=3.9&amp;sourceID=14","3.9")</f>
        <v>3.9</v>
      </c>
      <c r="G3053" s="4" t="str">
        <f>HYPERLINK("http://141.218.60.56/~jnz1568/getInfo.php?workbook=20_14.xlsx&amp;sheet=U0&amp;row=3053&amp;col=7&amp;number=1.09&amp;sourceID=14","1.09")</f>
        <v>1.09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HYPERLINK("http://141.218.60.56/~jnz1568/getInfo.php?workbook=20_14.xlsx&amp;sheet=U0&amp;row=3054&amp;col=6&amp;number=4&amp;sourceID=14","4")</f>
        <v>4</v>
      </c>
      <c r="G3054" s="4" t="str">
        <f>HYPERLINK("http://141.218.60.56/~jnz1568/getInfo.php?workbook=20_14.xlsx&amp;sheet=U0&amp;row=3054&amp;col=7&amp;number=1.09&amp;sourceID=14","1.09")</f>
        <v>1.09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HYPERLINK("http://141.218.60.56/~jnz1568/getInfo.php?workbook=20_14.xlsx&amp;sheet=U0&amp;row=3055&amp;col=6&amp;number=4.1&amp;sourceID=14","4.1")</f>
        <v>4.1</v>
      </c>
      <c r="G3055" s="4" t="str">
        <f>HYPERLINK("http://141.218.60.56/~jnz1568/getInfo.php?workbook=20_14.xlsx&amp;sheet=U0&amp;row=3055&amp;col=7&amp;number=1.09&amp;sourceID=14","1.09")</f>
        <v>1.09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HYPERLINK("http://141.218.60.56/~jnz1568/getInfo.php?workbook=20_14.xlsx&amp;sheet=U0&amp;row=3056&amp;col=6&amp;number=4.2&amp;sourceID=14","4.2")</f>
        <v>4.2</v>
      </c>
      <c r="G3056" s="4" t="str">
        <f>HYPERLINK("http://141.218.60.56/~jnz1568/getInfo.php?workbook=20_14.xlsx&amp;sheet=U0&amp;row=3056&amp;col=7&amp;number=1.09&amp;sourceID=14","1.09")</f>
        <v>1.09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HYPERLINK("http://141.218.60.56/~jnz1568/getInfo.php?workbook=20_14.xlsx&amp;sheet=U0&amp;row=3057&amp;col=6&amp;number=4.3&amp;sourceID=14","4.3")</f>
        <v>4.3</v>
      </c>
      <c r="G3057" s="4" t="str">
        <f>HYPERLINK("http://141.218.60.56/~jnz1568/getInfo.php?workbook=20_14.xlsx&amp;sheet=U0&amp;row=3057&amp;col=7&amp;number=1.09&amp;sourceID=14","1.09")</f>
        <v>1.09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HYPERLINK("http://141.218.60.56/~jnz1568/getInfo.php?workbook=20_14.xlsx&amp;sheet=U0&amp;row=3058&amp;col=6&amp;number=4.4&amp;sourceID=14","4.4")</f>
        <v>4.4</v>
      </c>
      <c r="G3058" s="4" t="str">
        <f>HYPERLINK("http://141.218.60.56/~jnz1568/getInfo.php?workbook=20_14.xlsx&amp;sheet=U0&amp;row=3058&amp;col=7&amp;number=1.09&amp;sourceID=14","1.09")</f>
        <v>1.09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HYPERLINK("http://141.218.60.56/~jnz1568/getInfo.php?workbook=20_14.xlsx&amp;sheet=U0&amp;row=3059&amp;col=6&amp;number=4.5&amp;sourceID=14","4.5")</f>
        <v>4.5</v>
      </c>
      <c r="G3059" s="4" t="str">
        <f>HYPERLINK("http://141.218.60.56/~jnz1568/getInfo.php?workbook=20_14.xlsx&amp;sheet=U0&amp;row=3059&amp;col=7&amp;number=1.09&amp;sourceID=14","1.09")</f>
        <v>1.09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HYPERLINK("http://141.218.60.56/~jnz1568/getInfo.php?workbook=20_14.xlsx&amp;sheet=U0&amp;row=3060&amp;col=6&amp;number=4.6&amp;sourceID=14","4.6")</f>
        <v>4.6</v>
      </c>
      <c r="G3060" s="4" t="str">
        <f>HYPERLINK("http://141.218.60.56/~jnz1568/getInfo.php?workbook=20_14.xlsx&amp;sheet=U0&amp;row=3060&amp;col=7&amp;number=1.09&amp;sourceID=14","1.09")</f>
        <v>1.09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HYPERLINK("http://141.218.60.56/~jnz1568/getInfo.php?workbook=20_14.xlsx&amp;sheet=U0&amp;row=3061&amp;col=6&amp;number=4.7&amp;sourceID=14","4.7")</f>
        <v>4.7</v>
      </c>
      <c r="G3061" s="4" t="str">
        <f>HYPERLINK("http://141.218.60.56/~jnz1568/getInfo.php?workbook=20_14.xlsx&amp;sheet=U0&amp;row=3061&amp;col=7&amp;number=1.09&amp;sourceID=14","1.09")</f>
        <v>1.09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HYPERLINK("http://141.218.60.56/~jnz1568/getInfo.php?workbook=20_14.xlsx&amp;sheet=U0&amp;row=3062&amp;col=6&amp;number=4.8&amp;sourceID=14","4.8")</f>
        <v>4.8</v>
      </c>
      <c r="G3062" s="4" t="str">
        <f>HYPERLINK("http://141.218.60.56/~jnz1568/getInfo.php?workbook=20_14.xlsx&amp;sheet=U0&amp;row=3062&amp;col=7&amp;number=1.09&amp;sourceID=14","1.09")</f>
        <v>1.09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HYPERLINK("http://141.218.60.56/~jnz1568/getInfo.php?workbook=20_14.xlsx&amp;sheet=U0&amp;row=3063&amp;col=6&amp;number=4.9&amp;sourceID=14","4.9")</f>
        <v>4.9</v>
      </c>
      <c r="G3063" s="4" t="str">
        <f>HYPERLINK("http://141.218.60.56/~jnz1568/getInfo.php?workbook=20_14.xlsx&amp;sheet=U0&amp;row=3063&amp;col=7&amp;number=1.09&amp;sourceID=14","1.09")</f>
        <v>1.09</v>
      </c>
    </row>
    <row r="3064" spans="1:7">
      <c r="A3064" s="3">
        <v>20</v>
      </c>
      <c r="B3064" s="3">
        <v>14</v>
      </c>
      <c r="C3064" s="3">
        <v>16</v>
      </c>
      <c r="D3064" s="3">
        <v>22</v>
      </c>
      <c r="E3064" s="3">
        <v>1</v>
      </c>
      <c r="F3064" s="4" t="str">
        <f>HYPERLINK("http://141.218.60.56/~jnz1568/getInfo.php?workbook=20_14.xlsx&amp;sheet=U0&amp;row=3064&amp;col=6&amp;number=3&amp;sourceID=14","3")</f>
        <v>3</v>
      </c>
      <c r="G3064" s="4" t="str">
        <f>HYPERLINK("http://141.218.60.56/~jnz1568/getInfo.php?workbook=20_14.xlsx&amp;sheet=U0&amp;row=3064&amp;col=7&amp;number=0.317&amp;sourceID=14","0.317")</f>
        <v>0.317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HYPERLINK("http://141.218.60.56/~jnz1568/getInfo.php?workbook=20_14.xlsx&amp;sheet=U0&amp;row=3065&amp;col=6&amp;number=3.1&amp;sourceID=14","3.1")</f>
        <v>3.1</v>
      </c>
      <c r="G3065" s="4" t="str">
        <f>HYPERLINK("http://141.218.60.56/~jnz1568/getInfo.php?workbook=20_14.xlsx&amp;sheet=U0&amp;row=3065&amp;col=7&amp;number=0.317&amp;sourceID=14","0.317")</f>
        <v>0.317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HYPERLINK("http://141.218.60.56/~jnz1568/getInfo.php?workbook=20_14.xlsx&amp;sheet=U0&amp;row=3066&amp;col=6&amp;number=3.2&amp;sourceID=14","3.2")</f>
        <v>3.2</v>
      </c>
      <c r="G3066" s="4" t="str">
        <f>HYPERLINK("http://141.218.60.56/~jnz1568/getInfo.php?workbook=20_14.xlsx&amp;sheet=U0&amp;row=3066&amp;col=7&amp;number=0.316&amp;sourceID=14","0.316")</f>
        <v>0.316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HYPERLINK("http://141.218.60.56/~jnz1568/getInfo.php?workbook=20_14.xlsx&amp;sheet=U0&amp;row=3067&amp;col=6&amp;number=3.3&amp;sourceID=14","3.3")</f>
        <v>3.3</v>
      </c>
      <c r="G3067" s="4" t="str">
        <f>HYPERLINK("http://141.218.60.56/~jnz1568/getInfo.php?workbook=20_14.xlsx&amp;sheet=U0&amp;row=3067&amp;col=7&amp;number=0.316&amp;sourceID=14","0.316")</f>
        <v>0.316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HYPERLINK("http://141.218.60.56/~jnz1568/getInfo.php?workbook=20_14.xlsx&amp;sheet=U0&amp;row=3068&amp;col=6&amp;number=3.4&amp;sourceID=14","3.4")</f>
        <v>3.4</v>
      </c>
      <c r="G3068" s="4" t="str">
        <f>HYPERLINK("http://141.218.60.56/~jnz1568/getInfo.php?workbook=20_14.xlsx&amp;sheet=U0&amp;row=3068&amp;col=7&amp;number=0.316&amp;sourceID=14","0.316")</f>
        <v>0.316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HYPERLINK("http://141.218.60.56/~jnz1568/getInfo.php?workbook=20_14.xlsx&amp;sheet=U0&amp;row=3069&amp;col=6&amp;number=3.5&amp;sourceID=14","3.5")</f>
        <v>3.5</v>
      </c>
      <c r="G3069" s="4" t="str">
        <f>HYPERLINK("http://141.218.60.56/~jnz1568/getInfo.php?workbook=20_14.xlsx&amp;sheet=U0&amp;row=3069&amp;col=7&amp;number=0.316&amp;sourceID=14","0.316")</f>
        <v>0.316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HYPERLINK("http://141.218.60.56/~jnz1568/getInfo.php?workbook=20_14.xlsx&amp;sheet=U0&amp;row=3070&amp;col=6&amp;number=3.6&amp;sourceID=14","3.6")</f>
        <v>3.6</v>
      </c>
      <c r="G3070" s="4" t="str">
        <f>HYPERLINK("http://141.218.60.56/~jnz1568/getInfo.php?workbook=20_14.xlsx&amp;sheet=U0&amp;row=3070&amp;col=7&amp;number=0.316&amp;sourceID=14","0.316")</f>
        <v>0.316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HYPERLINK("http://141.218.60.56/~jnz1568/getInfo.php?workbook=20_14.xlsx&amp;sheet=U0&amp;row=3071&amp;col=6&amp;number=3.7&amp;sourceID=14","3.7")</f>
        <v>3.7</v>
      </c>
      <c r="G3071" s="4" t="str">
        <f>HYPERLINK("http://141.218.60.56/~jnz1568/getInfo.php?workbook=20_14.xlsx&amp;sheet=U0&amp;row=3071&amp;col=7&amp;number=0.316&amp;sourceID=14","0.316")</f>
        <v>0.316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HYPERLINK("http://141.218.60.56/~jnz1568/getInfo.php?workbook=20_14.xlsx&amp;sheet=U0&amp;row=3072&amp;col=6&amp;number=3.8&amp;sourceID=14","3.8")</f>
        <v>3.8</v>
      </c>
      <c r="G3072" s="4" t="str">
        <f>HYPERLINK("http://141.218.60.56/~jnz1568/getInfo.php?workbook=20_14.xlsx&amp;sheet=U0&amp;row=3072&amp;col=7&amp;number=0.316&amp;sourceID=14","0.316")</f>
        <v>0.316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HYPERLINK("http://141.218.60.56/~jnz1568/getInfo.php?workbook=20_14.xlsx&amp;sheet=U0&amp;row=3073&amp;col=6&amp;number=3.9&amp;sourceID=14","3.9")</f>
        <v>3.9</v>
      </c>
      <c r="G3073" s="4" t="str">
        <f>HYPERLINK("http://141.218.60.56/~jnz1568/getInfo.php?workbook=20_14.xlsx&amp;sheet=U0&amp;row=3073&amp;col=7&amp;number=0.315&amp;sourceID=14","0.315")</f>
        <v>0.315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HYPERLINK("http://141.218.60.56/~jnz1568/getInfo.php?workbook=20_14.xlsx&amp;sheet=U0&amp;row=3074&amp;col=6&amp;number=4&amp;sourceID=14","4")</f>
        <v>4</v>
      </c>
      <c r="G3074" s="4" t="str">
        <f>HYPERLINK("http://141.218.60.56/~jnz1568/getInfo.php?workbook=20_14.xlsx&amp;sheet=U0&amp;row=3074&amp;col=7&amp;number=0.315&amp;sourceID=14","0.315")</f>
        <v>0.315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HYPERLINK("http://141.218.60.56/~jnz1568/getInfo.php?workbook=20_14.xlsx&amp;sheet=U0&amp;row=3075&amp;col=6&amp;number=4.1&amp;sourceID=14","4.1")</f>
        <v>4.1</v>
      </c>
      <c r="G3075" s="4" t="str">
        <f>HYPERLINK("http://141.218.60.56/~jnz1568/getInfo.php?workbook=20_14.xlsx&amp;sheet=U0&amp;row=3075&amp;col=7&amp;number=0.314&amp;sourceID=14","0.314")</f>
        <v>0.314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HYPERLINK("http://141.218.60.56/~jnz1568/getInfo.php?workbook=20_14.xlsx&amp;sheet=U0&amp;row=3076&amp;col=6&amp;number=4.2&amp;sourceID=14","4.2")</f>
        <v>4.2</v>
      </c>
      <c r="G3076" s="4" t="str">
        <f>HYPERLINK("http://141.218.60.56/~jnz1568/getInfo.php?workbook=20_14.xlsx&amp;sheet=U0&amp;row=3076&amp;col=7&amp;number=0.314&amp;sourceID=14","0.314")</f>
        <v>0.314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HYPERLINK("http://141.218.60.56/~jnz1568/getInfo.php?workbook=20_14.xlsx&amp;sheet=U0&amp;row=3077&amp;col=6&amp;number=4.3&amp;sourceID=14","4.3")</f>
        <v>4.3</v>
      </c>
      <c r="G3077" s="4" t="str">
        <f>HYPERLINK("http://141.218.60.56/~jnz1568/getInfo.php?workbook=20_14.xlsx&amp;sheet=U0&amp;row=3077&amp;col=7&amp;number=0.313&amp;sourceID=14","0.313")</f>
        <v>0.313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HYPERLINK("http://141.218.60.56/~jnz1568/getInfo.php?workbook=20_14.xlsx&amp;sheet=U0&amp;row=3078&amp;col=6&amp;number=4.4&amp;sourceID=14","4.4")</f>
        <v>4.4</v>
      </c>
      <c r="G3078" s="4" t="str">
        <f>HYPERLINK("http://141.218.60.56/~jnz1568/getInfo.php?workbook=20_14.xlsx&amp;sheet=U0&amp;row=3078&amp;col=7&amp;number=0.312&amp;sourceID=14","0.312")</f>
        <v>0.312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HYPERLINK("http://141.218.60.56/~jnz1568/getInfo.php?workbook=20_14.xlsx&amp;sheet=U0&amp;row=3079&amp;col=6&amp;number=4.5&amp;sourceID=14","4.5")</f>
        <v>4.5</v>
      </c>
      <c r="G3079" s="4" t="str">
        <f>HYPERLINK("http://141.218.60.56/~jnz1568/getInfo.php?workbook=20_14.xlsx&amp;sheet=U0&amp;row=3079&amp;col=7&amp;number=0.311&amp;sourceID=14","0.311")</f>
        <v>0.311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HYPERLINK("http://141.218.60.56/~jnz1568/getInfo.php?workbook=20_14.xlsx&amp;sheet=U0&amp;row=3080&amp;col=6&amp;number=4.6&amp;sourceID=14","4.6")</f>
        <v>4.6</v>
      </c>
      <c r="G3080" s="4" t="str">
        <f>HYPERLINK("http://141.218.60.56/~jnz1568/getInfo.php?workbook=20_14.xlsx&amp;sheet=U0&amp;row=3080&amp;col=7&amp;number=0.309&amp;sourceID=14","0.309")</f>
        <v>0.309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HYPERLINK("http://141.218.60.56/~jnz1568/getInfo.php?workbook=20_14.xlsx&amp;sheet=U0&amp;row=3081&amp;col=6&amp;number=4.7&amp;sourceID=14","4.7")</f>
        <v>4.7</v>
      </c>
      <c r="G3081" s="4" t="str">
        <f>HYPERLINK("http://141.218.60.56/~jnz1568/getInfo.php?workbook=20_14.xlsx&amp;sheet=U0&amp;row=3081&amp;col=7&amp;number=0.308&amp;sourceID=14","0.308")</f>
        <v>0.308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HYPERLINK("http://141.218.60.56/~jnz1568/getInfo.php?workbook=20_14.xlsx&amp;sheet=U0&amp;row=3082&amp;col=6&amp;number=4.8&amp;sourceID=14","4.8")</f>
        <v>4.8</v>
      </c>
      <c r="G3082" s="4" t="str">
        <f>HYPERLINK("http://141.218.60.56/~jnz1568/getInfo.php?workbook=20_14.xlsx&amp;sheet=U0&amp;row=3082&amp;col=7&amp;number=0.305&amp;sourceID=14","0.305")</f>
        <v>0.305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HYPERLINK("http://141.218.60.56/~jnz1568/getInfo.php?workbook=20_14.xlsx&amp;sheet=U0&amp;row=3083&amp;col=6&amp;number=4.9&amp;sourceID=14","4.9")</f>
        <v>4.9</v>
      </c>
      <c r="G3083" s="4" t="str">
        <f>HYPERLINK("http://141.218.60.56/~jnz1568/getInfo.php?workbook=20_14.xlsx&amp;sheet=U0&amp;row=3083&amp;col=7&amp;number=0.302&amp;sourceID=14","0.302")</f>
        <v>0.302</v>
      </c>
    </row>
    <row r="3084" spans="1:7">
      <c r="A3084" s="3">
        <v>20</v>
      </c>
      <c r="B3084" s="3">
        <v>14</v>
      </c>
      <c r="C3084" s="3">
        <v>16</v>
      </c>
      <c r="D3084" s="3">
        <v>23</v>
      </c>
      <c r="E3084" s="3">
        <v>1</v>
      </c>
      <c r="F3084" s="4" t="str">
        <f>HYPERLINK("http://141.218.60.56/~jnz1568/getInfo.php?workbook=20_14.xlsx&amp;sheet=U0&amp;row=3084&amp;col=6&amp;number=3&amp;sourceID=14","3")</f>
        <v>3</v>
      </c>
      <c r="G3084" s="4" t="str">
        <f>HYPERLINK("http://141.218.60.56/~jnz1568/getInfo.php?workbook=20_14.xlsx&amp;sheet=U0&amp;row=3084&amp;col=7&amp;number=0.0802&amp;sourceID=14","0.0802")</f>
        <v>0.0802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HYPERLINK("http://141.218.60.56/~jnz1568/getInfo.php?workbook=20_14.xlsx&amp;sheet=U0&amp;row=3085&amp;col=6&amp;number=3.1&amp;sourceID=14","3.1")</f>
        <v>3.1</v>
      </c>
      <c r="G3085" s="4" t="str">
        <f>HYPERLINK("http://141.218.60.56/~jnz1568/getInfo.php?workbook=20_14.xlsx&amp;sheet=U0&amp;row=3085&amp;col=7&amp;number=0.0802&amp;sourceID=14","0.0802")</f>
        <v>0.0802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HYPERLINK("http://141.218.60.56/~jnz1568/getInfo.php?workbook=20_14.xlsx&amp;sheet=U0&amp;row=3086&amp;col=6&amp;number=3.2&amp;sourceID=14","3.2")</f>
        <v>3.2</v>
      </c>
      <c r="G3086" s="4" t="str">
        <f>HYPERLINK("http://141.218.60.56/~jnz1568/getInfo.php?workbook=20_14.xlsx&amp;sheet=U0&amp;row=3086&amp;col=7&amp;number=0.0802&amp;sourceID=14","0.0802")</f>
        <v>0.0802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HYPERLINK("http://141.218.60.56/~jnz1568/getInfo.php?workbook=20_14.xlsx&amp;sheet=U0&amp;row=3087&amp;col=6&amp;number=3.3&amp;sourceID=14","3.3")</f>
        <v>3.3</v>
      </c>
      <c r="G3087" s="4" t="str">
        <f>HYPERLINK("http://141.218.60.56/~jnz1568/getInfo.php?workbook=20_14.xlsx&amp;sheet=U0&amp;row=3087&amp;col=7&amp;number=0.0801&amp;sourceID=14","0.0801")</f>
        <v>0.0801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HYPERLINK("http://141.218.60.56/~jnz1568/getInfo.php?workbook=20_14.xlsx&amp;sheet=U0&amp;row=3088&amp;col=6&amp;number=3.4&amp;sourceID=14","3.4")</f>
        <v>3.4</v>
      </c>
      <c r="G3088" s="4" t="str">
        <f>HYPERLINK("http://141.218.60.56/~jnz1568/getInfo.php?workbook=20_14.xlsx&amp;sheet=U0&amp;row=3088&amp;col=7&amp;number=0.0801&amp;sourceID=14","0.0801")</f>
        <v>0.0801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HYPERLINK("http://141.218.60.56/~jnz1568/getInfo.php?workbook=20_14.xlsx&amp;sheet=U0&amp;row=3089&amp;col=6&amp;number=3.5&amp;sourceID=14","3.5")</f>
        <v>3.5</v>
      </c>
      <c r="G3089" s="4" t="str">
        <f>HYPERLINK("http://141.218.60.56/~jnz1568/getInfo.php?workbook=20_14.xlsx&amp;sheet=U0&amp;row=3089&amp;col=7&amp;number=0.0801&amp;sourceID=14","0.0801")</f>
        <v>0.0801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HYPERLINK("http://141.218.60.56/~jnz1568/getInfo.php?workbook=20_14.xlsx&amp;sheet=U0&amp;row=3090&amp;col=6&amp;number=3.6&amp;sourceID=14","3.6")</f>
        <v>3.6</v>
      </c>
      <c r="G3090" s="4" t="str">
        <f>HYPERLINK("http://141.218.60.56/~jnz1568/getInfo.php?workbook=20_14.xlsx&amp;sheet=U0&amp;row=3090&amp;col=7&amp;number=0.08&amp;sourceID=14","0.08")</f>
        <v>0.08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HYPERLINK("http://141.218.60.56/~jnz1568/getInfo.php?workbook=20_14.xlsx&amp;sheet=U0&amp;row=3091&amp;col=6&amp;number=3.7&amp;sourceID=14","3.7")</f>
        <v>3.7</v>
      </c>
      <c r="G3091" s="4" t="str">
        <f>HYPERLINK("http://141.218.60.56/~jnz1568/getInfo.php?workbook=20_14.xlsx&amp;sheet=U0&amp;row=3091&amp;col=7&amp;number=0.08&amp;sourceID=14","0.08")</f>
        <v>0.08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HYPERLINK("http://141.218.60.56/~jnz1568/getInfo.php?workbook=20_14.xlsx&amp;sheet=U0&amp;row=3092&amp;col=6&amp;number=3.8&amp;sourceID=14","3.8")</f>
        <v>3.8</v>
      </c>
      <c r="G3092" s="4" t="str">
        <f>HYPERLINK("http://141.218.60.56/~jnz1568/getInfo.php?workbook=20_14.xlsx&amp;sheet=U0&amp;row=3092&amp;col=7&amp;number=0.0799&amp;sourceID=14","0.0799")</f>
        <v>0.0799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HYPERLINK("http://141.218.60.56/~jnz1568/getInfo.php?workbook=20_14.xlsx&amp;sheet=U0&amp;row=3093&amp;col=6&amp;number=3.9&amp;sourceID=14","3.9")</f>
        <v>3.9</v>
      </c>
      <c r="G3093" s="4" t="str">
        <f>HYPERLINK("http://141.218.60.56/~jnz1568/getInfo.php?workbook=20_14.xlsx&amp;sheet=U0&amp;row=3093&amp;col=7&amp;number=0.0798&amp;sourceID=14","0.0798")</f>
        <v>0.0798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HYPERLINK("http://141.218.60.56/~jnz1568/getInfo.php?workbook=20_14.xlsx&amp;sheet=U0&amp;row=3094&amp;col=6&amp;number=4&amp;sourceID=14","4")</f>
        <v>4</v>
      </c>
      <c r="G3094" s="4" t="str">
        <f>HYPERLINK("http://141.218.60.56/~jnz1568/getInfo.php?workbook=20_14.xlsx&amp;sheet=U0&amp;row=3094&amp;col=7&amp;number=0.0797&amp;sourceID=14","0.0797")</f>
        <v>0.0797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HYPERLINK("http://141.218.60.56/~jnz1568/getInfo.php?workbook=20_14.xlsx&amp;sheet=U0&amp;row=3095&amp;col=6&amp;number=4.1&amp;sourceID=14","4.1")</f>
        <v>4.1</v>
      </c>
      <c r="G3095" s="4" t="str">
        <f>HYPERLINK("http://141.218.60.56/~jnz1568/getInfo.php?workbook=20_14.xlsx&amp;sheet=U0&amp;row=3095&amp;col=7&amp;number=0.0796&amp;sourceID=14","0.0796")</f>
        <v>0.0796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HYPERLINK("http://141.218.60.56/~jnz1568/getInfo.php?workbook=20_14.xlsx&amp;sheet=U0&amp;row=3096&amp;col=6&amp;number=4.2&amp;sourceID=14","4.2")</f>
        <v>4.2</v>
      </c>
      <c r="G3096" s="4" t="str">
        <f>HYPERLINK("http://141.218.60.56/~jnz1568/getInfo.php?workbook=20_14.xlsx&amp;sheet=U0&amp;row=3096&amp;col=7&amp;number=0.0794&amp;sourceID=14","0.0794")</f>
        <v>0.0794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HYPERLINK("http://141.218.60.56/~jnz1568/getInfo.php?workbook=20_14.xlsx&amp;sheet=U0&amp;row=3097&amp;col=6&amp;number=4.3&amp;sourceID=14","4.3")</f>
        <v>4.3</v>
      </c>
      <c r="G3097" s="4" t="str">
        <f>HYPERLINK("http://141.218.60.56/~jnz1568/getInfo.php?workbook=20_14.xlsx&amp;sheet=U0&amp;row=3097&amp;col=7&amp;number=0.0792&amp;sourceID=14","0.0792")</f>
        <v>0.0792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HYPERLINK("http://141.218.60.56/~jnz1568/getInfo.php?workbook=20_14.xlsx&amp;sheet=U0&amp;row=3098&amp;col=6&amp;number=4.4&amp;sourceID=14","4.4")</f>
        <v>4.4</v>
      </c>
      <c r="G3098" s="4" t="str">
        <f>HYPERLINK("http://141.218.60.56/~jnz1568/getInfo.php?workbook=20_14.xlsx&amp;sheet=U0&amp;row=3098&amp;col=7&amp;number=0.079&amp;sourceID=14","0.079")</f>
        <v>0.079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HYPERLINK("http://141.218.60.56/~jnz1568/getInfo.php?workbook=20_14.xlsx&amp;sheet=U0&amp;row=3099&amp;col=6&amp;number=4.5&amp;sourceID=14","4.5")</f>
        <v>4.5</v>
      </c>
      <c r="G3099" s="4" t="str">
        <f>HYPERLINK("http://141.218.60.56/~jnz1568/getInfo.php?workbook=20_14.xlsx&amp;sheet=U0&amp;row=3099&amp;col=7&amp;number=0.0787&amp;sourceID=14","0.0787")</f>
        <v>0.0787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HYPERLINK("http://141.218.60.56/~jnz1568/getInfo.php?workbook=20_14.xlsx&amp;sheet=U0&amp;row=3100&amp;col=6&amp;number=4.6&amp;sourceID=14","4.6")</f>
        <v>4.6</v>
      </c>
      <c r="G3100" s="4" t="str">
        <f>HYPERLINK("http://141.218.60.56/~jnz1568/getInfo.php?workbook=20_14.xlsx&amp;sheet=U0&amp;row=3100&amp;col=7&amp;number=0.0783&amp;sourceID=14","0.0783")</f>
        <v>0.0783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HYPERLINK("http://141.218.60.56/~jnz1568/getInfo.php?workbook=20_14.xlsx&amp;sheet=U0&amp;row=3101&amp;col=6&amp;number=4.7&amp;sourceID=14","4.7")</f>
        <v>4.7</v>
      </c>
      <c r="G3101" s="4" t="str">
        <f>HYPERLINK("http://141.218.60.56/~jnz1568/getInfo.php?workbook=20_14.xlsx&amp;sheet=U0&amp;row=3101&amp;col=7&amp;number=0.0778&amp;sourceID=14","0.0778")</f>
        <v>0.0778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HYPERLINK("http://141.218.60.56/~jnz1568/getInfo.php?workbook=20_14.xlsx&amp;sheet=U0&amp;row=3102&amp;col=6&amp;number=4.8&amp;sourceID=14","4.8")</f>
        <v>4.8</v>
      </c>
      <c r="G3102" s="4" t="str">
        <f>HYPERLINK("http://141.218.60.56/~jnz1568/getInfo.php?workbook=20_14.xlsx&amp;sheet=U0&amp;row=3102&amp;col=7&amp;number=0.0771&amp;sourceID=14","0.0771")</f>
        <v>0.0771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HYPERLINK("http://141.218.60.56/~jnz1568/getInfo.php?workbook=20_14.xlsx&amp;sheet=U0&amp;row=3103&amp;col=6&amp;number=4.9&amp;sourceID=14","4.9")</f>
        <v>4.9</v>
      </c>
      <c r="G3103" s="4" t="str">
        <f>HYPERLINK("http://141.218.60.56/~jnz1568/getInfo.php?workbook=20_14.xlsx&amp;sheet=U0&amp;row=3103&amp;col=7&amp;number=0.0764&amp;sourceID=14","0.0764")</f>
        <v>0.0764</v>
      </c>
    </row>
    <row r="3104" spans="1:7">
      <c r="A3104" s="3">
        <v>20</v>
      </c>
      <c r="B3104" s="3">
        <v>14</v>
      </c>
      <c r="C3104" s="3">
        <v>16</v>
      </c>
      <c r="D3104" s="3">
        <v>24</v>
      </c>
      <c r="E3104" s="3">
        <v>1</v>
      </c>
      <c r="F3104" s="4" t="str">
        <f>HYPERLINK("http://141.218.60.56/~jnz1568/getInfo.php?workbook=20_14.xlsx&amp;sheet=U0&amp;row=3104&amp;col=6&amp;number=3&amp;sourceID=14","3")</f>
        <v>3</v>
      </c>
      <c r="G3104" s="4" t="str">
        <f>HYPERLINK("http://141.218.60.56/~jnz1568/getInfo.php?workbook=20_14.xlsx&amp;sheet=U0&amp;row=3104&amp;col=7&amp;number=0.156&amp;sourceID=14","0.156")</f>
        <v>0.156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HYPERLINK("http://141.218.60.56/~jnz1568/getInfo.php?workbook=20_14.xlsx&amp;sheet=U0&amp;row=3105&amp;col=6&amp;number=3.1&amp;sourceID=14","3.1")</f>
        <v>3.1</v>
      </c>
      <c r="G3105" s="4" t="str">
        <f>HYPERLINK("http://141.218.60.56/~jnz1568/getInfo.php?workbook=20_14.xlsx&amp;sheet=U0&amp;row=3105&amp;col=7&amp;number=0.156&amp;sourceID=14","0.156")</f>
        <v>0.156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HYPERLINK("http://141.218.60.56/~jnz1568/getInfo.php?workbook=20_14.xlsx&amp;sheet=U0&amp;row=3106&amp;col=6&amp;number=3.2&amp;sourceID=14","3.2")</f>
        <v>3.2</v>
      </c>
      <c r="G3106" s="4" t="str">
        <f>HYPERLINK("http://141.218.60.56/~jnz1568/getInfo.php?workbook=20_14.xlsx&amp;sheet=U0&amp;row=3106&amp;col=7&amp;number=0.156&amp;sourceID=14","0.156")</f>
        <v>0.156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HYPERLINK("http://141.218.60.56/~jnz1568/getInfo.php?workbook=20_14.xlsx&amp;sheet=U0&amp;row=3107&amp;col=6&amp;number=3.3&amp;sourceID=14","3.3")</f>
        <v>3.3</v>
      </c>
      <c r="G3107" s="4" t="str">
        <f>HYPERLINK("http://141.218.60.56/~jnz1568/getInfo.php?workbook=20_14.xlsx&amp;sheet=U0&amp;row=3107&amp;col=7&amp;number=0.156&amp;sourceID=14","0.156")</f>
        <v>0.156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HYPERLINK("http://141.218.60.56/~jnz1568/getInfo.php?workbook=20_14.xlsx&amp;sheet=U0&amp;row=3108&amp;col=6&amp;number=3.4&amp;sourceID=14","3.4")</f>
        <v>3.4</v>
      </c>
      <c r="G3108" s="4" t="str">
        <f>HYPERLINK("http://141.218.60.56/~jnz1568/getInfo.php?workbook=20_14.xlsx&amp;sheet=U0&amp;row=3108&amp;col=7&amp;number=0.155&amp;sourceID=14","0.155")</f>
        <v>0.155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HYPERLINK("http://141.218.60.56/~jnz1568/getInfo.php?workbook=20_14.xlsx&amp;sheet=U0&amp;row=3109&amp;col=6&amp;number=3.5&amp;sourceID=14","3.5")</f>
        <v>3.5</v>
      </c>
      <c r="G3109" s="4" t="str">
        <f>HYPERLINK("http://141.218.60.56/~jnz1568/getInfo.php?workbook=20_14.xlsx&amp;sheet=U0&amp;row=3109&amp;col=7&amp;number=0.155&amp;sourceID=14","0.155")</f>
        <v>0.155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HYPERLINK("http://141.218.60.56/~jnz1568/getInfo.php?workbook=20_14.xlsx&amp;sheet=U0&amp;row=3110&amp;col=6&amp;number=3.6&amp;sourceID=14","3.6")</f>
        <v>3.6</v>
      </c>
      <c r="G3110" s="4" t="str">
        <f>HYPERLINK("http://141.218.60.56/~jnz1568/getInfo.php?workbook=20_14.xlsx&amp;sheet=U0&amp;row=3110&amp;col=7&amp;number=0.155&amp;sourceID=14","0.155")</f>
        <v>0.155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HYPERLINK("http://141.218.60.56/~jnz1568/getInfo.php?workbook=20_14.xlsx&amp;sheet=U0&amp;row=3111&amp;col=6&amp;number=3.7&amp;sourceID=14","3.7")</f>
        <v>3.7</v>
      </c>
      <c r="G3111" s="4" t="str">
        <f>HYPERLINK("http://141.218.60.56/~jnz1568/getInfo.php?workbook=20_14.xlsx&amp;sheet=U0&amp;row=3111&amp;col=7&amp;number=0.155&amp;sourceID=14","0.155")</f>
        <v>0.155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HYPERLINK("http://141.218.60.56/~jnz1568/getInfo.php?workbook=20_14.xlsx&amp;sheet=U0&amp;row=3112&amp;col=6&amp;number=3.8&amp;sourceID=14","3.8")</f>
        <v>3.8</v>
      </c>
      <c r="G3112" s="4" t="str">
        <f>HYPERLINK("http://141.218.60.56/~jnz1568/getInfo.php?workbook=20_14.xlsx&amp;sheet=U0&amp;row=3112&amp;col=7&amp;number=0.155&amp;sourceID=14","0.155")</f>
        <v>0.155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HYPERLINK("http://141.218.60.56/~jnz1568/getInfo.php?workbook=20_14.xlsx&amp;sheet=U0&amp;row=3113&amp;col=6&amp;number=3.9&amp;sourceID=14","3.9")</f>
        <v>3.9</v>
      </c>
      <c r="G3113" s="4" t="str">
        <f>HYPERLINK("http://141.218.60.56/~jnz1568/getInfo.php?workbook=20_14.xlsx&amp;sheet=U0&amp;row=3113&amp;col=7&amp;number=0.155&amp;sourceID=14","0.155")</f>
        <v>0.155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HYPERLINK("http://141.218.60.56/~jnz1568/getInfo.php?workbook=20_14.xlsx&amp;sheet=U0&amp;row=3114&amp;col=6&amp;number=4&amp;sourceID=14","4")</f>
        <v>4</v>
      </c>
      <c r="G3114" s="4" t="str">
        <f>HYPERLINK("http://141.218.60.56/~jnz1568/getInfo.php?workbook=20_14.xlsx&amp;sheet=U0&amp;row=3114&amp;col=7&amp;number=0.155&amp;sourceID=14","0.155")</f>
        <v>0.155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HYPERLINK("http://141.218.60.56/~jnz1568/getInfo.php?workbook=20_14.xlsx&amp;sheet=U0&amp;row=3115&amp;col=6&amp;number=4.1&amp;sourceID=14","4.1")</f>
        <v>4.1</v>
      </c>
      <c r="G3115" s="4" t="str">
        <f>HYPERLINK("http://141.218.60.56/~jnz1568/getInfo.php?workbook=20_14.xlsx&amp;sheet=U0&amp;row=3115&amp;col=7&amp;number=0.154&amp;sourceID=14","0.154")</f>
        <v>0.154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HYPERLINK("http://141.218.60.56/~jnz1568/getInfo.php?workbook=20_14.xlsx&amp;sheet=U0&amp;row=3116&amp;col=6&amp;number=4.2&amp;sourceID=14","4.2")</f>
        <v>4.2</v>
      </c>
      <c r="G3116" s="4" t="str">
        <f>HYPERLINK("http://141.218.60.56/~jnz1568/getInfo.php?workbook=20_14.xlsx&amp;sheet=U0&amp;row=3116&amp;col=7&amp;number=0.154&amp;sourceID=14","0.154")</f>
        <v>0.154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HYPERLINK("http://141.218.60.56/~jnz1568/getInfo.php?workbook=20_14.xlsx&amp;sheet=U0&amp;row=3117&amp;col=6&amp;number=4.3&amp;sourceID=14","4.3")</f>
        <v>4.3</v>
      </c>
      <c r="G3117" s="4" t="str">
        <f>HYPERLINK("http://141.218.60.56/~jnz1568/getInfo.php?workbook=20_14.xlsx&amp;sheet=U0&amp;row=3117&amp;col=7&amp;number=0.154&amp;sourceID=14","0.154")</f>
        <v>0.154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HYPERLINK("http://141.218.60.56/~jnz1568/getInfo.php?workbook=20_14.xlsx&amp;sheet=U0&amp;row=3118&amp;col=6&amp;number=4.4&amp;sourceID=14","4.4")</f>
        <v>4.4</v>
      </c>
      <c r="G3118" s="4" t="str">
        <f>HYPERLINK("http://141.218.60.56/~jnz1568/getInfo.php?workbook=20_14.xlsx&amp;sheet=U0&amp;row=3118&amp;col=7&amp;number=0.153&amp;sourceID=14","0.153")</f>
        <v>0.153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HYPERLINK("http://141.218.60.56/~jnz1568/getInfo.php?workbook=20_14.xlsx&amp;sheet=U0&amp;row=3119&amp;col=6&amp;number=4.5&amp;sourceID=14","4.5")</f>
        <v>4.5</v>
      </c>
      <c r="G3119" s="4" t="str">
        <f>HYPERLINK("http://141.218.60.56/~jnz1568/getInfo.php?workbook=20_14.xlsx&amp;sheet=U0&amp;row=3119&amp;col=7&amp;number=0.153&amp;sourceID=14","0.153")</f>
        <v>0.153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HYPERLINK("http://141.218.60.56/~jnz1568/getInfo.php?workbook=20_14.xlsx&amp;sheet=U0&amp;row=3120&amp;col=6&amp;number=4.6&amp;sourceID=14","4.6")</f>
        <v>4.6</v>
      </c>
      <c r="G3120" s="4" t="str">
        <f>HYPERLINK("http://141.218.60.56/~jnz1568/getInfo.php?workbook=20_14.xlsx&amp;sheet=U0&amp;row=3120&amp;col=7&amp;number=0.152&amp;sourceID=14","0.152")</f>
        <v>0.152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HYPERLINK("http://141.218.60.56/~jnz1568/getInfo.php?workbook=20_14.xlsx&amp;sheet=U0&amp;row=3121&amp;col=6&amp;number=4.7&amp;sourceID=14","4.7")</f>
        <v>4.7</v>
      </c>
      <c r="G3121" s="4" t="str">
        <f>HYPERLINK("http://141.218.60.56/~jnz1568/getInfo.php?workbook=20_14.xlsx&amp;sheet=U0&amp;row=3121&amp;col=7&amp;number=0.151&amp;sourceID=14","0.151")</f>
        <v>0.151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HYPERLINK("http://141.218.60.56/~jnz1568/getInfo.php?workbook=20_14.xlsx&amp;sheet=U0&amp;row=3122&amp;col=6&amp;number=4.8&amp;sourceID=14","4.8")</f>
        <v>4.8</v>
      </c>
      <c r="G3122" s="4" t="str">
        <f>HYPERLINK("http://141.218.60.56/~jnz1568/getInfo.php?workbook=20_14.xlsx&amp;sheet=U0&amp;row=3122&amp;col=7&amp;number=0.15&amp;sourceID=14","0.15")</f>
        <v>0.15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HYPERLINK("http://141.218.60.56/~jnz1568/getInfo.php?workbook=20_14.xlsx&amp;sheet=U0&amp;row=3123&amp;col=6&amp;number=4.9&amp;sourceID=14","4.9")</f>
        <v>4.9</v>
      </c>
      <c r="G3123" s="4" t="str">
        <f>HYPERLINK("http://141.218.60.56/~jnz1568/getInfo.php?workbook=20_14.xlsx&amp;sheet=U0&amp;row=3123&amp;col=7&amp;number=0.148&amp;sourceID=14","0.148")</f>
        <v>0.148</v>
      </c>
    </row>
    <row r="3124" spans="1:7">
      <c r="A3124" s="3">
        <v>20</v>
      </c>
      <c r="B3124" s="3">
        <v>14</v>
      </c>
      <c r="C3124" s="3">
        <v>16</v>
      </c>
      <c r="D3124" s="3">
        <v>25</v>
      </c>
      <c r="E3124" s="3">
        <v>1</v>
      </c>
      <c r="F3124" s="4" t="str">
        <f>HYPERLINK("http://141.218.60.56/~jnz1568/getInfo.php?workbook=20_14.xlsx&amp;sheet=U0&amp;row=3124&amp;col=6&amp;number=3&amp;sourceID=14","3")</f>
        <v>3</v>
      </c>
      <c r="G3124" s="4" t="str">
        <f>HYPERLINK("http://141.218.60.56/~jnz1568/getInfo.php?workbook=20_14.xlsx&amp;sheet=U0&amp;row=3124&amp;col=7&amp;number=0.376&amp;sourceID=14","0.376")</f>
        <v>0.376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HYPERLINK("http://141.218.60.56/~jnz1568/getInfo.php?workbook=20_14.xlsx&amp;sheet=U0&amp;row=3125&amp;col=6&amp;number=3.1&amp;sourceID=14","3.1")</f>
        <v>3.1</v>
      </c>
      <c r="G3125" s="4" t="str">
        <f>HYPERLINK("http://141.218.60.56/~jnz1568/getInfo.php?workbook=20_14.xlsx&amp;sheet=U0&amp;row=3125&amp;col=7&amp;number=0.375&amp;sourceID=14","0.375")</f>
        <v>0.375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HYPERLINK("http://141.218.60.56/~jnz1568/getInfo.php?workbook=20_14.xlsx&amp;sheet=U0&amp;row=3126&amp;col=6&amp;number=3.2&amp;sourceID=14","3.2")</f>
        <v>3.2</v>
      </c>
      <c r="G3126" s="4" t="str">
        <f>HYPERLINK("http://141.218.60.56/~jnz1568/getInfo.php?workbook=20_14.xlsx&amp;sheet=U0&amp;row=3126&amp;col=7&amp;number=0.375&amp;sourceID=14","0.375")</f>
        <v>0.375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HYPERLINK("http://141.218.60.56/~jnz1568/getInfo.php?workbook=20_14.xlsx&amp;sheet=U0&amp;row=3127&amp;col=6&amp;number=3.3&amp;sourceID=14","3.3")</f>
        <v>3.3</v>
      </c>
      <c r="G3127" s="4" t="str">
        <f>HYPERLINK("http://141.218.60.56/~jnz1568/getInfo.php?workbook=20_14.xlsx&amp;sheet=U0&amp;row=3127&amp;col=7&amp;number=0.375&amp;sourceID=14","0.375")</f>
        <v>0.375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HYPERLINK("http://141.218.60.56/~jnz1568/getInfo.php?workbook=20_14.xlsx&amp;sheet=U0&amp;row=3128&amp;col=6&amp;number=3.4&amp;sourceID=14","3.4")</f>
        <v>3.4</v>
      </c>
      <c r="G3128" s="4" t="str">
        <f>HYPERLINK("http://141.218.60.56/~jnz1568/getInfo.php?workbook=20_14.xlsx&amp;sheet=U0&amp;row=3128&amp;col=7&amp;number=0.375&amp;sourceID=14","0.375")</f>
        <v>0.375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HYPERLINK("http://141.218.60.56/~jnz1568/getInfo.php?workbook=20_14.xlsx&amp;sheet=U0&amp;row=3129&amp;col=6&amp;number=3.5&amp;sourceID=14","3.5")</f>
        <v>3.5</v>
      </c>
      <c r="G3129" s="4" t="str">
        <f>HYPERLINK("http://141.218.60.56/~jnz1568/getInfo.php?workbook=20_14.xlsx&amp;sheet=U0&amp;row=3129&amp;col=7&amp;number=0.375&amp;sourceID=14","0.375")</f>
        <v>0.375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HYPERLINK("http://141.218.60.56/~jnz1568/getInfo.php?workbook=20_14.xlsx&amp;sheet=U0&amp;row=3130&amp;col=6&amp;number=3.6&amp;sourceID=14","3.6")</f>
        <v>3.6</v>
      </c>
      <c r="G3130" s="4" t="str">
        <f>HYPERLINK("http://141.218.60.56/~jnz1568/getInfo.php?workbook=20_14.xlsx&amp;sheet=U0&amp;row=3130&amp;col=7&amp;number=0.375&amp;sourceID=14","0.375")</f>
        <v>0.375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HYPERLINK("http://141.218.60.56/~jnz1568/getInfo.php?workbook=20_14.xlsx&amp;sheet=U0&amp;row=3131&amp;col=6&amp;number=3.7&amp;sourceID=14","3.7")</f>
        <v>3.7</v>
      </c>
      <c r="G3131" s="4" t="str">
        <f>HYPERLINK("http://141.218.60.56/~jnz1568/getInfo.php?workbook=20_14.xlsx&amp;sheet=U0&amp;row=3131&amp;col=7&amp;number=0.375&amp;sourceID=14","0.375")</f>
        <v>0.375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HYPERLINK("http://141.218.60.56/~jnz1568/getInfo.php?workbook=20_14.xlsx&amp;sheet=U0&amp;row=3132&amp;col=6&amp;number=3.8&amp;sourceID=14","3.8")</f>
        <v>3.8</v>
      </c>
      <c r="G3132" s="4" t="str">
        <f>HYPERLINK("http://141.218.60.56/~jnz1568/getInfo.php?workbook=20_14.xlsx&amp;sheet=U0&amp;row=3132&amp;col=7&amp;number=0.374&amp;sourceID=14","0.374")</f>
        <v>0.374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HYPERLINK("http://141.218.60.56/~jnz1568/getInfo.php?workbook=20_14.xlsx&amp;sheet=U0&amp;row=3133&amp;col=6&amp;number=3.9&amp;sourceID=14","3.9")</f>
        <v>3.9</v>
      </c>
      <c r="G3133" s="4" t="str">
        <f>HYPERLINK("http://141.218.60.56/~jnz1568/getInfo.php?workbook=20_14.xlsx&amp;sheet=U0&amp;row=3133&amp;col=7&amp;number=0.374&amp;sourceID=14","0.374")</f>
        <v>0.374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HYPERLINK("http://141.218.60.56/~jnz1568/getInfo.php?workbook=20_14.xlsx&amp;sheet=U0&amp;row=3134&amp;col=6&amp;number=4&amp;sourceID=14","4")</f>
        <v>4</v>
      </c>
      <c r="G3134" s="4" t="str">
        <f>HYPERLINK("http://141.218.60.56/~jnz1568/getInfo.php?workbook=20_14.xlsx&amp;sheet=U0&amp;row=3134&amp;col=7&amp;number=0.374&amp;sourceID=14","0.374")</f>
        <v>0.374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HYPERLINK("http://141.218.60.56/~jnz1568/getInfo.php?workbook=20_14.xlsx&amp;sheet=U0&amp;row=3135&amp;col=6&amp;number=4.1&amp;sourceID=14","4.1")</f>
        <v>4.1</v>
      </c>
      <c r="G3135" s="4" t="str">
        <f>HYPERLINK("http://141.218.60.56/~jnz1568/getInfo.php?workbook=20_14.xlsx&amp;sheet=U0&amp;row=3135&amp;col=7&amp;number=0.373&amp;sourceID=14","0.373")</f>
        <v>0.373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HYPERLINK("http://141.218.60.56/~jnz1568/getInfo.php?workbook=20_14.xlsx&amp;sheet=U0&amp;row=3136&amp;col=6&amp;number=4.2&amp;sourceID=14","4.2")</f>
        <v>4.2</v>
      </c>
      <c r="G3136" s="4" t="str">
        <f>HYPERLINK("http://141.218.60.56/~jnz1568/getInfo.php?workbook=20_14.xlsx&amp;sheet=U0&amp;row=3136&amp;col=7&amp;number=0.373&amp;sourceID=14","0.373")</f>
        <v>0.373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HYPERLINK("http://141.218.60.56/~jnz1568/getInfo.php?workbook=20_14.xlsx&amp;sheet=U0&amp;row=3137&amp;col=6&amp;number=4.3&amp;sourceID=14","4.3")</f>
        <v>4.3</v>
      </c>
      <c r="G3137" s="4" t="str">
        <f>HYPERLINK("http://141.218.60.56/~jnz1568/getInfo.php?workbook=20_14.xlsx&amp;sheet=U0&amp;row=3137&amp;col=7&amp;number=0.372&amp;sourceID=14","0.372")</f>
        <v>0.372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HYPERLINK("http://141.218.60.56/~jnz1568/getInfo.php?workbook=20_14.xlsx&amp;sheet=U0&amp;row=3138&amp;col=6&amp;number=4.4&amp;sourceID=14","4.4")</f>
        <v>4.4</v>
      </c>
      <c r="G3138" s="4" t="str">
        <f>HYPERLINK("http://141.218.60.56/~jnz1568/getInfo.php?workbook=20_14.xlsx&amp;sheet=U0&amp;row=3138&amp;col=7&amp;number=0.371&amp;sourceID=14","0.371")</f>
        <v>0.371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HYPERLINK("http://141.218.60.56/~jnz1568/getInfo.php?workbook=20_14.xlsx&amp;sheet=U0&amp;row=3139&amp;col=6&amp;number=4.5&amp;sourceID=14","4.5")</f>
        <v>4.5</v>
      </c>
      <c r="G3139" s="4" t="str">
        <f>HYPERLINK("http://141.218.60.56/~jnz1568/getInfo.php?workbook=20_14.xlsx&amp;sheet=U0&amp;row=3139&amp;col=7&amp;number=0.37&amp;sourceID=14","0.37")</f>
        <v>0.37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HYPERLINK("http://141.218.60.56/~jnz1568/getInfo.php?workbook=20_14.xlsx&amp;sheet=U0&amp;row=3140&amp;col=6&amp;number=4.6&amp;sourceID=14","4.6")</f>
        <v>4.6</v>
      </c>
      <c r="G3140" s="4" t="str">
        <f>HYPERLINK("http://141.218.60.56/~jnz1568/getInfo.php?workbook=20_14.xlsx&amp;sheet=U0&amp;row=3140&amp;col=7&amp;number=0.368&amp;sourceID=14","0.368")</f>
        <v>0.368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HYPERLINK("http://141.218.60.56/~jnz1568/getInfo.php?workbook=20_14.xlsx&amp;sheet=U0&amp;row=3141&amp;col=6&amp;number=4.7&amp;sourceID=14","4.7")</f>
        <v>4.7</v>
      </c>
      <c r="G3141" s="4" t="str">
        <f>HYPERLINK("http://141.218.60.56/~jnz1568/getInfo.php?workbook=20_14.xlsx&amp;sheet=U0&amp;row=3141&amp;col=7&amp;number=0.366&amp;sourceID=14","0.366")</f>
        <v>0.366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HYPERLINK("http://141.218.60.56/~jnz1568/getInfo.php?workbook=20_14.xlsx&amp;sheet=U0&amp;row=3142&amp;col=6&amp;number=4.8&amp;sourceID=14","4.8")</f>
        <v>4.8</v>
      </c>
      <c r="G3142" s="4" t="str">
        <f>HYPERLINK("http://141.218.60.56/~jnz1568/getInfo.php?workbook=20_14.xlsx&amp;sheet=U0&amp;row=3142&amp;col=7&amp;number=0.364&amp;sourceID=14","0.364")</f>
        <v>0.364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HYPERLINK("http://141.218.60.56/~jnz1568/getInfo.php?workbook=20_14.xlsx&amp;sheet=U0&amp;row=3143&amp;col=6&amp;number=4.9&amp;sourceID=14","4.9")</f>
        <v>4.9</v>
      </c>
      <c r="G3143" s="4" t="str">
        <f>HYPERLINK("http://141.218.60.56/~jnz1568/getInfo.php?workbook=20_14.xlsx&amp;sheet=U0&amp;row=3143&amp;col=7&amp;number=0.361&amp;sourceID=14","0.361")</f>
        <v>0.361</v>
      </c>
    </row>
    <row r="3144" spans="1:7">
      <c r="A3144" s="3">
        <v>20</v>
      </c>
      <c r="B3144" s="3">
        <v>14</v>
      </c>
      <c r="C3144" s="3">
        <v>16</v>
      </c>
      <c r="D3144" s="3">
        <v>26</v>
      </c>
      <c r="E3144" s="3">
        <v>1</v>
      </c>
      <c r="F3144" s="4" t="str">
        <f>HYPERLINK("http://141.218.60.56/~jnz1568/getInfo.php?workbook=20_14.xlsx&amp;sheet=U0&amp;row=3144&amp;col=6&amp;number=3&amp;sourceID=14","3")</f>
        <v>3</v>
      </c>
      <c r="G3144" s="4" t="str">
        <f>HYPERLINK("http://141.218.60.56/~jnz1568/getInfo.php?workbook=20_14.xlsx&amp;sheet=U0&amp;row=3144&amp;col=7&amp;number=0.271&amp;sourceID=14","0.271")</f>
        <v>0.271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HYPERLINK("http://141.218.60.56/~jnz1568/getInfo.php?workbook=20_14.xlsx&amp;sheet=U0&amp;row=3145&amp;col=6&amp;number=3.1&amp;sourceID=14","3.1")</f>
        <v>3.1</v>
      </c>
      <c r="G3145" s="4" t="str">
        <f>HYPERLINK("http://141.218.60.56/~jnz1568/getInfo.php?workbook=20_14.xlsx&amp;sheet=U0&amp;row=3145&amp;col=7&amp;number=0.271&amp;sourceID=14","0.271")</f>
        <v>0.271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HYPERLINK("http://141.218.60.56/~jnz1568/getInfo.php?workbook=20_14.xlsx&amp;sheet=U0&amp;row=3146&amp;col=6&amp;number=3.2&amp;sourceID=14","3.2")</f>
        <v>3.2</v>
      </c>
      <c r="G3146" s="4" t="str">
        <f>HYPERLINK("http://141.218.60.56/~jnz1568/getInfo.php?workbook=20_14.xlsx&amp;sheet=U0&amp;row=3146&amp;col=7&amp;number=0.271&amp;sourceID=14","0.271")</f>
        <v>0.271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HYPERLINK("http://141.218.60.56/~jnz1568/getInfo.php?workbook=20_14.xlsx&amp;sheet=U0&amp;row=3147&amp;col=6&amp;number=3.3&amp;sourceID=14","3.3")</f>
        <v>3.3</v>
      </c>
      <c r="G3147" s="4" t="str">
        <f>HYPERLINK("http://141.218.60.56/~jnz1568/getInfo.php?workbook=20_14.xlsx&amp;sheet=U0&amp;row=3147&amp;col=7&amp;number=0.271&amp;sourceID=14","0.271")</f>
        <v>0.271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HYPERLINK("http://141.218.60.56/~jnz1568/getInfo.php?workbook=20_14.xlsx&amp;sheet=U0&amp;row=3148&amp;col=6&amp;number=3.4&amp;sourceID=14","3.4")</f>
        <v>3.4</v>
      </c>
      <c r="G3148" s="4" t="str">
        <f>HYPERLINK("http://141.218.60.56/~jnz1568/getInfo.php?workbook=20_14.xlsx&amp;sheet=U0&amp;row=3148&amp;col=7&amp;number=0.27&amp;sourceID=14","0.27")</f>
        <v>0.27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HYPERLINK("http://141.218.60.56/~jnz1568/getInfo.php?workbook=20_14.xlsx&amp;sheet=U0&amp;row=3149&amp;col=6&amp;number=3.5&amp;sourceID=14","3.5")</f>
        <v>3.5</v>
      </c>
      <c r="G3149" s="4" t="str">
        <f>HYPERLINK("http://141.218.60.56/~jnz1568/getInfo.php?workbook=20_14.xlsx&amp;sheet=U0&amp;row=3149&amp;col=7&amp;number=0.27&amp;sourceID=14","0.27")</f>
        <v>0.27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HYPERLINK("http://141.218.60.56/~jnz1568/getInfo.php?workbook=20_14.xlsx&amp;sheet=U0&amp;row=3150&amp;col=6&amp;number=3.6&amp;sourceID=14","3.6")</f>
        <v>3.6</v>
      </c>
      <c r="G3150" s="4" t="str">
        <f>HYPERLINK("http://141.218.60.56/~jnz1568/getInfo.php?workbook=20_14.xlsx&amp;sheet=U0&amp;row=3150&amp;col=7&amp;number=0.27&amp;sourceID=14","0.27")</f>
        <v>0.27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HYPERLINK("http://141.218.60.56/~jnz1568/getInfo.php?workbook=20_14.xlsx&amp;sheet=U0&amp;row=3151&amp;col=6&amp;number=3.7&amp;sourceID=14","3.7")</f>
        <v>3.7</v>
      </c>
      <c r="G3151" s="4" t="str">
        <f>HYPERLINK("http://141.218.60.56/~jnz1568/getInfo.php?workbook=20_14.xlsx&amp;sheet=U0&amp;row=3151&amp;col=7&amp;number=0.27&amp;sourceID=14","0.27")</f>
        <v>0.27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HYPERLINK("http://141.218.60.56/~jnz1568/getInfo.php?workbook=20_14.xlsx&amp;sheet=U0&amp;row=3152&amp;col=6&amp;number=3.8&amp;sourceID=14","3.8")</f>
        <v>3.8</v>
      </c>
      <c r="G3152" s="4" t="str">
        <f>HYPERLINK("http://141.218.60.56/~jnz1568/getInfo.php?workbook=20_14.xlsx&amp;sheet=U0&amp;row=3152&amp;col=7&amp;number=0.27&amp;sourceID=14","0.27")</f>
        <v>0.27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HYPERLINK("http://141.218.60.56/~jnz1568/getInfo.php?workbook=20_14.xlsx&amp;sheet=U0&amp;row=3153&amp;col=6&amp;number=3.9&amp;sourceID=14","3.9")</f>
        <v>3.9</v>
      </c>
      <c r="G3153" s="4" t="str">
        <f>HYPERLINK("http://141.218.60.56/~jnz1568/getInfo.php?workbook=20_14.xlsx&amp;sheet=U0&amp;row=3153&amp;col=7&amp;number=0.269&amp;sourceID=14","0.269")</f>
        <v>0.269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HYPERLINK("http://141.218.60.56/~jnz1568/getInfo.php?workbook=20_14.xlsx&amp;sheet=U0&amp;row=3154&amp;col=6&amp;number=4&amp;sourceID=14","4")</f>
        <v>4</v>
      </c>
      <c r="G3154" s="4" t="str">
        <f>HYPERLINK("http://141.218.60.56/~jnz1568/getInfo.php?workbook=20_14.xlsx&amp;sheet=U0&amp;row=3154&amp;col=7&amp;number=0.269&amp;sourceID=14","0.269")</f>
        <v>0.269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HYPERLINK("http://141.218.60.56/~jnz1568/getInfo.php?workbook=20_14.xlsx&amp;sheet=U0&amp;row=3155&amp;col=6&amp;number=4.1&amp;sourceID=14","4.1")</f>
        <v>4.1</v>
      </c>
      <c r="G3155" s="4" t="str">
        <f>HYPERLINK("http://141.218.60.56/~jnz1568/getInfo.php?workbook=20_14.xlsx&amp;sheet=U0&amp;row=3155&amp;col=7&amp;number=0.269&amp;sourceID=14","0.269")</f>
        <v>0.269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HYPERLINK("http://141.218.60.56/~jnz1568/getInfo.php?workbook=20_14.xlsx&amp;sheet=U0&amp;row=3156&amp;col=6&amp;number=4.2&amp;sourceID=14","4.2")</f>
        <v>4.2</v>
      </c>
      <c r="G3156" s="4" t="str">
        <f>HYPERLINK("http://141.218.60.56/~jnz1568/getInfo.php?workbook=20_14.xlsx&amp;sheet=U0&amp;row=3156&amp;col=7&amp;number=0.268&amp;sourceID=14","0.268")</f>
        <v>0.268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HYPERLINK("http://141.218.60.56/~jnz1568/getInfo.php?workbook=20_14.xlsx&amp;sheet=U0&amp;row=3157&amp;col=6&amp;number=4.3&amp;sourceID=14","4.3")</f>
        <v>4.3</v>
      </c>
      <c r="G3157" s="4" t="str">
        <f>HYPERLINK("http://141.218.60.56/~jnz1568/getInfo.php?workbook=20_14.xlsx&amp;sheet=U0&amp;row=3157&amp;col=7&amp;number=0.267&amp;sourceID=14","0.267")</f>
        <v>0.267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HYPERLINK("http://141.218.60.56/~jnz1568/getInfo.php?workbook=20_14.xlsx&amp;sheet=U0&amp;row=3158&amp;col=6&amp;number=4.4&amp;sourceID=14","4.4")</f>
        <v>4.4</v>
      </c>
      <c r="G3158" s="4" t="str">
        <f>HYPERLINK("http://141.218.60.56/~jnz1568/getInfo.php?workbook=20_14.xlsx&amp;sheet=U0&amp;row=3158&amp;col=7&amp;number=0.266&amp;sourceID=14","0.266")</f>
        <v>0.266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HYPERLINK("http://141.218.60.56/~jnz1568/getInfo.php?workbook=20_14.xlsx&amp;sheet=U0&amp;row=3159&amp;col=6&amp;number=4.5&amp;sourceID=14","4.5")</f>
        <v>4.5</v>
      </c>
      <c r="G3159" s="4" t="str">
        <f>HYPERLINK("http://141.218.60.56/~jnz1568/getInfo.php?workbook=20_14.xlsx&amp;sheet=U0&amp;row=3159&amp;col=7&amp;number=0.265&amp;sourceID=14","0.265")</f>
        <v>0.265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HYPERLINK("http://141.218.60.56/~jnz1568/getInfo.php?workbook=20_14.xlsx&amp;sheet=U0&amp;row=3160&amp;col=6&amp;number=4.6&amp;sourceID=14","4.6")</f>
        <v>4.6</v>
      </c>
      <c r="G3160" s="4" t="str">
        <f>HYPERLINK("http://141.218.60.56/~jnz1568/getInfo.php?workbook=20_14.xlsx&amp;sheet=U0&amp;row=3160&amp;col=7&amp;number=0.264&amp;sourceID=14","0.264")</f>
        <v>0.264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HYPERLINK("http://141.218.60.56/~jnz1568/getInfo.php?workbook=20_14.xlsx&amp;sheet=U0&amp;row=3161&amp;col=6&amp;number=4.7&amp;sourceID=14","4.7")</f>
        <v>4.7</v>
      </c>
      <c r="G3161" s="4" t="str">
        <f>HYPERLINK("http://141.218.60.56/~jnz1568/getInfo.php?workbook=20_14.xlsx&amp;sheet=U0&amp;row=3161&amp;col=7&amp;number=0.262&amp;sourceID=14","0.262")</f>
        <v>0.262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HYPERLINK("http://141.218.60.56/~jnz1568/getInfo.php?workbook=20_14.xlsx&amp;sheet=U0&amp;row=3162&amp;col=6&amp;number=4.8&amp;sourceID=14","4.8")</f>
        <v>4.8</v>
      </c>
      <c r="G3162" s="4" t="str">
        <f>HYPERLINK("http://141.218.60.56/~jnz1568/getInfo.php?workbook=20_14.xlsx&amp;sheet=U0&amp;row=3162&amp;col=7&amp;number=0.259&amp;sourceID=14","0.259")</f>
        <v>0.259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HYPERLINK("http://141.218.60.56/~jnz1568/getInfo.php?workbook=20_14.xlsx&amp;sheet=U0&amp;row=3163&amp;col=6&amp;number=4.9&amp;sourceID=14","4.9")</f>
        <v>4.9</v>
      </c>
      <c r="G3163" s="4" t="str">
        <f>HYPERLINK("http://141.218.60.56/~jnz1568/getInfo.php?workbook=20_14.xlsx&amp;sheet=U0&amp;row=3163&amp;col=7&amp;number=0.256&amp;sourceID=14","0.256")</f>
        <v>0.256</v>
      </c>
    </row>
    <row r="3164" spans="1:7">
      <c r="A3164" s="3">
        <v>20</v>
      </c>
      <c r="B3164" s="3">
        <v>14</v>
      </c>
      <c r="C3164" s="3">
        <v>16</v>
      </c>
      <c r="D3164" s="3">
        <v>27</v>
      </c>
      <c r="E3164" s="3">
        <v>1</v>
      </c>
      <c r="F3164" s="4" t="str">
        <f>HYPERLINK("http://141.218.60.56/~jnz1568/getInfo.php?workbook=20_14.xlsx&amp;sheet=U0&amp;row=3164&amp;col=6&amp;number=3&amp;sourceID=14","3")</f>
        <v>3</v>
      </c>
      <c r="G3164" s="4" t="str">
        <f>HYPERLINK("http://141.218.60.56/~jnz1568/getInfo.php?workbook=20_14.xlsx&amp;sheet=U0&amp;row=3164&amp;col=7&amp;number=0.151&amp;sourceID=14","0.151")</f>
        <v>0.151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HYPERLINK("http://141.218.60.56/~jnz1568/getInfo.php?workbook=20_14.xlsx&amp;sheet=U0&amp;row=3165&amp;col=6&amp;number=3.1&amp;sourceID=14","3.1")</f>
        <v>3.1</v>
      </c>
      <c r="G3165" s="4" t="str">
        <f>HYPERLINK("http://141.218.60.56/~jnz1568/getInfo.php?workbook=20_14.xlsx&amp;sheet=U0&amp;row=3165&amp;col=7&amp;number=0.151&amp;sourceID=14","0.151")</f>
        <v>0.151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HYPERLINK("http://141.218.60.56/~jnz1568/getInfo.php?workbook=20_14.xlsx&amp;sheet=U0&amp;row=3166&amp;col=6&amp;number=3.2&amp;sourceID=14","3.2")</f>
        <v>3.2</v>
      </c>
      <c r="G3166" s="4" t="str">
        <f>HYPERLINK("http://141.218.60.56/~jnz1568/getInfo.php?workbook=20_14.xlsx&amp;sheet=U0&amp;row=3166&amp;col=7&amp;number=0.151&amp;sourceID=14","0.151")</f>
        <v>0.151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HYPERLINK("http://141.218.60.56/~jnz1568/getInfo.php?workbook=20_14.xlsx&amp;sheet=U0&amp;row=3167&amp;col=6&amp;number=3.3&amp;sourceID=14","3.3")</f>
        <v>3.3</v>
      </c>
      <c r="G3167" s="4" t="str">
        <f>HYPERLINK("http://141.218.60.56/~jnz1568/getInfo.php?workbook=20_14.xlsx&amp;sheet=U0&amp;row=3167&amp;col=7&amp;number=0.151&amp;sourceID=14","0.151")</f>
        <v>0.151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HYPERLINK("http://141.218.60.56/~jnz1568/getInfo.php?workbook=20_14.xlsx&amp;sheet=U0&amp;row=3168&amp;col=6&amp;number=3.4&amp;sourceID=14","3.4")</f>
        <v>3.4</v>
      </c>
      <c r="G3168" s="4" t="str">
        <f>HYPERLINK("http://141.218.60.56/~jnz1568/getInfo.php?workbook=20_14.xlsx&amp;sheet=U0&amp;row=3168&amp;col=7&amp;number=0.151&amp;sourceID=14","0.151")</f>
        <v>0.151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HYPERLINK("http://141.218.60.56/~jnz1568/getInfo.php?workbook=20_14.xlsx&amp;sheet=U0&amp;row=3169&amp;col=6&amp;number=3.5&amp;sourceID=14","3.5")</f>
        <v>3.5</v>
      </c>
      <c r="G3169" s="4" t="str">
        <f>HYPERLINK("http://141.218.60.56/~jnz1568/getInfo.php?workbook=20_14.xlsx&amp;sheet=U0&amp;row=3169&amp;col=7&amp;number=0.151&amp;sourceID=14","0.151")</f>
        <v>0.151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HYPERLINK("http://141.218.60.56/~jnz1568/getInfo.php?workbook=20_14.xlsx&amp;sheet=U0&amp;row=3170&amp;col=6&amp;number=3.6&amp;sourceID=14","3.6")</f>
        <v>3.6</v>
      </c>
      <c r="G3170" s="4" t="str">
        <f>HYPERLINK("http://141.218.60.56/~jnz1568/getInfo.php?workbook=20_14.xlsx&amp;sheet=U0&amp;row=3170&amp;col=7&amp;number=0.151&amp;sourceID=14","0.151")</f>
        <v>0.151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HYPERLINK("http://141.218.60.56/~jnz1568/getInfo.php?workbook=20_14.xlsx&amp;sheet=U0&amp;row=3171&amp;col=6&amp;number=3.7&amp;sourceID=14","3.7")</f>
        <v>3.7</v>
      </c>
      <c r="G3171" s="4" t="str">
        <f>HYPERLINK("http://141.218.60.56/~jnz1568/getInfo.php?workbook=20_14.xlsx&amp;sheet=U0&amp;row=3171&amp;col=7&amp;number=0.151&amp;sourceID=14","0.151")</f>
        <v>0.151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HYPERLINK("http://141.218.60.56/~jnz1568/getInfo.php?workbook=20_14.xlsx&amp;sheet=U0&amp;row=3172&amp;col=6&amp;number=3.8&amp;sourceID=14","3.8")</f>
        <v>3.8</v>
      </c>
      <c r="G3172" s="4" t="str">
        <f>HYPERLINK("http://141.218.60.56/~jnz1568/getInfo.php?workbook=20_14.xlsx&amp;sheet=U0&amp;row=3172&amp;col=7&amp;number=0.15&amp;sourceID=14","0.15")</f>
        <v>0.15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HYPERLINK("http://141.218.60.56/~jnz1568/getInfo.php?workbook=20_14.xlsx&amp;sheet=U0&amp;row=3173&amp;col=6&amp;number=3.9&amp;sourceID=14","3.9")</f>
        <v>3.9</v>
      </c>
      <c r="G3173" s="4" t="str">
        <f>HYPERLINK("http://141.218.60.56/~jnz1568/getInfo.php?workbook=20_14.xlsx&amp;sheet=U0&amp;row=3173&amp;col=7&amp;number=0.15&amp;sourceID=14","0.15")</f>
        <v>0.15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HYPERLINK("http://141.218.60.56/~jnz1568/getInfo.php?workbook=20_14.xlsx&amp;sheet=U0&amp;row=3174&amp;col=6&amp;number=4&amp;sourceID=14","4")</f>
        <v>4</v>
      </c>
      <c r="G3174" s="4" t="str">
        <f>HYPERLINK("http://141.218.60.56/~jnz1568/getInfo.php?workbook=20_14.xlsx&amp;sheet=U0&amp;row=3174&amp;col=7&amp;number=0.15&amp;sourceID=14","0.15")</f>
        <v>0.15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HYPERLINK("http://141.218.60.56/~jnz1568/getInfo.php?workbook=20_14.xlsx&amp;sheet=U0&amp;row=3175&amp;col=6&amp;number=4.1&amp;sourceID=14","4.1")</f>
        <v>4.1</v>
      </c>
      <c r="G3175" s="4" t="str">
        <f>HYPERLINK("http://141.218.60.56/~jnz1568/getInfo.php?workbook=20_14.xlsx&amp;sheet=U0&amp;row=3175&amp;col=7&amp;number=0.15&amp;sourceID=14","0.15")</f>
        <v>0.15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HYPERLINK("http://141.218.60.56/~jnz1568/getInfo.php?workbook=20_14.xlsx&amp;sheet=U0&amp;row=3176&amp;col=6&amp;number=4.2&amp;sourceID=14","4.2")</f>
        <v>4.2</v>
      </c>
      <c r="G3176" s="4" t="str">
        <f>HYPERLINK("http://141.218.60.56/~jnz1568/getInfo.php?workbook=20_14.xlsx&amp;sheet=U0&amp;row=3176&amp;col=7&amp;number=0.15&amp;sourceID=14","0.15")</f>
        <v>0.15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HYPERLINK("http://141.218.60.56/~jnz1568/getInfo.php?workbook=20_14.xlsx&amp;sheet=U0&amp;row=3177&amp;col=6&amp;number=4.3&amp;sourceID=14","4.3")</f>
        <v>4.3</v>
      </c>
      <c r="G3177" s="4" t="str">
        <f>HYPERLINK("http://141.218.60.56/~jnz1568/getInfo.php?workbook=20_14.xlsx&amp;sheet=U0&amp;row=3177&amp;col=7&amp;number=0.149&amp;sourceID=14","0.149")</f>
        <v>0.149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HYPERLINK("http://141.218.60.56/~jnz1568/getInfo.php?workbook=20_14.xlsx&amp;sheet=U0&amp;row=3178&amp;col=6&amp;number=4.4&amp;sourceID=14","4.4")</f>
        <v>4.4</v>
      </c>
      <c r="G3178" s="4" t="str">
        <f>HYPERLINK("http://141.218.60.56/~jnz1568/getInfo.php?workbook=20_14.xlsx&amp;sheet=U0&amp;row=3178&amp;col=7&amp;number=0.149&amp;sourceID=14","0.149")</f>
        <v>0.149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HYPERLINK("http://141.218.60.56/~jnz1568/getInfo.php?workbook=20_14.xlsx&amp;sheet=U0&amp;row=3179&amp;col=6&amp;number=4.5&amp;sourceID=14","4.5")</f>
        <v>4.5</v>
      </c>
      <c r="G3179" s="4" t="str">
        <f>HYPERLINK("http://141.218.60.56/~jnz1568/getInfo.php?workbook=20_14.xlsx&amp;sheet=U0&amp;row=3179&amp;col=7&amp;number=0.148&amp;sourceID=14","0.148")</f>
        <v>0.148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HYPERLINK("http://141.218.60.56/~jnz1568/getInfo.php?workbook=20_14.xlsx&amp;sheet=U0&amp;row=3180&amp;col=6&amp;number=4.6&amp;sourceID=14","4.6")</f>
        <v>4.6</v>
      </c>
      <c r="G3180" s="4" t="str">
        <f>HYPERLINK("http://141.218.60.56/~jnz1568/getInfo.php?workbook=20_14.xlsx&amp;sheet=U0&amp;row=3180&amp;col=7&amp;number=0.147&amp;sourceID=14","0.147")</f>
        <v>0.147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HYPERLINK("http://141.218.60.56/~jnz1568/getInfo.php?workbook=20_14.xlsx&amp;sheet=U0&amp;row=3181&amp;col=6&amp;number=4.7&amp;sourceID=14","4.7")</f>
        <v>4.7</v>
      </c>
      <c r="G3181" s="4" t="str">
        <f>HYPERLINK("http://141.218.60.56/~jnz1568/getInfo.php?workbook=20_14.xlsx&amp;sheet=U0&amp;row=3181&amp;col=7&amp;number=0.146&amp;sourceID=14","0.146")</f>
        <v>0.146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HYPERLINK("http://141.218.60.56/~jnz1568/getInfo.php?workbook=20_14.xlsx&amp;sheet=U0&amp;row=3182&amp;col=6&amp;number=4.8&amp;sourceID=14","4.8")</f>
        <v>4.8</v>
      </c>
      <c r="G3182" s="4" t="str">
        <f>HYPERLINK("http://141.218.60.56/~jnz1568/getInfo.php?workbook=20_14.xlsx&amp;sheet=U0&amp;row=3182&amp;col=7&amp;number=0.145&amp;sourceID=14","0.145")</f>
        <v>0.145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HYPERLINK("http://141.218.60.56/~jnz1568/getInfo.php?workbook=20_14.xlsx&amp;sheet=U0&amp;row=3183&amp;col=6&amp;number=4.9&amp;sourceID=14","4.9")</f>
        <v>4.9</v>
      </c>
      <c r="G3183" s="4" t="str">
        <f>HYPERLINK("http://141.218.60.56/~jnz1568/getInfo.php?workbook=20_14.xlsx&amp;sheet=U0&amp;row=3183&amp;col=7&amp;number=0.144&amp;sourceID=14","0.144")</f>
        <v>0.144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2015-04-20T23:51:00Z</dcterms:created>
  <dcterms:modified xsi:type="dcterms:W3CDTF">2015-04-20T23:51:00Z</dcterms:modified>
</cp:coreProperties>
</file>