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<sst xmlns="http://schemas.openxmlformats.org/spreadsheetml/2006/main" count="70" uniqueCount="36">
  <si>
    <t>Fine Structure Energy Levels for Co XVII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</si>
  <si>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</si>
  <si>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</si>
  <si>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</si>
  <si>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</si>
  <si>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</si>
  <si>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</si>
  <si>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</si>
  <si>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</si>
  <si>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</si>
  <si>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</si>
  <si>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</si>
  <si>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3s</t>
  </si>
  <si>
    <t>2S</t>
  </si>
  <si>
    <t>3p</t>
  </si>
  <si>
    <t>2P</t>
  </si>
  <si>
    <t>3d</t>
  </si>
  <si>
    <t>2D</t>
  </si>
  <si>
    <t>4s</t>
  </si>
  <si>
    <t>4p</t>
  </si>
  <si>
    <t>4d</t>
  </si>
  <si>
    <t>4f</t>
  </si>
  <si>
    <t>2F</t>
  </si>
  <si>
    <t>5s</t>
  </si>
  <si>
    <t>5p</t>
  </si>
  <si>
    <t>5d</t>
  </si>
  <si>
    <t>5f</t>
  </si>
  <si>
    <t>A-values for fine-structure transitions in Co XVII</t>
  </si>
  <si>
    <t>k</t>
  </si>
  <si>
    <t>WL Vac (A)</t>
  </si>
  <si>
    <t>A (s-1)</t>
  </si>
  <si>
    <t>A2E1(s-1)</t>
  </si>
  <si>
    <t>Effective Collision Strengths for Co XVII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</si>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</sst>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27</v>
      </c>
      <c r="B4" s="3">
        <v>11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HYPERLINK("http://141.218.60.56/~jnz1568/getInfo.php?workbook=27_11.xlsx&amp;sheet=E0&amp;row=4&amp;col=10&amp;number=0&amp;sourceID=14","0")</f>
        <v>0</v>
      </c>
    </row>
    <row r="5" spans="1:10">
      <c r="A5" s="3">
        <v>27</v>
      </c>
      <c r="B5" s="3">
        <v>11</v>
      </c>
      <c r="C5" s="3">
        <v>2</v>
      </c>
      <c r="D5" s="3" t="s">
        <v>14</v>
      </c>
      <c r="E5" s="3" t="s">
        <v>15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HYPERLINK("http://141.218.60.56/~jnz1568/getInfo.php?workbook=27_11.xlsx&amp;sheet=E0&amp;row=5&amp;col=10&amp;number=294556&amp;sourceID=14","294556")</f>
        <v>294556</v>
      </c>
    </row>
    <row r="6" spans="1:10">
      <c r="A6" s="3">
        <v>27</v>
      </c>
      <c r="B6" s="3">
        <v>11</v>
      </c>
      <c r="C6" s="3">
        <v>3</v>
      </c>
      <c r="D6" s="3" t="s">
        <v>14</v>
      </c>
      <c r="E6" s="3" t="s">
        <v>15</v>
      </c>
      <c r="F6" s="3">
        <v>2</v>
      </c>
      <c r="G6" s="3">
        <v>1</v>
      </c>
      <c r="H6" s="3">
        <v>1</v>
      </c>
      <c r="I6" s="3">
        <v>1.5</v>
      </c>
      <c r="J6" s="4" t="str">
        <f>HYPERLINK("http://141.218.60.56/~jnz1568/getInfo.php?workbook=27_11.xlsx&amp;sheet=E0&amp;row=6&amp;col=10&amp;number=319957&amp;sourceID=14","319957")</f>
        <v>319957</v>
      </c>
    </row>
    <row r="7" spans="1:10">
      <c r="A7" s="3">
        <v>27</v>
      </c>
      <c r="B7" s="3">
        <v>11</v>
      </c>
      <c r="C7" s="3">
        <v>4</v>
      </c>
      <c r="D7" s="3" t="s">
        <v>16</v>
      </c>
      <c r="E7" s="3" t="s">
        <v>17</v>
      </c>
      <c r="F7" s="3">
        <v>2</v>
      </c>
      <c r="G7" s="3">
        <v>2</v>
      </c>
      <c r="H7" s="3">
        <v>0</v>
      </c>
      <c r="I7" s="3">
        <v>1.5</v>
      </c>
      <c r="J7" s="4" t="str">
        <f>HYPERLINK("http://141.218.60.56/~jnz1568/getInfo.php?workbook=27_11.xlsx&amp;sheet=E0&amp;row=7&amp;col=10&amp;number=720224&amp;sourceID=14","720224")</f>
        <v>720224</v>
      </c>
    </row>
    <row r="8" spans="1:10">
      <c r="A8" s="3">
        <v>27</v>
      </c>
      <c r="B8" s="3">
        <v>11</v>
      </c>
      <c r="C8" s="3">
        <v>5</v>
      </c>
      <c r="D8" s="3" t="s">
        <v>16</v>
      </c>
      <c r="E8" s="3" t="s">
        <v>17</v>
      </c>
      <c r="F8" s="3">
        <v>2</v>
      </c>
      <c r="G8" s="3">
        <v>2</v>
      </c>
      <c r="H8" s="3">
        <v>0</v>
      </c>
      <c r="I8" s="3">
        <v>2.5</v>
      </c>
      <c r="J8" s="4" t="str">
        <f>HYPERLINK("http://141.218.60.56/~jnz1568/getInfo.php?workbook=27_11.xlsx&amp;sheet=E0&amp;row=8&amp;col=10&amp;number=723932&amp;sourceID=14","723932")</f>
        <v>723932</v>
      </c>
    </row>
    <row r="9" spans="1:10">
      <c r="A9" s="3">
        <v>27</v>
      </c>
      <c r="B9" s="3">
        <v>11</v>
      </c>
      <c r="C9" s="3">
        <v>6</v>
      </c>
      <c r="D9" s="3" t="s">
        <v>18</v>
      </c>
      <c r="E9" s="3" t="s">
        <v>13</v>
      </c>
      <c r="F9" s="3">
        <v>2</v>
      </c>
      <c r="G9" s="3">
        <v>0</v>
      </c>
      <c r="H9" s="3">
        <v>0</v>
      </c>
      <c r="I9" s="3">
        <v>0.5</v>
      </c>
      <c r="J9" s="4" t="str">
        <f>HYPERLINK("http://141.218.60.56/~jnz1568/getInfo.php?workbook=27_11.xlsx&amp;sheet=E0&amp;row=9&amp;col=10&amp;number=2079550&amp;sourceID=14","2079550")</f>
        <v>2079550</v>
      </c>
    </row>
    <row r="10" spans="1:10">
      <c r="A10" s="3">
        <v>27</v>
      </c>
      <c r="B10" s="3">
        <v>11</v>
      </c>
      <c r="C10" s="3">
        <v>7</v>
      </c>
      <c r="D10" s="3" t="s">
        <v>19</v>
      </c>
      <c r="E10" s="3" t="s">
        <v>15</v>
      </c>
      <c r="F10" s="3">
        <v>2</v>
      </c>
      <c r="G10" s="3">
        <v>1</v>
      </c>
      <c r="H10" s="3">
        <v>1</v>
      </c>
      <c r="I10" s="3">
        <v>0.5</v>
      </c>
      <c r="J10" s="4" t="str">
        <f>HYPERLINK("http://141.218.60.56/~jnz1568/getInfo.php?workbook=27_11.xlsx&amp;sheet=E0&amp;row=10&amp;col=10&amp;number=2196500&amp;sourceID=14","2196500")</f>
        <v>2196500</v>
      </c>
    </row>
    <row r="11" spans="1:10">
      <c r="A11" s="3">
        <v>27</v>
      </c>
      <c r="B11" s="3">
        <v>11</v>
      </c>
      <c r="C11" s="3">
        <v>8</v>
      </c>
      <c r="D11" s="3" t="s">
        <v>19</v>
      </c>
      <c r="E11" s="3" t="s">
        <v>15</v>
      </c>
      <c r="F11" s="3">
        <v>2</v>
      </c>
      <c r="G11" s="3">
        <v>1</v>
      </c>
      <c r="H11" s="3">
        <v>1</v>
      </c>
      <c r="I11" s="3">
        <v>1.5</v>
      </c>
      <c r="J11" s="4" t="str">
        <f>HYPERLINK("http://141.218.60.56/~jnz1568/getInfo.php?workbook=27_11.xlsx&amp;sheet=E0&amp;row=11&amp;col=10&amp;number=2206580&amp;sourceID=14","2206580")</f>
        <v>2206580</v>
      </c>
    </row>
    <row r="12" spans="1:10">
      <c r="A12" s="3">
        <v>27</v>
      </c>
      <c r="B12" s="3">
        <v>11</v>
      </c>
      <c r="C12" s="3">
        <v>9</v>
      </c>
      <c r="D12" s="3" t="s">
        <v>20</v>
      </c>
      <c r="E12" s="3" t="s">
        <v>17</v>
      </c>
      <c r="F12" s="3">
        <v>2</v>
      </c>
      <c r="G12" s="3">
        <v>2</v>
      </c>
      <c r="H12" s="3">
        <v>0</v>
      </c>
      <c r="I12" s="3">
        <v>1.5</v>
      </c>
      <c r="J12" s="4" t="str">
        <f>HYPERLINK("http://141.218.60.56/~jnz1568/getInfo.php?workbook=27_11.xlsx&amp;sheet=E0&amp;row=12&amp;col=10&amp;number=2353690&amp;sourceID=14","2353690")</f>
        <v>2353690</v>
      </c>
    </row>
    <row r="13" spans="1:10">
      <c r="A13" s="3">
        <v>27</v>
      </c>
      <c r="B13" s="3">
        <v>11</v>
      </c>
      <c r="C13" s="3">
        <v>10</v>
      </c>
      <c r="D13" s="3" t="s">
        <v>20</v>
      </c>
      <c r="E13" s="3" t="s">
        <v>17</v>
      </c>
      <c r="F13" s="3">
        <v>2</v>
      </c>
      <c r="G13" s="3">
        <v>2</v>
      </c>
      <c r="H13" s="3">
        <v>0</v>
      </c>
      <c r="I13" s="3">
        <v>2.5</v>
      </c>
      <c r="J13" s="4" t="str">
        <f>HYPERLINK("http://141.218.60.56/~jnz1568/getInfo.php?workbook=27_11.xlsx&amp;sheet=E0&amp;row=13&amp;col=10&amp;number=2355250&amp;sourceID=14","2355250")</f>
        <v>2355250</v>
      </c>
    </row>
    <row r="14" spans="1:10">
      <c r="A14" s="3">
        <v>27</v>
      </c>
      <c r="B14" s="3">
        <v>11</v>
      </c>
      <c r="C14" s="3">
        <v>11</v>
      </c>
      <c r="D14" s="3" t="s">
        <v>21</v>
      </c>
      <c r="E14" s="3" t="s">
        <v>22</v>
      </c>
      <c r="F14" s="3">
        <v>2</v>
      </c>
      <c r="G14" s="3">
        <v>3</v>
      </c>
      <c r="H14" s="3">
        <v>1</v>
      </c>
      <c r="I14" s="3">
        <v>2.5</v>
      </c>
      <c r="J14" s="4" t="str">
        <f>HYPERLINK("http://141.218.60.56/~jnz1568/getInfo.php?workbook=27_11.xlsx&amp;sheet=E0&amp;row=14&amp;col=10&amp;number=2419690&amp;sourceID=14","2419690")</f>
        <v>2419690</v>
      </c>
    </row>
    <row r="15" spans="1:10">
      <c r="A15" s="3">
        <v>27</v>
      </c>
      <c r="B15" s="3">
        <v>11</v>
      </c>
      <c r="C15" s="3">
        <v>12</v>
      </c>
      <c r="D15" s="3" t="s">
        <v>21</v>
      </c>
      <c r="E15" s="3" t="s">
        <v>22</v>
      </c>
      <c r="F15" s="3">
        <v>2</v>
      </c>
      <c r="G15" s="3">
        <v>3</v>
      </c>
      <c r="H15" s="3">
        <v>1</v>
      </c>
      <c r="I15" s="3">
        <v>3.5</v>
      </c>
      <c r="J15" s="4" t="str">
        <f>HYPERLINK("http://141.218.60.56/~jnz1568/getInfo.php?workbook=27_11.xlsx&amp;sheet=E0&amp;row=15&amp;col=10&amp;number=2420340&amp;sourceID=14","2420340")</f>
        <v>2420340</v>
      </c>
    </row>
    <row r="16" spans="1:10">
      <c r="A16" s="3">
        <v>27</v>
      </c>
      <c r="B16" s="3">
        <v>11</v>
      </c>
      <c r="C16" s="3">
        <v>13</v>
      </c>
      <c r="D16" s="3" t="s">
        <v>23</v>
      </c>
      <c r="E16" s="3" t="s">
        <v>13</v>
      </c>
      <c r="F16" s="3">
        <v>2</v>
      </c>
      <c r="G16" s="3">
        <v>0</v>
      </c>
      <c r="H16" s="3">
        <v>0</v>
      </c>
      <c r="I16" s="3">
        <v>0.5</v>
      </c>
      <c r="J16" s="4" t="str">
        <f>HYPERLINK("http://141.218.60.56/~jnz1568/getInfo.php?workbook=27_11.xlsx&amp;sheet=E0&amp;row=16&amp;col=10&amp;number=2967700&amp;sourceID=14","2967700")</f>
        <v>2967700</v>
      </c>
    </row>
    <row r="17" spans="1:10">
      <c r="A17" s="3">
        <v>27</v>
      </c>
      <c r="B17" s="3">
        <v>11</v>
      </c>
      <c r="C17" s="3">
        <v>14</v>
      </c>
      <c r="D17" s="3" t="s">
        <v>24</v>
      </c>
      <c r="E17" s="3" t="s">
        <v>15</v>
      </c>
      <c r="F17" s="3">
        <v>2</v>
      </c>
      <c r="G17" s="3">
        <v>1</v>
      </c>
      <c r="H17" s="3">
        <v>1</v>
      </c>
      <c r="I17" s="3">
        <v>0.5</v>
      </c>
      <c r="J17" s="4" t="str">
        <f>HYPERLINK("http://141.218.60.56/~jnz1568/getInfo.php?workbook=27_11.xlsx&amp;sheet=E0&amp;row=17&amp;col=10&amp;number=3026100&amp;sourceID=14","3026100")</f>
        <v>3026100</v>
      </c>
    </row>
    <row r="18" spans="1:10">
      <c r="A18" s="3">
        <v>27</v>
      </c>
      <c r="B18" s="3">
        <v>11</v>
      </c>
      <c r="C18" s="3">
        <v>15</v>
      </c>
      <c r="D18" s="3" t="s">
        <v>24</v>
      </c>
      <c r="E18" s="3" t="s">
        <v>15</v>
      </c>
      <c r="F18" s="3">
        <v>2</v>
      </c>
      <c r="G18" s="3">
        <v>1</v>
      </c>
      <c r="H18" s="3">
        <v>1</v>
      </c>
      <c r="I18" s="3">
        <v>1.5</v>
      </c>
      <c r="J18" s="4" t="str">
        <f>HYPERLINK("http://141.218.60.56/~jnz1568/getInfo.php?workbook=27_11.xlsx&amp;sheet=E0&amp;row=18&amp;col=10&amp;number=3030800&amp;sourceID=14","3030800")</f>
        <v>3030800</v>
      </c>
    </row>
    <row r="19" spans="1:10">
      <c r="A19" s="3">
        <v>27</v>
      </c>
      <c r="B19" s="3">
        <v>11</v>
      </c>
      <c r="C19" s="3">
        <v>16</v>
      </c>
      <c r="D19" s="3" t="s">
        <v>25</v>
      </c>
      <c r="E19" s="3" t="s">
        <v>17</v>
      </c>
      <c r="F19" s="3">
        <v>2</v>
      </c>
      <c r="G19" s="3">
        <v>2</v>
      </c>
      <c r="H19" s="3">
        <v>0</v>
      </c>
      <c r="I19" s="3">
        <v>1.5</v>
      </c>
      <c r="J19" s="4" t="str">
        <f>HYPERLINK("http://141.218.60.56/~jnz1568/getInfo.php?workbook=27_11.xlsx&amp;sheet=E0&amp;row=19&amp;col=10&amp;number=3102200&amp;sourceID=14","3102200")</f>
        <v>3102200</v>
      </c>
    </row>
    <row r="20" spans="1:10">
      <c r="A20" s="3">
        <v>27</v>
      </c>
      <c r="B20" s="3">
        <v>11</v>
      </c>
      <c r="C20" s="3">
        <v>17</v>
      </c>
      <c r="D20" s="3" t="s">
        <v>25</v>
      </c>
      <c r="E20" s="3" t="s">
        <v>17</v>
      </c>
      <c r="F20" s="3">
        <v>2</v>
      </c>
      <c r="G20" s="3">
        <v>2</v>
      </c>
      <c r="H20" s="3">
        <v>0</v>
      </c>
      <c r="I20" s="3">
        <v>2.5</v>
      </c>
      <c r="J20" s="4" t="str">
        <f>HYPERLINK("http://141.218.60.56/~jnz1568/getInfo.php?workbook=27_11.xlsx&amp;sheet=E0&amp;row=20&amp;col=10&amp;number=3103000&amp;sourceID=14","3103000")</f>
        <v>3103000</v>
      </c>
    </row>
    <row r="21" spans="1:10">
      <c r="A21" s="3">
        <v>27</v>
      </c>
      <c r="B21" s="3">
        <v>11</v>
      </c>
      <c r="C21" s="3">
        <v>18</v>
      </c>
      <c r="D21" s="3" t="s">
        <v>26</v>
      </c>
      <c r="E21" s="3" t="s">
        <v>22</v>
      </c>
      <c r="F21" s="3">
        <v>2</v>
      </c>
      <c r="G21" s="3">
        <v>3</v>
      </c>
      <c r="H21" s="3">
        <v>1</v>
      </c>
      <c r="I21" s="3">
        <v>2.5</v>
      </c>
      <c r="J21" s="4" t="str">
        <f>HYPERLINK("http://141.218.60.56/~jnz1568/getInfo.php?workbook=27_11.xlsx&amp;sheet=E0&amp;row=21&amp;col=10&amp;number=3135500&amp;sourceID=14","3135500")</f>
        <v>3135500</v>
      </c>
    </row>
    <row r="22" spans="1:10">
      <c r="A22" s="3">
        <v>27</v>
      </c>
      <c r="B22" s="3">
        <v>11</v>
      </c>
      <c r="C22" s="3">
        <v>19</v>
      </c>
      <c r="D22" s="3" t="s">
        <v>26</v>
      </c>
      <c r="E22" s="3" t="s">
        <v>22</v>
      </c>
      <c r="F22" s="3">
        <v>2</v>
      </c>
      <c r="G22" s="3">
        <v>3</v>
      </c>
      <c r="H22" s="3">
        <v>1</v>
      </c>
      <c r="I22" s="3">
        <v>3.5</v>
      </c>
      <c r="J22" s="4" t="str">
        <f>HYPERLINK("http://141.218.60.56/~jnz1568/getInfo.php?workbook=27_11.xlsx&amp;sheet=E0&amp;row=22&amp;col=10&amp;number=3135800&amp;sourceID=14","3135800")</f>
        <v>3135800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2.7109375" customWidth="1"/>
    <col min="5" max="5" width="11.7109375" customWidth="1"/>
    <col min="6" max="6" width="14.7109375" customWidth="1"/>
    <col min="7" max="7" width="10.7109375" customWidth="1"/>
  </cols>
  <sheetData>
    <row r="1" spans="1:7">
      <c r="A1" s="1" t="s">
        <v>27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28</v>
      </c>
      <c r="D3" s="2" t="s">
        <v>4</v>
      </c>
      <c r="E3" s="2" t="s">
        <v>29</v>
      </c>
      <c r="F3" s="2" t="s">
        <v>30</v>
      </c>
      <c r="G3" s="2" t="s">
        <v>31</v>
      </c>
    </row>
    <row r="4" spans="1:7">
      <c r="A4" s="3">
        <v>27</v>
      </c>
      <c r="B4" s="3">
        <v>11</v>
      </c>
      <c r="C4" s="3">
        <v>2</v>
      </c>
      <c r="D4" s="3">
        <v>1</v>
      </c>
      <c r="E4" s="3">
        <v>339.495</v>
      </c>
      <c r="F4" s="4" t="str">
        <f>HYPERLINK("http://141.218.60.56/~jnz1568/getInfo.php?workbook=27_11.xlsx&amp;sheet=A0&amp;row=4&amp;col=6&amp;number=7505000000&amp;sourceID=14","7505000000")</f>
        <v>7505000000</v>
      </c>
      <c r="G4" s="4" t="str">
        <f>HYPERLINK("http://141.218.60.56/~jnz1568/getInfo.php?workbook=27_11.xlsx&amp;sheet=A0&amp;row=4&amp;col=7&amp;number=0&amp;sourceID=14","0")</f>
        <v>0</v>
      </c>
    </row>
    <row r="5" spans="1:7">
      <c r="A5" s="3">
        <v>27</v>
      </c>
      <c r="B5" s="3">
        <v>11</v>
      </c>
      <c r="C5" s="3">
        <v>3</v>
      </c>
      <c r="D5" s="3">
        <v>1</v>
      </c>
      <c r="E5" s="3">
        <v>312.543</v>
      </c>
      <c r="F5" s="4" t="str">
        <f>HYPERLINK("http://141.218.60.56/~jnz1568/getInfo.php?workbook=27_11.xlsx&amp;sheet=A0&amp;row=5&amp;col=6&amp;number=9501000000&amp;sourceID=14","9501000000")</f>
        <v>9501000000</v>
      </c>
      <c r="G5" s="4" t="str">
        <f>HYPERLINK("http://141.218.60.56/~jnz1568/getInfo.php?workbook=27_11.xlsx&amp;sheet=A0&amp;row=5&amp;col=7&amp;number=0&amp;sourceID=14","0")</f>
        <v>0</v>
      </c>
    </row>
    <row r="6" spans="1:7">
      <c r="A6" s="3">
        <v>27</v>
      </c>
      <c r="B6" s="3">
        <v>11</v>
      </c>
      <c r="C6" s="3">
        <v>7</v>
      </c>
      <c r="D6" s="3">
        <v>1</v>
      </c>
      <c r="E6" s="3">
        <v>45.527</v>
      </c>
      <c r="F6" s="4" t="str">
        <f>HYPERLINK("http://141.218.60.56/~jnz1568/getInfo.php?workbook=27_11.xlsx&amp;sheet=A0&amp;row=6&amp;col=6&amp;number=244300000000&amp;sourceID=14","244300000000")</f>
        <v>244300000000</v>
      </c>
      <c r="G6" s="4" t="str">
        <f>HYPERLINK("http://141.218.60.56/~jnz1568/getInfo.php?workbook=27_11.xlsx&amp;sheet=A0&amp;row=6&amp;col=7&amp;number=0&amp;sourceID=14","0")</f>
        <v>0</v>
      </c>
    </row>
    <row r="7" spans="1:7">
      <c r="A7" s="3">
        <v>27</v>
      </c>
      <c r="B7" s="3">
        <v>11</v>
      </c>
      <c r="C7" s="3">
        <v>8</v>
      </c>
      <c r="D7" s="3">
        <v>1</v>
      </c>
      <c r="E7" s="3">
        <v>45.319</v>
      </c>
      <c r="F7" s="4" t="str">
        <f>HYPERLINK("http://141.218.60.56/~jnz1568/getInfo.php?workbook=27_11.xlsx&amp;sheet=A0&amp;row=7&amp;col=6&amp;number=231000000000&amp;sourceID=14","231000000000")</f>
        <v>231000000000</v>
      </c>
      <c r="G7" s="4" t="str">
        <f>HYPERLINK("http://141.218.60.56/~jnz1568/getInfo.php?workbook=27_11.xlsx&amp;sheet=A0&amp;row=7&amp;col=7&amp;number=0&amp;sourceID=14","0")</f>
        <v>0</v>
      </c>
    </row>
    <row r="8" spans="1:7">
      <c r="A8" s="3">
        <v>27</v>
      </c>
      <c r="B8" s="3">
        <v>11</v>
      </c>
      <c r="C8" s="3">
        <v>14</v>
      </c>
      <c r="D8" s="3">
        <v>1</v>
      </c>
      <c r="E8" s="3">
        <v>33.046</v>
      </c>
      <c r="F8" s="4" t="str">
        <f>HYPERLINK("http://141.218.60.56/~jnz1568/getInfo.php?workbook=27_11.xlsx&amp;sheet=A0&amp;row=8&amp;col=6&amp;number=142600000000&amp;sourceID=14","142600000000")</f>
        <v>142600000000</v>
      </c>
      <c r="G8" s="4" t="str">
        <f>HYPERLINK("http://141.218.60.56/~jnz1568/getInfo.php?workbook=27_11.xlsx&amp;sheet=A0&amp;row=8&amp;col=7&amp;number=0&amp;sourceID=14","0")</f>
        <v>0</v>
      </c>
    </row>
    <row r="9" spans="1:7">
      <c r="A9" s="3">
        <v>27</v>
      </c>
      <c r="B9" s="3">
        <v>11</v>
      </c>
      <c r="C9" s="3">
        <v>15</v>
      </c>
      <c r="D9" s="3">
        <v>1</v>
      </c>
      <c r="E9" s="3">
        <v>32.995</v>
      </c>
      <c r="F9" s="4" t="str">
        <f>HYPERLINK("http://141.218.60.56/~jnz1568/getInfo.php?workbook=27_11.xlsx&amp;sheet=A0&amp;row=9&amp;col=6&amp;number=136300000000&amp;sourceID=14","136300000000")</f>
        <v>136300000000</v>
      </c>
      <c r="G9" s="4" t="str">
        <f>HYPERLINK("http://141.218.60.56/~jnz1568/getInfo.php?workbook=27_11.xlsx&amp;sheet=A0&amp;row=9&amp;col=7&amp;number=0&amp;sourceID=14","0")</f>
        <v>0</v>
      </c>
    </row>
    <row r="10" spans="1:7">
      <c r="A10" s="3">
        <v>27</v>
      </c>
      <c r="B10" s="3">
        <v>11</v>
      </c>
      <c r="C10" s="3">
        <v>4</v>
      </c>
      <c r="D10" s="3">
        <v>2</v>
      </c>
      <c r="E10" s="3">
        <v>234.925</v>
      </c>
      <c r="F10" s="4" t="str">
        <f>HYPERLINK("http://141.218.60.56/~jnz1568/getInfo.php?workbook=27_11.xlsx&amp;sheet=A0&amp;row=10&amp;col=6&amp;number=18560000000&amp;sourceID=14","18560000000")</f>
        <v>18560000000</v>
      </c>
      <c r="G10" s="4" t="str">
        <f>HYPERLINK("http://141.218.60.56/~jnz1568/getInfo.php?workbook=27_11.xlsx&amp;sheet=A0&amp;row=10&amp;col=7&amp;number=0&amp;sourceID=14","0")</f>
        <v>0</v>
      </c>
    </row>
    <row r="11" spans="1:7">
      <c r="A11" s="3">
        <v>27</v>
      </c>
      <c r="B11" s="3">
        <v>11</v>
      </c>
      <c r="C11" s="3">
        <v>6</v>
      </c>
      <c r="D11" s="3">
        <v>2</v>
      </c>
      <c r="E11" s="3">
        <v>56.023</v>
      </c>
      <c r="F11" s="4" t="str">
        <f>HYPERLINK("http://141.218.60.56/~jnz1568/getInfo.php?workbook=27_11.xlsx&amp;sheet=A0&amp;row=11&amp;col=6&amp;number=130100000000&amp;sourceID=14","130100000000")</f>
        <v>130100000000</v>
      </c>
      <c r="G11" s="4" t="str">
        <f>HYPERLINK("http://141.218.60.56/~jnz1568/getInfo.php?workbook=27_11.xlsx&amp;sheet=A0&amp;row=11&amp;col=7&amp;number=0&amp;sourceID=14","0")</f>
        <v>0</v>
      </c>
    </row>
    <row r="12" spans="1:7">
      <c r="A12" s="3">
        <v>27</v>
      </c>
      <c r="B12" s="3">
        <v>11</v>
      </c>
      <c r="C12" s="3">
        <v>9</v>
      </c>
      <c r="D12" s="3">
        <v>2</v>
      </c>
      <c r="E12" s="3">
        <v>48.564</v>
      </c>
      <c r="F12" s="4" t="str">
        <f>HYPERLINK("http://141.218.60.56/~jnz1568/getInfo.php?workbook=27_11.xlsx&amp;sheet=A0&amp;row=12&amp;col=6&amp;number=399700000000&amp;sourceID=14","399700000000")</f>
        <v>399700000000</v>
      </c>
      <c r="G12" s="4" t="str">
        <f>HYPERLINK("http://141.218.60.56/~jnz1568/getInfo.php?workbook=27_11.xlsx&amp;sheet=A0&amp;row=12&amp;col=7&amp;number=0&amp;sourceID=14","0")</f>
        <v>0</v>
      </c>
    </row>
    <row r="13" spans="1:7">
      <c r="A13" s="3">
        <v>27</v>
      </c>
      <c r="B13" s="3">
        <v>11</v>
      </c>
      <c r="C13" s="3">
        <v>13</v>
      </c>
      <c r="D13" s="3">
        <v>2</v>
      </c>
      <c r="E13" s="3">
        <v>37.409</v>
      </c>
      <c r="F13" s="4" t="str">
        <f>HYPERLINK("http://141.218.60.56/~jnz1568/getInfo.php?workbook=27_11.xlsx&amp;sheet=A0&amp;row=13&amp;col=6&amp;number=58660000000&amp;sourceID=14","58660000000")</f>
        <v>58660000000</v>
      </c>
      <c r="G13" s="4" t="str">
        <f>HYPERLINK("http://141.218.60.56/~jnz1568/getInfo.php?workbook=27_11.xlsx&amp;sheet=A0&amp;row=13&amp;col=7&amp;number=0&amp;sourceID=14","0")</f>
        <v>0</v>
      </c>
    </row>
    <row r="14" spans="1:7">
      <c r="A14" s="3">
        <v>27</v>
      </c>
      <c r="B14" s="3">
        <v>11</v>
      </c>
      <c r="C14" s="3">
        <v>16</v>
      </c>
      <c r="D14" s="3">
        <v>2</v>
      </c>
      <c r="E14" s="3">
        <v>35.617</v>
      </c>
      <c r="F14" s="4" t="str">
        <f>HYPERLINK("http://141.218.60.56/~jnz1568/getInfo.php?workbook=27_11.xlsx&amp;sheet=A0&amp;row=14&amp;col=6&amp;number=245900000000&amp;sourceID=14","245900000000")</f>
        <v>245900000000</v>
      </c>
      <c r="G14" s="4" t="str">
        <f>HYPERLINK("http://141.218.60.56/~jnz1568/getInfo.php?workbook=27_11.xlsx&amp;sheet=A0&amp;row=14&amp;col=7&amp;number=0&amp;sourceID=14","0")</f>
        <v>0</v>
      </c>
    </row>
    <row r="15" spans="1:7">
      <c r="A15" s="3">
        <v>27</v>
      </c>
      <c r="B15" s="3">
        <v>11</v>
      </c>
      <c r="C15" s="3">
        <v>4</v>
      </c>
      <c r="D15" s="3">
        <v>3</v>
      </c>
      <c r="E15" s="3">
        <v>249.834</v>
      </c>
      <c r="F15" s="4" t="str">
        <f>HYPERLINK("http://141.218.60.56/~jnz1568/getInfo.php?workbook=27_11.xlsx&amp;sheet=A0&amp;row=15&amp;col=6&amp;number=3137000000&amp;sourceID=14","3137000000")</f>
        <v>3137000000</v>
      </c>
      <c r="G15" s="4" t="str">
        <f>HYPERLINK("http://141.218.60.56/~jnz1568/getInfo.php?workbook=27_11.xlsx&amp;sheet=A0&amp;row=15&amp;col=7&amp;number=0&amp;sourceID=14","0")</f>
        <v>0</v>
      </c>
    </row>
    <row r="16" spans="1:7">
      <c r="A16" s="3">
        <v>27</v>
      </c>
      <c r="B16" s="3">
        <v>11</v>
      </c>
      <c r="C16" s="3">
        <v>5</v>
      </c>
      <c r="D16" s="3">
        <v>3</v>
      </c>
      <c r="E16" s="3">
        <v>247.541</v>
      </c>
      <c r="F16" s="4" t="str">
        <f>HYPERLINK("http://141.218.60.56/~jnz1568/getInfo.php?workbook=27_11.xlsx&amp;sheet=A0&amp;row=16&amp;col=6&amp;number=19350000000&amp;sourceID=14","19350000000")</f>
        <v>19350000000</v>
      </c>
      <c r="G16" s="4" t="str">
        <f>HYPERLINK("http://141.218.60.56/~jnz1568/getInfo.php?workbook=27_11.xlsx&amp;sheet=A0&amp;row=16&amp;col=7&amp;number=0&amp;sourceID=14","0")</f>
        <v>0</v>
      </c>
    </row>
    <row r="17" spans="1:7">
      <c r="A17" s="3">
        <v>27</v>
      </c>
      <c r="B17" s="3">
        <v>11</v>
      </c>
      <c r="C17" s="3">
        <v>6</v>
      </c>
      <c r="D17" s="3">
        <v>3</v>
      </c>
      <c r="E17" s="3">
        <v>56.831</v>
      </c>
      <c r="F17" s="4" t="str">
        <f>HYPERLINK("http://141.218.60.56/~jnz1568/getInfo.php?workbook=27_11.xlsx&amp;sheet=A0&amp;row=17&amp;col=6&amp;number=268700000000&amp;sourceID=14","268700000000")</f>
        <v>268700000000</v>
      </c>
      <c r="G17" s="4" t="str">
        <f>HYPERLINK("http://141.218.60.56/~jnz1568/getInfo.php?workbook=27_11.xlsx&amp;sheet=A0&amp;row=17&amp;col=7&amp;number=0&amp;sourceID=14","0")</f>
        <v>0</v>
      </c>
    </row>
    <row r="18" spans="1:7">
      <c r="A18" s="3">
        <v>27</v>
      </c>
      <c r="B18" s="3">
        <v>11</v>
      </c>
      <c r="C18" s="3">
        <v>9</v>
      </c>
      <c r="D18" s="3">
        <v>3</v>
      </c>
      <c r="E18" s="3">
        <v>49.171</v>
      </c>
      <c r="F18" s="4" t="str">
        <f>HYPERLINK("http://141.218.60.56/~jnz1568/getInfo.php?workbook=27_11.xlsx&amp;sheet=A0&amp;row=18&amp;col=6&amp;number=81660000000&amp;sourceID=14","81660000000")</f>
        <v>81660000000</v>
      </c>
      <c r="G18" s="4" t="str">
        <f>HYPERLINK("http://141.218.60.56/~jnz1568/getInfo.php?workbook=27_11.xlsx&amp;sheet=A0&amp;row=18&amp;col=7&amp;number=0&amp;sourceID=14","0")</f>
        <v>0</v>
      </c>
    </row>
    <row r="19" spans="1:7">
      <c r="A19" s="3">
        <v>27</v>
      </c>
      <c r="B19" s="3">
        <v>11</v>
      </c>
      <c r="C19" s="3">
        <v>10</v>
      </c>
      <c r="D19" s="3">
        <v>3</v>
      </c>
      <c r="E19" s="3">
        <v>49.133</v>
      </c>
      <c r="F19" s="4" t="str">
        <f>HYPERLINK("http://141.218.60.56/~jnz1568/getInfo.php?workbook=27_11.xlsx&amp;sheet=A0&amp;row=19&amp;col=6&amp;number=486500000000&amp;sourceID=14","486500000000")</f>
        <v>486500000000</v>
      </c>
      <c r="G19" s="4" t="str">
        <f>HYPERLINK("http://141.218.60.56/~jnz1568/getInfo.php?workbook=27_11.xlsx&amp;sheet=A0&amp;row=19&amp;col=7&amp;number=0&amp;sourceID=14","0")</f>
        <v>0</v>
      </c>
    </row>
    <row r="20" spans="1:7">
      <c r="A20" s="3">
        <v>27</v>
      </c>
      <c r="B20" s="3">
        <v>11</v>
      </c>
      <c r="C20" s="3">
        <v>13</v>
      </c>
      <c r="D20" s="3">
        <v>3</v>
      </c>
      <c r="E20" s="3">
        <v>37.768</v>
      </c>
      <c r="F20" s="4" t="str">
        <f>HYPERLINK("http://141.218.60.56/~jnz1568/getInfo.php?workbook=27_11.xlsx&amp;sheet=A0&amp;row=20&amp;col=6&amp;number=120500000000&amp;sourceID=14","120500000000")</f>
        <v>120500000000</v>
      </c>
      <c r="G20" s="4" t="str">
        <f>HYPERLINK("http://141.218.60.56/~jnz1568/getInfo.php?workbook=27_11.xlsx&amp;sheet=A0&amp;row=20&amp;col=7&amp;number=0&amp;sourceID=14","0")</f>
        <v>0</v>
      </c>
    </row>
    <row r="21" spans="1:7">
      <c r="A21" s="3">
        <v>27</v>
      </c>
      <c r="B21" s="3">
        <v>11</v>
      </c>
      <c r="C21" s="3">
        <v>16</v>
      </c>
      <c r="D21" s="3">
        <v>3</v>
      </c>
      <c r="E21" s="3">
        <v>35.942</v>
      </c>
      <c r="F21" s="4" t="str">
        <f>HYPERLINK("http://141.218.60.56/~jnz1568/getInfo.php?workbook=27_11.xlsx&amp;sheet=A0&amp;row=21&amp;col=6&amp;number=49730000000&amp;sourceID=14","49730000000")</f>
        <v>49730000000</v>
      </c>
      <c r="G21" s="4" t="str">
        <f>HYPERLINK("http://141.218.60.56/~jnz1568/getInfo.php?workbook=27_11.xlsx&amp;sheet=A0&amp;row=21&amp;col=7&amp;number=0&amp;sourceID=14","0")</f>
        <v>0</v>
      </c>
    </row>
    <row r="22" spans="1:7">
      <c r="A22" s="3">
        <v>27</v>
      </c>
      <c r="B22" s="3">
        <v>11</v>
      </c>
      <c r="C22" s="3">
        <v>17</v>
      </c>
      <c r="D22" s="3">
        <v>3</v>
      </c>
      <c r="E22" s="3">
        <v>35.932</v>
      </c>
      <c r="F22" s="4" t="str">
        <f>HYPERLINK("http://141.218.60.56/~jnz1568/getInfo.php?workbook=27_11.xlsx&amp;sheet=A0&amp;row=22&amp;col=6&amp;number=297300000000&amp;sourceID=14","297300000000")</f>
        <v>297300000000</v>
      </c>
      <c r="G22" s="4" t="str">
        <f>HYPERLINK("http://141.218.60.56/~jnz1568/getInfo.php?workbook=27_11.xlsx&amp;sheet=A0&amp;row=22&amp;col=7&amp;number=0&amp;sourceID=14","0")</f>
        <v>0</v>
      </c>
    </row>
    <row r="23" spans="1:7">
      <c r="A23" s="3">
        <v>27</v>
      </c>
      <c r="B23" s="3">
        <v>11</v>
      </c>
      <c r="C23" s="3">
        <v>7</v>
      </c>
      <c r="D23" s="3">
        <v>4</v>
      </c>
      <c r="E23" s="3">
        <v>67.738</v>
      </c>
      <c r="F23" s="4" t="str">
        <f>HYPERLINK("http://141.218.60.56/~jnz1568/getInfo.php?workbook=27_11.xlsx&amp;sheet=A0&amp;row=23&amp;col=6&amp;number=103400000000&amp;sourceID=14","103400000000")</f>
        <v>103400000000</v>
      </c>
      <c r="G23" s="4" t="str">
        <f>HYPERLINK("http://141.218.60.56/~jnz1568/getInfo.php?workbook=27_11.xlsx&amp;sheet=A0&amp;row=23&amp;col=7&amp;number=0&amp;sourceID=14","0")</f>
        <v>0</v>
      </c>
    </row>
    <row r="24" spans="1:7">
      <c r="A24" s="3">
        <v>27</v>
      </c>
      <c r="B24" s="3">
        <v>11</v>
      </c>
      <c r="C24" s="3">
        <v>8</v>
      </c>
      <c r="D24" s="3">
        <v>4</v>
      </c>
      <c r="E24" s="3">
        <v>67.279</v>
      </c>
      <c r="F24" s="4" t="str">
        <f>HYPERLINK("http://141.218.60.56/~jnz1568/getInfo.php?workbook=27_11.xlsx&amp;sheet=A0&amp;row=24&amp;col=6&amp;number=9942000000&amp;sourceID=14","9942000000")</f>
        <v>9942000000</v>
      </c>
      <c r="G24" s="4" t="str">
        <f>HYPERLINK("http://141.218.60.56/~jnz1568/getInfo.php?workbook=27_11.xlsx&amp;sheet=A0&amp;row=24&amp;col=7&amp;number=0&amp;sourceID=14","0")</f>
        <v>0</v>
      </c>
    </row>
    <row r="25" spans="1:7">
      <c r="A25" s="3">
        <v>27</v>
      </c>
      <c r="B25" s="3">
        <v>11</v>
      </c>
      <c r="C25" s="3">
        <v>11</v>
      </c>
      <c r="D25" s="3">
        <v>4</v>
      </c>
      <c r="E25" s="3">
        <v>58.842</v>
      </c>
      <c r="F25" s="4" t="str">
        <f>HYPERLINK("http://141.218.60.56/~jnz1568/getInfo.php?workbook=27_11.xlsx&amp;sheet=A0&amp;row=25&amp;col=6&amp;number=1139000000000&amp;sourceID=14","1139000000000")</f>
        <v>1139000000000</v>
      </c>
      <c r="G25" s="4" t="str">
        <f>HYPERLINK("http://141.218.60.56/~jnz1568/getInfo.php?workbook=27_11.xlsx&amp;sheet=A0&amp;row=25&amp;col=7&amp;number=0&amp;sourceID=14","0")</f>
        <v>0</v>
      </c>
    </row>
    <row r="26" spans="1:7">
      <c r="A26" s="3">
        <v>27</v>
      </c>
      <c r="B26" s="3">
        <v>11</v>
      </c>
      <c r="C26" s="3">
        <v>14</v>
      </c>
      <c r="D26" s="3">
        <v>4</v>
      </c>
      <c r="E26" s="3">
        <v>43.368</v>
      </c>
      <c r="F26" s="4" t="str">
        <f>HYPERLINK("http://141.218.60.56/~jnz1568/getInfo.php?workbook=27_11.xlsx&amp;sheet=A0&amp;row=26&amp;col=6&amp;number=40520000000&amp;sourceID=14","40520000000")</f>
        <v>40520000000</v>
      </c>
      <c r="G26" s="4" t="str">
        <f>HYPERLINK("http://141.218.60.56/~jnz1568/getInfo.php?workbook=27_11.xlsx&amp;sheet=A0&amp;row=26&amp;col=7&amp;number=0&amp;sourceID=14","0")</f>
        <v>0</v>
      </c>
    </row>
    <row r="27" spans="1:7">
      <c r="A27" s="3">
        <v>27</v>
      </c>
      <c r="B27" s="3">
        <v>11</v>
      </c>
      <c r="C27" s="3">
        <v>15</v>
      </c>
      <c r="D27" s="3">
        <v>4</v>
      </c>
      <c r="E27" s="3">
        <v>43.279</v>
      </c>
      <c r="F27" s="4" t="str">
        <f>HYPERLINK("http://141.218.60.56/~jnz1568/getInfo.php?workbook=27_11.xlsx&amp;sheet=A0&amp;row=27&amp;col=6&amp;number=3912000000&amp;sourceID=14","3912000000")</f>
        <v>3912000000</v>
      </c>
      <c r="G27" s="4" t="str">
        <f>HYPERLINK("http://141.218.60.56/~jnz1568/getInfo.php?workbook=27_11.xlsx&amp;sheet=A0&amp;row=27&amp;col=7&amp;number=0&amp;sourceID=14","0")</f>
        <v>0</v>
      </c>
    </row>
    <row r="28" spans="1:7">
      <c r="A28" s="3">
        <v>27</v>
      </c>
      <c r="B28" s="3">
        <v>11</v>
      </c>
      <c r="C28" s="3">
        <v>18</v>
      </c>
      <c r="D28" s="3">
        <v>4</v>
      </c>
      <c r="E28" s="3">
        <v>41.403</v>
      </c>
      <c r="F28" s="4" t="str">
        <f>HYPERLINK("http://141.218.60.56/~jnz1568/getInfo.php?workbook=27_11.xlsx&amp;sheet=A0&amp;row=28&amp;col=6&amp;number=446700000000&amp;sourceID=14","446700000000")</f>
        <v>446700000000</v>
      </c>
      <c r="G28" s="4" t="str">
        <f>HYPERLINK("http://141.218.60.56/~jnz1568/getInfo.php?workbook=27_11.xlsx&amp;sheet=A0&amp;row=28&amp;col=7&amp;number=0&amp;sourceID=14","0")</f>
        <v>0</v>
      </c>
    </row>
    <row r="29" spans="1:7">
      <c r="A29" s="3">
        <v>27</v>
      </c>
      <c r="B29" s="3">
        <v>11</v>
      </c>
      <c r="C29" s="3">
        <v>8</v>
      </c>
      <c r="D29" s="3">
        <v>5</v>
      </c>
      <c r="E29" s="3">
        <v>67.447</v>
      </c>
      <c r="F29" s="4" t="str">
        <f>HYPERLINK("http://141.218.60.56/~jnz1568/getInfo.php?workbook=27_11.xlsx&amp;sheet=A0&amp;row=29&amp;col=6&amp;number=90150000000&amp;sourceID=14","90150000000")</f>
        <v>90150000000</v>
      </c>
      <c r="G29" s="4" t="str">
        <f>HYPERLINK("http://141.218.60.56/~jnz1568/getInfo.php?workbook=27_11.xlsx&amp;sheet=A0&amp;row=29&amp;col=7&amp;number=0&amp;sourceID=14","0")</f>
        <v>0</v>
      </c>
    </row>
    <row r="30" spans="1:7">
      <c r="A30" s="3">
        <v>27</v>
      </c>
      <c r="B30" s="3">
        <v>11</v>
      </c>
      <c r="C30" s="3">
        <v>11</v>
      </c>
      <c r="D30" s="3">
        <v>5</v>
      </c>
      <c r="E30" s="3">
        <v>58.971</v>
      </c>
      <c r="F30" s="4" t="str">
        <f>HYPERLINK("http://141.218.60.56/~jnz1568/getInfo.php?workbook=27_11.xlsx&amp;sheet=A0&amp;row=30&amp;col=6&amp;number=81140000000&amp;sourceID=14","81140000000")</f>
        <v>81140000000</v>
      </c>
      <c r="G30" s="4" t="str">
        <f>HYPERLINK("http://141.218.60.56/~jnz1568/getInfo.php?workbook=27_11.xlsx&amp;sheet=A0&amp;row=30&amp;col=7&amp;number=0&amp;sourceID=14","0")</f>
        <v>0</v>
      </c>
    </row>
    <row r="31" spans="1:7">
      <c r="A31" s="3">
        <v>27</v>
      </c>
      <c r="B31" s="3">
        <v>11</v>
      </c>
      <c r="C31" s="3">
        <v>12</v>
      </c>
      <c r="D31" s="3">
        <v>5</v>
      </c>
      <c r="E31" s="3">
        <v>58.948</v>
      </c>
      <c r="F31" s="4" t="str">
        <f>HYPERLINK("http://141.218.60.56/~jnz1568/getInfo.php?workbook=27_11.xlsx&amp;sheet=A0&amp;row=31&amp;col=6&amp;number=1219000000000&amp;sourceID=14","1219000000000")</f>
        <v>1219000000000</v>
      </c>
      <c r="G31" s="4" t="str">
        <f>HYPERLINK("http://141.218.60.56/~jnz1568/getInfo.php?workbook=27_11.xlsx&amp;sheet=A0&amp;row=31&amp;col=7&amp;number=0&amp;sourceID=14","0")</f>
        <v>0</v>
      </c>
    </row>
    <row r="32" spans="1:7">
      <c r="A32" s="3">
        <v>27</v>
      </c>
      <c r="B32" s="3">
        <v>11</v>
      </c>
      <c r="C32" s="3">
        <v>15</v>
      </c>
      <c r="D32" s="3">
        <v>5</v>
      </c>
      <c r="E32" s="3">
        <v>43.349</v>
      </c>
      <c r="F32" s="4" t="str">
        <f>HYPERLINK("http://141.218.60.56/~jnz1568/getInfo.php?workbook=27_11.xlsx&amp;sheet=A0&amp;row=32&amp;col=6&amp;number=35430000000&amp;sourceID=14","35430000000")</f>
        <v>35430000000</v>
      </c>
      <c r="G32" s="4" t="str">
        <f>HYPERLINK("http://141.218.60.56/~jnz1568/getInfo.php?workbook=27_11.xlsx&amp;sheet=A0&amp;row=32&amp;col=7&amp;number=0&amp;sourceID=14","0")</f>
        <v>0</v>
      </c>
    </row>
    <row r="33" spans="1:7">
      <c r="A33" s="3">
        <v>27</v>
      </c>
      <c r="B33" s="3">
        <v>11</v>
      </c>
      <c r="C33" s="3">
        <v>18</v>
      </c>
      <c r="D33" s="3">
        <v>5</v>
      </c>
      <c r="E33" s="3">
        <v>41.467</v>
      </c>
      <c r="F33" s="4" t="str">
        <f>HYPERLINK("http://141.218.60.56/~jnz1568/getInfo.php?workbook=27_11.xlsx&amp;sheet=A0&amp;row=33&amp;col=6&amp;number=31730000000&amp;sourceID=14","31730000000")</f>
        <v>31730000000</v>
      </c>
      <c r="G33" s="4" t="str">
        <f>HYPERLINK("http://141.218.60.56/~jnz1568/getInfo.php?workbook=27_11.xlsx&amp;sheet=A0&amp;row=33&amp;col=7&amp;number=0&amp;sourceID=14","0")</f>
        <v>0</v>
      </c>
    </row>
    <row r="34" spans="1:7">
      <c r="A34" s="3">
        <v>27</v>
      </c>
      <c r="B34" s="3">
        <v>11</v>
      </c>
      <c r="C34" s="3">
        <v>19</v>
      </c>
      <c r="D34" s="3">
        <v>5</v>
      </c>
      <c r="E34" s="3">
        <v>41.462</v>
      </c>
      <c r="F34" s="4" t="str">
        <f>HYPERLINK("http://141.218.60.56/~jnz1568/getInfo.php?workbook=27_11.xlsx&amp;sheet=A0&amp;row=34&amp;col=6&amp;number=477500000000&amp;sourceID=14","477500000000")</f>
        <v>477500000000</v>
      </c>
      <c r="G34" s="4" t="str">
        <f>HYPERLINK("http://141.218.60.56/~jnz1568/getInfo.php?workbook=27_11.xlsx&amp;sheet=A0&amp;row=34&amp;col=7&amp;number=0&amp;sourceID=14","0")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8.7109375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28</v>
      </c>
      <c r="D3" s="2" t="s">
        <v>4</v>
      </c>
      <c r="E3" s="2" t="s">
        <v>33</v>
      </c>
      <c r="F3" s="2" t="s">
        <v>34</v>
      </c>
      <c r="G3" s="2" t="s">
        <v>35</v>
      </c>
    </row>
    <row r="4" spans="1:7">
      <c r="A4" s="3">
        <v>27</v>
      </c>
      <c r="B4" s="3">
        <v>11</v>
      </c>
      <c r="C4" s="3">
        <v>1</v>
      </c>
      <c r="D4" s="3">
        <v>2</v>
      </c>
      <c r="E4" s="3">
        <v>1</v>
      </c>
      <c r="F4" s="4" t="str">
        <f>HYPERLINK("http://141.218.60.56/~jnz1568/getInfo.php?workbook=27_11.xlsx&amp;sheet=U0&amp;row=4&amp;col=6&amp;number=3&amp;sourceID=14","3")</f>
        <v>3</v>
      </c>
      <c r="G4" s="4" t="str">
        <f>HYPERLINK("http://141.218.60.56/~jnz1568/getInfo.php?workbook=27_11.xlsx&amp;sheet=U0&amp;row=4&amp;col=7&amp;number=1.04&amp;sourceID=14","1.04")</f>
        <v>1.04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HYPERLINK("http://141.218.60.56/~jnz1568/getInfo.php?workbook=27_11.xlsx&amp;sheet=U0&amp;row=5&amp;col=6&amp;number=3.1&amp;sourceID=14","3.1")</f>
        <v>3.1</v>
      </c>
      <c r="G5" s="4" t="str">
        <f>HYPERLINK("http://141.218.60.56/~jnz1568/getInfo.php?workbook=27_11.xlsx&amp;sheet=U0&amp;row=5&amp;col=7&amp;number=1.04&amp;sourceID=14","1.04")</f>
        <v>1.04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HYPERLINK("http://141.218.60.56/~jnz1568/getInfo.php?workbook=27_11.xlsx&amp;sheet=U0&amp;row=6&amp;col=6&amp;number=3.2&amp;sourceID=14","3.2")</f>
        <v>3.2</v>
      </c>
      <c r="G6" s="4" t="str">
        <f>HYPERLINK("http://141.218.60.56/~jnz1568/getInfo.php?workbook=27_11.xlsx&amp;sheet=U0&amp;row=6&amp;col=7&amp;number=1.04&amp;sourceID=14","1.04")</f>
        <v>1.04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HYPERLINK("http://141.218.60.56/~jnz1568/getInfo.php?workbook=27_11.xlsx&amp;sheet=U0&amp;row=7&amp;col=6&amp;number=3.3&amp;sourceID=14","3.3")</f>
        <v>3.3</v>
      </c>
      <c r="G7" s="4" t="str">
        <f>HYPERLINK("http://141.218.60.56/~jnz1568/getInfo.php?workbook=27_11.xlsx&amp;sheet=U0&amp;row=7&amp;col=7&amp;number=1.04&amp;sourceID=14","1.04")</f>
        <v>1.04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HYPERLINK("http://141.218.60.56/~jnz1568/getInfo.php?workbook=27_11.xlsx&amp;sheet=U0&amp;row=8&amp;col=6&amp;number=3.4&amp;sourceID=14","3.4")</f>
        <v>3.4</v>
      </c>
      <c r="G8" s="4" t="str">
        <f>HYPERLINK("http://141.218.60.56/~jnz1568/getInfo.php?workbook=27_11.xlsx&amp;sheet=U0&amp;row=8&amp;col=7&amp;number=1.04&amp;sourceID=14","1.04")</f>
        <v>1.04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HYPERLINK("http://141.218.60.56/~jnz1568/getInfo.php?workbook=27_11.xlsx&amp;sheet=U0&amp;row=9&amp;col=6&amp;number=3.5&amp;sourceID=14","3.5")</f>
        <v>3.5</v>
      </c>
      <c r="G9" s="4" t="str">
        <f>HYPERLINK("http://141.218.60.56/~jnz1568/getInfo.php?workbook=27_11.xlsx&amp;sheet=U0&amp;row=9&amp;col=7&amp;number=1.04&amp;sourceID=14","1.04")</f>
        <v>1.04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HYPERLINK("http://141.218.60.56/~jnz1568/getInfo.php?workbook=27_11.xlsx&amp;sheet=U0&amp;row=10&amp;col=6&amp;number=3.6&amp;sourceID=14","3.6")</f>
        <v>3.6</v>
      </c>
      <c r="G10" s="4" t="str">
        <f>HYPERLINK("http://141.218.60.56/~jnz1568/getInfo.php?workbook=27_11.xlsx&amp;sheet=U0&amp;row=10&amp;col=7&amp;number=1.05&amp;sourceID=14","1.05")</f>
        <v>1.05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HYPERLINK("http://141.218.60.56/~jnz1568/getInfo.php?workbook=27_11.xlsx&amp;sheet=U0&amp;row=11&amp;col=6&amp;number=3.7&amp;sourceID=14","3.7")</f>
        <v>3.7</v>
      </c>
      <c r="G11" s="4" t="str">
        <f>HYPERLINK("http://141.218.60.56/~jnz1568/getInfo.php?workbook=27_11.xlsx&amp;sheet=U0&amp;row=11&amp;col=7&amp;number=1.05&amp;sourceID=14","1.05")</f>
        <v>1.05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HYPERLINK("http://141.218.60.56/~jnz1568/getInfo.php?workbook=27_11.xlsx&amp;sheet=U0&amp;row=12&amp;col=6&amp;number=3.8&amp;sourceID=14","3.8")</f>
        <v>3.8</v>
      </c>
      <c r="G12" s="4" t="str">
        <f>HYPERLINK("http://141.218.60.56/~jnz1568/getInfo.php?workbook=27_11.xlsx&amp;sheet=U0&amp;row=12&amp;col=7&amp;number=1.05&amp;sourceID=14","1.05")</f>
        <v>1.05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HYPERLINK("http://141.218.60.56/~jnz1568/getInfo.php?workbook=27_11.xlsx&amp;sheet=U0&amp;row=13&amp;col=6&amp;number=3.9&amp;sourceID=14","3.9")</f>
        <v>3.9</v>
      </c>
      <c r="G13" s="4" t="str">
        <f>HYPERLINK("http://141.218.60.56/~jnz1568/getInfo.php?workbook=27_11.xlsx&amp;sheet=U0&amp;row=13&amp;col=7&amp;number=1.05&amp;sourceID=14","1.05")</f>
        <v>1.05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HYPERLINK("http://141.218.60.56/~jnz1568/getInfo.php?workbook=27_11.xlsx&amp;sheet=U0&amp;row=14&amp;col=6&amp;number=4&amp;sourceID=14","4")</f>
        <v>4</v>
      </c>
      <c r="G14" s="4" t="str">
        <f>HYPERLINK("http://141.218.60.56/~jnz1568/getInfo.php?workbook=27_11.xlsx&amp;sheet=U0&amp;row=14&amp;col=7&amp;number=1.05&amp;sourceID=14","1.05")</f>
        <v>1.05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HYPERLINK("http://141.218.60.56/~jnz1568/getInfo.php?workbook=27_11.xlsx&amp;sheet=U0&amp;row=15&amp;col=6&amp;number=4.1&amp;sourceID=14","4.1")</f>
        <v>4.1</v>
      </c>
      <c r="G15" s="4" t="str">
        <f>HYPERLINK("http://141.218.60.56/~jnz1568/getInfo.php?workbook=27_11.xlsx&amp;sheet=U0&amp;row=15&amp;col=7&amp;number=1.05&amp;sourceID=14","1.05")</f>
        <v>1.05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HYPERLINK("http://141.218.60.56/~jnz1568/getInfo.php?workbook=27_11.xlsx&amp;sheet=U0&amp;row=16&amp;col=6&amp;number=4.2&amp;sourceID=14","4.2")</f>
        <v>4.2</v>
      </c>
      <c r="G16" s="4" t="str">
        <f>HYPERLINK("http://141.218.60.56/~jnz1568/getInfo.php?workbook=27_11.xlsx&amp;sheet=U0&amp;row=16&amp;col=7&amp;number=1.05&amp;sourceID=14","1.05")</f>
        <v>1.05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HYPERLINK("http://141.218.60.56/~jnz1568/getInfo.php?workbook=27_11.xlsx&amp;sheet=U0&amp;row=17&amp;col=6&amp;number=4.3&amp;sourceID=14","4.3")</f>
        <v>4.3</v>
      </c>
      <c r="G17" s="4" t="str">
        <f>HYPERLINK("http://141.218.60.56/~jnz1568/getInfo.php?workbook=27_11.xlsx&amp;sheet=U0&amp;row=17&amp;col=7&amp;number=1.05&amp;sourceID=14","1.05")</f>
        <v>1.05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HYPERLINK("http://141.218.60.56/~jnz1568/getInfo.php?workbook=27_11.xlsx&amp;sheet=U0&amp;row=18&amp;col=6&amp;number=4.4&amp;sourceID=14","4.4")</f>
        <v>4.4</v>
      </c>
      <c r="G18" s="4" t="str">
        <f>HYPERLINK("http://141.218.60.56/~jnz1568/getInfo.php?workbook=27_11.xlsx&amp;sheet=U0&amp;row=18&amp;col=7&amp;number=1.05&amp;sourceID=14","1.05")</f>
        <v>1.05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HYPERLINK("http://141.218.60.56/~jnz1568/getInfo.php?workbook=27_11.xlsx&amp;sheet=U0&amp;row=19&amp;col=6&amp;number=4.5&amp;sourceID=14","4.5")</f>
        <v>4.5</v>
      </c>
      <c r="G19" s="4" t="str">
        <f>HYPERLINK("http://141.218.60.56/~jnz1568/getInfo.php?workbook=27_11.xlsx&amp;sheet=U0&amp;row=19&amp;col=7&amp;number=1.05&amp;sourceID=14","1.05")</f>
        <v>1.05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HYPERLINK("http://141.218.60.56/~jnz1568/getInfo.php?workbook=27_11.xlsx&amp;sheet=U0&amp;row=20&amp;col=6&amp;number=4.6&amp;sourceID=14","4.6")</f>
        <v>4.6</v>
      </c>
      <c r="G20" s="4" t="str">
        <f>HYPERLINK("http://141.218.60.56/~jnz1568/getInfo.php?workbook=27_11.xlsx&amp;sheet=U0&amp;row=20&amp;col=7&amp;number=1.05&amp;sourceID=14","1.05")</f>
        <v>1.05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HYPERLINK("http://141.218.60.56/~jnz1568/getInfo.php?workbook=27_11.xlsx&amp;sheet=U0&amp;row=21&amp;col=6&amp;number=4.7&amp;sourceID=14","4.7")</f>
        <v>4.7</v>
      </c>
      <c r="G21" s="4" t="str">
        <f>HYPERLINK("http://141.218.60.56/~jnz1568/getInfo.php?workbook=27_11.xlsx&amp;sheet=U0&amp;row=21&amp;col=7&amp;number=1.06&amp;sourceID=14","1.06")</f>
        <v>1.06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HYPERLINK("http://141.218.60.56/~jnz1568/getInfo.php?workbook=27_11.xlsx&amp;sheet=U0&amp;row=22&amp;col=6&amp;number=4.8&amp;sourceID=14","4.8")</f>
        <v>4.8</v>
      </c>
      <c r="G22" s="4" t="str">
        <f>HYPERLINK("http://141.218.60.56/~jnz1568/getInfo.php?workbook=27_11.xlsx&amp;sheet=U0&amp;row=22&amp;col=7&amp;number=1.06&amp;sourceID=14","1.06")</f>
        <v>1.06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HYPERLINK("http://141.218.60.56/~jnz1568/getInfo.php?workbook=27_11.xlsx&amp;sheet=U0&amp;row=23&amp;col=6&amp;number=4.9&amp;sourceID=14","4.9")</f>
        <v>4.9</v>
      </c>
      <c r="G23" s="4" t="str">
        <f>HYPERLINK("http://141.218.60.56/~jnz1568/getInfo.php?workbook=27_11.xlsx&amp;sheet=U0&amp;row=23&amp;col=7&amp;number=1.06&amp;sourceID=14","1.06")</f>
        <v>1.06</v>
      </c>
    </row>
    <row r="24" spans="1:7">
      <c r="A24" s="3">
        <v>27</v>
      </c>
      <c r="B24" s="3">
        <v>11</v>
      </c>
      <c r="C24" s="3">
        <v>1</v>
      </c>
      <c r="D24" s="3">
        <v>3</v>
      </c>
      <c r="E24" s="3">
        <v>1</v>
      </c>
      <c r="F24" s="4" t="str">
        <f>HYPERLINK("http://141.218.60.56/~jnz1568/getInfo.php?workbook=27_11.xlsx&amp;sheet=U0&amp;row=24&amp;col=6&amp;number=3&amp;sourceID=14","3")</f>
        <v>3</v>
      </c>
      <c r="G24" s="4" t="str">
        <f>HYPERLINK("http://141.218.60.56/~jnz1568/getInfo.php?workbook=27_11.xlsx&amp;sheet=U0&amp;row=24&amp;col=7&amp;number=2.05&amp;sourceID=14","2.05")</f>
        <v>2.05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HYPERLINK("http://141.218.60.56/~jnz1568/getInfo.php?workbook=27_11.xlsx&amp;sheet=U0&amp;row=25&amp;col=6&amp;number=3.1&amp;sourceID=14","3.1")</f>
        <v>3.1</v>
      </c>
      <c r="G25" s="4" t="str">
        <f>HYPERLINK("http://141.218.60.56/~jnz1568/getInfo.php?workbook=27_11.xlsx&amp;sheet=U0&amp;row=25&amp;col=7&amp;number=2.05&amp;sourceID=14","2.05")</f>
        <v>2.05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HYPERLINK("http://141.218.60.56/~jnz1568/getInfo.php?workbook=27_11.xlsx&amp;sheet=U0&amp;row=26&amp;col=6&amp;number=3.2&amp;sourceID=14","3.2")</f>
        <v>3.2</v>
      </c>
      <c r="G26" s="4" t="str">
        <f>HYPERLINK("http://141.218.60.56/~jnz1568/getInfo.php?workbook=27_11.xlsx&amp;sheet=U0&amp;row=26&amp;col=7&amp;number=2.05&amp;sourceID=14","2.05")</f>
        <v>2.05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HYPERLINK("http://141.218.60.56/~jnz1568/getInfo.php?workbook=27_11.xlsx&amp;sheet=U0&amp;row=27&amp;col=6&amp;number=3.3&amp;sourceID=14","3.3")</f>
        <v>3.3</v>
      </c>
      <c r="G27" s="4" t="str">
        <f>HYPERLINK("http://141.218.60.56/~jnz1568/getInfo.php?workbook=27_11.xlsx&amp;sheet=U0&amp;row=27&amp;col=7&amp;number=2.05&amp;sourceID=14","2.05")</f>
        <v>2.05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HYPERLINK("http://141.218.60.56/~jnz1568/getInfo.php?workbook=27_11.xlsx&amp;sheet=U0&amp;row=28&amp;col=6&amp;number=3.4&amp;sourceID=14","3.4")</f>
        <v>3.4</v>
      </c>
      <c r="G28" s="4" t="str">
        <f>HYPERLINK("http://141.218.60.56/~jnz1568/getInfo.php?workbook=27_11.xlsx&amp;sheet=U0&amp;row=28&amp;col=7&amp;number=2.05&amp;sourceID=14","2.05")</f>
        <v>2.05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HYPERLINK("http://141.218.60.56/~jnz1568/getInfo.php?workbook=27_11.xlsx&amp;sheet=U0&amp;row=29&amp;col=6&amp;number=3.5&amp;sourceID=14","3.5")</f>
        <v>3.5</v>
      </c>
      <c r="G29" s="4" t="str">
        <f>HYPERLINK("http://141.218.60.56/~jnz1568/getInfo.php?workbook=27_11.xlsx&amp;sheet=U0&amp;row=29&amp;col=7&amp;number=2.05&amp;sourceID=14","2.05")</f>
        <v>2.05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HYPERLINK("http://141.218.60.56/~jnz1568/getInfo.php?workbook=27_11.xlsx&amp;sheet=U0&amp;row=30&amp;col=6&amp;number=3.6&amp;sourceID=14","3.6")</f>
        <v>3.6</v>
      </c>
      <c r="G30" s="4" t="str">
        <f>HYPERLINK("http://141.218.60.56/~jnz1568/getInfo.php?workbook=27_11.xlsx&amp;sheet=U0&amp;row=30&amp;col=7&amp;number=2.05&amp;sourceID=14","2.05")</f>
        <v>2.05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HYPERLINK("http://141.218.60.56/~jnz1568/getInfo.php?workbook=27_11.xlsx&amp;sheet=U0&amp;row=31&amp;col=6&amp;number=3.7&amp;sourceID=14","3.7")</f>
        <v>3.7</v>
      </c>
      <c r="G31" s="4" t="str">
        <f>HYPERLINK("http://141.218.60.56/~jnz1568/getInfo.php?workbook=27_11.xlsx&amp;sheet=U0&amp;row=31&amp;col=7&amp;number=2.05&amp;sourceID=14","2.05")</f>
        <v>2.05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HYPERLINK("http://141.218.60.56/~jnz1568/getInfo.php?workbook=27_11.xlsx&amp;sheet=U0&amp;row=32&amp;col=6&amp;number=3.8&amp;sourceID=14","3.8")</f>
        <v>3.8</v>
      </c>
      <c r="G32" s="4" t="str">
        <f>HYPERLINK("http://141.218.60.56/~jnz1568/getInfo.php?workbook=27_11.xlsx&amp;sheet=U0&amp;row=32&amp;col=7&amp;number=2.05&amp;sourceID=14","2.05")</f>
        <v>2.05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HYPERLINK("http://141.218.60.56/~jnz1568/getInfo.php?workbook=27_11.xlsx&amp;sheet=U0&amp;row=33&amp;col=6&amp;number=3.9&amp;sourceID=14","3.9")</f>
        <v>3.9</v>
      </c>
      <c r="G33" s="4" t="str">
        <f>HYPERLINK("http://141.218.60.56/~jnz1568/getInfo.php?workbook=27_11.xlsx&amp;sheet=U0&amp;row=33&amp;col=7&amp;number=2.05&amp;sourceID=14","2.05")</f>
        <v>2.05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HYPERLINK("http://141.218.60.56/~jnz1568/getInfo.php?workbook=27_11.xlsx&amp;sheet=U0&amp;row=34&amp;col=6&amp;number=4&amp;sourceID=14","4")</f>
        <v>4</v>
      </c>
      <c r="G34" s="4" t="str">
        <f>HYPERLINK("http://141.218.60.56/~jnz1568/getInfo.php?workbook=27_11.xlsx&amp;sheet=U0&amp;row=34&amp;col=7&amp;number=2.06&amp;sourceID=14","2.06")</f>
        <v>2.06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HYPERLINK("http://141.218.60.56/~jnz1568/getInfo.php?workbook=27_11.xlsx&amp;sheet=U0&amp;row=35&amp;col=6&amp;number=4.1&amp;sourceID=14","4.1")</f>
        <v>4.1</v>
      </c>
      <c r="G35" s="4" t="str">
        <f>HYPERLINK("http://141.218.60.56/~jnz1568/getInfo.php?workbook=27_11.xlsx&amp;sheet=U0&amp;row=35&amp;col=7&amp;number=2.06&amp;sourceID=14","2.06")</f>
        <v>2.06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HYPERLINK("http://141.218.60.56/~jnz1568/getInfo.php?workbook=27_11.xlsx&amp;sheet=U0&amp;row=36&amp;col=6&amp;number=4.2&amp;sourceID=14","4.2")</f>
        <v>4.2</v>
      </c>
      <c r="G36" s="4" t="str">
        <f>HYPERLINK("http://141.218.60.56/~jnz1568/getInfo.php?workbook=27_11.xlsx&amp;sheet=U0&amp;row=36&amp;col=7&amp;number=2.06&amp;sourceID=14","2.06")</f>
        <v>2.06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HYPERLINK("http://141.218.60.56/~jnz1568/getInfo.php?workbook=27_11.xlsx&amp;sheet=U0&amp;row=37&amp;col=6&amp;number=4.3&amp;sourceID=14","4.3")</f>
        <v>4.3</v>
      </c>
      <c r="G37" s="4" t="str">
        <f>HYPERLINK("http://141.218.60.56/~jnz1568/getInfo.php?workbook=27_11.xlsx&amp;sheet=U0&amp;row=37&amp;col=7&amp;number=2.06&amp;sourceID=14","2.06")</f>
        <v>2.06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HYPERLINK("http://141.218.60.56/~jnz1568/getInfo.php?workbook=27_11.xlsx&amp;sheet=U0&amp;row=38&amp;col=6&amp;number=4.4&amp;sourceID=14","4.4")</f>
        <v>4.4</v>
      </c>
      <c r="G38" s="4" t="str">
        <f>HYPERLINK("http://141.218.60.56/~jnz1568/getInfo.php?workbook=27_11.xlsx&amp;sheet=U0&amp;row=38&amp;col=7&amp;number=2.06&amp;sourceID=14","2.06")</f>
        <v>2.06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HYPERLINK("http://141.218.60.56/~jnz1568/getInfo.php?workbook=27_11.xlsx&amp;sheet=U0&amp;row=39&amp;col=6&amp;number=4.5&amp;sourceID=14","4.5")</f>
        <v>4.5</v>
      </c>
      <c r="G39" s="4" t="str">
        <f>HYPERLINK("http://141.218.60.56/~jnz1568/getInfo.php?workbook=27_11.xlsx&amp;sheet=U0&amp;row=39&amp;col=7&amp;number=2.07&amp;sourceID=14","2.07")</f>
        <v>2.07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HYPERLINK("http://141.218.60.56/~jnz1568/getInfo.php?workbook=27_11.xlsx&amp;sheet=U0&amp;row=40&amp;col=6&amp;number=4.6&amp;sourceID=14","4.6")</f>
        <v>4.6</v>
      </c>
      <c r="G40" s="4" t="str">
        <f>HYPERLINK("http://141.218.60.56/~jnz1568/getInfo.php?workbook=27_11.xlsx&amp;sheet=U0&amp;row=40&amp;col=7&amp;number=2.07&amp;sourceID=14","2.07")</f>
        <v>2.07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HYPERLINK("http://141.218.60.56/~jnz1568/getInfo.php?workbook=27_11.xlsx&amp;sheet=U0&amp;row=41&amp;col=6&amp;number=4.7&amp;sourceID=14","4.7")</f>
        <v>4.7</v>
      </c>
      <c r="G41" s="4" t="str">
        <f>HYPERLINK("http://141.218.60.56/~jnz1568/getInfo.php?workbook=27_11.xlsx&amp;sheet=U0&amp;row=41&amp;col=7&amp;number=2.07&amp;sourceID=14","2.07")</f>
        <v>2.07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HYPERLINK("http://141.218.60.56/~jnz1568/getInfo.php?workbook=27_11.xlsx&amp;sheet=U0&amp;row=42&amp;col=6&amp;number=4.8&amp;sourceID=14","4.8")</f>
        <v>4.8</v>
      </c>
      <c r="G42" s="4" t="str">
        <f>HYPERLINK("http://141.218.60.56/~jnz1568/getInfo.php?workbook=27_11.xlsx&amp;sheet=U0&amp;row=42&amp;col=7&amp;number=2.08&amp;sourceID=14","2.08")</f>
        <v>2.08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HYPERLINK("http://141.218.60.56/~jnz1568/getInfo.php?workbook=27_11.xlsx&amp;sheet=U0&amp;row=43&amp;col=6&amp;number=4.9&amp;sourceID=14","4.9")</f>
        <v>4.9</v>
      </c>
      <c r="G43" s="4" t="str">
        <f>HYPERLINK("http://141.218.60.56/~jnz1568/getInfo.php?workbook=27_11.xlsx&amp;sheet=U0&amp;row=43&amp;col=7&amp;number=2.09&amp;sourceID=14","2.09")</f>
        <v>2.09</v>
      </c>
    </row>
    <row r="44" spans="1:7">
      <c r="A44" s="3">
        <v>27</v>
      </c>
      <c r="B44" s="3">
        <v>11</v>
      </c>
      <c r="C44" s="3">
        <v>1</v>
      </c>
      <c r="D44" s="3">
        <v>4</v>
      </c>
      <c r="E44" s="3">
        <v>1</v>
      </c>
      <c r="F44" s="4" t="str">
        <f>HYPERLINK("http://141.218.60.56/~jnz1568/getInfo.php?workbook=27_11.xlsx&amp;sheet=U0&amp;row=44&amp;col=6&amp;number=3&amp;sourceID=14","3")</f>
        <v>3</v>
      </c>
      <c r="G44" s="4" t="str">
        <f>HYPERLINK("http://141.218.60.56/~jnz1568/getInfo.php?workbook=27_11.xlsx&amp;sheet=U0&amp;row=44&amp;col=7&amp;number=0.108&amp;sourceID=14","0.108")</f>
        <v>0.108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HYPERLINK("http://141.218.60.56/~jnz1568/getInfo.php?workbook=27_11.xlsx&amp;sheet=U0&amp;row=45&amp;col=6&amp;number=3.1&amp;sourceID=14","3.1")</f>
        <v>3.1</v>
      </c>
      <c r="G45" s="4" t="str">
        <f>HYPERLINK("http://141.218.60.56/~jnz1568/getInfo.php?workbook=27_11.xlsx&amp;sheet=U0&amp;row=45&amp;col=7&amp;number=0.108&amp;sourceID=14","0.108")</f>
        <v>0.108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HYPERLINK("http://141.218.60.56/~jnz1568/getInfo.php?workbook=27_11.xlsx&amp;sheet=U0&amp;row=46&amp;col=6&amp;number=3.2&amp;sourceID=14","3.2")</f>
        <v>3.2</v>
      </c>
      <c r="G46" s="4" t="str">
        <f>HYPERLINK("http://141.218.60.56/~jnz1568/getInfo.php?workbook=27_11.xlsx&amp;sheet=U0&amp;row=46&amp;col=7&amp;number=0.108&amp;sourceID=14","0.108")</f>
        <v>0.108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HYPERLINK("http://141.218.60.56/~jnz1568/getInfo.php?workbook=27_11.xlsx&amp;sheet=U0&amp;row=47&amp;col=6&amp;number=3.3&amp;sourceID=14","3.3")</f>
        <v>3.3</v>
      </c>
      <c r="G47" s="4" t="str">
        <f>HYPERLINK("http://141.218.60.56/~jnz1568/getInfo.php?workbook=27_11.xlsx&amp;sheet=U0&amp;row=47&amp;col=7&amp;number=0.108&amp;sourceID=14","0.108")</f>
        <v>0.108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HYPERLINK("http://141.218.60.56/~jnz1568/getInfo.php?workbook=27_11.xlsx&amp;sheet=U0&amp;row=48&amp;col=6&amp;number=3.4&amp;sourceID=14","3.4")</f>
        <v>3.4</v>
      </c>
      <c r="G48" s="4" t="str">
        <f>HYPERLINK("http://141.218.60.56/~jnz1568/getInfo.php?workbook=27_11.xlsx&amp;sheet=U0&amp;row=48&amp;col=7&amp;number=0.108&amp;sourceID=14","0.108")</f>
        <v>0.108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HYPERLINK("http://141.218.60.56/~jnz1568/getInfo.php?workbook=27_11.xlsx&amp;sheet=U0&amp;row=49&amp;col=6&amp;number=3.5&amp;sourceID=14","3.5")</f>
        <v>3.5</v>
      </c>
      <c r="G49" s="4" t="str">
        <f>HYPERLINK("http://141.218.60.56/~jnz1568/getInfo.php?workbook=27_11.xlsx&amp;sheet=U0&amp;row=49&amp;col=7&amp;number=0.108&amp;sourceID=14","0.108")</f>
        <v>0.108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HYPERLINK("http://141.218.60.56/~jnz1568/getInfo.php?workbook=27_11.xlsx&amp;sheet=U0&amp;row=50&amp;col=6&amp;number=3.6&amp;sourceID=14","3.6")</f>
        <v>3.6</v>
      </c>
      <c r="G50" s="4" t="str">
        <f>HYPERLINK("http://141.218.60.56/~jnz1568/getInfo.php?workbook=27_11.xlsx&amp;sheet=U0&amp;row=50&amp;col=7&amp;number=0.108&amp;sourceID=14","0.108")</f>
        <v>0.108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HYPERLINK("http://141.218.60.56/~jnz1568/getInfo.php?workbook=27_11.xlsx&amp;sheet=U0&amp;row=51&amp;col=6&amp;number=3.7&amp;sourceID=14","3.7")</f>
        <v>3.7</v>
      </c>
      <c r="G51" s="4" t="str">
        <f>HYPERLINK("http://141.218.60.56/~jnz1568/getInfo.php?workbook=27_11.xlsx&amp;sheet=U0&amp;row=51&amp;col=7&amp;number=0.108&amp;sourceID=14","0.108")</f>
        <v>0.108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HYPERLINK("http://141.218.60.56/~jnz1568/getInfo.php?workbook=27_11.xlsx&amp;sheet=U0&amp;row=52&amp;col=6&amp;number=3.8&amp;sourceID=14","3.8")</f>
        <v>3.8</v>
      </c>
      <c r="G52" s="4" t="str">
        <f>HYPERLINK("http://141.218.60.56/~jnz1568/getInfo.php?workbook=27_11.xlsx&amp;sheet=U0&amp;row=52&amp;col=7&amp;number=0.108&amp;sourceID=14","0.108")</f>
        <v>0.108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HYPERLINK("http://141.218.60.56/~jnz1568/getInfo.php?workbook=27_11.xlsx&amp;sheet=U0&amp;row=53&amp;col=6&amp;number=3.9&amp;sourceID=14","3.9")</f>
        <v>3.9</v>
      </c>
      <c r="G53" s="4" t="str">
        <f>HYPERLINK("http://141.218.60.56/~jnz1568/getInfo.php?workbook=27_11.xlsx&amp;sheet=U0&amp;row=53&amp;col=7&amp;number=0.108&amp;sourceID=14","0.108")</f>
        <v>0.108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HYPERLINK("http://141.218.60.56/~jnz1568/getInfo.php?workbook=27_11.xlsx&amp;sheet=U0&amp;row=54&amp;col=6&amp;number=4&amp;sourceID=14","4")</f>
        <v>4</v>
      </c>
      <c r="G54" s="4" t="str">
        <f>HYPERLINK("http://141.218.60.56/~jnz1568/getInfo.php?workbook=27_11.xlsx&amp;sheet=U0&amp;row=54&amp;col=7&amp;number=0.108&amp;sourceID=14","0.108")</f>
        <v>0.108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HYPERLINK("http://141.218.60.56/~jnz1568/getInfo.php?workbook=27_11.xlsx&amp;sheet=U0&amp;row=55&amp;col=6&amp;number=4.1&amp;sourceID=14","4.1")</f>
        <v>4.1</v>
      </c>
      <c r="G55" s="4" t="str">
        <f>HYPERLINK("http://141.218.60.56/~jnz1568/getInfo.php?workbook=27_11.xlsx&amp;sheet=U0&amp;row=55&amp;col=7&amp;number=0.108&amp;sourceID=14","0.108")</f>
        <v>0.108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HYPERLINK("http://141.218.60.56/~jnz1568/getInfo.php?workbook=27_11.xlsx&amp;sheet=U0&amp;row=56&amp;col=6&amp;number=4.2&amp;sourceID=14","4.2")</f>
        <v>4.2</v>
      </c>
      <c r="G56" s="4" t="str">
        <f>HYPERLINK("http://141.218.60.56/~jnz1568/getInfo.php?workbook=27_11.xlsx&amp;sheet=U0&amp;row=56&amp;col=7&amp;number=0.108&amp;sourceID=14","0.108")</f>
        <v>0.108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HYPERLINK("http://141.218.60.56/~jnz1568/getInfo.php?workbook=27_11.xlsx&amp;sheet=U0&amp;row=57&amp;col=6&amp;number=4.3&amp;sourceID=14","4.3")</f>
        <v>4.3</v>
      </c>
      <c r="G57" s="4" t="str">
        <f>HYPERLINK("http://141.218.60.56/~jnz1568/getInfo.php?workbook=27_11.xlsx&amp;sheet=U0&amp;row=57&amp;col=7&amp;number=0.108&amp;sourceID=14","0.108")</f>
        <v>0.108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HYPERLINK("http://141.218.60.56/~jnz1568/getInfo.php?workbook=27_11.xlsx&amp;sheet=U0&amp;row=58&amp;col=6&amp;number=4.4&amp;sourceID=14","4.4")</f>
        <v>4.4</v>
      </c>
      <c r="G58" s="4" t="str">
        <f>HYPERLINK("http://141.218.60.56/~jnz1568/getInfo.php?workbook=27_11.xlsx&amp;sheet=U0&amp;row=58&amp;col=7&amp;number=0.108&amp;sourceID=14","0.108")</f>
        <v>0.108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HYPERLINK("http://141.218.60.56/~jnz1568/getInfo.php?workbook=27_11.xlsx&amp;sheet=U0&amp;row=59&amp;col=6&amp;number=4.5&amp;sourceID=14","4.5")</f>
        <v>4.5</v>
      </c>
      <c r="G59" s="4" t="str">
        <f>HYPERLINK("http://141.218.60.56/~jnz1568/getInfo.php?workbook=27_11.xlsx&amp;sheet=U0&amp;row=59&amp;col=7&amp;number=0.108&amp;sourceID=14","0.108")</f>
        <v>0.108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HYPERLINK("http://141.218.60.56/~jnz1568/getInfo.php?workbook=27_11.xlsx&amp;sheet=U0&amp;row=60&amp;col=6&amp;number=4.6&amp;sourceID=14","4.6")</f>
        <v>4.6</v>
      </c>
      <c r="G60" s="4" t="str">
        <f>HYPERLINK("http://141.218.60.56/~jnz1568/getInfo.php?workbook=27_11.xlsx&amp;sheet=U0&amp;row=60&amp;col=7&amp;number=0.108&amp;sourceID=14","0.108")</f>
        <v>0.108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HYPERLINK("http://141.218.60.56/~jnz1568/getInfo.php?workbook=27_11.xlsx&amp;sheet=U0&amp;row=61&amp;col=6&amp;number=4.7&amp;sourceID=14","4.7")</f>
        <v>4.7</v>
      </c>
      <c r="G61" s="4" t="str">
        <f>HYPERLINK("http://141.218.60.56/~jnz1568/getInfo.php?workbook=27_11.xlsx&amp;sheet=U0&amp;row=61&amp;col=7&amp;number=0.108&amp;sourceID=14","0.108")</f>
        <v>0.108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HYPERLINK("http://141.218.60.56/~jnz1568/getInfo.php?workbook=27_11.xlsx&amp;sheet=U0&amp;row=62&amp;col=6&amp;number=4.8&amp;sourceID=14","4.8")</f>
        <v>4.8</v>
      </c>
      <c r="G62" s="4" t="str">
        <f>HYPERLINK("http://141.218.60.56/~jnz1568/getInfo.php?workbook=27_11.xlsx&amp;sheet=U0&amp;row=62&amp;col=7&amp;number=0.108&amp;sourceID=14","0.108")</f>
        <v>0.108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HYPERLINK("http://141.218.60.56/~jnz1568/getInfo.php?workbook=27_11.xlsx&amp;sheet=U0&amp;row=63&amp;col=6&amp;number=4.9&amp;sourceID=14","4.9")</f>
        <v>4.9</v>
      </c>
      <c r="G63" s="4" t="str">
        <f>HYPERLINK("http://141.218.60.56/~jnz1568/getInfo.php?workbook=27_11.xlsx&amp;sheet=U0&amp;row=63&amp;col=7&amp;number=0.108&amp;sourceID=14","0.108")</f>
        <v>0.108</v>
      </c>
    </row>
    <row r="64" spans="1:7">
      <c r="A64" s="3">
        <v>27</v>
      </c>
      <c r="B64" s="3">
        <v>11</v>
      </c>
      <c r="C64" s="3">
        <v>1</v>
      </c>
      <c r="D64" s="3">
        <v>5</v>
      </c>
      <c r="E64" s="3">
        <v>1</v>
      </c>
      <c r="F64" s="4" t="str">
        <f>HYPERLINK("http://141.218.60.56/~jnz1568/getInfo.php?workbook=27_11.xlsx&amp;sheet=U0&amp;row=64&amp;col=6&amp;number=3&amp;sourceID=14","3")</f>
        <v>3</v>
      </c>
      <c r="G64" s="4" t="str">
        <f>HYPERLINK("http://141.218.60.56/~jnz1568/getInfo.php?workbook=27_11.xlsx&amp;sheet=U0&amp;row=64&amp;col=7&amp;number=0.161&amp;sourceID=14","0.161")</f>
        <v>0.161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HYPERLINK("http://141.218.60.56/~jnz1568/getInfo.php?workbook=27_11.xlsx&amp;sheet=U0&amp;row=65&amp;col=6&amp;number=3.1&amp;sourceID=14","3.1")</f>
        <v>3.1</v>
      </c>
      <c r="G65" s="4" t="str">
        <f>HYPERLINK("http://141.218.60.56/~jnz1568/getInfo.php?workbook=27_11.xlsx&amp;sheet=U0&amp;row=65&amp;col=7&amp;number=0.161&amp;sourceID=14","0.161")</f>
        <v>0.161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HYPERLINK("http://141.218.60.56/~jnz1568/getInfo.php?workbook=27_11.xlsx&amp;sheet=U0&amp;row=66&amp;col=6&amp;number=3.2&amp;sourceID=14","3.2")</f>
        <v>3.2</v>
      </c>
      <c r="G66" s="4" t="str">
        <f>HYPERLINK("http://141.218.60.56/~jnz1568/getInfo.php?workbook=27_11.xlsx&amp;sheet=U0&amp;row=66&amp;col=7&amp;number=0.161&amp;sourceID=14","0.161")</f>
        <v>0.161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HYPERLINK("http://141.218.60.56/~jnz1568/getInfo.php?workbook=27_11.xlsx&amp;sheet=U0&amp;row=67&amp;col=6&amp;number=3.3&amp;sourceID=14","3.3")</f>
        <v>3.3</v>
      </c>
      <c r="G67" s="4" t="str">
        <f>HYPERLINK("http://141.218.60.56/~jnz1568/getInfo.php?workbook=27_11.xlsx&amp;sheet=U0&amp;row=67&amp;col=7&amp;number=0.161&amp;sourceID=14","0.161")</f>
        <v>0.161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HYPERLINK("http://141.218.60.56/~jnz1568/getInfo.php?workbook=27_11.xlsx&amp;sheet=U0&amp;row=68&amp;col=6&amp;number=3.4&amp;sourceID=14","3.4")</f>
        <v>3.4</v>
      </c>
      <c r="G68" s="4" t="str">
        <f>HYPERLINK("http://141.218.60.56/~jnz1568/getInfo.php?workbook=27_11.xlsx&amp;sheet=U0&amp;row=68&amp;col=7&amp;number=0.161&amp;sourceID=14","0.161")</f>
        <v>0.161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HYPERLINK("http://141.218.60.56/~jnz1568/getInfo.php?workbook=27_11.xlsx&amp;sheet=U0&amp;row=69&amp;col=6&amp;number=3.5&amp;sourceID=14","3.5")</f>
        <v>3.5</v>
      </c>
      <c r="G69" s="4" t="str">
        <f>HYPERLINK("http://141.218.60.56/~jnz1568/getInfo.php?workbook=27_11.xlsx&amp;sheet=U0&amp;row=69&amp;col=7&amp;number=0.161&amp;sourceID=14","0.161")</f>
        <v>0.161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HYPERLINK("http://141.218.60.56/~jnz1568/getInfo.php?workbook=27_11.xlsx&amp;sheet=U0&amp;row=70&amp;col=6&amp;number=3.6&amp;sourceID=14","3.6")</f>
        <v>3.6</v>
      </c>
      <c r="G70" s="4" t="str">
        <f>HYPERLINK("http://141.218.60.56/~jnz1568/getInfo.php?workbook=27_11.xlsx&amp;sheet=U0&amp;row=70&amp;col=7&amp;number=0.161&amp;sourceID=14","0.161")</f>
        <v>0.161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HYPERLINK("http://141.218.60.56/~jnz1568/getInfo.php?workbook=27_11.xlsx&amp;sheet=U0&amp;row=71&amp;col=6&amp;number=3.7&amp;sourceID=14","3.7")</f>
        <v>3.7</v>
      </c>
      <c r="G71" s="4" t="str">
        <f>HYPERLINK("http://141.218.60.56/~jnz1568/getInfo.php?workbook=27_11.xlsx&amp;sheet=U0&amp;row=71&amp;col=7&amp;number=0.161&amp;sourceID=14","0.161")</f>
        <v>0.161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HYPERLINK("http://141.218.60.56/~jnz1568/getInfo.php?workbook=27_11.xlsx&amp;sheet=U0&amp;row=72&amp;col=6&amp;number=3.8&amp;sourceID=14","3.8")</f>
        <v>3.8</v>
      </c>
      <c r="G72" s="4" t="str">
        <f>HYPERLINK("http://141.218.60.56/~jnz1568/getInfo.php?workbook=27_11.xlsx&amp;sheet=U0&amp;row=72&amp;col=7&amp;number=0.161&amp;sourceID=14","0.161")</f>
        <v>0.161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HYPERLINK("http://141.218.60.56/~jnz1568/getInfo.php?workbook=27_11.xlsx&amp;sheet=U0&amp;row=73&amp;col=6&amp;number=3.9&amp;sourceID=14","3.9")</f>
        <v>3.9</v>
      </c>
      <c r="G73" s="4" t="str">
        <f>HYPERLINK("http://141.218.60.56/~jnz1568/getInfo.php?workbook=27_11.xlsx&amp;sheet=U0&amp;row=73&amp;col=7&amp;number=0.161&amp;sourceID=14","0.161")</f>
        <v>0.161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HYPERLINK("http://141.218.60.56/~jnz1568/getInfo.php?workbook=27_11.xlsx&amp;sheet=U0&amp;row=74&amp;col=6&amp;number=4&amp;sourceID=14","4")</f>
        <v>4</v>
      </c>
      <c r="G74" s="4" t="str">
        <f>HYPERLINK("http://141.218.60.56/~jnz1568/getInfo.php?workbook=27_11.xlsx&amp;sheet=U0&amp;row=74&amp;col=7&amp;number=0.161&amp;sourceID=14","0.161")</f>
        <v>0.161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HYPERLINK("http://141.218.60.56/~jnz1568/getInfo.php?workbook=27_11.xlsx&amp;sheet=U0&amp;row=75&amp;col=6&amp;number=4.1&amp;sourceID=14","4.1")</f>
        <v>4.1</v>
      </c>
      <c r="G75" s="4" t="str">
        <f>HYPERLINK("http://141.218.60.56/~jnz1568/getInfo.php?workbook=27_11.xlsx&amp;sheet=U0&amp;row=75&amp;col=7&amp;number=0.161&amp;sourceID=14","0.161")</f>
        <v>0.161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HYPERLINK("http://141.218.60.56/~jnz1568/getInfo.php?workbook=27_11.xlsx&amp;sheet=U0&amp;row=76&amp;col=6&amp;number=4.2&amp;sourceID=14","4.2")</f>
        <v>4.2</v>
      </c>
      <c r="G76" s="4" t="str">
        <f>HYPERLINK("http://141.218.60.56/~jnz1568/getInfo.php?workbook=27_11.xlsx&amp;sheet=U0&amp;row=76&amp;col=7&amp;number=0.161&amp;sourceID=14","0.161")</f>
        <v>0.161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HYPERLINK("http://141.218.60.56/~jnz1568/getInfo.php?workbook=27_11.xlsx&amp;sheet=U0&amp;row=77&amp;col=6&amp;number=4.3&amp;sourceID=14","4.3")</f>
        <v>4.3</v>
      </c>
      <c r="G77" s="4" t="str">
        <f>HYPERLINK("http://141.218.60.56/~jnz1568/getInfo.php?workbook=27_11.xlsx&amp;sheet=U0&amp;row=77&amp;col=7&amp;number=0.162&amp;sourceID=14","0.162")</f>
        <v>0.162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HYPERLINK("http://141.218.60.56/~jnz1568/getInfo.php?workbook=27_11.xlsx&amp;sheet=U0&amp;row=78&amp;col=6&amp;number=4.4&amp;sourceID=14","4.4")</f>
        <v>4.4</v>
      </c>
      <c r="G78" s="4" t="str">
        <f>HYPERLINK("http://141.218.60.56/~jnz1568/getInfo.php?workbook=27_11.xlsx&amp;sheet=U0&amp;row=78&amp;col=7&amp;number=0.162&amp;sourceID=14","0.162")</f>
        <v>0.162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HYPERLINK("http://141.218.60.56/~jnz1568/getInfo.php?workbook=27_11.xlsx&amp;sheet=U0&amp;row=79&amp;col=6&amp;number=4.5&amp;sourceID=14","4.5")</f>
        <v>4.5</v>
      </c>
      <c r="G79" s="4" t="str">
        <f>HYPERLINK("http://141.218.60.56/~jnz1568/getInfo.php?workbook=27_11.xlsx&amp;sheet=U0&amp;row=79&amp;col=7&amp;number=0.162&amp;sourceID=14","0.162")</f>
        <v>0.162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HYPERLINK("http://141.218.60.56/~jnz1568/getInfo.php?workbook=27_11.xlsx&amp;sheet=U0&amp;row=80&amp;col=6&amp;number=4.6&amp;sourceID=14","4.6")</f>
        <v>4.6</v>
      </c>
      <c r="G80" s="4" t="str">
        <f>HYPERLINK("http://141.218.60.56/~jnz1568/getInfo.php?workbook=27_11.xlsx&amp;sheet=U0&amp;row=80&amp;col=7&amp;number=0.162&amp;sourceID=14","0.162")</f>
        <v>0.162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HYPERLINK("http://141.218.60.56/~jnz1568/getInfo.php?workbook=27_11.xlsx&amp;sheet=U0&amp;row=81&amp;col=6&amp;number=4.7&amp;sourceID=14","4.7")</f>
        <v>4.7</v>
      </c>
      <c r="G81" s="4" t="str">
        <f>HYPERLINK("http://141.218.60.56/~jnz1568/getInfo.php?workbook=27_11.xlsx&amp;sheet=U0&amp;row=81&amp;col=7&amp;number=0.162&amp;sourceID=14","0.162")</f>
        <v>0.162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HYPERLINK("http://141.218.60.56/~jnz1568/getInfo.php?workbook=27_11.xlsx&amp;sheet=U0&amp;row=82&amp;col=6&amp;number=4.8&amp;sourceID=14","4.8")</f>
        <v>4.8</v>
      </c>
      <c r="G82" s="4" t="str">
        <f>HYPERLINK("http://141.218.60.56/~jnz1568/getInfo.php?workbook=27_11.xlsx&amp;sheet=U0&amp;row=82&amp;col=7&amp;number=0.162&amp;sourceID=14","0.162")</f>
        <v>0.162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HYPERLINK("http://141.218.60.56/~jnz1568/getInfo.php?workbook=27_11.xlsx&amp;sheet=U0&amp;row=83&amp;col=6&amp;number=4.9&amp;sourceID=14","4.9")</f>
        <v>4.9</v>
      </c>
      <c r="G83" s="4" t="str">
        <f>HYPERLINK("http://141.218.60.56/~jnz1568/getInfo.php?workbook=27_11.xlsx&amp;sheet=U0&amp;row=83&amp;col=7&amp;number=0.162&amp;sourceID=14","0.162")</f>
        <v>0.162</v>
      </c>
    </row>
    <row r="84" spans="1:7">
      <c r="A84" s="3">
        <v>27</v>
      </c>
      <c r="B84" s="3">
        <v>11</v>
      </c>
      <c r="C84" s="3">
        <v>1</v>
      </c>
      <c r="D84" s="3">
        <v>6</v>
      </c>
      <c r="E84" s="3">
        <v>1</v>
      </c>
      <c r="F84" s="4" t="str">
        <f>HYPERLINK("http://141.218.60.56/~jnz1568/getInfo.php?workbook=27_11.xlsx&amp;sheet=U0&amp;row=84&amp;col=6&amp;number=3&amp;sourceID=14","3")</f>
        <v>3</v>
      </c>
      <c r="G84" s="4" t="str">
        <f>HYPERLINK("http://141.218.60.56/~jnz1568/getInfo.php?workbook=27_11.xlsx&amp;sheet=U0&amp;row=84&amp;col=7&amp;number=0.0889&amp;sourceID=14","0.0889")</f>
        <v>0.0889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HYPERLINK("http://141.218.60.56/~jnz1568/getInfo.php?workbook=27_11.xlsx&amp;sheet=U0&amp;row=85&amp;col=6&amp;number=3.1&amp;sourceID=14","3.1")</f>
        <v>3.1</v>
      </c>
      <c r="G85" s="4" t="str">
        <f>HYPERLINK("http://141.218.60.56/~jnz1568/getInfo.php?workbook=27_11.xlsx&amp;sheet=U0&amp;row=85&amp;col=7&amp;number=0.0889&amp;sourceID=14","0.0889")</f>
        <v>0.0889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HYPERLINK("http://141.218.60.56/~jnz1568/getInfo.php?workbook=27_11.xlsx&amp;sheet=U0&amp;row=86&amp;col=6&amp;number=3.2&amp;sourceID=14","3.2")</f>
        <v>3.2</v>
      </c>
      <c r="G86" s="4" t="str">
        <f>HYPERLINK("http://141.218.60.56/~jnz1568/getInfo.php?workbook=27_11.xlsx&amp;sheet=U0&amp;row=86&amp;col=7&amp;number=0.0889&amp;sourceID=14","0.0889")</f>
        <v>0.0889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HYPERLINK("http://141.218.60.56/~jnz1568/getInfo.php?workbook=27_11.xlsx&amp;sheet=U0&amp;row=87&amp;col=6&amp;number=3.3&amp;sourceID=14","3.3")</f>
        <v>3.3</v>
      </c>
      <c r="G87" s="4" t="str">
        <f>HYPERLINK("http://141.218.60.56/~jnz1568/getInfo.php?workbook=27_11.xlsx&amp;sheet=U0&amp;row=87&amp;col=7&amp;number=0.0889&amp;sourceID=14","0.0889")</f>
        <v>0.0889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HYPERLINK("http://141.218.60.56/~jnz1568/getInfo.php?workbook=27_11.xlsx&amp;sheet=U0&amp;row=88&amp;col=6&amp;number=3.4&amp;sourceID=14","3.4")</f>
        <v>3.4</v>
      </c>
      <c r="G88" s="4" t="str">
        <f>HYPERLINK("http://141.218.60.56/~jnz1568/getInfo.php?workbook=27_11.xlsx&amp;sheet=U0&amp;row=88&amp;col=7&amp;number=0.0889&amp;sourceID=14","0.0889")</f>
        <v>0.0889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HYPERLINK("http://141.218.60.56/~jnz1568/getInfo.php?workbook=27_11.xlsx&amp;sheet=U0&amp;row=89&amp;col=6&amp;number=3.5&amp;sourceID=14","3.5")</f>
        <v>3.5</v>
      </c>
      <c r="G89" s="4" t="str">
        <f>HYPERLINK("http://141.218.60.56/~jnz1568/getInfo.php?workbook=27_11.xlsx&amp;sheet=U0&amp;row=89&amp;col=7&amp;number=0.0889&amp;sourceID=14","0.0889")</f>
        <v>0.0889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HYPERLINK("http://141.218.60.56/~jnz1568/getInfo.php?workbook=27_11.xlsx&amp;sheet=U0&amp;row=90&amp;col=6&amp;number=3.6&amp;sourceID=14","3.6")</f>
        <v>3.6</v>
      </c>
      <c r="G90" s="4" t="str">
        <f>HYPERLINK("http://141.218.60.56/~jnz1568/getInfo.php?workbook=27_11.xlsx&amp;sheet=U0&amp;row=90&amp;col=7&amp;number=0.0889&amp;sourceID=14","0.0889")</f>
        <v>0.0889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HYPERLINK("http://141.218.60.56/~jnz1568/getInfo.php?workbook=27_11.xlsx&amp;sheet=U0&amp;row=91&amp;col=6&amp;number=3.7&amp;sourceID=14","3.7")</f>
        <v>3.7</v>
      </c>
      <c r="G91" s="4" t="str">
        <f>HYPERLINK("http://141.218.60.56/~jnz1568/getInfo.php?workbook=27_11.xlsx&amp;sheet=U0&amp;row=91&amp;col=7&amp;number=0.0889&amp;sourceID=14","0.0889")</f>
        <v>0.0889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HYPERLINK("http://141.218.60.56/~jnz1568/getInfo.php?workbook=27_11.xlsx&amp;sheet=U0&amp;row=92&amp;col=6&amp;number=3.8&amp;sourceID=14","3.8")</f>
        <v>3.8</v>
      </c>
      <c r="G92" s="4" t="str">
        <f>HYPERLINK("http://141.218.60.56/~jnz1568/getInfo.php?workbook=27_11.xlsx&amp;sheet=U0&amp;row=92&amp;col=7&amp;number=0.0889&amp;sourceID=14","0.0889")</f>
        <v>0.0889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HYPERLINK("http://141.218.60.56/~jnz1568/getInfo.php?workbook=27_11.xlsx&amp;sheet=U0&amp;row=93&amp;col=6&amp;number=3.9&amp;sourceID=14","3.9")</f>
        <v>3.9</v>
      </c>
      <c r="G93" s="4" t="str">
        <f>HYPERLINK("http://141.218.60.56/~jnz1568/getInfo.php?workbook=27_11.xlsx&amp;sheet=U0&amp;row=93&amp;col=7&amp;number=0.0889&amp;sourceID=14","0.0889")</f>
        <v>0.0889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HYPERLINK("http://141.218.60.56/~jnz1568/getInfo.php?workbook=27_11.xlsx&amp;sheet=U0&amp;row=94&amp;col=6&amp;number=4&amp;sourceID=14","4")</f>
        <v>4</v>
      </c>
      <c r="G94" s="4" t="str">
        <f>HYPERLINK("http://141.218.60.56/~jnz1568/getInfo.php?workbook=27_11.xlsx&amp;sheet=U0&amp;row=94&amp;col=7&amp;number=0.0889&amp;sourceID=14","0.0889")</f>
        <v>0.0889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HYPERLINK("http://141.218.60.56/~jnz1568/getInfo.php?workbook=27_11.xlsx&amp;sheet=U0&amp;row=95&amp;col=6&amp;number=4.1&amp;sourceID=14","4.1")</f>
        <v>4.1</v>
      </c>
      <c r="G95" s="4" t="str">
        <f>HYPERLINK("http://141.218.60.56/~jnz1568/getInfo.php?workbook=27_11.xlsx&amp;sheet=U0&amp;row=95&amp;col=7&amp;number=0.0889&amp;sourceID=14","0.0889")</f>
        <v>0.0889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HYPERLINK("http://141.218.60.56/~jnz1568/getInfo.php?workbook=27_11.xlsx&amp;sheet=U0&amp;row=96&amp;col=6&amp;number=4.2&amp;sourceID=14","4.2")</f>
        <v>4.2</v>
      </c>
      <c r="G96" s="4" t="str">
        <f>HYPERLINK("http://141.218.60.56/~jnz1568/getInfo.php?workbook=27_11.xlsx&amp;sheet=U0&amp;row=96&amp;col=7&amp;number=0.0889&amp;sourceID=14","0.0889")</f>
        <v>0.0889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HYPERLINK("http://141.218.60.56/~jnz1568/getInfo.php?workbook=27_11.xlsx&amp;sheet=U0&amp;row=97&amp;col=6&amp;number=4.3&amp;sourceID=14","4.3")</f>
        <v>4.3</v>
      </c>
      <c r="G97" s="4" t="str">
        <f>HYPERLINK("http://141.218.60.56/~jnz1568/getInfo.php?workbook=27_11.xlsx&amp;sheet=U0&amp;row=97&amp;col=7&amp;number=0.0889&amp;sourceID=14","0.0889")</f>
        <v>0.0889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HYPERLINK("http://141.218.60.56/~jnz1568/getInfo.php?workbook=27_11.xlsx&amp;sheet=U0&amp;row=98&amp;col=6&amp;number=4.4&amp;sourceID=14","4.4")</f>
        <v>4.4</v>
      </c>
      <c r="G98" s="4" t="str">
        <f>HYPERLINK("http://141.218.60.56/~jnz1568/getInfo.php?workbook=27_11.xlsx&amp;sheet=U0&amp;row=98&amp;col=7&amp;number=0.0889&amp;sourceID=14","0.0889")</f>
        <v>0.0889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HYPERLINK("http://141.218.60.56/~jnz1568/getInfo.php?workbook=27_11.xlsx&amp;sheet=U0&amp;row=99&amp;col=6&amp;number=4.5&amp;sourceID=14","4.5")</f>
        <v>4.5</v>
      </c>
      <c r="G99" s="4" t="str">
        <f>HYPERLINK("http://141.218.60.56/~jnz1568/getInfo.php?workbook=27_11.xlsx&amp;sheet=U0&amp;row=99&amp;col=7&amp;number=0.089&amp;sourceID=14","0.089")</f>
        <v>0.089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HYPERLINK("http://141.218.60.56/~jnz1568/getInfo.php?workbook=27_11.xlsx&amp;sheet=U0&amp;row=100&amp;col=6&amp;number=4.6&amp;sourceID=14","4.6")</f>
        <v>4.6</v>
      </c>
      <c r="G100" s="4" t="str">
        <f>HYPERLINK("http://141.218.60.56/~jnz1568/getInfo.php?workbook=27_11.xlsx&amp;sheet=U0&amp;row=100&amp;col=7&amp;number=0.089&amp;sourceID=14","0.089")</f>
        <v>0.089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HYPERLINK("http://141.218.60.56/~jnz1568/getInfo.php?workbook=27_11.xlsx&amp;sheet=U0&amp;row=101&amp;col=6&amp;number=4.7&amp;sourceID=14","4.7")</f>
        <v>4.7</v>
      </c>
      <c r="G101" s="4" t="str">
        <f>HYPERLINK("http://141.218.60.56/~jnz1568/getInfo.php?workbook=27_11.xlsx&amp;sheet=U0&amp;row=101&amp;col=7&amp;number=0.089&amp;sourceID=14","0.089")</f>
        <v>0.089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HYPERLINK("http://141.218.60.56/~jnz1568/getInfo.php?workbook=27_11.xlsx&amp;sheet=U0&amp;row=102&amp;col=6&amp;number=4.8&amp;sourceID=14","4.8")</f>
        <v>4.8</v>
      </c>
      <c r="G102" s="4" t="str">
        <f>HYPERLINK("http://141.218.60.56/~jnz1568/getInfo.php?workbook=27_11.xlsx&amp;sheet=U0&amp;row=102&amp;col=7&amp;number=0.0891&amp;sourceID=14","0.0891")</f>
        <v>0.0891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HYPERLINK("http://141.218.60.56/~jnz1568/getInfo.php?workbook=27_11.xlsx&amp;sheet=U0&amp;row=103&amp;col=6&amp;number=4.9&amp;sourceID=14","4.9")</f>
        <v>4.9</v>
      </c>
      <c r="G103" s="4" t="str">
        <f>HYPERLINK("http://141.218.60.56/~jnz1568/getInfo.php?workbook=27_11.xlsx&amp;sheet=U0&amp;row=103&amp;col=7&amp;number=0.0891&amp;sourceID=14","0.0891")</f>
        <v>0.0891</v>
      </c>
    </row>
    <row r="104" spans="1:7">
      <c r="A104" s="3">
        <v>27</v>
      </c>
      <c r="B104" s="3">
        <v>11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HYPERLINK("http://141.218.60.56/~jnz1568/getInfo.php?workbook=27_11.xlsx&amp;sheet=U0&amp;row=104&amp;col=6&amp;number=3&amp;sourceID=14","3")</f>
        <v>3</v>
      </c>
      <c r="G104" s="4" t="str">
        <f>HYPERLINK("http://141.218.60.56/~jnz1568/getInfo.php?workbook=27_11.xlsx&amp;sheet=U0&amp;row=104&amp;col=7&amp;number=0.00518&amp;sourceID=14","0.00518")</f>
        <v>0.00518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HYPERLINK("http://141.218.60.56/~jnz1568/getInfo.php?workbook=27_11.xlsx&amp;sheet=U0&amp;row=105&amp;col=6&amp;number=3.1&amp;sourceID=14","3.1")</f>
        <v>3.1</v>
      </c>
      <c r="G105" s="4" t="str">
        <f>HYPERLINK("http://141.218.60.56/~jnz1568/getInfo.php?workbook=27_11.xlsx&amp;sheet=U0&amp;row=105&amp;col=7&amp;number=0.00518&amp;sourceID=14","0.00518")</f>
        <v>0.00518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HYPERLINK("http://141.218.60.56/~jnz1568/getInfo.php?workbook=27_11.xlsx&amp;sheet=U0&amp;row=106&amp;col=6&amp;number=3.2&amp;sourceID=14","3.2")</f>
        <v>3.2</v>
      </c>
      <c r="G106" s="4" t="str">
        <f>HYPERLINK("http://141.218.60.56/~jnz1568/getInfo.php?workbook=27_11.xlsx&amp;sheet=U0&amp;row=106&amp;col=7&amp;number=0.00518&amp;sourceID=14","0.00518")</f>
        <v>0.00518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HYPERLINK("http://141.218.60.56/~jnz1568/getInfo.php?workbook=27_11.xlsx&amp;sheet=U0&amp;row=107&amp;col=6&amp;number=3.3&amp;sourceID=14","3.3")</f>
        <v>3.3</v>
      </c>
      <c r="G107" s="4" t="str">
        <f>HYPERLINK("http://141.218.60.56/~jnz1568/getInfo.php?workbook=27_11.xlsx&amp;sheet=U0&amp;row=107&amp;col=7&amp;number=0.00518&amp;sourceID=14","0.00518")</f>
        <v>0.00518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HYPERLINK("http://141.218.60.56/~jnz1568/getInfo.php?workbook=27_11.xlsx&amp;sheet=U0&amp;row=108&amp;col=6&amp;number=3.4&amp;sourceID=14","3.4")</f>
        <v>3.4</v>
      </c>
      <c r="G108" s="4" t="str">
        <f>HYPERLINK("http://141.218.60.56/~jnz1568/getInfo.php?workbook=27_11.xlsx&amp;sheet=U0&amp;row=108&amp;col=7&amp;number=0.00518&amp;sourceID=14","0.00518")</f>
        <v>0.00518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HYPERLINK("http://141.218.60.56/~jnz1568/getInfo.php?workbook=27_11.xlsx&amp;sheet=U0&amp;row=109&amp;col=6&amp;number=3.5&amp;sourceID=14","3.5")</f>
        <v>3.5</v>
      </c>
      <c r="G109" s="4" t="str">
        <f>HYPERLINK("http://141.218.60.56/~jnz1568/getInfo.php?workbook=27_11.xlsx&amp;sheet=U0&amp;row=109&amp;col=7&amp;number=0.00518&amp;sourceID=14","0.00518")</f>
        <v>0.00518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HYPERLINK("http://141.218.60.56/~jnz1568/getInfo.php?workbook=27_11.xlsx&amp;sheet=U0&amp;row=110&amp;col=6&amp;number=3.6&amp;sourceID=14","3.6")</f>
        <v>3.6</v>
      </c>
      <c r="G110" s="4" t="str">
        <f>HYPERLINK("http://141.218.60.56/~jnz1568/getInfo.php?workbook=27_11.xlsx&amp;sheet=U0&amp;row=110&amp;col=7&amp;number=0.00518&amp;sourceID=14","0.00518")</f>
        <v>0.00518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HYPERLINK("http://141.218.60.56/~jnz1568/getInfo.php?workbook=27_11.xlsx&amp;sheet=U0&amp;row=111&amp;col=6&amp;number=3.7&amp;sourceID=14","3.7")</f>
        <v>3.7</v>
      </c>
      <c r="G111" s="4" t="str">
        <f>HYPERLINK("http://141.218.60.56/~jnz1568/getInfo.php?workbook=27_11.xlsx&amp;sheet=U0&amp;row=111&amp;col=7&amp;number=0.00519&amp;sourceID=14","0.00519")</f>
        <v>0.00519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HYPERLINK("http://141.218.60.56/~jnz1568/getInfo.php?workbook=27_11.xlsx&amp;sheet=U0&amp;row=112&amp;col=6&amp;number=3.8&amp;sourceID=14","3.8")</f>
        <v>3.8</v>
      </c>
      <c r="G112" s="4" t="str">
        <f>HYPERLINK("http://141.218.60.56/~jnz1568/getInfo.php?workbook=27_11.xlsx&amp;sheet=U0&amp;row=112&amp;col=7&amp;number=0.00519&amp;sourceID=14","0.00519")</f>
        <v>0.00519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HYPERLINK("http://141.218.60.56/~jnz1568/getInfo.php?workbook=27_11.xlsx&amp;sheet=U0&amp;row=113&amp;col=6&amp;number=3.9&amp;sourceID=14","3.9")</f>
        <v>3.9</v>
      </c>
      <c r="G113" s="4" t="str">
        <f>HYPERLINK("http://141.218.60.56/~jnz1568/getInfo.php?workbook=27_11.xlsx&amp;sheet=U0&amp;row=113&amp;col=7&amp;number=0.00519&amp;sourceID=14","0.00519")</f>
        <v>0.00519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HYPERLINK("http://141.218.60.56/~jnz1568/getInfo.php?workbook=27_11.xlsx&amp;sheet=U0&amp;row=114&amp;col=6&amp;number=4&amp;sourceID=14","4")</f>
        <v>4</v>
      </c>
      <c r="G114" s="4" t="str">
        <f>HYPERLINK("http://141.218.60.56/~jnz1568/getInfo.php?workbook=27_11.xlsx&amp;sheet=U0&amp;row=114&amp;col=7&amp;number=0.00519&amp;sourceID=14","0.00519")</f>
        <v>0.00519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HYPERLINK("http://141.218.60.56/~jnz1568/getInfo.php?workbook=27_11.xlsx&amp;sheet=U0&amp;row=115&amp;col=6&amp;number=4.1&amp;sourceID=14","4.1")</f>
        <v>4.1</v>
      </c>
      <c r="G115" s="4" t="str">
        <f>HYPERLINK("http://141.218.60.56/~jnz1568/getInfo.php?workbook=27_11.xlsx&amp;sheet=U0&amp;row=115&amp;col=7&amp;number=0.0052&amp;sourceID=14","0.0052")</f>
        <v>0.0052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HYPERLINK("http://141.218.60.56/~jnz1568/getInfo.php?workbook=27_11.xlsx&amp;sheet=U0&amp;row=116&amp;col=6&amp;number=4.2&amp;sourceID=14","4.2")</f>
        <v>4.2</v>
      </c>
      <c r="G116" s="4" t="str">
        <f>HYPERLINK("http://141.218.60.56/~jnz1568/getInfo.php?workbook=27_11.xlsx&amp;sheet=U0&amp;row=116&amp;col=7&amp;number=0.00521&amp;sourceID=14","0.00521")</f>
        <v>0.00521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HYPERLINK("http://141.218.60.56/~jnz1568/getInfo.php?workbook=27_11.xlsx&amp;sheet=U0&amp;row=117&amp;col=6&amp;number=4.3&amp;sourceID=14","4.3")</f>
        <v>4.3</v>
      </c>
      <c r="G117" s="4" t="str">
        <f>HYPERLINK("http://141.218.60.56/~jnz1568/getInfo.php?workbook=27_11.xlsx&amp;sheet=U0&amp;row=117&amp;col=7&amp;number=0.00521&amp;sourceID=14","0.00521")</f>
        <v>0.00521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HYPERLINK("http://141.218.60.56/~jnz1568/getInfo.php?workbook=27_11.xlsx&amp;sheet=U0&amp;row=118&amp;col=6&amp;number=4.4&amp;sourceID=14","4.4")</f>
        <v>4.4</v>
      </c>
      <c r="G118" s="4" t="str">
        <f>HYPERLINK("http://141.218.60.56/~jnz1568/getInfo.php?workbook=27_11.xlsx&amp;sheet=U0&amp;row=118&amp;col=7&amp;number=0.00522&amp;sourceID=14","0.00522")</f>
        <v>0.00522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HYPERLINK("http://141.218.60.56/~jnz1568/getInfo.php?workbook=27_11.xlsx&amp;sheet=U0&amp;row=119&amp;col=6&amp;number=4.5&amp;sourceID=14","4.5")</f>
        <v>4.5</v>
      </c>
      <c r="G119" s="4" t="str">
        <f>HYPERLINK("http://141.218.60.56/~jnz1568/getInfo.php?workbook=27_11.xlsx&amp;sheet=U0&amp;row=119&amp;col=7&amp;number=0.00523&amp;sourceID=14","0.00523")</f>
        <v>0.00523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HYPERLINK("http://141.218.60.56/~jnz1568/getInfo.php?workbook=27_11.xlsx&amp;sheet=U0&amp;row=120&amp;col=6&amp;number=4.6&amp;sourceID=14","4.6")</f>
        <v>4.6</v>
      </c>
      <c r="G120" s="4" t="str">
        <f>HYPERLINK("http://141.218.60.56/~jnz1568/getInfo.php?workbook=27_11.xlsx&amp;sheet=U0&amp;row=120&amp;col=7&amp;number=0.00525&amp;sourceID=14","0.00525")</f>
        <v>0.00525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HYPERLINK("http://141.218.60.56/~jnz1568/getInfo.php?workbook=27_11.xlsx&amp;sheet=U0&amp;row=121&amp;col=6&amp;number=4.7&amp;sourceID=14","4.7")</f>
        <v>4.7</v>
      </c>
      <c r="G121" s="4" t="str">
        <f>HYPERLINK("http://141.218.60.56/~jnz1568/getInfo.php?workbook=27_11.xlsx&amp;sheet=U0&amp;row=121&amp;col=7&amp;number=0.00527&amp;sourceID=14","0.00527")</f>
        <v>0.00527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HYPERLINK("http://141.218.60.56/~jnz1568/getInfo.php?workbook=27_11.xlsx&amp;sheet=U0&amp;row=122&amp;col=6&amp;number=4.8&amp;sourceID=14","4.8")</f>
        <v>4.8</v>
      </c>
      <c r="G122" s="4" t="str">
        <f>HYPERLINK("http://141.218.60.56/~jnz1568/getInfo.php?workbook=27_11.xlsx&amp;sheet=U0&amp;row=122&amp;col=7&amp;number=0.00529&amp;sourceID=14","0.00529")</f>
        <v>0.00529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HYPERLINK("http://141.218.60.56/~jnz1568/getInfo.php?workbook=27_11.xlsx&amp;sheet=U0&amp;row=123&amp;col=6&amp;number=4.9&amp;sourceID=14","4.9")</f>
        <v>4.9</v>
      </c>
      <c r="G123" s="4" t="str">
        <f>HYPERLINK("http://141.218.60.56/~jnz1568/getInfo.php?workbook=27_11.xlsx&amp;sheet=U0&amp;row=123&amp;col=7&amp;number=0.00532&amp;sourceID=14","0.00532")</f>
        <v>0.00532</v>
      </c>
    </row>
    <row r="124" spans="1:7">
      <c r="A124" s="3">
        <v>27</v>
      </c>
      <c r="B124" s="3">
        <v>11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HYPERLINK("http://141.218.60.56/~jnz1568/getInfo.php?workbook=27_11.xlsx&amp;sheet=U0&amp;row=124&amp;col=6&amp;number=3&amp;sourceID=14","3")</f>
        <v>3</v>
      </c>
      <c r="G124" s="4" t="str">
        <f>HYPERLINK("http://141.218.60.56/~jnz1568/getInfo.php?workbook=27_11.xlsx&amp;sheet=U0&amp;row=124&amp;col=7&amp;number=0.0097&amp;sourceID=14","0.0097")</f>
        <v>0.0097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HYPERLINK("http://141.218.60.56/~jnz1568/getInfo.php?workbook=27_11.xlsx&amp;sheet=U0&amp;row=125&amp;col=6&amp;number=3.1&amp;sourceID=14","3.1")</f>
        <v>3.1</v>
      </c>
      <c r="G125" s="4" t="str">
        <f>HYPERLINK("http://141.218.60.56/~jnz1568/getInfo.php?workbook=27_11.xlsx&amp;sheet=U0&amp;row=125&amp;col=7&amp;number=0.0097&amp;sourceID=14","0.0097")</f>
        <v>0.0097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HYPERLINK("http://141.218.60.56/~jnz1568/getInfo.php?workbook=27_11.xlsx&amp;sheet=U0&amp;row=126&amp;col=6&amp;number=3.2&amp;sourceID=14","3.2")</f>
        <v>3.2</v>
      </c>
      <c r="G126" s="4" t="str">
        <f>HYPERLINK("http://141.218.60.56/~jnz1568/getInfo.php?workbook=27_11.xlsx&amp;sheet=U0&amp;row=126&amp;col=7&amp;number=0.0097&amp;sourceID=14","0.0097")</f>
        <v>0.0097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HYPERLINK("http://141.218.60.56/~jnz1568/getInfo.php?workbook=27_11.xlsx&amp;sheet=U0&amp;row=127&amp;col=6&amp;number=3.3&amp;sourceID=14","3.3")</f>
        <v>3.3</v>
      </c>
      <c r="G127" s="4" t="str">
        <f>HYPERLINK("http://141.218.60.56/~jnz1568/getInfo.php?workbook=27_11.xlsx&amp;sheet=U0&amp;row=127&amp;col=7&amp;number=0.0097&amp;sourceID=14","0.0097")</f>
        <v>0.0097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HYPERLINK("http://141.218.60.56/~jnz1568/getInfo.php?workbook=27_11.xlsx&amp;sheet=U0&amp;row=128&amp;col=6&amp;number=3.4&amp;sourceID=14","3.4")</f>
        <v>3.4</v>
      </c>
      <c r="G128" s="4" t="str">
        <f>HYPERLINK("http://141.218.60.56/~jnz1568/getInfo.php?workbook=27_11.xlsx&amp;sheet=U0&amp;row=128&amp;col=7&amp;number=0.0097&amp;sourceID=14","0.0097")</f>
        <v>0.0097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HYPERLINK("http://141.218.60.56/~jnz1568/getInfo.php?workbook=27_11.xlsx&amp;sheet=U0&amp;row=129&amp;col=6&amp;number=3.5&amp;sourceID=14","3.5")</f>
        <v>3.5</v>
      </c>
      <c r="G129" s="4" t="str">
        <f>HYPERLINK("http://141.218.60.56/~jnz1568/getInfo.php?workbook=27_11.xlsx&amp;sheet=U0&amp;row=129&amp;col=7&amp;number=0.0097&amp;sourceID=14","0.0097")</f>
        <v>0.0097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HYPERLINK("http://141.218.60.56/~jnz1568/getInfo.php?workbook=27_11.xlsx&amp;sheet=U0&amp;row=130&amp;col=6&amp;number=3.6&amp;sourceID=14","3.6")</f>
        <v>3.6</v>
      </c>
      <c r="G130" s="4" t="str">
        <f>HYPERLINK("http://141.218.60.56/~jnz1568/getInfo.php?workbook=27_11.xlsx&amp;sheet=U0&amp;row=130&amp;col=7&amp;number=0.00971&amp;sourceID=14","0.00971")</f>
        <v>0.00971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HYPERLINK("http://141.218.60.56/~jnz1568/getInfo.php?workbook=27_11.xlsx&amp;sheet=U0&amp;row=131&amp;col=6&amp;number=3.7&amp;sourceID=14","3.7")</f>
        <v>3.7</v>
      </c>
      <c r="G131" s="4" t="str">
        <f>HYPERLINK("http://141.218.60.56/~jnz1568/getInfo.php?workbook=27_11.xlsx&amp;sheet=U0&amp;row=131&amp;col=7&amp;number=0.00971&amp;sourceID=14","0.00971")</f>
        <v>0.00971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HYPERLINK("http://141.218.60.56/~jnz1568/getInfo.php?workbook=27_11.xlsx&amp;sheet=U0&amp;row=132&amp;col=6&amp;number=3.8&amp;sourceID=14","3.8")</f>
        <v>3.8</v>
      </c>
      <c r="G132" s="4" t="str">
        <f>HYPERLINK("http://141.218.60.56/~jnz1568/getInfo.php?workbook=27_11.xlsx&amp;sheet=U0&amp;row=132&amp;col=7&amp;number=0.00971&amp;sourceID=14","0.00971")</f>
        <v>0.00971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HYPERLINK("http://141.218.60.56/~jnz1568/getInfo.php?workbook=27_11.xlsx&amp;sheet=U0&amp;row=133&amp;col=6&amp;number=3.9&amp;sourceID=14","3.9")</f>
        <v>3.9</v>
      </c>
      <c r="G133" s="4" t="str">
        <f>HYPERLINK("http://141.218.60.56/~jnz1568/getInfo.php?workbook=27_11.xlsx&amp;sheet=U0&amp;row=133&amp;col=7&amp;number=0.00972&amp;sourceID=14","0.00972")</f>
        <v>0.00972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HYPERLINK("http://141.218.60.56/~jnz1568/getInfo.php?workbook=27_11.xlsx&amp;sheet=U0&amp;row=134&amp;col=6&amp;number=4&amp;sourceID=14","4")</f>
        <v>4</v>
      </c>
      <c r="G134" s="4" t="str">
        <f>HYPERLINK("http://141.218.60.56/~jnz1568/getInfo.php?workbook=27_11.xlsx&amp;sheet=U0&amp;row=134&amp;col=7&amp;number=0.00973&amp;sourceID=14","0.00973")</f>
        <v>0.00973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HYPERLINK("http://141.218.60.56/~jnz1568/getInfo.php?workbook=27_11.xlsx&amp;sheet=U0&amp;row=135&amp;col=6&amp;number=4.1&amp;sourceID=14","4.1")</f>
        <v>4.1</v>
      </c>
      <c r="G135" s="4" t="str">
        <f>HYPERLINK("http://141.218.60.56/~jnz1568/getInfo.php?workbook=27_11.xlsx&amp;sheet=U0&amp;row=135&amp;col=7&amp;number=0.00973&amp;sourceID=14","0.00973")</f>
        <v>0.00973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HYPERLINK("http://141.218.60.56/~jnz1568/getInfo.php?workbook=27_11.xlsx&amp;sheet=U0&amp;row=136&amp;col=6&amp;number=4.2&amp;sourceID=14","4.2")</f>
        <v>4.2</v>
      </c>
      <c r="G136" s="4" t="str">
        <f>HYPERLINK("http://141.218.60.56/~jnz1568/getInfo.php?workbook=27_11.xlsx&amp;sheet=U0&amp;row=136&amp;col=7&amp;number=0.00974&amp;sourceID=14","0.00974")</f>
        <v>0.00974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HYPERLINK("http://141.218.60.56/~jnz1568/getInfo.php?workbook=27_11.xlsx&amp;sheet=U0&amp;row=137&amp;col=6&amp;number=4.3&amp;sourceID=14","4.3")</f>
        <v>4.3</v>
      </c>
      <c r="G137" s="4" t="str">
        <f>HYPERLINK("http://141.218.60.56/~jnz1568/getInfo.php?workbook=27_11.xlsx&amp;sheet=U0&amp;row=137&amp;col=7&amp;number=0.00976&amp;sourceID=14","0.00976")</f>
        <v>0.00976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HYPERLINK("http://141.218.60.56/~jnz1568/getInfo.php?workbook=27_11.xlsx&amp;sheet=U0&amp;row=138&amp;col=6&amp;number=4.4&amp;sourceID=14","4.4")</f>
        <v>4.4</v>
      </c>
      <c r="G138" s="4" t="str">
        <f>HYPERLINK("http://141.218.60.56/~jnz1568/getInfo.php?workbook=27_11.xlsx&amp;sheet=U0&amp;row=138&amp;col=7&amp;number=0.00977&amp;sourceID=14","0.00977")</f>
        <v>0.00977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HYPERLINK("http://141.218.60.56/~jnz1568/getInfo.php?workbook=27_11.xlsx&amp;sheet=U0&amp;row=139&amp;col=6&amp;number=4.5&amp;sourceID=14","4.5")</f>
        <v>4.5</v>
      </c>
      <c r="G139" s="4" t="str">
        <f>HYPERLINK("http://141.218.60.56/~jnz1568/getInfo.php?workbook=27_11.xlsx&amp;sheet=U0&amp;row=139&amp;col=7&amp;number=0.00979&amp;sourceID=14","0.00979")</f>
        <v>0.00979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HYPERLINK("http://141.218.60.56/~jnz1568/getInfo.php?workbook=27_11.xlsx&amp;sheet=U0&amp;row=140&amp;col=6&amp;number=4.6&amp;sourceID=14","4.6")</f>
        <v>4.6</v>
      </c>
      <c r="G140" s="4" t="str">
        <f>HYPERLINK("http://141.218.60.56/~jnz1568/getInfo.php?workbook=27_11.xlsx&amp;sheet=U0&amp;row=140&amp;col=7&amp;number=0.00982&amp;sourceID=14","0.00982")</f>
        <v>0.00982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HYPERLINK("http://141.218.60.56/~jnz1568/getInfo.php?workbook=27_11.xlsx&amp;sheet=U0&amp;row=141&amp;col=6&amp;number=4.7&amp;sourceID=14","4.7")</f>
        <v>4.7</v>
      </c>
      <c r="G141" s="4" t="str">
        <f>HYPERLINK("http://141.218.60.56/~jnz1568/getInfo.php?workbook=27_11.xlsx&amp;sheet=U0&amp;row=141&amp;col=7&amp;number=0.00985&amp;sourceID=14","0.00985")</f>
        <v>0.00985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HYPERLINK("http://141.218.60.56/~jnz1568/getInfo.php?workbook=27_11.xlsx&amp;sheet=U0&amp;row=142&amp;col=6&amp;number=4.8&amp;sourceID=14","4.8")</f>
        <v>4.8</v>
      </c>
      <c r="G142" s="4" t="str">
        <f>HYPERLINK("http://141.218.60.56/~jnz1568/getInfo.php?workbook=27_11.xlsx&amp;sheet=U0&amp;row=142&amp;col=7&amp;number=0.00989&amp;sourceID=14","0.00989")</f>
        <v>0.00989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HYPERLINK("http://141.218.60.56/~jnz1568/getInfo.php?workbook=27_11.xlsx&amp;sheet=U0&amp;row=143&amp;col=6&amp;number=4.9&amp;sourceID=14","4.9")</f>
        <v>4.9</v>
      </c>
      <c r="G143" s="4" t="str">
        <f>HYPERLINK("http://141.218.60.56/~jnz1568/getInfo.php?workbook=27_11.xlsx&amp;sheet=U0&amp;row=143&amp;col=7&amp;number=0.00994&amp;sourceID=14","0.00994")</f>
        <v>0.00994</v>
      </c>
    </row>
    <row r="144" spans="1:7">
      <c r="A144" s="3">
        <v>27</v>
      </c>
      <c r="B144" s="3">
        <v>11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HYPERLINK("http://141.218.60.56/~jnz1568/getInfo.php?workbook=27_11.xlsx&amp;sheet=U0&amp;row=144&amp;col=6&amp;number=3&amp;sourceID=14","3")</f>
        <v>3</v>
      </c>
      <c r="G144" s="4" t="str">
        <f>HYPERLINK("http://141.218.60.56/~jnz1568/getInfo.php?workbook=27_11.xlsx&amp;sheet=U0&amp;row=144&amp;col=7&amp;number=0.0154&amp;sourceID=14","0.0154")</f>
        <v>0.0154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HYPERLINK("http://141.218.60.56/~jnz1568/getInfo.php?workbook=27_11.xlsx&amp;sheet=U0&amp;row=145&amp;col=6&amp;number=3.1&amp;sourceID=14","3.1")</f>
        <v>3.1</v>
      </c>
      <c r="G145" s="4" t="str">
        <f>HYPERLINK("http://141.218.60.56/~jnz1568/getInfo.php?workbook=27_11.xlsx&amp;sheet=U0&amp;row=145&amp;col=7&amp;number=0.0154&amp;sourceID=14","0.0154")</f>
        <v>0.0154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HYPERLINK("http://141.218.60.56/~jnz1568/getInfo.php?workbook=27_11.xlsx&amp;sheet=U0&amp;row=146&amp;col=6&amp;number=3.2&amp;sourceID=14","3.2")</f>
        <v>3.2</v>
      </c>
      <c r="G146" s="4" t="str">
        <f>HYPERLINK("http://141.218.60.56/~jnz1568/getInfo.php?workbook=27_11.xlsx&amp;sheet=U0&amp;row=146&amp;col=7&amp;number=0.0154&amp;sourceID=14","0.0154")</f>
        <v>0.0154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HYPERLINK("http://141.218.60.56/~jnz1568/getInfo.php?workbook=27_11.xlsx&amp;sheet=U0&amp;row=147&amp;col=6&amp;number=3.3&amp;sourceID=14","3.3")</f>
        <v>3.3</v>
      </c>
      <c r="G147" s="4" t="str">
        <f>HYPERLINK("http://141.218.60.56/~jnz1568/getInfo.php?workbook=27_11.xlsx&amp;sheet=U0&amp;row=147&amp;col=7&amp;number=0.0154&amp;sourceID=14","0.0154")</f>
        <v>0.0154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HYPERLINK("http://141.218.60.56/~jnz1568/getInfo.php?workbook=27_11.xlsx&amp;sheet=U0&amp;row=148&amp;col=6&amp;number=3.4&amp;sourceID=14","3.4")</f>
        <v>3.4</v>
      </c>
      <c r="G148" s="4" t="str">
        <f>HYPERLINK("http://141.218.60.56/~jnz1568/getInfo.php?workbook=27_11.xlsx&amp;sheet=U0&amp;row=148&amp;col=7&amp;number=0.0154&amp;sourceID=14","0.0154")</f>
        <v>0.0154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HYPERLINK("http://141.218.60.56/~jnz1568/getInfo.php?workbook=27_11.xlsx&amp;sheet=U0&amp;row=149&amp;col=6&amp;number=3.5&amp;sourceID=14","3.5")</f>
        <v>3.5</v>
      </c>
      <c r="G149" s="4" t="str">
        <f>HYPERLINK("http://141.218.60.56/~jnz1568/getInfo.php?workbook=27_11.xlsx&amp;sheet=U0&amp;row=149&amp;col=7&amp;number=0.0154&amp;sourceID=14","0.0154")</f>
        <v>0.0154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HYPERLINK("http://141.218.60.56/~jnz1568/getInfo.php?workbook=27_11.xlsx&amp;sheet=U0&amp;row=150&amp;col=6&amp;number=3.6&amp;sourceID=14","3.6")</f>
        <v>3.6</v>
      </c>
      <c r="G150" s="4" t="str">
        <f>HYPERLINK("http://141.218.60.56/~jnz1568/getInfo.php?workbook=27_11.xlsx&amp;sheet=U0&amp;row=150&amp;col=7&amp;number=0.0154&amp;sourceID=14","0.0154")</f>
        <v>0.0154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HYPERLINK("http://141.218.60.56/~jnz1568/getInfo.php?workbook=27_11.xlsx&amp;sheet=U0&amp;row=151&amp;col=6&amp;number=3.7&amp;sourceID=14","3.7")</f>
        <v>3.7</v>
      </c>
      <c r="G151" s="4" t="str">
        <f>HYPERLINK("http://141.218.60.56/~jnz1568/getInfo.php?workbook=27_11.xlsx&amp;sheet=U0&amp;row=151&amp;col=7&amp;number=0.0154&amp;sourceID=14","0.0154")</f>
        <v>0.0154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HYPERLINK("http://141.218.60.56/~jnz1568/getInfo.php?workbook=27_11.xlsx&amp;sheet=U0&amp;row=152&amp;col=6&amp;number=3.8&amp;sourceID=14","3.8")</f>
        <v>3.8</v>
      </c>
      <c r="G152" s="4" t="str">
        <f>HYPERLINK("http://141.218.60.56/~jnz1568/getInfo.php?workbook=27_11.xlsx&amp;sheet=U0&amp;row=152&amp;col=7&amp;number=0.0154&amp;sourceID=14","0.0154")</f>
        <v>0.0154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HYPERLINK("http://141.218.60.56/~jnz1568/getInfo.php?workbook=27_11.xlsx&amp;sheet=U0&amp;row=153&amp;col=6&amp;number=3.9&amp;sourceID=14","3.9")</f>
        <v>3.9</v>
      </c>
      <c r="G153" s="4" t="str">
        <f>HYPERLINK("http://141.218.60.56/~jnz1568/getInfo.php?workbook=27_11.xlsx&amp;sheet=U0&amp;row=153&amp;col=7&amp;number=0.0154&amp;sourceID=14","0.0154")</f>
        <v>0.0154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HYPERLINK("http://141.218.60.56/~jnz1568/getInfo.php?workbook=27_11.xlsx&amp;sheet=U0&amp;row=154&amp;col=6&amp;number=4&amp;sourceID=14","4")</f>
        <v>4</v>
      </c>
      <c r="G154" s="4" t="str">
        <f>HYPERLINK("http://141.218.60.56/~jnz1568/getInfo.php?workbook=27_11.xlsx&amp;sheet=U0&amp;row=154&amp;col=7&amp;number=0.0154&amp;sourceID=14","0.0154")</f>
        <v>0.0154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HYPERLINK("http://141.218.60.56/~jnz1568/getInfo.php?workbook=27_11.xlsx&amp;sheet=U0&amp;row=155&amp;col=6&amp;number=4.1&amp;sourceID=14","4.1")</f>
        <v>4.1</v>
      </c>
      <c r="G155" s="4" t="str">
        <f>HYPERLINK("http://141.218.60.56/~jnz1568/getInfo.php?workbook=27_11.xlsx&amp;sheet=U0&amp;row=155&amp;col=7&amp;number=0.0154&amp;sourceID=14","0.0154")</f>
        <v>0.0154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HYPERLINK("http://141.218.60.56/~jnz1568/getInfo.php?workbook=27_11.xlsx&amp;sheet=U0&amp;row=156&amp;col=6&amp;number=4.2&amp;sourceID=14","4.2")</f>
        <v>4.2</v>
      </c>
      <c r="G156" s="4" t="str">
        <f>HYPERLINK("http://141.218.60.56/~jnz1568/getInfo.php?workbook=27_11.xlsx&amp;sheet=U0&amp;row=156&amp;col=7&amp;number=0.0155&amp;sourceID=14","0.0155")</f>
        <v>0.0155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HYPERLINK("http://141.218.60.56/~jnz1568/getInfo.php?workbook=27_11.xlsx&amp;sheet=U0&amp;row=157&amp;col=6&amp;number=4.3&amp;sourceID=14","4.3")</f>
        <v>4.3</v>
      </c>
      <c r="G157" s="4" t="str">
        <f>HYPERLINK("http://141.218.60.56/~jnz1568/getInfo.php?workbook=27_11.xlsx&amp;sheet=U0&amp;row=157&amp;col=7&amp;number=0.0155&amp;sourceID=14","0.0155")</f>
        <v>0.0155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HYPERLINK("http://141.218.60.56/~jnz1568/getInfo.php?workbook=27_11.xlsx&amp;sheet=U0&amp;row=158&amp;col=6&amp;number=4.4&amp;sourceID=14","4.4")</f>
        <v>4.4</v>
      </c>
      <c r="G158" s="4" t="str">
        <f>HYPERLINK("http://141.218.60.56/~jnz1568/getInfo.php?workbook=27_11.xlsx&amp;sheet=U0&amp;row=158&amp;col=7&amp;number=0.0155&amp;sourceID=14","0.0155")</f>
        <v>0.0155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HYPERLINK("http://141.218.60.56/~jnz1568/getInfo.php?workbook=27_11.xlsx&amp;sheet=U0&amp;row=159&amp;col=6&amp;number=4.5&amp;sourceID=14","4.5")</f>
        <v>4.5</v>
      </c>
      <c r="G159" s="4" t="str">
        <f>HYPERLINK("http://141.218.60.56/~jnz1568/getInfo.php?workbook=27_11.xlsx&amp;sheet=U0&amp;row=159&amp;col=7&amp;number=0.0155&amp;sourceID=14","0.0155")</f>
        <v>0.0155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HYPERLINK("http://141.218.60.56/~jnz1568/getInfo.php?workbook=27_11.xlsx&amp;sheet=U0&amp;row=160&amp;col=6&amp;number=4.6&amp;sourceID=14","4.6")</f>
        <v>4.6</v>
      </c>
      <c r="G160" s="4" t="str">
        <f>HYPERLINK("http://141.218.60.56/~jnz1568/getInfo.php?workbook=27_11.xlsx&amp;sheet=U0&amp;row=160&amp;col=7&amp;number=0.0155&amp;sourceID=14","0.0155")</f>
        <v>0.0155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HYPERLINK("http://141.218.60.56/~jnz1568/getInfo.php?workbook=27_11.xlsx&amp;sheet=U0&amp;row=161&amp;col=6&amp;number=4.7&amp;sourceID=14","4.7")</f>
        <v>4.7</v>
      </c>
      <c r="G161" s="4" t="str">
        <f>HYPERLINK("http://141.218.60.56/~jnz1568/getInfo.php?workbook=27_11.xlsx&amp;sheet=U0&amp;row=161&amp;col=7&amp;number=0.0155&amp;sourceID=14","0.0155")</f>
        <v>0.0155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HYPERLINK("http://141.218.60.56/~jnz1568/getInfo.php?workbook=27_11.xlsx&amp;sheet=U0&amp;row=162&amp;col=6&amp;number=4.8&amp;sourceID=14","4.8")</f>
        <v>4.8</v>
      </c>
      <c r="G162" s="4" t="str">
        <f>HYPERLINK("http://141.218.60.56/~jnz1568/getInfo.php?workbook=27_11.xlsx&amp;sheet=U0&amp;row=162&amp;col=7&amp;number=0.0155&amp;sourceID=14","0.0155")</f>
        <v>0.0155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HYPERLINK("http://141.218.60.56/~jnz1568/getInfo.php?workbook=27_11.xlsx&amp;sheet=U0&amp;row=163&amp;col=6&amp;number=4.9&amp;sourceID=14","4.9")</f>
        <v>4.9</v>
      </c>
      <c r="G163" s="4" t="str">
        <f>HYPERLINK("http://141.218.60.56/~jnz1568/getInfo.php?workbook=27_11.xlsx&amp;sheet=U0&amp;row=163&amp;col=7&amp;number=0.0155&amp;sourceID=14","0.0155")</f>
        <v>0.0155</v>
      </c>
    </row>
    <row r="164" spans="1:7">
      <c r="A164" s="3">
        <v>27</v>
      </c>
      <c r="B164" s="3">
        <v>11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HYPERLINK("http://141.218.60.56/~jnz1568/getInfo.php?workbook=27_11.xlsx&amp;sheet=U0&amp;row=164&amp;col=6&amp;number=3&amp;sourceID=14","3")</f>
        <v>3</v>
      </c>
      <c r="G164" s="4" t="str">
        <f>HYPERLINK("http://141.218.60.56/~jnz1568/getInfo.php?workbook=27_11.xlsx&amp;sheet=U0&amp;row=164&amp;col=7&amp;number=0.0229&amp;sourceID=14","0.0229")</f>
        <v>0.0229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HYPERLINK("http://141.218.60.56/~jnz1568/getInfo.php?workbook=27_11.xlsx&amp;sheet=U0&amp;row=165&amp;col=6&amp;number=3.1&amp;sourceID=14","3.1")</f>
        <v>3.1</v>
      </c>
      <c r="G165" s="4" t="str">
        <f>HYPERLINK("http://141.218.60.56/~jnz1568/getInfo.php?workbook=27_11.xlsx&amp;sheet=U0&amp;row=165&amp;col=7&amp;number=0.0229&amp;sourceID=14","0.0229")</f>
        <v>0.0229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HYPERLINK("http://141.218.60.56/~jnz1568/getInfo.php?workbook=27_11.xlsx&amp;sheet=U0&amp;row=166&amp;col=6&amp;number=3.2&amp;sourceID=14","3.2")</f>
        <v>3.2</v>
      </c>
      <c r="G166" s="4" t="str">
        <f>HYPERLINK("http://141.218.60.56/~jnz1568/getInfo.php?workbook=27_11.xlsx&amp;sheet=U0&amp;row=166&amp;col=7&amp;number=0.0229&amp;sourceID=14","0.0229")</f>
        <v>0.0229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HYPERLINK("http://141.218.60.56/~jnz1568/getInfo.php?workbook=27_11.xlsx&amp;sheet=U0&amp;row=167&amp;col=6&amp;number=3.3&amp;sourceID=14","3.3")</f>
        <v>3.3</v>
      </c>
      <c r="G167" s="4" t="str">
        <f>HYPERLINK("http://141.218.60.56/~jnz1568/getInfo.php?workbook=27_11.xlsx&amp;sheet=U0&amp;row=167&amp;col=7&amp;number=0.0229&amp;sourceID=14","0.0229")</f>
        <v>0.0229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HYPERLINK("http://141.218.60.56/~jnz1568/getInfo.php?workbook=27_11.xlsx&amp;sheet=U0&amp;row=168&amp;col=6&amp;number=3.4&amp;sourceID=14","3.4")</f>
        <v>3.4</v>
      </c>
      <c r="G168" s="4" t="str">
        <f>HYPERLINK("http://141.218.60.56/~jnz1568/getInfo.php?workbook=27_11.xlsx&amp;sheet=U0&amp;row=168&amp;col=7&amp;number=0.0229&amp;sourceID=14","0.0229")</f>
        <v>0.0229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HYPERLINK("http://141.218.60.56/~jnz1568/getInfo.php?workbook=27_11.xlsx&amp;sheet=U0&amp;row=169&amp;col=6&amp;number=3.5&amp;sourceID=14","3.5")</f>
        <v>3.5</v>
      </c>
      <c r="G169" s="4" t="str">
        <f>HYPERLINK("http://141.218.60.56/~jnz1568/getInfo.php?workbook=27_11.xlsx&amp;sheet=U0&amp;row=169&amp;col=7&amp;number=0.0229&amp;sourceID=14","0.0229")</f>
        <v>0.0229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HYPERLINK("http://141.218.60.56/~jnz1568/getInfo.php?workbook=27_11.xlsx&amp;sheet=U0&amp;row=170&amp;col=6&amp;number=3.6&amp;sourceID=14","3.6")</f>
        <v>3.6</v>
      </c>
      <c r="G170" s="4" t="str">
        <f>HYPERLINK("http://141.218.60.56/~jnz1568/getInfo.php?workbook=27_11.xlsx&amp;sheet=U0&amp;row=170&amp;col=7&amp;number=0.0229&amp;sourceID=14","0.0229")</f>
        <v>0.0229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HYPERLINK("http://141.218.60.56/~jnz1568/getInfo.php?workbook=27_11.xlsx&amp;sheet=U0&amp;row=171&amp;col=6&amp;number=3.7&amp;sourceID=14","3.7")</f>
        <v>3.7</v>
      </c>
      <c r="G171" s="4" t="str">
        <f>HYPERLINK("http://141.218.60.56/~jnz1568/getInfo.php?workbook=27_11.xlsx&amp;sheet=U0&amp;row=171&amp;col=7&amp;number=0.0229&amp;sourceID=14","0.0229")</f>
        <v>0.0229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HYPERLINK("http://141.218.60.56/~jnz1568/getInfo.php?workbook=27_11.xlsx&amp;sheet=U0&amp;row=172&amp;col=6&amp;number=3.8&amp;sourceID=14","3.8")</f>
        <v>3.8</v>
      </c>
      <c r="G172" s="4" t="str">
        <f>HYPERLINK("http://141.218.60.56/~jnz1568/getInfo.php?workbook=27_11.xlsx&amp;sheet=U0&amp;row=172&amp;col=7&amp;number=0.0229&amp;sourceID=14","0.0229")</f>
        <v>0.0229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HYPERLINK("http://141.218.60.56/~jnz1568/getInfo.php?workbook=27_11.xlsx&amp;sheet=U0&amp;row=173&amp;col=6&amp;number=3.9&amp;sourceID=14","3.9")</f>
        <v>3.9</v>
      </c>
      <c r="G173" s="4" t="str">
        <f>HYPERLINK("http://141.218.60.56/~jnz1568/getInfo.php?workbook=27_11.xlsx&amp;sheet=U0&amp;row=173&amp;col=7&amp;number=0.0229&amp;sourceID=14","0.0229")</f>
        <v>0.0229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HYPERLINK("http://141.218.60.56/~jnz1568/getInfo.php?workbook=27_11.xlsx&amp;sheet=U0&amp;row=174&amp;col=6&amp;number=4&amp;sourceID=14","4")</f>
        <v>4</v>
      </c>
      <c r="G174" s="4" t="str">
        <f>HYPERLINK("http://141.218.60.56/~jnz1568/getInfo.php?workbook=27_11.xlsx&amp;sheet=U0&amp;row=174&amp;col=7&amp;number=0.0229&amp;sourceID=14","0.0229")</f>
        <v>0.0229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HYPERLINK("http://141.218.60.56/~jnz1568/getInfo.php?workbook=27_11.xlsx&amp;sheet=U0&amp;row=175&amp;col=6&amp;number=4.1&amp;sourceID=14","4.1")</f>
        <v>4.1</v>
      </c>
      <c r="G175" s="4" t="str">
        <f>HYPERLINK("http://141.218.60.56/~jnz1568/getInfo.php?workbook=27_11.xlsx&amp;sheet=U0&amp;row=175&amp;col=7&amp;number=0.0229&amp;sourceID=14","0.0229")</f>
        <v>0.0229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HYPERLINK("http://141.218.60.56/~jnz1568/getInfo.php?workbook=27_11.xlsx&amp;sheet=U0&amp;row=176&amp;col=6&amp;number=4.2&amp;sourceID=14","4.2")</f>
        <v>4.2</v>
      </c>
      <c r="G176" s="4" t="str">
        <f>HYPERLINK("http://141.218.60.56/~jnz1568/getInfo.php?workbook=27_11.xlsx&amp;sheet=U0&amp;row=176&amp;col=7&amp;number=0.023&amp;sourceID=14","0.023")</f>
        <v>0.023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HYPERLINK("http://141.218.60.56/~jnz1568/getInfo.php?workbook=27_11.xlsx&amp;sheet=U0&amp;row=177&amp;col=6&amp;number=4.3&amp;sourceID=14","4.3")</f>
        <v>4.3</v>
      </c>
      <c r="G177" s="4" t="str">
        <f>HYPERLINK("http://141.218.60.56/~jnz1568/getInfo.php?workbook=27_11.xlsx&amp;sheet=U0&amp;row=177&amp;col=7&amp;number=0.023&amp;sourceID=14","0.023")</f>
        <v>0.023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HYPERLINK("http://141.218.60.56/~jnz1568/getInfo.php?workbook=27_11.xlsx&amp;sheet=U0&amp;row=178&amp;col=6&amp;number=4.4&amp;sourceID=14","4.4")</f>
        <v>4.4</v>
      </c>
      <c r="G178" s="4" t="str">
        <f>HYPERLINK("http://141.218.60.56/~jnz1568/getInfo.php?workbook=27_11.xlsx&amp;sheet=U0&amp;row=178&amp;col=7&amp;number=0.023&amp;sourceID=14","0.023")</f>
        <v>0.023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HYPERLINK("http://141.218.60.56/~jnz1568/getInfo.php?workbook=27_11.xlsx&amp;sheet=U0&amp;row=179&amp;col=6&amp;number=4.5&amp;sourceID=14","4.5")</f>
        <v>4.5</v>
      </c>
      <c r="G179" s="4" t="str">
        <f>HYPERLINK("http://141.218.60.56/~jnz1568/getInfo.php?workbook=27_11.xlsx&amp;sheet=U0&amp;row=179&amp;col=7&amp;number=0.023&amp;sourceID=14","0.023")</f>
        <v>0.023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HYPERLINK("http://141.218.60.56/~jnz1568/getInfo.php?workbook=27_11.xlsx&amp;sheet=U0&amp;row=180&amp;col=6&amp;number=4.6&amp;sourceID=14","4.6")</f>
        <v>4.6</v>
      </c>
      <c r="G180" s="4" t="str">
        <f>HYPERLINK("http://141.218.60.56/~jnz1568/getInfo.php?workbook=27_11.xlsx&amp;sheet=U0&amp;row=180&amp;col=7&amp;number=0.023&amp;sourceID=14","0.023")</f>
        <v>0.023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HYPERLINK("http://141.218.60.56/~jnz1568/getInfo.php?workbook=27_11.xlsx&amp;sheet=U0&amp;row=181&amp;col=6&amp;number=4.7&amp;sourceID=14","4.7")</f>
        <v>4.7</v>
      </c>
      <c r="G181" s="4" t="str">
        <f>HYPERLINK("http://141.218.60.56/~jnz1568/getInfo.php?workbook=27_11.xlsx&amp;sheet=U0&amp;row=181&amp;col=7&amp;number=0.023&amp;sourceID=14","0.023")</f>
        <v>0.023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HYPERLINK("http://141.218.60.56/~jnz1568/getInfo.php?workbook=27_11.xlsx&amp;sheet=U0&amp;row=182&amp;col=6&amp;number=4.8&amp;sourceID=14","4.8")</f>
        <v>4.8</v>
      </c>
      <c r="G182" s="4" t="str">
        <f>HYPERLINK("http://141.218.60.56/~jnz1568/getInfo.php?workbook=27_11.xlsx&amp;sheet=U0&amp;row=182&amp;col=7&amp;number=0.0231&amp;sourceID=14","0.0231")</f>
        <v>0.0231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HYPERLINK("http://141.218.60.56/~jnz1568/getInfo.php?workbook=27_11.xlsx&amp;sheet=U0&amp;row=183&amp;col=6&amp;number=4.9&amp;sourceID=14","4.9")</f>
        <v>4.9</v>
      </c>
      <c r="G183" s="4" t="str">
        <f>HYPERLINK("http://141.218.60.56/~jnz1568/getInfo.php?workbook=27_11.xlsx&amp;sheet=U0&amp;row=183&amp;col=7&amp;number=0.0231&amp;sourceID=14","0.0231")</f>
        <v>0.0231</v>
      </c>
    </row>
    <row r="184" spans="1:7">
      <c r="A184" s="3">
        <v>27</v>
      </c>
      <c r="B184" s="3">
        <v>11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HYPERLINK("http://141.218.60.56/~jnz1568/getInfo.php?workbook=27_11.xlsx&amp;sheet=U0&amp;row=184&amp;col=6&amp;number=3&amp;sourceID=14","3")</f>
        <v>3</v>
      </c>
      <c r="G184" s="4" t="str">
        <f>HYPERLINK("http://141.218.60.56/~jnz1568/getInfo.php?workbook=27_11.xlsx&amp;sheet=U0&amp;row=184&amp;col=7&amp;number=0.0312&amp;sourceID=14","0.0312")</f>
        <v>0.0312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HYPERLINK("http://141.218.60.56/~jnz1568/getInfo.php?workbook=27_11.xlsx&amp;sheet=U0&amp;row=185&amp;col=6&amp;number=3.1&amp;sourceID=14","3.1")</f>
        <v>3.1</v>
      </c>
      <c r="G185" s="4" t="str">
        <f>HYPERLINK("http://141.218.60.56/~jnz1568/getInfo.php?workbook=27_11.xlsx&amp;sheet=U0&amp;row=185&amp;col=7&amp;number=0.0312&amp;sourceID=14","0.0312")</f>
        <v>0.0312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HYPERLINK("http://141.218.60.56/~jnz1568/getInfo.php?workbook=27_11.xlsx&amp;sheet=U0&amp;row=186&amp;col=6&amp;number=3.2&amp;sourceID=14","3.2")</f>
        <v>3.2</v>
      </c>
      <c r="G186" s="4" t="str">
        <f>HYPERLINK("http://141.218.60.56/~jnz1568/getInfo.php?workbook=27_11.xlsx&amp;sheet=U0&amp;row=186&amp;col=7&amp;number=0.0312&amp;sourceID=14","0.0312")</f>
        <v>0.0312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HYPERLINK("http://141.218.60.56/~jnz1568/getInfo.php?workbook=27_11.xlsx&amp;sheet=U0&amp;row=187&amp;col=6&amp;number=3.3&amp;sourceID=14","3.3")</f>
        <v>3.3</v>
      </c>
      <c r="G187" s="4" t="str">
        <f>HYPERLINK("http://141.218.60.56/~jnz1568/getInfo.php?workbook=27_11.xlsx&amp;sheet=U0&amp;row=187&amp;col=7&amp;number=0.0312&amp;sourceID=14","0.0312")</f>
        <v>0.0312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HYPERLINK("http://141.218.60.56/~jnz1568/getInfo.php?workbook=27_11.xlsx&amp;sheet=U0&amp;row=188&amp;col=6&amp;number=3.4&amp;sourceID=14","3.4")</f>
        <v>3.4</v>
      </c>
      <c r="G188" s="4" t="str">
        <f>HYPERLINK("http://141.218.60.56/~jnz1568/getInfo.php?workbook=27_11.xlsx&amp;sheet=U0&amp;row=188&amp;col=7&amp;number=0.0312&amp;sourceID=14","0.0312")</f>
        <v>0.0312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HYPERLINK("http://141.218.60.56/~jnz1568/getInfo.php?workbook=27_11.xlsx&amp;sheet=U0&amp;row=189&amp;col=6&amp;number=3.5&amp;sourceID=14","3.5")</f>
        <v>3.5</v>
      </c>
      <c r="G189" s="4" t="str">
        <f>HYPERLINK("http://141.218.60.56/~jnz1568/getInfo.php?workbook=27_11.xlsx&amp;sheet=U0&amp;row=189&amp;col=7&amp;number=0.0312&amp;sourceID=14","0.0312")</f>
        <v>0.0312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HYPERLINK("http://141.218.60.56/~jnz1568/getInfo.php?workbook=27_11.xlsx&amp;sheet=U0&amp;row=190&amp;col=6&amp;number=3.6&amp;sourceID=14","3.6")</f>
        <v>3.6</v>
      </c>
      <c r="G190" s="4" t="str">
        <f>HYPERLINK("http://141.218.60.56/~jnz1568/getInfo.php?workbook=27_11.xlsx&amp;sheet=U0&amp;row=190&amp;col=7&amp;number=0.0312&amp;sourceID=14","0.0312")</f>
        <v>0.0312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HYPERLINK("http://141.218.60.56/~jnz1568/getInfo.php?workbook=27_11.xlsx&amp;sheet=U0&amp;row=191&amp;col=6&amp;number=3.7&amp;sourceID=14","3.7")</f>
        <v>3.7</v>
      </c>
      <c r="G191" s="4" t="str">
        <f>HYPERLINK("http://141.218.60.56/~jnz1568/getInfo.php?workbook=27_11.xlsx&amp;sheet=U0&amp;row=191&amp;col=7&amp;number=0.0312&amp;sourceID=14","0.0312")</f>
        <v>0.0312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HYPERLINK("http://141.218.60.56/~jnz1568/getInfo.php?workbook=27_11.xlsx&amp;sheet=U0&amp;row=192&amp;col=6&amp;number=3.8&amp;sourceID=14","3.8")</f>
        <v>3.8</v>
      </c>
      <c r="G192" s="4" t="str">
        <f>HYPERLINK("http://141.218.60.56/~jnz1568/getInfo.php?workbook=27_11.xlsx&amp;sheet=U0&amp;row=192&amp;col=7&amp;number=0.0312&amp;sourceID=14","0.0312")</f>
        <v>0.0312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HYPERLINK("http://141.218.60.56/~jnz1568/getInfo.php?workbook=27_11.xlsx&amp;sheet=U0&amp;row=193&amp;col=6&amp;number=3.9&amp;sourceID=14","3.9")</f>
        <v>3.9</v>
      </c>
      <c r="G193" s="4" t="str">
        <f>HYPERLINK("http://141.218.60.56/~jnz1568/getInfo.php?workbook=27_11.xlsx&amp;sheet=U0&amp;row=193&amp;col=7&amp;number=0.0312&amp;sourceID=14","0.0312")</f>
        <v>0.0312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HYPERLINK("http://141.218.60.56/~jnz1568/getInfo.php?workbook=27_11.xlsx&amp;sheet=U0&amp;row=194&amp;col=6&amp;number=4&amp;sourceID=14","4")</f>
        <v>4</v>
      </c>
      <c r="G194" s="4" t="str">
        <f>HYPERLINK("http://141.218.60.56/~jnz1568/getInfo.php?workbook=27_11.xlsx&amp;sheet=U0&amp;row=194&amp;col=7&amp;number=0.0312&amp;sourceID=14","0.0312")</f>
        <v>0.0312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HYPERLINK("http://141.218.60.56/~jnz1568/getInfo.php?workbook=27_11.xlsx&amp;sheet=U0&amp;row=195&amp;col=6&amp;number=4.1&amp;sourceID=14","4.1")</f>
        <v>4.1</v>
      </c>
      <c r="G195" s="4" t="str">
        <f>HYPERLINK("http://141.218.60.56/~jnz1568/getInfo.php?workbook=27_11.xlsx&amp;sheet=U0&amp;row=195&amp;col=7&amp;number=0.0312&amp;sourceID=14","0.0312")</f>
        <v>0.0312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HYPERLINK("http://141.218.60.56/~jnz1568/getInfo.php?workbook=27_11.xlsx&amp;sheet=U0&amp;row=196&amp;col=6&amp;number=4.2&amp;sourceID=14","4.2")</f>
        <v>4.2</v>
      </c>
      <c r="G196" s="4" t="str">
        <f>HYPERLINK("http://141.218.60.56/~jnz1568/getInfo.php?workbook=27_11.xlsx&amp;sheet=U0&amp;row=196&amp;col=7&amp;number=0.0312&amp;sourceID=14","0.0312")</f>
        <v>0.0312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HYPERLINK("http://141.218.60.56/~jnz1568/getInfo.php?workbook=27_11.xlsx&amp;sheet=U0&amp;row=197&amp;col=6&amp;number=4.3&amp;sourceID=14","4.3")</f>
        <v>4.3</v>
      </c>
      <c r="G197" s="4" t="str">
        <f>HYPERLINK("http://141.218.60.56/~jnz1568/getInfo.php?workbook=27_11.xlsx&amp;sheet=U0&amp;row=197&amp;col=7&amp;number=0.0312&amp;sourceID=14","0.0312")</f>
        <v>0.0312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HYPERLINK("http://141.218.60.56/~jnz1568/getInfo.php?workbook=27_11.xlsx&amp;sheet=U0&amp;row=198&amp;col=6&amp;number=4.4&amp;sourceID=14","4.4")</f>
        <v>4.4</v>
      </c>
      <c r="G198" s="4" t="str">
        <f>HYPERLINK("http://141.218.60.56/~jnz1568/getInfo.php?workbook=27_11.xlsx&amp;sheet=U0&amp;row=198&amp;col=7&amp;number=0.0312&amp;sourceID=14","0.0312")</f>
        <v>0.0312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HYPERLINK("http://141.218.60.56/~jnz1568/getInfo.php?workbook=27_11.xlsx&amp;sheet=U0&amp;row=199&amp;col=6&amp;number=4.5&amp;sourceID=14","4.5")</f>
        <v>4.5</v>
      </c>
      <c r="G199" s="4" t="str">
        <f>HYPERLINK("http://141.218.60.56/~jnz1568/getInfo.php?workbook=27_11.xlsx&amp;sheet=U0&amp;row=199&amp;col=7&amp;number=0.0312&amp;sourceID=14","0.0312")</f>
        <v>0.0312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HYPERLINK("http://141.218.60.56/~jnz1568/getInfo.php?workbook=27_11.xlsx&amp;sheet=U0&amp;row=200&amp;col=6&amp;number=4.6&amp;sourceID=14","4.6")</f>
        <v>4.6</v>
      </c>
      <c r="G200" s="4" t="str">
        <f>HYPERLINK("http://141.218.60.56/~jnz1568/getInfo.php?workbook=27_11.xlsx&amp;sheet=U0&amp;row=200&amp;col=7&amp;number=0.0312&amp;sourceID=14","0.0312")</f>
        <v>0.0312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HYPERLINK("http://141.218.60.56/~jnz1568/getInfo.php?workbook=27_11.xlsx&amp;sheet=U0&amp;row=201&amp;col=6&amp;number=4.7&amp;sourceID=14","4.7")</f>
        <v>4.7</v>
      </c>
      <c r="G201" s="4" t="str">
        <f>HYPERLINK("http://141.218.60.56/~jnz1568/getInfo.php?workbook=27_11.xlsx&amp;sheet=U0&amp;row=201&amp;col=7&amp;number=0.0312&amp;sourceID=14","0.0312")</f>
        <v>0.0312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HYPERLINK("http://141.218.60.56/~jnz1568/getInfo.php?workbook=27_11.xlsx&amp;sheet=U0&amp;row=202&amp;col=6&amp;number=4.8&amp;sourceID=14","4.8")</f>
        <v>4.8</v>
      </c>
      <c r="G202" s="4" t="str">
        <f>HYPERLINK("http://141.218.60.56/~jnz1568/getInfo.php?workbook=27_11.xlsx&amp;sheet=U0&amp;row=202&amp;col=7&amp;number=0.0312&amp;sourceID=14","0.0312")</f>
        <v>0.0312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HYPERLINK("http://141.218.60.56/~jnz1568/getInfo.php?workbook=27_11.xlsx&amp;sheet=U0&amp;row=203&amp;col=6&amp;number=4.9&amp;sourceID=14","4.9")</f>
        <v>4.9</v>
      </c>
      <c r="G203" s="4" t="str">
        <f>HYPERLINK("http://141.218.60.56/~jnz1568/getInfo.php?workbook=27_11.xlsx&amp;sheet=U0&amp;row=203&amp;col=7&amp;number=0.0312&amp;sourceID=14","0.0312")</f>
        <v>0.0312</v>
      </c>
    </row>
    <row r="204" spans="1:7">
      <c r="A204" s="3">
        <v>27</v>
      </c>
      <c r="B204" s="3">
        <v>11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HYPERLINK("http://141.218.60.56/~jnz1568/getInfo.php?workbook=27_11.xlsx&amp;sheet=U0&amp;row=204&amp;col=6&amp;number=3&amp;sourceID=14","3")</f>
        <v>3</v>
      </c>
      <c r="G204" s="4" t="str">
        <f>HYPERLINK("http://141.218.60.56/~jnz1568/getInfo.php?workbook=27_11.xlsx&amp;sheet=U0&amp;row=204&amp;col=7&amp;number=0.0415&amp;sourceID=14","0.0415")</f>
        <v>0.0415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HYPERLINK("http://141.218.60.56/~jnz1568/getInfo.php?workbook=27_11.xlsx&amp;sheet=U0&amp;row=205&amp;col=6&amp;number=3.1&amp;sourceID=14","3.1")</f>
        <v>3.1</v>
      </c>
      <c r="G205" s="4" t="str">
        <f>HYPERLINK("http://141.218.60.56/~jnz1568/getInfo.php?workbook=27_11.xlsx&amp;sheet=U0&amp;row=205&amp;col=7&amp;number=0.0415&amp;sourceID=14","0.0415")</f>
        <v>0.0415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HYPERLINK("http://141.218.60.56/~jnz1568/getInfo.php?workbook=27_11.xlsx&amp;sheet=U0&amp;row=206&amp;col=6&amp;number=3.2&amp;sourceID=14","3.2")</f>
        <v>3.2</v>
      </c>
      <c r="G206" s="4" t="str">
        <f>HYPERLINK("http://141.218.60.56/~jnz1568/getInfo.php?workbook=27_11.xlsx&amp;sheet=U0&amp;row=206&amp;col=7&amp;number=0.0415&amp;sourceID=14","0.0415")</f>
        <v>0.0415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HYPERLINK("http://141.218.60.56/~jnz1568/getInfo.php?workbook=27_11.xlsx&amp;sheet=U0&amp;row=207&amp;col=6&amp;number=3.3&amp;sourceID=14","3.3")</f>
        <v>3.3</v>
      </c>
      <c r="G207" s="4" t="str">
        <f>HYPERLINK("http://141.218.60.56/~jnz1568/getInfo.php?workbook=27_11.xlsx&amp;sheet=U0&amp;row=207&amp;col=7&amp;number=0.0415&amp;sourceID=14","0.0415")</f>
        <v>0.0415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HYPERLINK("http://141.218.60.56/~jnz1568/getInfo.php?workbook=27_11.xlsx&amp;sheet=U0&amp;row=208&amp;col=6&amp;number=3.4&amp;sourceID=14","3.4")</f>
        <v>3.4</v>
      </c>
      <c r="G208" s="4" t="str">
        <f>HYPERLINK("http://141.218.60.56/~jnz1568/getInfo.php?workbook=27_11.xlsx&amp;sheet=U0&amp;row=208&amp;col=7&amp;number=0.0415&amp;sourceID=14","0.0415")</f>
        <v>0.0415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HYPERLINK("http://141.218.60.56/~jnz1568/getInfo.php?workbook=27_11.xlsx&amp;sheet=U0&amp;row=209&amp;col=6&amp;number=3.5&amp;sourceID=14","3.5")</f>
        <v>3.5</v>
      </c>
      <c r="G209" s="4" t="str">
        <f>HYPERLINK("http://141.218.60.56/~jnz1568/getInfo.php?workbook=27_11.xlsx&amp;sheet=U0&amp;row=209&amp;col=7&amp;number=0.0415&amp;sourceID=14","0.0415")</f>
        <v>0.0415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HYPERLINK("http://141.218.60.56/~jnz1568/getInfo.php?workbook=27_11.xlsx&amp;sheet=U0&amp;row=210&amp;col=6&amp;number=3.6&amp;sourceID=14","3.6")</f>
        <v>3.6</v>
      </c>
      <c r="G210" s="4" t="str">
        <f>HYPERLINK("http://141.218.60.56/~jnz1568/getInfo.php?workbook=27_11.xlsx&amp;sheet=U0&amp;row=210&amp;col=7&amp;number=0.0415&amp;sourceID=14","0.0415")</f>
        <v>0.0415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HYPERLINK("http://141.218.60.56/~jnz1568/getInfo.php?workbook=27_11.xlsx&amp;sheet=U0&amp;row=211&amp;col=6&amp;number=3.7&amp;sourceID=14","3.7")</f>
        <v>3.7</v>
      </c>
      <c r="G211" s="4" t="str">
        <f>HYPERLINK("http://141.218.60.56/~jnz1568/getInfo.php?workbook=27_11.xlsx&amp;sheet=U0&amp;row=211&amp;col=7&amp;number=0.0415&amp;sourceID=14","0.0415")</f>
        <v>0.0415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HYPERLINK("http://141.218.60.56/~jnz1568/getInfo.php?workbook=27_11.xlsx&amp;sheet=U0&amp;row=212&amp;col=6&amp;number=3.8&amp;sourceID=14","3.8")</f>
        <v>3.8</v>
      </c>
      <c r="G212" s="4" t="str">
        <f>HYPERLINK("http://141.218.60.56/~jnz1568/getInfo.php?workbook=27_11.xlsx&amp;sheet=U0&amp;row=212&amp;col=7&amp;number=0.0415&amp;sourceID=14","0.0415")</f>
        <v>0.0415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HYPERLINK("http://141.218.60.56/~jnz1568/getInfo.php?workbook=27_11.xlsx&amp;sheet=U0&amp;row=213&amp;col=6&amp;number=3.9&amp;sourceID=14","3.9")</f>
        <v>3.9</v>
      </c>
      <c r="G213" s="4" t="str">
        <f>HYPERLINK("http://141.218.60.56/~jnz1568/getInfo.php?workbook=27_11.xlsx&amp;sheet=U0&amp;row=213&amp;col=7&amp;number=0.0415&amp;sourceID=14","0.0415")</f>
        <v>0.0415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HYPERLINK("http://141.218.60.56/~jnz1568/getInfo.php?workbook=27_11.xlsx&amp;sheet=U0&amp;row=214&amp;col=6&amp;number=4&amp;sourceID=14","4")</f>
        <v>4</v>
      </c>
      <c r="G214" s="4" t="str">
        <f>HYPERLINK("http://141.218.60.56/~jnz1568/getInfo.php?workbook=27_11.xlsx&amp;sheet=U0&amp;row=214&amp;col=7&amp;number=0.0415&amp;sourceID=14","0.0415")</f>
        <v>0.0415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HYPERLINK("http://141.218.60.56/~jnz1568/getInfo.php?workbook=27_11.xlsx&amp;sheet=U0&amp;row=215&amp;col=6&amp;number=4.1&amp;sourceID=14","4.1")</f>
        <v>4.1</v>
      </c>
      <c r="G215" s="4" t="str">
        <f>HYPERLINK("http://141.218.60.56/~jnz1568/getInfo.php?workbook=27_11.xlsx&amp;sheet=U0&amp;row=215&amp;col=7&amp;number=0.0415&amp;sourceID=14","0.0415")</f>
        <v>0.0415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HYPERLINK("http://141.218.60.56/~jnz1568/getInfo.php?workbook=27_11.xlsx&amp;sheet=U0&amp;row=216&amp;col=6&amp;number=4.2&amp;sourceID=14","4.2")</f>
        <v>4.2</v>
      </c>
      <c r="G216" s="4" t="str">
        <f>HYPERLINK("http://141.218.60.56/~jnz1568/getInfo.php?workbook=27_11.xlsx&amp;sheet=U0&amp;row=216&amp;col=7&amp;number=0.0415&amp;sourceID=14","0.0415")</f>
        <v>0.0415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HYPERLINK("http://141.218.60.56/~jnz1568/getInfo.php?workbook=27_11.xlsx&amp;sheet=U0&amp;row=217&amp;col=6&amp;number=4.3&amp;sourceID=14","4.3")</f>
        <v>4.3</v>
      </c>
      <c r="G217" s="4" t="str">
        <f>HYPERLINK("http://141.218.60.56/~jnz1568/getInfo.php?workbook=27_11.xlsx&amp;sheet=U0&amp;row=217&amp;col=7&amp;number=0.0415&amp;sourceID=14","0.0415")</f>
        <v>0.0415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HYPERLINK("http://141.218.60.56/~jnz1568/getInfo.php?workbook=27_11.xlsx&amp;sheet=U0&amp;row=218&amp;col=6&amp;number=4.4&amp;sourceID=14","4.4")</f>
        <v>4.4</v>
      </c>
      <c r="G218" s="4" t="str">
        <f>HYPERLINK("http://141.218.60.56/~jnz1568/getInfo.php?workbook=27_11.xlsx&amp;sheet=U0&amp;row=218&amp;col=7&amp;number=0.0415&amp;sourceID=14","0.0415")</f>
        <v>0.0415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HYPERLINK("http://141.218.60.56/~jnz1568/getInfo.php?workbook=27_11.xlsx&amp;sheet=U0&amp;row=219&amp;col=6&amp;number=4.5&amp;sourceID=14","4.5")</f>
        <v>4.5</v>
      </c>
      <c r="G219" s="4" t="str">
        <f>HYPERLINK("http://141.218.60.56/~jnz1568/getInfo.php?workbook=27_11.xlsx&amp;sheet=U0&amp;row=219&amp;col=7&amp;number=0.0415&amp;sourceID=14","0.0415")</f>
        <v>0.0415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HYPERLINK("http://141.218.60.56/~jnz1568/getInfo.php?workbook=27_11.xlsx&amp;sheet=U0&amp;row=220&amp;col=6&amp;number=4.6&amp;sourceID=14","4.6")</f>
        <v>4.6</v>
      </c>
      <c r="G220" s="4" t="str">
        <f>HYPERLINK("http://141.218.60.56/~jnz1568/getInfo.php?workbook=27_11.xlsx&amp;sheet=U0&amp;row=220&amp;col=7&amp;number=0.0416&amp;sourceID=14","0.0416")</f>
        <v>0.0416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HYPERLINK("http://141.218.60.56/~jnz1568/getInfo.php?workbook=27_11.xlsx&amp;sheet=U0&amp;row=221&amp;col=6&amp;number=4.7&amp;sourceID=14","4.7")</f>
        <v>4.7</v>
      </c>
      <c r="G221" s="4" t="str">
        <f>HYPERLINK("http://141.218.60.56/~jnz1568/getInfo.php?workbook=27_11.xlsx&amp;sheet=U0&amp;row=221&amp;col=7&amp;number=0.0416&amp;sourceID=14","0.0416")</f>
        <v>0.0416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HYPERLINK("http://141.218.60.56/~jnz1568/getInfo.php?workbook=27_11.xlsx&amp;sheet=U0&amp;row=222&amp;col=6&amp;number=4.8&amp;sourceID=14","4.8")</f>
        <v>4.8</v>
      </c>
      <c r="G222" s="4" t="str">
        <f>HYPERLINK("http://141.218.60.56/~jnz1568/getInfo.php?workbook=27_11.xlsx&amp;sheet=U0&amp;row=222&amp;col=7&amp;number=0.0416&amp;sourceID=14","0.0416")</f>
        <v>0.0416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HYPERLINK("http://141.218.60.56/~jnz1568/getInfo.php?workbook=27_11.xlsx&amp;sheet=U0&amp;row=223&amp;col=6&amp;number=4.9&amp;sourceID=14","4.9")</f>
        <v>4.9</v>
      </c>
      <c r="G223" s="4" t="str">
        <f>HYPERLINK("http://141.218.60.56/~jnz1568/getInfo.php?workbook=27_11.xlsx&amp;sheet=U0&amp;row=223&amp;col=7&amp;number=0.0416&amp;sourceID=14","0.0416")</f>
        <v>0.0416</v>
      </c>
    </row>
    <row r="224" spans="1:7">
      <c r="A224" s="3">
        <v>27</v>
      </c>
      <c r="B224" s="3">
        <v>11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HYPERLINK("http://141.218.60.56/~jnz1568/getInfo.php?workbook=27_11.xlsx&amp;sheet=U0&amp;row=224&amp;col=6&amp;number=3&amp;sourceID=14","3")</f>
        <v>3</v>
      </c>
      <c r="G224" s="4" t="str">
        <f>HYPERLINK("http://141.218.60.56/~jnz1568/getInfo.php?workbook=27_11.xlsx&amp;sheet=U0&amp;row=224&amp;col=7&amp;number=0.017&amp;sourceID=14","0.017")</f>
        <v>0.017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HYPERLINK("http://141.218.60.56/~jnz1568/getInfo.php?workbook=27_11.xlsx&amp;sheet=U0&amp;row=225&amp;col=6&amp;number=3.1&amp;sourceID=14","3.1")</f>
        <v>3.1</v>
      </c>
      <c r="G225" s="4" t="str">
        <f>HYPERLINK("http://141.218.60.56/~jnz1568/getInfo.php?workbook=27_11.xlsx&amp;sheet=U0&amp;row=225&amp;col=7&amp;number=0.017&amp;sourceID=14","0.017")</f>
        <v>0.017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HYPERLINK("http://141.218.60.56/~jnz1568/getInfo.php?workbook=27_11.xlsx&amp;sheet=U0&amp;row=226&amp;col=6&amp;number=3.2&amp;sourceID=14","3.2")</f>
        <v>3.2</v>
      </c>
      <c r="G226" s="4" t="str">
        <f>HYPERLINK("http://141.218.60.56/~jnz1568/getInfo.php?workbook=27_11.xlsx&amp;sheet=U0&amp;row=226&amp;col=7&amp;number=0.017&amp;sourceID=14","0.017")</f>
        <v>0.017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HYPERLINK("http://141.218.60.56/~jnz1568/getInfo.php?workbook=27_11.xlsx&amp;sheet=U0&amp;row=227&amp;col=6&amp;number=3.3&amp;sourceID=14","3.3")</f>
        <v>3.3</v>
      </c>
      <c r="G227" s="4" t="str">
        <f>HYPERLINK("http://141.218.60.56/~jnz1568/getInfo.php?workbook=27_11.xlsx&amp;sheet=U0&amp;row=227&amp;col=7&amp;number=0.017&amp;sourceID=14","0.017")</f>
        <v>0.017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HYPERLINK("http://141.218.60.56/~jnz1568/getInfo.php?workbook=27_11.xlsx&amp;sheet=U0&amp;row=228&amp;col=6&amp;number=3.4&amp;sourceID=14","3.4")</f>
        <v>3.4</v>
      </c>
      <c r="G228" s="4" t="str">
        <f>HYPERLINK("http://141.218.60.56/~jnz1568/getInfo.php?workbook=27_11.xlsx&amp;sheet=U0&amp;row=228&amp;col=7&amp;number=0.017&amp;sourceID=14","0.017")</f>
        <v>0.017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HYPERLINK("http://141.218.60.56/~jnz1568/getInfo.php?workbook=27_11.xlsx&amp;sheet=U0&amp;row=229&amp;col=6&amp;number=3.5&amp;sourceID=14","3.5")</f>
        <v>3.5</v>
      </c>
      <c r="G229" s="4" t="str">
        <f>HYPERLINK("http://141.218.60.56/~jnz1568/getInfo.php?workbook=27_11.xlsx&amp;sheet=U0&amp;row=229&amp;col=7&amp;number=0.017&amp;sourceID=14","0.017")</f>
        <v>0.017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HYPERLINK("http://141.218.60.56/~jnz1568/getInfo.php?workbook=27_11.xlsx&amp;sheet=U0&amp;row=230&amp;col=6&amp;number=3.6&amp;sourceID=14","3.6")</f>
        <v>3.6</v>
      </c>
      <c r="G230" s="4" t="str">
        <f>HYPERLINK("http://141.218.60.56/~jnz1568/getInfo.php?workbook=27_11.xlsx&amp;sheet=U0&amp;row=230&amp;col=7&amp;number=0.017&amp;sourceID=14","0.017")</f>
        <v>0.017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HYPERLINK("http://141.218.60.56/~jnz1568/getInfo.php?workbook=27_11.xlsx&amp;sheet=U0&amp;row=231&amp;col=6&amp;number=3.7&amp;sourceID=14","3.7")</f>
        <v>3.7</v>
      </c>
      <c r="G231" s="4" t="str">
        <f>HYPERLINK("http://141.218.60.56/~jnz1568/getInfo.php?workbook=27_11.xlsx&amp;sheet=U0&amp;row=231&amp;col=7&amp;number=0.017&amp;sourceID=14","0.017")</f>
        <v>0.017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HYPERLINK("http://141.218.60.56/~jnz1568/getInfo.php?workbook=27_11.xlsx&amp;sheet=U0&amp;row=232&amp;col=6&amp;number=3.8&amp;sourceID=14","3.8")</f>
        <v>3.8</v>
      </c>
      <c r="G232" s="4" t="str">
        <f>HYPERLINK("http://141.218.60.56/~jnz1568/getInfo.php?workbook=27_11.xlsx&amp;sheet=U0&amp;row=232&amp;col=7&amp;number=0.017&amp;sourceID=14","0.017")</f>
        <v>0.017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HYPERLINK("http://141.218.60.56/~jnz1568/getInfo.php?workbook=27_11.xlsx&amp;sheet=U0&amp;row=233&amp;col=6&amp;number=3.9&amp;sourceID=14","3.9")</f>
        <v>3.9</v>
      </c>
      <c r="G233" s="4" t="str">
        <f>HYPERLINK("http://141.218.60.56/~jnz1568/getInfo.php?workbook=27_11.xlsx&amp;sheet=U0&amp;row=233&amp;col=7&amp;number=0.017&amp;sourceID=14","0.017")</f>
        <v>0.017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HYPERLINK("http://141.218.60.56/~jnz1568/getInfo.php?workbook=27_11.xlsx&amp;sheet=U0&amp;row=234&amp;col=6&amp;number=4&amp;sourceID=14","4")</f>
        <v>4</v>
      </c>
      <c r="G234" s="4" t="str">
        <f>HYPERLINK("http://141.218.60.56/~jnz1568/getInfo.php?workbook=27_11.xlsx&amp;sheet=U0&amp;row=234&amp;col=7&amp;number=0.017&amp;sourceID=14","0.017")</f>
        <v>0.017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HYPERLINK("http://141.218.60.56/~jnz1568/getInfo.php?workbook=27_11.xlsx&amp;sheet=U0&amp;row=235&amp;col=6&amp;number=4.1&amp;sourceID=14","4.1")</f>
        <v>4.1</v>
      </c>
      <c r="G235" s="4" t="str">
        <f>HYPERLINK("http://141.218.60.56/~jnz1568/getInfo.php?workbook=27_11.xlsx&amp;sheet=U0&amp;row=235&amp;col=7&amp;number=0.017&amp;sourceID=14","0.017")</f>
        <v>0.017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HYPERLINK("http://141.218.60.56/~jnz1568/getInfo.php?workbook=27_11.xlsx&amp;sheet=U0&amp;row=236&amp;col=6&amp;number=4.2&amp;sourceID=14","4.2")</f>
        <v>4.2</v>
      </c>
      <c r="G236" s="4" t="str">
        <f>HYPERLINK("http://141.218.60.56/~jnz1568/getInfo.php?workbook=27_11.xlsx&amp;sheet=U0&amp;row=236&amp;col=7&amp;number=0.017&amp;sourceID=14","0.017")</f>
        <v>0.017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HYPERLINK("http://141.218.60.56/~jnz1568/getInfo.php?workbook=27_11.xlsx&amp;sheet=U0&amp;row=237&amp;col=6&amp;number=4.3&amp;sourceID=14","4.3")</f>
        <v>4.3</v>
      </c>
      <c r="G237" s="4" t="str">
        <f>HYPERLINK("http://141.218.60.56/~jnz1568/getInfo.php?workbook=27_11.xlsx&amp;sheet=U0&amp;row=237&amp;col=7&amp;number=0.017&amp;sourceID=14","0.017")</f>
        <v>0.017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HYPERLINK("http://141.218.60.56/~jnz1568/getInfo.php?workbook=27_11.xlsx&amp;sheet=U0&amp;row=238&amp;col=6&amp;number=4.4&amp;sourceID=14","4.4")</f>
        <v>4.4</v>
      </c>
      <c r="G238" s="4" t="str">
        <f>HYPERLINK("http://141.218.60.56/~jnz1568/getInfo.php?workbook=27_11.xlsx&amp;sheet=U0&amp;row=238&amp;col=7&amp;number=0.017&amp;sourceID=14","0.017")</f>
        <v>0.017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HYPERLINK("http://141.218.60.56/~jnz1568/getInfo.php?workbook=27_11.xlsx&amp;sheet=U0&amp;row=239&amp;col=6&amp;number=4.5&amp;sourceID=14","4.5")</f>
        <v>4.5</v>
      </c>
      <c r="G239" s="4" t="str">
        <f>HYPERLINK("http://141.218.60.56/~jnz1568/getInfo.php?workbook=27_11.xlsx&amp;sheet=U0&amp;row=239&amp;col=7&amp;number=0.017&amp;sourceID=14","0.017")</f>
        <v>0.017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HYPERLINK("http://141.218.60.56/~jnz1568/getInfo.php?workbook=27_11.xlsx&amp;sheet=U0&amp;row=240&amp;col=6&amp;number=4.6&amp;sourceID=14","4.6")</f>
        <v>4.6</v>
      </c>
      <c r="G240" s="4" t="str">
        <f>HYPERLINK("http://141.218.60.56/~jnz1568/getInfo.php?workbook=27_11.xlsx&amp;sheet=U0&amp;row=240&amp;col=7&amp;number=0.017&amp;sourceID=14","0.017")</f>
        <v>0.017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HYPERLINK("http://141.218.60.56/~jnz1568/getInfo.php?workbook=27_11.xlsx&amp;sheet=U0&amp;row=241&amp;col=6&amp;number=4.7&amp;sourceID=14","4.7")</f>
        <v>4.7</v>
      </c>
      <c r="G241" s="4" t="str">
        <f>HYPERLINK("http://141.218.60.56/~jnz1568/getInfo.php?workbook=27_11.xlsx&amp;sheet=U0&amp;row=241&amp;col=7&amp;number=0.017&amp;sourceID=14","0.017")</f>
        <v>0.017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HYPERLINK("http://141.218.60.56/~jnz1568/getInfo.php?workbook=27_11.xlsx&amp;sheet=U0&amp;row=242&amp;col=6&amp;number=4.8&amp;sourceID=14","4.8")</f>
        <v>4.8</v>
      </c>
      <c r="G242" s="4" t="str">
        <f>HYPERLINK("http://141.218.60.56/~jnz1568/getInfo.php?workbook=27_11.xlsx&amp;sheet=U0&amp;row=242&amp;col=7&amp;number=0.017&amp;sourceID=14","0.017")</f>
        <v>0.017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HYPERLINK("http://141.218.60.56/~jnz1568/getInfo.php?workbook=27_11.xlsx&amp;sheet=U0&amp;row=243&amp;col=6&amp;number=4.9&amp;sourceID=14","4.9")</f>
        <v>4.9</v>
      </c>
      <c r="G243" s="4" t="str">
        <f>HYPERLINK("http://141.218.60.56/~jnz1568/getInfo.php?workbook=27_11.xlsx&amp;sheet=U0&amp;row=243&amp;col=7&amp;number=0.017&amp;sourceID=14","0.017")</f>
        <v>0.017</v>
      </c>
    </row>
    <row r="244" spans="1:7">
      <c r="A244" s="3">
        <v>27</v>
      </c>
      <c r="B244" s="3">
        <v>11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HYPERLINK("http://141.218.60.56/~jnz1568/getInfo.php?workbook=27_11.xlsx&amp;sheet=U0&amp;row=244&amp;col=6&amp;number=3&amp;sourceID=14","3")</f>
        <v>3</v>
      </c>
      <c r="G244" s="4" t="str">
        <f>HYPERLINK("http://141.218.60.56/~jnz1568/getInfo.php?workbook=27_11.xlsx&amp;sheet=U0&amp;row=244&amp;col=7&amp;number=0.00155&amp;sourceID=14","0.00155")</f>
        <v>0.00155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HYPERLINK("http://141.218.60.56/~jnz1568/getInfo.php?workbook=27_11.xlsx&amp;sheet=U0&amp;row=245&amp;col=6&amp;number=3.1&amp;sourceID=14","3.1")</f>
        <v>3.1</v>
      </c>
      <c r="G245" s="4" t="str">
        <f>HYPERLINK("http://141.218.60.56/~jnz1568/getInfo.php?workbook=27_11.xlsx&amp;sheet=U0&amp;row=245&amp;col=7&amp;number=0.00155&amp;sourceID=14","0.00155")</f>
        <v>0.00155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HYPERLINK("http://141.218.60.56/~jnz1568/getInfo.php?workbook=27_11.xlsx&amp;sheet=U0&amp;row=246&amp;col=6&amp;number=3.2&amp;sourceID=14","3.2")</f>
        <v>3.2</v>
      </c>
      <c r="G246" s="4" t="str">
        <f>HYPERLINK("http://141.218.60.56/~jnz1568/getInfo.php?workbook=27_11.xlsx&amp;sheet=U0&amp;row=246&amp;col=7&amp;number=0.00155&amp;sourceID=14","0.00155")</f>
        <v>0.00155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HYPERLINK("http://141.218.60.56/~jnz1568/getInfo.php?workbook=27_11.xlsx&amp;sheet=U0&amp;row=247&amp;col=6&amp;number=3.3&amp;sourceID=14","3.3")</f>
        <v>3.3</v>
      </c>
      <c r="G247" s="4" t="str">
        <f>HYPERLINK("http://141.218.60.56/~jnz1568/getInfo.php?workbook=27_11.xlsx&amp;sheet=U0&amp;row=247&amp;col=7&amp;number=0.00155&amp;sourceID=14","0.00155")</f>
        <v>0.00155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HYPERLINK("http://141.218.60.56/~jnz1568/getInfo.php?workbook=27_11.xlsx&amp;sheet=U0&amp;row=248&amp;col=6&amp;number=3.4&amp;sourceID=14","3.4")</f>
        <v>3.4</v>
      </c>
      <c r="G248" s="4" t="str">
        <f>HYPERLINK("http://141.218.60.56/~jnz1568/getInfo.php?workbook=27_11.xlsx&amp;sheet=U0&amp;row=248&amp;col=7&amp;number=0.00155&amp;sourceID=14","0.00155")</f>
        <v>0.00155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HYPERLINK("http://141.218.60.56/~jnz1568/getInfo.php?workbook=27_11.xlsx&amp;sheet=U0&amp;row=249&amp;col=6&amp;number=3.5&amp;sourceID=14","3.5")</f>
        <v>3.5</v>
      </c>
      <c r="G249" s="4" t="str">
        <f>HYPERLINK("http://141.218.60.56/~jnz1568/getInfo.php?workbook=27_11.xlsx&amp;sheet=U0&amp;row=249&amp;col=7&amp;number=0.00156&amp;sourceID=14","0.00156")</f>
        <v>0.00156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HYPERLINK("http://141.218.60.56/~jnz1568/getInfo.php?workbook=27_11.xlsx&amp;sheet=U0&amp;row=250&amp;col=6&amp;number=3.6&amp;sourceID=14","3.6")</f>
        <v>3.6</v>
      </c>
      <c r="G250" s="4" t="str">
        <f>HYPERLINK("http://141.218.60.56/~jnz1568/getInfo.php?workbook=27_11.xlsx&amp;sheet=U0&amp;row=250&amp;col=7&amp;number=0.00156&amp;sourceID=14","0.00156")</f>
        <v>0.00156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HYPERLINK("http://141.218.60.56/~jnz1568/getInfo.php?workbook=27_11.xlsx&amp;sheet=U0&amp;row=251&amp;col=6&amp;number=3.7&amp;sourceID=14","3.7")</f>
        <v>3.7</v>
      </c>
      <c r="G251" s="4" t="str">
        <f>HYPERLINK("http://141.218.60.56/~jnz1568/getInfo.php?workbook=27_11.xlsx&amp;sheet=U0&amp;row=251&amp;col=7&amp;number=0.00156&amp;sourceID=14","0.00156")</f>
        <v>0.00156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HYPERLINK("http://141.218.60.56/~jnz1568/getInfo.php?workbook=27_11.xlsx&amp;sheet=U0&amp;row=252&amp;col=6&amp;number=3.8&amp;sourceID=14","3.8")</f>
        <v>3.8</v>
      </c>
      <c r="G252" s="4" t="str">
        <f>HYPERLINK("http://141.218.60.56/~jnz1568/getInfo.php?workbook=27_11.xlsx&amp;sheet=U0&amp;row=252&amp;col=7&amp;number=0.00156&amp;sourceID=14","0.00156")</f>
        <v>0.00156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HYPERLINK("http://141.218.60.56/~jnz1568/getInfo.php?workbook=27_11.xlsx&amp;sheet=U0&amp;row=253&amp;col=6&amp;number=3.9&amp;sourceID=14","3.9")</f>
        <v>3.9</v>
      </c>
      <c r="G253" s="4" t="str">
        <f>HYPERLINK("http://141.218.60.56/~jnz1568/getInfo.php?workbook=27_11.xlsx&amp;sheet=U0&amp;row=253&amp;col=7&amp;number=0.00156&amp;sourceID=14","0.00156")</f>
        <v>0.00156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HYPERLINK("http://141.218.60.56/~jnz1568/getInfo.php?workbook=27_11.xlsx&amp;sheet=U0&amp;row=254&amp;col=6&amp;number=4&amp;sourceID=14","4")</f>
        <v>4</v>
      </c>
      <c r="G254" s="4" t="str">
        <f>HYPERLINK("http://141.218.60.56/~jnz1568/getInfo.php?workbook=27_11.xlsx&amp;sheet=U0&amp;row=254&amp;col=7&amp;number=0.00156&amp;sourceID=14","0.00156")</f>
        <v>0.00156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HYPERLINK("http://141.218.60.56/~jnz1568/getInfo.php?workbook=27_11.xlsx&amp;sheet=U0&amp;row=255&amp;col=6&amp;number=4.1&amp;sourceID=14","4.1")</f>
        <v>4.1</v>
      </c>
      <c r="G255" s="4" t="str">
        <f>HYPERLINK("http://141.218.60.56/~jnz1568/getInfo.php?workbook=27_11.xlsx&amp;sheet=U0&amp;row=255&amp;col=7&amp;number=0.00156&amp;sourceID=14","0.00156")</f>
        <v>0.00156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HYPERLINK("http://141.218.60.56/~jnz1568/getInfo.php?workbook=27_11.xlsx&amp;sheet=U0&amp;row=256&amp;col=6&amp;number=4.2&amp;sourceID=14","4.2")</f>
        <v>4.2</v>
      </c>
      <c r="G256" s="4" t="str">
        <f>HYPERLINK("http://141.218.60.56/~jnz1568/getInfo.php?workbook=27_11.xlsx&amp;sheet=U0&amp;row=256&amp;col=7&amp;number=0.00156&amp;sourceID=14","0.00156")</f>
        <v>0.00156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HYPERLINK("http://141.218.60.56/~jnz1568/getInfo.php?workbook=27_11.xlsx&amp;sheet=U0&amp;row=257&amp;col=6&amp;number=4.3&amp;sourceID=14","4.3")</f>
        <v>4.3</v>
      </c>
      <c r="G257" s="4" t="str">
        <f>HYPERLINK("http://141.218.60.56/~jnz1568/getInfo.php?workbook=27_11.xlsx&amp;sheet=U0&amp;row=257&amp;col=7&amp;number=0.00156&amp;sourceID=14","0.00156")</f>
        <v>0.00156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HYPERLINK("http://141.218.60.56/~jnz1568/getInfo.php?workbook=27_11.xlsx&amp;sheet=U0&amp;row=258&amp;col=6&amp;number=4.4&amp;sourceID=14","4.4")</f>
        <v>4.4</v>
      </c>
      <c r="G258" s="4" t="str">
        <f>HYPERLINK("http://141.218.60.56/~jnz1568/getInfo.php?workbook=27_11.xlsx&amp;sheet=U0&amp;row=258&amp;col=7&amp;number=0.00156&amp;sourceID=14","0.00156")</f>
        <v>0.00156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HYPERLINK("http://141.218.60.56/~jnz1568/getInfo.php?workbook=27_11.xlsx&amp;sheet=U0&amp;row=259&amp;col=6&amp;number=4.5&amp;sourceID=14","4.5")</f>
        <v>4.5</v>
      </c>
      <c r="G259" s="4" t="str">
        <f>HYPERLINK("http://141.218.60.56/~jnz1568/getInfo.php?workbook=27_11.xlsx&amp;sheet=U0&amp;row=259&amp;col=7&amp;number=0.00157&amp;sourceID=14","0.00157")</f>
        <v>0.00157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HYPERLINK("http://141.218.60.56/~jnz1568/getInfo.php?workbook=27_11.xlsx&amp;sheet=U0&amp;row=260&amp;col=6&amp;number=4.6&amp;sourceID=14","4.6")</f>
        <v>4.6</v>
      </c>
      <c r="G260" s="4" t="str">
        <f>HYPERLINK("http://141.218.60.56/~jnz1568/getInfo.php?workbook=27_11.xlsx&amp;sheet=U0&amp;row=260&amp;col=7&amp;number=0.00157&amp;sourceID=14","0.00157")</f>
        <v>0.00157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HYPERLINK("http://141.218.60.56/~jnz1568/getInfo.php?workbook=27_11.xlsx&amp;sheet=U0&amp;row=261&amp;col=6&amp;number=4.7&amp;sourceID=14","4.7")</f>
        <v>4.7</v>
      </c>
      <c r="G261" s="4" t="str">
        <f>HYPERLINK("http://141.218.60.56/~jnz1568/getInfo.php?workbook=27_11.xlsx&amp;sheet=U0&amp;row=261&amp;col=7&amp;number=0.00157&amp;sourceID=14","0.00157")</f>
        <v>0.00157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HYPERLINK("http://141.218.60.56/~jnz1568/getInfo.php?workbook=27_11.xlsx&amp;sheet=U0&amp;row=262&amp;col=6&amp;number=4.8&amp;sourceID=14","4.8")</f>
        <v>4.8</v>
      </c>
      <c r="G262" s="4" t="str">
        <f>HYPERLINK("http://141.218.60.56/~jnz1568/getInfo.php?workbook=27_11.xlsx&amp;sheet=U0&amp;row=262&amp;col=7&amp;number=0.00158&amp;sourceID=14","0.00158")</f>
        <v>0.00158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HYPERLINK("http://141.218.60.56/~jnz1568/getInfo.php?workbook=27_11.xlsx&amp;sheet=U0&amp;row=263&amp;col=6&amp;number=4.9&amp;sourceID=14","4.9")</f>
        <v>4.9</v>
      </c>
      <c r="G263" s="4" t="str">
        <f>HYPERLINK("http://141.218.60.56/~jnz1568/getInfo.php?workbook=27_11.xlsx&amp;sheet=U0&amp;row=263&amp;col=7&amp;number=0.00158&amp;sourceID=14","0.00158")</f>
        <v>0.00158</v>
      </c>
    </row>
    <row r="264" spans="1:7">
      <c r="A264" s="3">
        <v>27</v>
      </c>
      <c r="B264" s="3">
        <v>11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HYPERLINK("http://141.218.60.56/~jnz1568/getInfo.php?workbook=27_11.xlsx&amp;sheet=U0&amp;row=264&amp;col=6&amp;number=3&amp;sourceID=14","3")</f>
        <v>3</v>
      </c>
      <c r="G264" s="4" t="str">
        <f>HYPERLINK("http://141.218.60.56/~jnz1568/getInfo.php?workbook=27_11.xlsx&amp;sheet=U0&amp;row=264&amp;col=7&amp;number=0.00295&amp;sourceID=14","0.00295")</f>
        <v>0.00295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HYPERLINK("http://141.218.60.56/~jnz1568/getInfo.php?workbook=27_11.xlsx&amp;sheet=U0&amp;row=265&amp;col=6&amp;number=3.1&amp;sourceID=14","3.1")</f>
        <v>3.1</v>
      </c>
      <c r="G265" s="4" t="str">
        <f>HYPERLINK("http://141.218.60.56/~jnz1568/getInfo.php?workbook=27_11.xlsx&amp;sheet=U0&amp;row=265&amp;col=7&amp;number=0.00295&amp;sourceID=14","0.00295")</f>
        <v>0.00295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HYPERLINK("http://141.218.60.56/~jnz1568/getInfo.php?workbook=27_11.xlsx&amp;sheet=U0&amp;row=266&amp;col=6&amp;number=3.2&amp;sourceID=14","3.2")</f>
        <v>3.2</v>
      </c>
      <c r="G266" s="4" t="str">
        <f>HYPERLINK("http://141.218.60.56/~jnz1568/getInfo.php?workbook=27_11.xlsx&amp;sheet=U0&amp;row=266&amp;col=7&amp;number=0.00295&amp;sourceID=14","0.00295")</f>
        <v>0.00295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HYPERLINK("http://141.218.60.56/~jnz1568/getInfo.php?workbook=27_11.xlsx&amp;sheet=U0&amp;row=267&amp;col=6&amp;number=3.3&amp;sourceID=14","3.3")</f>
        <v>3.3</v>
      </c>
      <c r="G267" s="4" t="str">
        <f>HYPERLINK("http://141.218.60.56/~jnz1568/getInfo.php?workbook=27_11.xlsx&amp;sheet=U0&amp;row=267&amp;col=7&amp;number=0.00295&amp;sourceID=14","0.00295")</f>
        <v>0.00295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HYPERLINK("http://141.218.60.56/~jnz1568/getInfo.php?workbook=27_11.xlsx&amp;sheet=U0&amp;row=268&amp;col=6&amp;number=3.4&amp;sourceID=14","3.4")</f>
        <v>3.4</v>
      </c>
      <c r="G268" s="4" t="str">
        <f>HYPERLINK("http://141.218.60.56/~jnz1568/getInfo.php?workbook=27_11.xlsx&amp;sheet=U0&amp;row=268&amp;col=7&amp;number=0.00295&amp;sourceID=14","0.00295")</f>
        <v>0.00295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HYPERLINK("http://141.218.60.56/~jnz1568/getInfo.php?workbook=27_11.xlsx&amp;sheet=U0&amp;row=269&amp;col=6&amp;number=3.5&amp;sourceID=14","3.5")</f>
        <v>3.5</v>
      </c>
      <c r="G269" s="4" t="str">
        <f>HYPERLINK("http://141.218.60.56/~jnz1568/getInfo.php?workbook=27_11.xlsx&amp;sheet=U0&amp;row=269&amp;col=7&amp;number=0.00295&amp;sourceID=14","0.00295")</f>
        <v>0.00295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HYPERLINK("http://141.218.60.56/~jnz1568/getInfo.php?workbook=27_11.xlsx&amp;sheet=U0&amp;row=270&amp;col=6&amp;number=3.6&amp;sourceID=14","3.6")</f>
        <v>3.6</v>
      </c>
      <c r="G270" s="4" t="str">
        <f>HYPERLINK("http://141.218.60.56/~jnz1568/getInfo.php?workbook=27_11.xlsx&amp;sheet=U0&amp;row=270&amp;col=7&amp;number=0.00295&amp;sourceID=14","0.00295")</f>
        <v>0.00295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HYPERLINK("http://141.218.60.56/~jnz1568/getInfo.php?workbook=27_11.xlsx&amp;sheet=U0&amp;row=271&amp;col=6&amp;number=3.7&amp;sourceID=14","3.7")</f>
        <v>3.7</v>
      </c>
      <c r="G271" s="4" t="str">
        <f>HYPERLINK("http://141.218.60.56/~jnz1568/getInfo.php?workbook=27_11.xlsx&amp;sheet=U0&amp;row=271&amp;col=7&amp;number=0.00295&amp;sourceID=14","0.00295")</f>
        <v>0.00295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HYPERLINK("http://141.218.60.56/~jnz1568/getInfo.php?workbook=27_11.xlsx&amp;sheet=U0&amp;row=272&amp;col=6&amp;number=3.8&amp;sourceID=14","3.8")</f>
        <v>3.8</v>
      </c>
      <c r="G272" s="4" t="str">
        <f>HYPERLINK("http://141.218.60.56/~jnz1568/getInfo.php?workbook=27_11.xlsx&amp;sheet=U0&amp;row=272&amp;col=7&amp;number=0.00295&amp;sourceID=14","0.00295")</f>
        <v>0.00295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HYPERLINK("http://141.218.60.56/~jnz1568/getInfo.php?workbook=27_11.xlsx&amp;sheet=U0&amp;row=273&amp;col=6&amp;number=3.9&amp;sourceID=14","3.9")</f>
        <v>3.9</v>
      </c>
      <c r="G273" s="4" t="str">
        <f>HYPERLINK("http://141.218.60.56/~jnz1568/getInfo.php?workbook=27_11.xlsx&amp;sheet=U0&amp;row=273&amp;col=7&amp;number=0.00295&amp;sourceID=14","0.00295")</f>
        <v>0.00295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HYPERLINK("http://141.218.60.56/~jnz1568/getInfo.php?workbook=27_11.xlsx&amp;sheet=U0&amp;row=274&amp;col=6&amp;number=4&amp;sourceID=14","4")</f>
        <v>4</v>
      </c>
      <c r="G274" s="4" t="str">
        <f>HYPERLINK("http://141.218.60.56/~jnz1568/getInfo.php?workbook=27_11.xlsx&amp;sheet=U0&amp;row=274&amp;col=7&amp;number=0.00295&amp;sourceID=14","0.00295")</f>
        <v>0.00295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HYPERLINK("http://141.218.60.56/~jnz1568/getInfo.php?workbook=27_11.xlsx&amp;sheet=U0&amp;row=275&amp;col=6&amp;number=4.1&amp;sourceID=14","4.1")</f>
        <v>4.1</v>
      </c>
      <c r="G275" s="4" t="str">
        <f>HYPERLINK("http://141.218.60.56/~jnz1568/getInfo.php?workbook=27_11.xlsx&amp;sheet=U0&amp;row=275&amp;col=7&amp;number=0.00296&amp;sourceID=14","0.00296")</f>
        <v>0.00296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HYPERLINK("http://141.218.60.56/~jnz1568/getInfo.php?workbook=27_11.xlsx&amp;sheet=U0&amp;row=276&amp;col=6&amp;number=4.2&amp;sourceID=14","4.2")</f>
        <v>4.2</v>
      </c>
      <c r="G276" s="4" t="str">
        <f>HYPERLINK("http://141.218.60.56/~jnz1568/getInfo.php?workbook=27_11.xlsx&amp;sheet=U0&amp;row=276&amp;col=7&amp;number=0.00296&amp;sourceID=14","0.00296")</f>
        <v>0.00296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HYPERLINK("http://141.218.60.56/~jnz1568/getInfo.php?workbook=27_11.xlsx&amp;sheet=U0&amp;row=277&amp;col=6&amp;number=4.3&amp;sourceID=14","4.3")</f>
        <v>4.3</v>
      </c>
      <c r="G277" s="4" t="str">
        <f>HYPERLINK("http://141.218.60.56/~jnz1568/getInfo.php?workbook=27_11.xlsx&amp;sheet=U0&amp;row=277&amp;col=7&amp;number=0.00296&amp;sourceID=14","0.00296")</f>
        <v>0.00296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HYPERLINK("http://141.218.60.56/~jnz1568/getInfo.php?workbook=27_11.xlsx&amp;sheet=U0&amp;row=278&amp;col=6&amp;number=4.4&amp;sourceID=14","4.4")</f>
        <v>4.4</v>
      </c>
      <c r="G278" s="4" t="str">
        <f>HYPERLINK("http://141.218.60.56/~jnz1568/getInfo.php?workbook=27_11.xlsx&amp;sheet=U0&amp;row=278&amp;col=7&amp;number=0.00296&amp;sourceID=14","0.00296")</f>
        <v>0.00296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HYPERLINK("http://141.218.60.56/~jnz1568/getInfo.php?workbook=27_11.xlsx&amp;sheet=U0&amp;row=279&amp;col=6&amp;number=4.5&amp;sourceID=14","4.5")</f>
        <v>4.5</v>
      </c>
      <c r="G279" s="4" t="str">
        <f>HYPERLINK("http://141.218.60.56/~jnz1568/getInfo.php?workbook=27_11.xlsx&amp;sheet=U0&amp;row=279&amp;col=7&amp;number=0.00297&amp;sourceID=14","0.00297")</f>
        <v>0.00297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HYPERLINK("http://141.218.60.56/~jnz1568/getInfo.php?workbook=27_11.xlsx&amp;sheet=U0&amp;row=280&amp;col=6&amp;number=4.6&amp;sourceID=14","4.6")</f>
        <v>4.6</v>
      </c>
      <c r="G280" s="4" t="str">
        <f>HYPERLINK("http://141.218.60.56/~jnz1568/getInfo.php?workbook=27_11.xlsx&amp;sheet=U0&amp;row=280&amp;col=7&amp;number=0.00297&amp;sourceID=14","0.00297")</f>
        <v>0.00297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HYPERLINK("http://141.218.60.56/~jnz1568/getInfo.php?workbook=27_11.xlsx&amp;sheet=U0&amp;row=281&amp;col=6&amp;number=4.7&amp;sourceID=14","4.7")</f>
        <v>4.7</v>
      </c>
      <c r="G281" s="4" t="str">
        <f>HYPERLINK("http://141.218.60.56/~jnz1568/getInfo.php?workbook=27_11.xlsx&amp;sheet=U0&amp;row=281&amp;col=7&amp;number=0.00298&amp;sourceID=14","0.00298")</f>
        <v>0.00298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HYPERLINK("http://141.218.60.56/~jnz1568/getInfo.php?workbook=27_11.xlsx&amp;sheet=U0&amp;row=282&amp;col=6&amp;number=4.8&amp;sourceID=14","4.8")</f>
        <v>4.8</v>
      </c>
      <c r="G282" s="4" t="str">
        <f>HYPERLINK("http://141.218.60.56/~jnz1568/getInfo.php?workbook=27_11.xlsx&amp;sheet=U0&amp;row=282&amp;col=7&amp;number=0.00299&amp;sourceID=14","0.00299")</f>
        <v>0.00299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HYPERLINK("http://141.218.60.56/~jnz1568/getInfo.php?workbook=27_11.xlsx&amp;sheet=U0&amp;row=283&amp;col=6&amp;number=4.9&amp;sourceID=14","4.9")</f>
        <v>4.9</v>
      </c>
      <c r="G283" s="4" t="str">
        <f>HYPERLINK("http://141.218.60.56/~jnz1568/getInfo.php?workbook=27_11.xlsx&amp;sheet=U0&amp;row=283&amp;col=7&amp;number=0.003&amp;sourceID=14","0.003")</f>
        <v>0.003</v>
      </c>
    </row>
    <row r="284" spans="1:7">
      <c r="A284" s="3">
        <v>27</v>
      </c>
      <c r="B284" s="3">
        <v>11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HYPERLINK("http://141.218.60.56/~jnz1568/getInfo.php?workbook=27_11.xlsx&amp;sheet=U0&amp;row=284&amp;col=6&amp;number=3&amp;sourceID=14","3")</f>
        <v>3</v>
      </c>
      <c r="G284" s="4" t="str">
        <f>HYPERLINK("http://141.218.60.56/~jnz1568/getInfo.php?workbook=27_11.xlsx&amp;sheet=U0&amp;row=284&amp;col=7&amp;number=0.00523&amp;sourceID=14","0.00523")</f>
        <v>0.00523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HYPERLINK("http://141.218.60.56/~jnz1568/getInfo.php?workbook=27_11.xlsx&amp;sheet=U0&amp;row=285&amp;col=6&amp;number=3.1&amp;sourceID=14","3.1")</f>
        <v>3.1</v>
      </c>
      <c r="G285" s="4" t="str">
        <f>HYPERLINK("http://141.218.60.56/~jnz1568/getInfo.php?workbook=27_11.xlsx&amp;sheet=U0&amp;row=285&amp;col=7&amp;number=0.00523&amp;sourceID=14","0.00523")</f>
        <v>0.00523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HYPERLINK("http://141.218.60.56/~jnz1568/getInfo.php?workbook=27_11.xlsx&amp;sheet=U0&amp;row=286&amp;col=6&amp;number=3.2&amp;sourceID=14","3.2")</f>
        <v>3.2</v>
      </c>
      <c r="G286" s="4" t="str">
        <f>HYPERLINK("http://141.218.60.56/~jnz1568/getInfo.php?workbook=27_11.xlsx&amp;sheet=U0&amp;row=286&amp;col=7&amp;number=0.00523&amp;sourceID=14","0.00523")</f>
        <v>0.00523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HYPERLINK("http://141.218.60.56/~jnz1568/getInfo.php?workbook=27_11.xlsx&amp;sheet=U0&amp;row=287&amp;col=6&amp;number=3.3&amp;sourceID=14","3.3")</f>
        <v>3.3</v>
      </c>
      <c r="G287" s="4" t="str">
        <f>HYPERLINK("http://141.218.60.56/~jnz1568/getInfo.php?workbook=27_11.xlsx&amp;sheet=U0&amp;row=287&amp;col=7&amp;number=0.00523&amp;sourceID=14","0.00523")</f>
        <v>0.00523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HYPERLINK("http://141.218.60.56/~jnz1568/getInfo.php?workbook=27_11.xlsx&amp;sheet=U0&amp;row=288&amp;col=6&amp;number=3.4&amp;sourceID=14","3.4")</f>
        <v>3.4</v>
      </c>
      <c r="G288" s="4" t="str">
        <f>HYPERLINK("http://141.218.60.56/~jnz1568/getInfo.php?workbook=27_11.xlsx&amp;sheet=U0&amp;row=288&amp;col=7&amp;number=0.00523&amp;sourceID=14","0.00523")</f>
        <v>0.00523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HYPERLINK("http://141.218.60.56/~jnz1568/getInfo.php?workbook=27_11.xlsx&amp;sheet=U0&amp;row=289&amp;col=6&amp;number=3.5&amp;sourceID=14","3.5")</f>
        <v>3.5</v>
      </c>
      <c r="G289" s="4" t="str">
        <f>HYPERLINK("http://141.218.60.56/~jnz1568/getInfo.php?workbook=27_11.xlsx&amp;sheet=U0&amp;row=289&amp;col=7&amp;number=0.00523&amp;sourceID=14","0.00523")</f>
        <v>0.00523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HYPERLINK("http://141.218.60.56/~jnz1568/getInfo.php?workbook=27_11.xlsx&amp;sheet=U0&amp;row=290&amp;col=6&amp;number=3.6&amp;sourceID=14","3.6")</f>
        <v>3.6</v>
      </c>
      <c r="G290" s="4" t="str">
        <f>HYPERLINK("http://141.218.60.56/~jnz1568/getInfo.php?workbook=27_11.xlsx&amp;sheet=U0&amp;row=290&amp;col=7&amp;number=0.00523&amp;sourceID=14","0.00523")</f>
        <v>0.00523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HYPERLINK("http://141.218.60.56/~jnz1568/getInfo.php?workbook=27_11.xlsx&amp;sheet=U0&amp;row=291&amp;col=6&amp;number=3.7&amp;sourceID=14","3.7")</f>
        <v>3.7</v>
      </c>
      <c r="G291" s="4" t="str">
        <f>HYPERLINK("http://141.218.60.56/~jnz1568/getInfo.php?workbook=27_11.xlsx&amp;sheet=U0&amp;row=291&amp;col=7&amp;number=0.00523&amp;sourceID=14","0.00523")</f>
        <v>0.00523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HYPERLINK("http://141.218.60.56/~jnz1568/getInfo.php?workbook=27_11.xlsx&amp;sheet=U0&amp;row=292&amp;col=6&amp;number=3.8&amp;sourceID=14","3.8")</f>
        <v>3.8</v>
      </c>
      <c r="G292" s="4" t="str">
        <f>HYPERLINK("http://141.218.60.56/~jnz1568/getInfo.php?workbook=27_11.xlsx&amp;sheet=U0&amp;row=292&amp;col=7&amp;number=0.00523&amp;sourceID=14","0.00523")</f>
        <v>0.00523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HYPERLINK("http://141.218.60.56/~jnz1568/getInfo.php?workbook=27_11.xlsx&amp;sheet=U0&amp;row=293&amp;col=6&amp;number=3.9&amp;sourceID=14","3.9")</f>
        <v>3.9</v>
      </c>
      <c r="G293" s="4" t="str">
        <f>HYPERLINK("http://141.218.60.56/~jnz1568/getInfo.php?workbook=27_11.xlsx&amp;sheet=U0&amp;row=293&amp;col=7&amp;number=0.00523&amp;sourceID=14","0.00523")</f>
        <v>0.00523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HYPERLINK("http://141.218.60.56/~jnz1568/getInfo.php?workbook=27_11.xlsx&amp;sheet=U0&amp;row=294&amp;col=6&amp;number=4&amp;sourceID=14","4")</f>
        <v>4</v>
      </c>
      <c r="G294" s="4" t="str">
        <f>HYPERLINK("http://141.218.60.56/~jnz1568/getInfo.php?workbook=27_11.xlsx&amp;sheet=U0&amp;row=294&amp;col=7&amp;number=0.00523&amp;sourceID=14","0.00523")</f>
        <v>0.00523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HYPERLINK("http://141.218.60.56/~jnz1568/getInfo.php?workbook=27_11.xlsx&amp;sheet=U0&amp;row=295&amp;col=6&amp;number=4.1&amp;sourceID=14","4.1")</f>
        <v>4.1</v>
      </c>
      <c r="G295" s="4" t="str">
        <f>HYPERLINK("http://141.218.60.56/~jnz1568/getInfo.php?workbook=27_11.xlsx&amp;sheet=U0&amp;row=295&amp;col=7&amp;number=0.00523&amp;sourceID=14","0.00523")</f>
        <v>0.00523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HYPERLINK("http://141.218.60.56/~jnz1568/getInfo.php?workbook=27_11.xlsx&amp;sheet=U0&amp;row=296&amp;col=6&amp;number=4.2&amp;sourceID=14","4.2")</f>
        <v>4.2</v>
      </c>
      <c r="G296" s="4" t="str">
        <f>HYPERLINK("http://141.218.60.56/~jnz1568/getInfo.php?workbook=27_11.xlsx&amp;sheet=U0&amp;row=296&amp;col=7&amp;number=0.00523&amp;sourceID=14","0.00523")</f>
        <v>0.00523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HYPERLINK("http://141.218.60.56/~jnz1568/getInfo.php?workbook=27_11.xlsx&amp;sheet=U0&amp;row=297&amp;col=6&amp;number=4.3&amp;sourceID=14","4.3")</f>
        <v>4.3</v>
      </c>
      <c r="G297" s="4" t="str">
        <f>HYPERLINK("http://141.218.60.56/~jnz1568/getInfo.php?workbook=27_11.xlsx&amp;sheet=U0&amp;row=297&amp;col=7&amp;number=0.00523&amp;sourceID=14","0.00523")</f>
        <v>0.00523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HYPERLINK("http://141.218.60.56/~jnz1568/getInfo.php?workbook=27_11.xlsx&amp;sheet=U0&amp;row=298&amp;col=6&amp;number=4.4&amp;sourceID=14","4.4")</f>
        <v>4.4</v>
      </c>
      <c r="G298" s="4" t="str">
        <f>HYPERLINK("http://141.218.60.56/~jnz1568/getInfo.php?workbook=27_11.xlsx&amp;sheet=U0&amp;row=298&amp;col=7&amp;number=0.00523&amp;sourceID=14","0.00523")</f>
        <v>0.00523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HYPERLINK("http://141.218.60.56/~jnz1568/getInfo.php?workbook=27_11.xlsx&amp;sheet=U0&amp;row=299&amp;col=6&amp;number=4.5&amp;sourceID=14","4.5")</f>
        <v>4.5</v>
      </c>
      <c r="G299" s="4" t="str">
        <f>HYPERLINK("http://141.218.60.56/~jnz1568/getInfo.php?workbook=27_11.xlsx&amp;sheet=U0&amp;row=299&amp;col=7&amp;number=0.00524&amp;sourceID=14","0.00524")</f>
        <v>0.00524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HYPERLINK("http://141.218.60.56/~jnz1568/getInfo.php?workbook=27_11.xlsx&amp;sheet=U0&amp;row=300&amp;col=6&amp;number=4.6&amp;sourceID=14","4.6")</f>
        <v>4.6</v>
      </c>
      <c r="G300" s="4" t="str">
        <f>HYPERLINK("http://141.218.60.56/~jnz1568/getInfo.php?workbook=27_11.xlsx&amp;sheet=U0&amp;row=300&amp;col=7&amp;number=0.00524&amp;sourceID=14","0.00524")</f>
        <v>0.00524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HYPERLINK("http://141.218.60.56/~jnz1568/getInfo.php?workbook=27_11.xlsx&amp;sheet=U0&amp;row=301&amp;col=6&amp;number=4.7&amp;sourceID=14","4.7")</f>
        <v>4.7</v>
      </c>
      <c r="G301" s="4" t="str">
        <f>HYPERLINK("http://141.218.60.56/~jnz1568/getInfo.php?workbook=27_11.xlsx&amp;sheet=U0&amp;row=301&amp;col=7&amp;number=0.00524&amp;sourceID=14","0.00524")</f>
        <v>0.00524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HYPERLINK("http://141.218.60.56/~jnz1568/getInfo.php?workbook=27_11.xlsx&amp;sheet=U0&amp;row=302&amp;col=6&amp;number=4.8&amp;sourceID=14","4.8")</f>
        <v>4.8</v>
      </c>
      <c r="G302" s="4" t="str">
        <f>HYPERLINK("http://141.218.60.56/~jnz1568/getInfo.php?workbook=27_11.xlsx&amp;sheet=U0&amp;row=302&amp;col=7&amp;number=0.00524&amp;sourceID=14","0.00524")</f>
        <v>0.00524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HYPERLINK("http://141.218.60.56/~jnz1568/getInfo.php?workbook=27_11.xlsx&amp;sheet=U0&amp;row=303&amp;col=6&amp;number=4.9&amp;sourceID=14","4.9")</f>
        <v>4.9</v>
      </c>
      <c r="G303" s="4" t="str">
        <f>HYPERLINK("http://141.218.60.56/~jnz1568/getInfo.php?workbook=27_11.xlsx&amp;sheet=U0&amp;row=303&amp;col=7&amp;number=0.00525&amp;sourceID=14","0.00525")</f>
        <v>0.00525</v>
      </c>
    </row>
    <row r="304" spans="1:7">
      <c r="A304" s="3">
        <v>27</v>
      </c>
      <c r="B304" s="3">
        <v>11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HYPERLINK("http://141.218.60.56/~jnz1568/getInfo.php?workbook=27_11.xlsx&amp;sheet=U0&amp;row=304&amp;col=6&amp;number=3&amp;sourceID=14","3")</f>
        <v>3</v>
      </c>
      <c r="G304" s="4" t="str">
        <f>HYPERLINK("http://141.218.60.56/~jnz1568/getInfo.php?workbook=27_11.xlsx&amp;sheet=U0&amp;row=304&amp;col=7&amp;number=0.0078&amp;sourceID=14","0.0078")</f>
        <v>0.0078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HYPERLINK("http://141.218.60.56/~jnz1568/getInfo.php?workbook=27_11.xlsx&amp;sheet=U0&amp;row=305&amp;col=6&amp;number=3.1&amp;sourceID=14","3.1")</f>
        <v>3.1</v>
      </c>
      <c r="G305" s="4" t="str">
        <f>HYPERLINK("http://141.218.60.56/~jnz1568/getInfo.php?workbook=27_11.xlsx&amp;sheet=U0&amp;row=305&amp;col=7&amp;number=0.0078&amp;sourceID=14","0.0078")</f>
        <v>0.0078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HYPERLINK("http://141.218.60.56/~jnz1568/getInfo.php?workbook=27_11.xlsx&amp;sheet=U0&amp;row=306&amp;col=6&amp;number=3.2&amp;sourceID=14","3.2")</f>
        <v>3.2</v>
      </c>
      <c r="G306" s="4" t="str">
        <f>HYPERLINK("http://141.218.60.56/~jnz1568/getInfo.php?workbook=27_11.xlsx&amp;sheet=U0&amp;row=306&amp;col=7&amp;number=0.0078&amp;sourceID=14","0.0078")</f>
        <v>0.0078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HYPERLINK("http://141.218.60.56/~jnz1568/getInfo.php?workbook=27_11.xlsx&amp;sheet=U0&amp;row=307&amp;col=6&amp;number=3.3&amp;sourceID=14","3.3")</f>
        <v>3.3</v>
      </c>
      <c r="G307" s="4" t="str">
        <f>HYPERLINK("http://141.218.60.56/~jnz1568/getInfo.php?workbook=27_11.xlsx&amp;sheet=U0&amp;row=307&amp;col=7&amp;number=0.0078&amp;sourceID=14","0.0078")</f>
        <v>0.0078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HYPERLINK("http://141.218.60.56/~jnz1568/getInfo.php?workbook=27_11.xlsx&amp;sheet=U0&amp;row=308&amp;col=6&amp;number=3.4&amp;sourceID=14","3.4")</f>
        <v>3.4</v>
      </c>
      <c r="G308" s="4" t="str">
        <f>HYPERLINK("http://141.218.60.56/~jnz1568/getInfo.php?workbook=27_11.xlsx&amp;sheet=U0&amp;row=308&amp;col=7&amp;number=0.0078&amp;sourceID=14","0.0078")</f>
        <v>0.0078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HYPERLINK("http://141.218.60.56/~jnz1568/getInfo.php?workbook=27_11.xlsx&amp;sheet=U0&amp;row=309&amp;col=6&amp;number=3.5&amp;sourceID=14","3.5")</f>
        <v>3.5</v>
      </c>
      <c r="G309" s="4" t="str">
        <f>HYPERLINK("http://141.218.60.56/~jnz1568/getInfo.php?workbook=27_11.xlsx&amp;sheet=U0&amp;row=309&amp;col=7&amp;number=0.0078&amp;sourceID=14","0.0078")</f>
        <v>0.0078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HYPERLINK("http://141.218.60.56/~jnz1568/getInfo.php?workbook=27_11.xlsx&amp;sheet=U0&amp;row=310&amp;col=6&amp;number=3.6&amp;sourceID=14","3.6")</f>
        <v>3.6</v>
      </c>
      <c r="G310" s="4" t="str">
        <f>HYPERLINK("http://141.218.60.56/~jnz1568/getInfo.php?workbook=27_11.xlsx&amp;sheet=U0&amp;row=310&amp;col=7&amp;number=0.0078&amp;sourceID=14","0.0078")</f>
        <v>0.0078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HYPERLINK("http://141.218.60.56/~jnz1568/getInfo.php?workbook=27_11.xlsx&amp;sheet=U0&amp;row=311&amp;col=6&amp;number=3.7&amp;sourceID=14","3.7")</f>
        <v>3.7</v>
      </c>
      <c r="G311" s="4" t="str">
        <f>HYPERLINK("http://141.218.60.56/~jnz1568/getInfo.php?workbook=27_11.xlsx&amp;sheet=U0&amp;row=311&amp;col=7&amp;number=0.0078&amp;sourceID=14","0.0078")</f>
        <v>0.0078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HYPERLINK("http://141.218.60.56/~jnz1568/getInfo.php?workbook=27_11.xlsx&amp;sheet=U0&amp;row=312&amp;col=6&amp;number=3.8&amp;sourceID=14","3.8")</f>
        <v>3.8</v>
      </c>
      <c r="G312" s="4" t="str">
        <f>HYPERLINK("http://141.218.60.56/~jnz1568/getInfo.php?workbook=27_11.xlsx&amp;sheet=U0&amp;row=312&amp;col=7&amp;number=0.0078&amp;sourceID=14","0.0078")</f>
        <v>0.0078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HYPERLINK("http://141.218.60.56/~jnz1568/getInfo.php?workbook=27_11.xlsx&amp;sheet=U0&amp;row=313&amp;col=6&amp;number=3.9&amp;sourceID=14","3.9")</f>
        <v>3.9</v>
      </c>
      <c r="G313" s="4" t="str">
        <f>HYPERLINK("http://141.218.60.56/~jnz1568/getInfo.php?workbook=27_11.xlsx&amp;sheet=U0&amp;row=313&amp;col=7&amp;number=0.0078&amp;sourceID=14","0.0078")</f>
        <v>0.0078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HYPERLINK("http://141.218.60.56/~jnz1568/getInfo.php?workbook=27_11.xlsx&amp;sheet=U0&amp;row=314&amp;col=6&amp;number=4&amp;sourceID=14","4")</f>
        <v>4</v>
      </c>
      <c r="G314" s="4" t="str">
        <f>HYPERLINK("http://141.218.60.56/~jnz1568/getInfo.php?workbook=27_11.xlsx&amp;sheet=U0&amp;row=314&amp;col=7&amp;number=0.0078&amp;sourceID=14","0.0078")</f>
        <v>0.0078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HYPERLINK("http://141.218.60.56/~jnz1568/getInfo.php?workbook=27_11.xlsx&amp;sheet=U0&amp;row=315&amp;col=6&amp;number=4.1&amp;sourceID=14","4.1")</f>
        <v>4.1</v>
      </c>
      <c r="G315" s="4" t="str">
        <f>HYPERLINK("http://141.218.60.56/~jnz1568/getInfo.php?workbook=27_11.xlsx&amp;sheet=U0&amp;row=315&amp;col=7&amp;number=0.00781&amp;sourceID=14","0.00781")</f>
        <v>0.00781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HYPERLINK("http://141.218.60.56/~jnz1568/getInfo.php?workbook=27_11.xlsx&amp;sheet=U0&amp;row=316&amp;col=6&amp;number=4.2&amp;sourceID=14","4.2")</f>
        <v>4.2</v>
      </c>
      <c r="G316" s="4" t="str">
        <f>HYPERLINK("http://141.218.60.56/~jnz1568/getInfo.php?workbook=27_11.xlsx&amp;sheet=U0&amp;row=316&amp;col=7&amp;number=0.00781&amp;sourceID=14","0.00781")</f>
        <v>0.00781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HYPERLINK("http://141.218.60.56/~jnz1568/getInfo.php?workbook=27_11.xlsx&amp;sheet=U0&amp;row=317&amp;col=6&amp;number=4.3&amp;sourceID=14","4.3")</f>
        <v>4.3</v>
      </c>
      <c r="G317" s="4" t="str">
        <f>HYPERLINK("http://141.218.60.56/~jnz1568/getInfo.php?workbook=27_11.xlsx&amp;sheet=U0&amp;row=317&amp;col=7&amp;number=0.00781&amp;sourceID=14","0.00781")</f>
        <v>0.00781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HYPERLINK("http://141.218.60.56/~jnz1568/getInfo.php?workbook=27_11.xlsx&amp;sheet=U0&amp;row=318&amp;col=6&amp;number=4.4&amp;sourceID=14","4.4")</f>
        <v>4.4</v>
      </c>
      <c r="G318" s="4" t="str">
        <f>HYPERLINK("http://141.218.60.56/~jnz1568/getInfo.php?workbook=27_11.xlsx&amp;sheet=U0&amp;row=318&amp;col=7&amp;number=0.00781&amp;sourceID=14","0.00781")</f>
        <v>0.00781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HYPERLINK("http://141.218.60.56/~jnz1568/getInfo.php?workbook=27_11.xlsx&amp;sheet=U0&amp;row=319&amp;col=6&amp;number=4.5&amp;sourceID=14","4.5")</f>
        <v>4.5</v>
      </c>
      <c r="G319" s="4" t="str">
        <f>HYPERLINK("http://141.218.60.56/~jnz1568/getInfo.php?workbook=27_11.xlsx&amp;sheet=U0&amp;row=319&amp;col=7&amp;number=0.00781&amp;sourceID=14","0.00781")</f>
        <v>0.00781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HYPERLINK("http://141.218.60.56/~jnz1568/getInfo.php?workbook=27_11.xlsx&amp;sheet=U0&amp;row=320&amp;col=6&amp;number=4.6&amp;sourceID=14","4.6")</f>
        <v>4.6</v>
      </c>
      <c r="G320" s="4" t="str">
        <f>HYPERLINK("http://141.218.60.56/~jnz1568/getInfo.php?workbook=27_11.xlsx&amp;sheet=U0&amp;row=320&amp;col=7&amp;number=0.00782&amp;sourceID=14","0.00782")</f>
        <v>0.00782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HYPERLINK("http://141.218.60.56/~jnz1568/getInfo.php?workbook=27_11.xlsx&amp;sheet=U0&amp;row=321&amp;col=6&amp;number=4.7&amp;sourceID=14","4.7")</f>
        <v>4.7</v>
      </c>
      <c r="G321" s="4" t="str">
        <f>HYPERLINK("http://141.218.60.56/~jnz1568/getInfo.php?workbook=27_11.xlsx&amp;sheet=U0&amp;row=321&amp;col=7&amp;number=0.00782&amp;sourceID=14","0.00782")</f>
        <v>0.00782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HYPERLINK("http://141.218.60.56/~jnz1568/getInfo.php?workbook=27_11.xlsx&amp;sheet=U0&amp;row=322&amp;col=6&amp;number=4.8&amp;sourceID=14","4.8")</f>
        <v>4.8</v>
      </c>
      <c r="G322" s="4" t="str">
        <f>HYPERLINK("http://141.218.60.56/~jnz1568/getInfo.php?workbook=27_11.xlsx&amp;sheet=U0&amp;row=322&amp;col=7&amp;number=0.00783&amp;sourceID=14","0.00783")</f>
        <v>0.00783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HYPERLINK("http://141.218.60.56/~jnz1568/getInfo.php?workbook=27_11.xlsx&amp;sheet=U0&amp;row=323&amp;col=6&amp;number=4.9&amp;sourceID=14","4.9")</f>
        <v>4.9</v>
      </c>
      <c r="G323" s="4" t="str">
        <f>HYPERLINK("http://141.218.60.56/~jnz1568/getInfo.php?workbook=27_11.xlsx&amp;sheet=U0&amp;row=323&amp;col=7&amp;number=0.00783&amp;sourceID=14","0.00783")</f>
        <v>0.00783</v>
      </c>
    </row>
    <row r="324" spans="1:7">
      <c r="A324" s="3">
        <v>27</v>
      </c>
      <c r="B324" s="3">
        <v>11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HYPERLINK("http://141.218.60.56/~jnz1568/getInfo.php?workbook=27_11.xlsx&amp;sheet=U0&amp;row=324&amp;col=6&amp;number=3&amp;sourceID=14","3")</f>
        <v>3</v>
      </c>
      <c r="G324" s="4" t="str">
        <f>HYPERLINK("http://141.218.60.56/~jnz1568/getInfo.php?workbook=27_11.xlsx&amp;sheet=U0&amp;row=324&amp;col=7&amp;number=0.00698&amp;sourceID=14","0.00698")</f>
        <v>0.00698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HYPERLINK("http://141.218.60.56/~jnz1568/getInfo.php?workbook=27_11.xlsx&amp;sheet=U0&amp;row=325&amp;col=6&amp;number=3.1&amp;sourceID=14","3.1")</f>
        <v>3.1</v>
      </c>
      <c r="G325" s="4" t="str">
        <f>HYPERLINK("http://141.218.60.56/~jnz1568/getInfo.php?workbook=27_11.xlsx&amp;sheet=U0&amp;row=325&amp;col=7&amp;number=0.00698&amp;sourceID=14","0.00698")</f>
        <v>0.00698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HYPERLINK("http://141.218.60.56/~jnz1568/getInfo.php?workbook=27_11.xlsx&amp;sheet=U0&amp;row=326&amp;col=6&amp;number=3.2&amp;sourceID=14","3.2")</f>
        <v>3.2</v>
      </c>
      <c r="G326" s="4" t="str">
        <f>HYPERLINK("http://141.218.60.56/~jnz1568/getInfo.php?workbook=27_11.xlsx&amp;sheet=U0&amp;row=326&amp;col=7&amp;number=0.00698&amp;sourceID=14","0.00698")</f>
        <v>0.00698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HYPERLINK("http://141.218.60.56/~jnz1568/getInfo.php?workbook=27_11.xlsx&amp;sheet=U0&amp;row=327&amp;col=6&amp;number=3.3&amp;sourceID=14","3.3")</f>
        <v>3.3</v>
      </c>
      <c r="G327" s="4" t="str">
        <f>HYPERLINK("http://141.218.60.56/~jnz1568/getInfo.php?workbook=27_11.xlsx&amp;sheet=U0&amp;row=327&amp;col=7&amp;number=0.00698&amp;sourceID=14","0.00698")</f>
        <v>0.00698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HYPERLINK("http://141.218.60.56/~jnz1568/getInfo.php?workbook=27_11.xlsx&amp;sheet=U0&amp;row=328&amp;col=6&amp;number=3.4&amp;sourceID=14","3.4")</f>
        <v>3.4</v>
      </c>
      <c r="G328" s="4" t="str">
        <f>HYPERLINK("http://141.218.60.56/~jnz1568/getInfo.php?workbook=27_11.xlsx&amp;sheet=U0&amp;row=328&amp;col=7&amp;number=0.00698&amp;sourceID=14","0.00698")</f>
        <v>0.00698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HYPERLINK("http://141.218.60.56/~jnz1568/getInfo.php?workbook=27_11.xlsx&amp;sheet=U0&amp;row=329&amp;col=6&amp;number=3.5&amp;sourceID=14","3.5")</f>
        <v>3.5</v>
      </c>
      <c r="G329" s="4" t="str">
        <f>HYPERLINK("http://141.218.60.56/~jnz1568/getInfo.php?workbook=27_11.xlsx&amp;sheet=U0&amp;row=329&amp;col=7&amp;number=0.00698&amp;sourceID=14","0.00698")</f>
        <v>0.00698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HYPERLINK("http://141.218.60.56/~jnz1568/getInfo.php?workbook=27_11.xlsx&amp;sheet=U0&amp;row=330&amp;col=6&amp;number=3.6&amp;sourceID=14","3.6")</f>
        <v>3.6</v>
      </c>
      <c r="G330" s="4" t="str">
        <f>HYPERLINK("http://141.218.60.56/~jnz1568/getInfo.php?workbook=27_11.xlsx&amp;sheet=U0&amp;row=330&amp;col=7&amp;number=0.00697&amp;sourceID=14","0.00697")</f>
        <v>0.00697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HYPERLINK("http://141.218.60.56/~jnz1568/getInfo.php?workbook=27_11.xlsx&amp;sheet=U0&amp;row=331&amp;col=6&amp;number=3.7&amp;sourceID=14","3.7")</f>
        <v>3.7</v>
      </c>
      <c r="G331" s="4" t="str">
        <f>HYPERLINK("http://141.218.60.56/~jnz1568/getInfo.php?workbook=27_11.xlsx&amp;sheet=U0&amp;row=331&amp;col=7&amp;number=0.00697&amp;sourceID=14","0.00697")</f>
        <v>0.00697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HYPERLINK("http://141.218.60.56/~jnz1568/getInfo.php?workbook=27_11.xlsx&amp;sheet=U0&amp;row=332&amp;col=6&amp;number=3.8&amp;sourceID=14","3.8")</f>
        <v>3.8</v>
      </c>
      <c r="G332" s="4" t="str">
        <f>HYPERLINK("http://141.218.60.56/~jnz1568/getInfo.php?workbook=27_11.xlsx&amp;sheet=U0&amp;row=332&amp;col=7&amp;number=0.00697&amp;sourceID=14","0.00697")</f>
        <v>0.00697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HYPERLINK("http://141.218.60.56/~jnz1568/getInfo.php?workbook=27_11.xlsx&amp;sheet=U0&amp;row=333&amp;col=6&amp;number=3.9&amp;sourceID=14","3.9")</f>
        <v>3.9</v>
      </c>
      <c r="G333" s="4" t="str">
        <f>HYPERLINK("http://141.218.60.56/~jnz1568/getInfo.php?workbook=27_11.xlsx&amp;sheet=U0&amp;row=333&amp;col=7&amp;number=0.00697&amp;sourceID=14","0.00697")</f>
        <v>0.00697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HYPERLINK("http://141.218.60.56/~jnz1568/getInfo.php?workbook=27_11.xlsx&amp;sheet=U0&amp;row=334&amp;col=6&amp;number=4&amp;sourceID=14","4")</f>
        <v>4</v>
      </c>
      <c r="G334" s="4" t="str">
        <f>HYPERLINK("http://141.218.60.56/~jnz1568/getInfo.php?workbook=27_11.xlsx&amp;sheet=U0&amp;row=334&amp;col=7&amp;number=0.00697&amp;sourceID=14","0.00697")</f>
        <v>0.00697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HYPERLINK("http://141.218.60.56/~jnz1568/getInfo.php?workbook=27_11.xlsx&amp;sheet=U0&amp;row=335&amp;col=6&amp;number=4.1&amp;sourceID=14","4.1")</f>
        <v>4.1</v>
      </c>
      <c r="G335" s="4" t="str">
        <f>HYPERLINK("http://141.218.60.56/~jnz1568/getInfo.php?workbook=27_11.xlsx&amp;sheet=U0&amp;row=335&amp;col=7&amp;number=0.00697&amp;sourceID=14","0.00697")</f>
        <v>0.00697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HYPERLINK("http://141.218.60.56/~jnz1568/getInfo.php?workbook=27_11.xlsx&amp;sheet=U0&amp;row=336&amp;col=6&amp;number=4.2&amp;sourceID=14","4.2")</f>
        <v>4.2</v>
      </c>
      <c r="G336" s="4" t="str">
        <f>HYPERLINK("http://141.218.60.56/~jnz1568/getInfo.php?workbook=27_11.xlsx&amp;sheet=U0&amp;row=336&amp;col=7&amp;number=0.00697&amp;sourceID=14","0.00697")</f>
        <v>0.00697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HYPERLINK("http://141.218.60.56/~jnz1568/getInfo.php?workbook=27_11.xlsx&amp;sheet=U0&amp;row=337&amp;col=6&amp;number=4.3&amp;sourceID=14","4.3")</f>
        <v>4.3</v>
      </c>
      <c r="G337" s="4" t="str">
        <f>HYPERLINK("http://141.218.60.56/~jnz1568/getInfo.php?workbook=27_11.xlsx&amp;sheet=U0&amp;row=337&amp;col=7&amp;number=0.00697&amp;sourceID=14","0.00697")</f>
        <v>0.00697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HYPERLINK("http://141.218.60.56/~jnz1568/getInfo.php?workbook=27_11.xlsx&amp;sheet=U0&amp;row=338&amp;col=6&amp;number=4.4&amp;sourceID=14","4.4")</f>
        <v>4.4</v>
      </c>
      <c r="G338" s="4" t="str">
        <f>HYPERLINK("http://141.218.60.56/~jnz1568/getInfo.php?workbook=27_11.xlsx&amp;sheet=U0&amp;row=338&amp;col=7&amp;number=0.00697&amp;sourceID=14","0.00697")</f>
        <v>0.00697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HYPERLINK("http://141.218.60.56/~jnz1568/getInfo.php?workbook=27_11.xlsx&amp;sheet=U0&amp;row=339&amp;col=6&amp;number=4.5&amp;sourceID=14","4.5")</f>
        <v>4.5</v>
      </c>
      <c r="G339" s="4" t="str">
        <f>HYPERLINK("http://141.218.60.56/~jnz1568/getInfo.php?workbook=27_11.xlsx&amp;sheet=U0&amp;row=339&amp;col=7&amp;number=0.00697&amp;sourceID=14","0.00697")</f>
        <v>0.00697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HYPERLINK("http://141.218.60.56/~jnz1568/getInfo.php?workbook=27_11.xlsx&amp;sheet=U0&amp;row=340&amp;col=6&amp;number=4.6&amp;sourceID=14","4.6")</f>
        <v>4.6</v>
      </c>
      <c r="G340" s="4" t="str">
        <f>HYPERLINK("http://141.218.60.56/~jnz1568/getInfo.php?workbook=27_11.xlsx&amp;sheet=U0&amp;row=340&amp;col=7&amp;number=0.00696&amp;sourceID=14","0.00696")</f>
        <v>0.00696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HYPERLINK("http://141.218.60.56/~jnz1568/getInfo.php?workbook=27_11.xlsx&amp;sheet=U0&amp;row=341&amp;col=6&amp;number=4.7&amp;sourceID=14","4.7")</f>
        <v>4.7</v>
      </c>
      <c r="G341" s="4" t="str">
        <f>HYPERLINK("http://141.218.60.56/~jnz1568/getInfo.php?workbook=27_11.xlsx&amp;sheet=U0&amp;row=341&amp;col=7&amp;number=0.00696&amp;sourceID=14","0.00696")</f>
        <v>0.00696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HYPERLINK("http://141.218.60.56/~jnz1568/getInfo.php?workbook=27_11.xlsx&amp;sheet=U0&amp;row=342&amp;col=6&amp;number=4.8&amp;sourceID=14","4.8")</f>
        <v>4.8</v>
      </c>
      <c r="G342" s="4" t="str">
        <f>HYPERLINK("http://141.218.60.56/~jnz1568/getInfo.php?workbook=27_11.xlsx&amp;sheet=U0&amp;row=342&amp;col=7&amp;number=0.00696&amp;sourceID=14","0.00696")</f>
        <v>0.00696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HYPERLINK("http://141.218.60.56/~jnz1568/getInfo.php?workbook=27_11.xlsx&amp;sheet=U0&amp;row=343&amp;col=6&amp;number=4.9&amp;sourceID=14","4.9")</f>
        <v>4.9</v>
      </c>
      <c r="G343" s="4" t="str">
        <f>HYPERLINK("http://141.218.60.56/~jnz1568/getInfo.php?workbook=27_11.xlsx&amp;sheet=U0&amp;row=343&amp;col=7&amp;number=0.00695&amp;sourceID=14","0.00695")</f>
        <v>0.00695</v>
      </c>
    </row>
    <row r="344" spans="1:7">
      <c r="A344" s="3">
        <v>27</v>
      </c>
      <c r="B344" s="3">
        <v>11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HYPERLINK("http://141.218.60.56/~jnz1568/getInfo.php?workbook=27_11.xlsx&amp;sheet=U0&amp;row=344&amp;col=6&amp;number=3&amp;sourceID=14","3")</f>
        <v>3</v>
      </c>
      <c r="G344" s="4" t="str">
        <f>HYPERLINK("http://141.218.60.56/~jnz1568/getInfo.php?workbook=27_11.xlsx&amp;sheet=U0&amp;row=344&amp;col=7&amp;number=0.00936&amp;sourceID=14","0.00936")</f>
        <v>0.00936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HYPERLINK("http://141.218.60.56/~jnz1568/getInfo.php?workbook=27_11.xlsx&amp;sheet=U0&amp;row=345&amp;col=6&amp;number=3.1&amp;sourceID=14","3.1")</f>
        <v>3.1</v>
      </c>
      <c r="G345" s="4" t="str">
        <f>HYPERLINK("http://141.218.60.56/~jnz1568/getInfo.php?workbook=27_11.xlsx&amp;sheet=U0&amp;row=345&amp;col=7&amp;number=0.00936&amp;sourceID=14","0.00936")</f>
        <v>0.00936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HYPERLINK("http://141.218.60.56/~jnz1568/getInfo.php?workbook=27_11.xlsx&amp;sheet=U0&amp;row=346&amp;col=6&amp;number=3.2&amp;sourceID=14","3.2")</f>
        <v>3.2</v>
      </c>
      <c r="G346" s="4" t="str">
        <f>HYPERLINK("http://141.218.60.56/~jnz1568/getInfo.php?workbook=27_11.xlsx&amp;sheet=U0&amp;row=346&amp;col=7&amp;number=0.00936&amp;sourceID=14","0.00936")</f>
        <v>0.00936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HYPERLINK("http://141.218.60.56/~jnz1568/getInfo.php?workbook=27_11.xlsx&amp;sheet=U0&amp;row=347&amp;col=6&amp;number=3.3&amp;sourceID=14","3.3")</f>
        <v>3.3</v>
      </c>
      <c r="G347" s="4" t="str">
        <f>HYPERLINK("http://141.218.60.56/~jnz1568/getInfo.php?workbook=27_11.xlsx&amp;sheet=U0&amp;row=347&amp;col=7&amp;number=0.00936&amp;sourceID=14","0.00936")</f>
        <v>0.00936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HYPERLINK("http://141.218.60.56/~jnz1568/getInfo.php?workbook=27_11.xlsx&amp;sheet=U0&amp;row=348&amp;col=6&amp;number=3.4&amp;sourceID=14","3.4")</f>
        <v>3.4</v>
      </c>
      <c r="G348" s="4" t="str">
        <f>HYPERLINK("http://141.218.60.56/~jnz1568/getInfo.php?workbook=27_11.xlsx&amp;sheet=U0&amp;row=348&amp;col=7&amp;number=0.00936&amp;sourceID=14","0.00936")</f>
        <v>0.00936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HYPERLINK("http://141.218.60.56/~jnz1568/getInfo.php?workbook=27_11.xlsx&amp;sheet=U0&amp;row=349&amp;col=6&amp;number=3.5&amp;sourceID=14","3.5")</f>
        <v>3.5</v>
      </c>
      <c r="G349" s="4" t="str">
        <f>HYPERLINK("http://141.218.60.56/~jnz1568/getInfo.php?workbook=27_11.xlsx&amp;sheet=U0&amp;row=349&amp;col=7&amp;number=0.00936&amp;sourceID=14","0.00936")</f>
        <v>0.00936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HYPERLINK("http://141.218.60.56/~jnz1568/getInfo.php?workbook=27_11.xlsx&amp;sheet=U0&amp;row=350&amp;col=6&amp;number=3.6&amp;sourceID=14","3.6")</f>
        <v>3.6</v>
      </c>
      <c r="G350" s="4" t="str">
        <f>HYPERLINK("http://141.218.60.56/~jnz1568/getInfo.php?workbook=27_11.xlsx&amp;sheet=U0&amp;row=350&amp;col=7&amp;number=0.00936&amp;sourceID=14","0.00936")</f>
        <v>0.00936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HYPERLINK("http://141.218.60.56/~jnz1568/getInfo.php?workbook=27_11.xlsx&amp;sheet=U0&amp;row=351&amp;col=6&amp;number=3.7&amp;sourceID=14","3.7")</f>
        <v>3.7</v>
      </c>
      <c r="G351" s="4" t="str">
        <f>HYPERLINK("http://141.218.60.56/~jnz1568/getInfo.php?workbook=27_11.xlsx&amp;sheet=U0&amp;row=351&amp;col=7&amp;number=0.00936&amp;sourceID=14","0.00936")</f>
        <v>0.00936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HYPERLINK("http://141.218.60.56/~jnz1568/getInfo.php?workbook=27_11.xlsx&amp;sheet=U0&amp;row=352&amp;col=6&amp;number=3.8&amp;sourceID=14","3.8")</f>
        <v>3.8</v>
      </c>
      <c r="G352" s="4" t="str">
        <f>HYPERLINK("http://141.218.60.56/~jnz1568/getInfo.php?workbook=27_11.xlsx&amp;sheet=U0&amp;row=352&amp;col=7&amp;number=0.00936&amp;sourceID=14","0.00936")</f>
        <v>0.00936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HYPERLINK("http://141.218.60.56/~jnz1568/getInfo.php?workbook=27_11.xlsx&amp;sheet=U0&amp;row=353&amp;col=6&amp;number=3.9&amp;sourceID=14","3.9")</f>
        <v>3.9</v>
      </c>
      <c r="G353" s="4" t="str">
        <f>HYPERLINK("http://141.218.60.56/~jnz1568/getInfo.php?workbook=27_11.xlsx&amp;sheet=U0&amp;row=353&amp;col=7&amp;number=0.00936&amp;sourceID=14","0.00936")</f>
        <v>0.00936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HYPERLINK("http://141.218.60.56/~jnz1568/getInfo.php?workbook=27_11.xlsx&amp;sheet=U0&amp;row=354&amp;col=6&amp;number=4&amp;sourceID=14","4")</f>
        <v>4</v>
      </c>
      <c r="G354" s="4" t="str">
        <f>HYPERLINK("http://141.218.60.56/~jnz1568/getInfo.php?workbook=27_11.xlsx&amp;sheet=U0&amp;row=354&amp;col=7&amp;number=0.00936&amp;sourceID=14","0.00936")</f>
        <v>0.00936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HYPERLINK("http://141.218.60.56/~jnz1568/getInfo.php?workbook=27_11.xlsx&amp;sheet=U0&amp;row=355&amp;col=6&amp;number=4.1&amp;sourceID=14","4.1")</f>
        <v>4.1</v>
      </c>
      <c r="G355" s="4" t="str">
        <f>HYPERLINK("http://141.218.60.56/~jnz1568/getInfo.php?workbook=27_11.xlsx&amp;sheet=U0&amp;row=355&amp;col=7&amp;number=0.00936&amp;sourceID=14","0.00936")</f>
        <v>0.00936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HYPERLINK("http://141.218.60.56/~jnz1568/getInfo.php?workbook=27_11.xlsx&amp;sheet=U0&amp;row=356&amp;col=6&amp;number=4.2&amp;sourceID=14","4.2")</f>
        <v>4.2</v>
      </c>
      <c r="G356" s="4" t="str">
        <f>HYPERLINK("http://141.218.60.56/~jnz1568/getInfo.php?workbook=27_11.xlsx&amp;sheet=U0&amp;row=356&amp;col=7&amp;number=0.00936&amp;sourceID=14","0.00936")</f>
        <v>0.00936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HYPERLINK("http://141.218.60.56/~jnz1568/getInfo.php?workbook=27_11.xlsx&amp;sheet=U0&amp;row=357&amp;col=6&amp;number=4.3&amp;sourceID=14","4.3")</f>
        <v>4.3</v>
      </c>
      <c r="G357" s="4" t="str">
        <f>HYPERLINK("http://141.218.60.56/~jnz1568/getInfo.php?workbook=27_11.xlsx&amp;sheet=U0&amp;row=357&amp;col=7&amp;number=0.00935&amp;sourceID=14","0.00935")</f>
        <v>0.00935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HYPERLINK("http://141.218.60.56/~jnz1568/getInfo.php?workbook=27_11.xlsx&amp;sheet=U0&amp;row=358&amp;col=6&amp;number=4.4&amp;sourceID=14","4.4")</f>
        <v>4.4</v>
      </c>
      <c r="G358" s="4" t="str">
        <f>HYPERLINK("http://141.218.60.56/~jnz1568/getInfo.php?workbook=27_11.xlsx&amp;sheet=U0&amp;row=358&amp;col=7&amp;number=0.00935&amp;sourceID=14","0.00935")</f>
        <v>0.00935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HYPERLINK("http://141.218.60.56/~jnz1568/getInfo.php?workbook=27_11.xlsx&amp;sheet=U0&amp;row=359&amp;col=6&amp;number=4.5&amp;sourceID=14","4.5")</f>
        <v>4.5</v>
      </c>
      <c r="G359" s="4" t="str">
        <f>HYPERLINK("http://141.218.60.56/~jnz1568/getInfo.php?workbook=27_11.xlsx&amp;sheet=U0&amp;row=359&amp;col=7&amp;number=0.00935&amp;sourceID=14","0.00935")</f>
        <v>0.00935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HYPERLINK("http://141.218.60.56/~jnz1568/getInfo.php?workbook=27_11.xlsx&amp;sheet=U0&amp;row=360&amp;col=6&amp;number=4.6&amp;sourceID=14","4.6")</f>
        <v>4.6</v>
      </c>
      <c r="G360" s="4" t="str">
        <f>HYPERLINK("http://141.218.60.56/~jnz1568/getInfo.php?workbook=27_11.xlsx&amp;sheet=U0&amp;row=360&amp;col=7&amp;number=0.00934&amp;sourceID=14","0.00934")</f>
        <v>0.00934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HYPERLINK("http://141.218.60.56/~jnz1568/getInfo.php?workbook=27_11.xlsx&amp;sheet=U0&amp;row=361&amp;col=6&amp;number=4.7&amp;sourceID=14","4.7")</f>
        <v>4.7</v>
      </c>
      <c r="G361" s="4" t="str">
        <f>HYPERLINK("http://141.218.60.56/~jnz1568/getInfo.php?workbook=27_11.xlsx&amp;sheet=U0&amp;row=361&amp;col=7&amp;number=0.00934&amp;sourceID=14","0.00934")</f>
        <v>0.00934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HYPERLINK("http://141.218.60.56/~jnz1568/getInfo.php?workbook=27_11.xlsx&amp;sheet=U0&amp;row=362&amp;col=6&amp;number=4.8&amp;sourceID=14","4.8")</f>
        <v>4.8</v>
      </c>
      <c r="G362" s="4" t="str">
        <f>HYPERLINK("http://141.218.60.56/~jnz1568/getInfo.php?workbook=27_11.xlsx&amp;sheet=U0&amp;row=362&amp;col=7&amp;number=0.00933&amp;sourceID=14","0.00933")</f>
        <v>0.00933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HYPERLINK("http://141.218.60.56/~jnz1568/getInfo.php?workbook=27_11.xlsx&amp;sheet=U0&amp;row=363&amp;col=6&amp;number=4.9&amp;sourceID=14","4.9")</f>
        <v>4.9</v>
      </c>
      <c r="G363" s="4" t="str">
        <f>HYPERLINK("http://141.218.60.56/~jnz1568/getInfo.php?workbook=27_11.xlsx&amp;sheet=U0&amp;row=363&amp;col=7&amp;number=0.00932&amp;sourceID=14","0.00932")</f>
        <v>0.00932</v>
      </c>
    </row>
    <row r="364" spans="1:7">
      <c r="A364" s="3">
        <v>27</v>
      </c>
      <c r="B364" s="3">
        <v>11</v>
      </c>
      <c r="C364" s="3">
        <v>2</v>
      </c>
      <c r="D364" s="3">
        <v>3</v>
      </c>
      <c r="E364" s="3">
        <v>1</v>
      </c>
      <c r="F364" s="4" t="str">
        <f>HYPERLINK("http://141.218.60.56/~jnz1568/getInfo.php?workbook=27_11.xlsx&amp;sheet=U0&amp;row=364&amp;col=6&amp;number=3&amp;sourceID=14","3")</f>
        <v>3</v>
      </c>
      <c r="G364" s="4" t="str">
        <f>HYPERLINK("http://141.218.60.56/~jnz1568/getInfo.php?workbook=27_11.xlsx&amp;sheet=U0&amp;row=364&amp;col=7&amp;number=0.199&amp;sourceID=14","0.199")</f>
        <v>0.199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HYPERLINK("http://141.218.60.56/~jnz1568/getInfo.php?workbook=27_11.xlsx&amp;sheet=U0&amp;row=365&amp;col=6&amp;number=3.1&amp;sourceID=14","3.1")</f>
        <v>3.1</v>
      </c>
      <c r="G365" s="4" t="str">
        <f>HYPERLINK("http://141.218.60.56/~jnz1568/getInfo.php?workbook=27_11.xlsx&amp;sheet=U0&amp;row=365&amp;col=7&amp;number=0.199&amp;sourceID=14","0.199")</f>
        <v>0.199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HYPERLINK("http://141.218.60.56/~jnz1568/getInfo.php?workbook=27_11.xlsx&amp;sheet=U0&amp;row=366&amp;col=6&amp;number=3.2&amp;sourceID=14","3.2")</f>
        <v>3.2</v>
      </c>
      <c r="G366" s="4" t="str">
        <f>HYPERLINK("http://141.218.60.56/~jnz1568/getInfo.php?workbook=27_11.xlsx&amp;sheet=U0&amp;row=366&amp;col=7&amp;number=0.199&amp;sourceID=14","0.199")</f>
        <v>0.199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HYPERLINK("http://141.218.60.56/~jnz1568/getInfo.php?workbook=27_11.xlsx&amp;sheet=U0&amp;row=367&amp;col=6&amp;number=3.3&amp;sourceID=14","3.3")</f>
        <v>3.3</v>
      </c>
      <c r="G367" s="4" t="str">
        <f>HYPERLINK("http://141.218.60.56/~jnz1568/getInfo.php?workbook=27_11.xlsx&amp;sheet=U0&amp;row=367&amp;col=7&amp;number=0.199&amp;sourceID=14","0.199")</f>
        <v>0.199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HYPERLINK("http://141.218.60.56/~jnz1568/getInfo.php?workbook=27_11.xlsx&amp;sheet=U0&amp;row=368&amp;col=6&amp;number=3.4&amp;sourceID=14","3.4")</f>
        <v>3.4</v>
      </c>
      <c r="G368" s="4" t="str">
        <f>HYPERLINK("http://141.218.60.56/~jnz1568/getInfo.php?workbook=27_11.xlsx&amp;sheet=U0&amp;row=368&amp;col=7&amp;number=0.199&amp;sourceID=14","0.199")</f>
        <v>0.199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HYPERLINK("http://141.218.60.56/~jnz1568/getInfo.php?workbook=27_11.xlsx&amp;sheet=U0&amp;row=369&amp;col=6&amp;number=3.5&amp;sourceID=14","3.5")</f>
        <v>3.5</v>
      </c>
      <c r="G369" s="4" t="str">
        <f>HYPERLINK("http://141.218.60.56/~jnz1568/getInfo.php?workbook=27_11.xlsx&amp;sheet=U0&amp;row=369&amp;col=7&amp;number=0.199&amp;sourceID=14","0.199")</f>
        <v>0.199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HYPERLINK("http://141.218.60.56/~jnz1568/getInfo.php?workbook=27_11.xlsx&amp;sheet=U0&amp;row=370&amp;col=6&amp;number=3.6&amp;sourceID=14","3.6")</f>
        <v>3.6</v>
      </c>
      <c r="G370" s="4" t="str">
        <f>HYPERLINK("http://141.218.60.56/~jnz1568/getInfo.php?workbook=27_11.xlsx&amp;sheet=U0&amp;row=370&amp;col=7&amp;number=0.199&amp;sourceID=14","0.199")</f>
        <v>0.199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HYPERLINK("http://141.218.60.56/~jnz1568/getInfo.php?workbook=27_11.xlsx&amp;sheet=U0&amp;row=371&amp;col=6&amp;number=3.7&amp;sourceID=14","3.7")</f>
        <v>3.7</v>
      </c>
      <c r="G371" s="4" t="str">
        <f>HYPERLINK("http://141.218.60.56/~jnz1568/getInfo.php?workbook=27_11.xlsx&amp;sheet=U0&amp;row=371&amp;col=7&amp;number=0.199&amp;sourceID=14","0.199")</f>
        <v>0.199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HYPERLINK("http://141.218.60.56/~jnz1568/getInfo.php?workbook=27_11.xlsx&amp;sheet=U0&amp;row=372&amp;col=6&amp;number=3.8&amp;sourceID=14","3.8")</f>
        <v>3.8</v>
      </c>
      <c r="G372" s="4" t="str">
        <f>HYPERLINK("http://141.218.60.56/~jnz1568/getInfo.php?workbook=27_11.xlsx&amp;sheet=U0&amp;row=372&amp;col=7&amp;number=0.199&amp;sourceID=14","0.199")</f>
        <v>0.199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HYPERLINK("http://141.218.60.56/~jnz1568/getInfo.php?workbook=27_11.xlsx&amp;sheet=U0&amp;row=373&amp;col=6&amp;number=3.9&amp;sourceID=14","3.9")</f>
        <v>3.9</v>
      </c>
      <c r="G373" s="4" t="str">
        <f>HYPERLINK("http://141.218.60.56/~jnz1568/getInfo.php?workbook=27_11.xlsx&amp;sheet=U0&amp;row=373&amp;col=7&amp;number=0.199&amp;sourceID=14","0.199")</f>
        <v>0.199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HYPERLINK("http://141.218.60.56/~jnz1568/getInfo.php?workbook=27_11.xlsx&amp;sheet=U0&amp;row=374&amp;col=6&amp;number=4&amp;sourceID=14","4")</f>
        <v>4</v>
      </c>
      <c r="G374" s="4" t="str">
        <f>HYPERLINK("http://141.218.60.56/~jnz1568/getInfo.php?workbook=27_11.xlsx&amp;sheet=U0&amp;row=374&amp;col=7&amp;number=0.199&amp;sourceID=14","0.199")</f>
        <v>0.199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HYPERLINK("http://141.218.60.56/~jnz1568/getInfo.php?workbook=27_11.xlsx&amp;sheet=U0&amp;row=375&amp;col=6&amp;number=4.1&amp;sourceID=14","4.1")</f>
        <v>4.1</v>
      </c>
      <c r="G375" s="4" t="str">
        <f>HYPERLINK("http://141.218.60.56/~jnz1568/getInfo.php?workbook=27_11.xlsx&amp;sheet=U0&amp;row=375&amp;col=7&amp;number=0.199&amp;sourceID=14","0.199")</f>
        <v>0.199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HYPERLINK("http://141.218.60.56/~jnz1568/getInfo.php?workbook=27_11.xlsx&amp;sheet=U0&amp;row=376&amp;col=6&amp;number=4.2&amp;sourceID=14","4.2")</f>
        <v>4.2</v>
      </c>
      <c r="G376" s="4" t="str">
        <f>HYPERLINK("http://141.218.60.56/~jnz1568/getInfo.php?workbook=27_11.xlsx&amp;sheet=U0&amp;row=376&amp;col=7&amp;number=0.199&amp;sourceID=14","0.199")</f>
        <v>0.199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HYPERLINK("http://141.218.60.56/~jnz1568/getInfo.php?workbook=27_11.xlsx&amp;sheet=U0&amp;row=377&amp;col=6&amp;number=4.3&amp;sourceID=14","4.3")</f>
        <v>4.3</v>
      </c>
      <c r="G377" s="4" t="str">
        <f>HYPERLINK("http://141.218.60.56/~jnz1568/getInfo.php?workbook=27_11.xlsx&amp;sheet=U0&amp;row=377&amp;col=7&amp;number=0.199&amp;sourceID=14","0.199")</f>
        <v>0.199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HYPERLINK("http://141.218.60.56/~jnz1568/getInfo.php?workbook=27_11.xlsx&amp;sheet=U0&amp;row=378&amp;col=6&amp;number=4.4&amp;sourceID=14","4.4")</f>
        <v>4.4</v>
      </c>
      <c r="G378" s="4" t="str">
        <f>HYPERLINK("http://141.218.60.56/~jnz1568/getInfo.php?workbook=27_11.xlsx&amp;sheet=U0&amp;row=378&amp;col=7&amp;number=0.199&amp;sourceID=14","0.199")</f>
        <v>0.199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HYPERLINK("http://141.218.60.56/~jnz1568/getInfo.php?workbook=27_11.xlsx&amp;sheet=U0&amp;row=379&amp;col=6&amp;number=4.5&amp;sourceID=14","4.5")</f>
        <v>4.5</v>
      </c>
      <c r="G379" s="4" t="str">
        <f>HYPERLINK("http://141.218.60.56/~jnz1568/getInfo.php?workbook=27_11.xlsx&amp;sheet=U0&amp;row=379&amp;col=7&amp;number=0.199&amp;sourceID=14","0.199")</f>
        <v>0.199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HYPERLINK("http://141.218.60.56/~jnz1568/getInfo.php?workbook=27_11.xlsx&amp;sheet=U0&amp;row=380&amp;col=6&amp;number=4.6&amp;sourceID=14","4.6")</f>
        <v>4.6</v>
      </c>
      <c r="G380" s="4" t="str">
        <f>HYPERLINK("http://141.218.60.56/~jnz1568/getInfo.php?workbook=27_11.xlsx&amp;sheet=U0&amp;row=380&amp;col=7&amp;number=0.199&amp;sourceID=14","0.199")</f>
        <v>0.199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HYPERLINK("http://141.218.60.56/~jnz1568/getInfo.php?workbook=27_11.xlsx&amp;sheet=U0&amp;row=381&amp;col=6&amp;number=4.7&amp;sourceID=14","4.7")</f>
        <v>4.7</v>
      </c>
      <c r="G381" s="4" t="str">
        <f>HYPERLINK("http://141.218.60.56/~jnz1568/getInfo.php?workbook=27_11.xlsx&amp;sheet=U0&amp;row=381&amp;col=7&amp;number=0.199&amp;sourceID=14","0.199")</f>
        <v>0.199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HYPERLINK("http://141.218.60.56/~jnz1568/getInfo.php?workbook=27_11.xlsx&amp;sheet=U0&amp;row=382&amp;col=6&amp;number=4.8&amp;sourceID=14","4.8")</f>
        <v>4.8</v>
      </c>
      <c r="G382" s="4" t="str">
        <f>HYPERLINK("http://141.218.60.56/~jnz1568/getInfo.php?workbook=27_11.xlsx&amp;sheet=U0&amp;row=382&amp;col=7&amp;number=0.199&amp;sourceID=14","0.199")</f>
        <v>0.199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HYPERLINK("http://141.218.60.56/~jnz1568/getInfo.php?workbook=27_11.xlsx&amp;sheet=U0&amp;row=383&amp;col=6&amp;number=4.9&amp;sourceID=14","4.9")</f>
        <v>4.9</v>
      </c>
      <c r="G383" s="4" t="str">
        <f>HYPERLINK("http://141.218.60.56/~jnz1568/getInfo.php?workbook=27_11.xlsx&amp;sheet=U0&amp;row=383&amp;col=7&amp;number=0.198&amp;sourceID=14","0.198")</f>
        <v>0.198</v>
      </c>
    </row>
    <row r="384" spans="1:7">
      <c r="A384" s="3">
        <v>27</v>
      </c>
      <c r="B384" s="3">
        <v>11</v>
      </c>
      <c r="C384" s="3">
        <v>2</v>
      </c>
      <c r="D384" s="3">
        <v>4</v>
      </c>
      <c r="E384" s="3">
        <v>1</v>
      </c>
      <c r="F384" s="4" t="str">
        <f>HYPERLINK("http://141.218.60.56/~jnz1568/getInfo.php?workbook=27_11.xlsx&amp;sheet=U0&amp;row=384&amp;col=6&amp;number=3&amp;sourceID=14","3")</f>
        <v>3</v>
      </c>
      <c r="G384" s="4" t="str">
        <f>HYPERLINK("http://141.218.60.56/~jnz1568/getInfo.php?workbook=27_11.xlsx&amp;sheet=U0&amp;row=384&amp;col=7&amp;number=1.52&amp;sourceID=14","1.52")</f>
        <v>1.52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HYPERLINK("http://141.218.60.56/~jnz1568/getInfo.php?workbook=27_11.xlsx&amp;sheet=U0&amp;row=385&amp;col=6&amp;number=3.1&amp;sourceID=14","3.1")</f>
        <v>3.1</v>
      </c>
      <c r="G385" s="4" t="str">
        <f>HYPERLINK("http://141.218.60.56/~jnz1568/getInfo.php?workbook=27_11.xlsx&amp;sheet=U0&amp;row=385&amp;col=7&amp;number=1.52&amp;sourceID=14","1.52")</f>
        <v>1.52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HYPERLINK("http://141.218.60.56/~jnz1568/getInfo.php?workbook=27_11.xlsx&amp;sheet=U0&amp;row=386&amp;col=6&amp;number=3.2&amp;sourceID=14","3.2")</f>
        <v>3.2</v>
      </c>
      <c r="G386" s="4" t="str">
        <f>HYPERLINK("http://141.218.60.56/~jnz1568/getInfo.php?workbook=27_11.xlsx&amp;sheet=U0&amp;row=386&amp;col=7&amp;number=1.52&amp;sourceID=14","1.52")</f>
        <v>1.52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HYPERLINK("http://141.218.60.56/~jnz1568/getInfo.php?workbook=27_11.xlsx&amp;sheet=U0&amp;row=387&amp;col=6&amp;number=3.3&amp;sourceID=14","3.3")</f>
        <v>3.3</v>
      </c>
      <c r="G387" s="4" t="str">
        <f>HYPERLINK("http://141.218.60.56/~jnz1568/getInfo.php?workbook=27_11.xlsx&amp;sheet=U0&amp;row=387&amp;col=7&amp;number=1.52&amp;sourceID=14","1.52")</f>
        <v>1.52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HYPERLINK("http://141.218.60.56/~jnz1568/getInfo.php?workbook=27_11.xlsx&amp;sheet=U0&amp;row=388&amp;col=6&amp;number=3.4&amp;sourceID=14","3.4")</f>
        <v>3.4</v>
      </c>
      <c r="G388" s="4" t="str">
        <f>HYPERLINK("http://141.218.60.56/~jnz1568/getInfo.php?workbook=27_11.xlsx&amp;sheet=U0&amp;row=388&amp;col=7&amp;number=1.52&amp;sourceID=14","1.52")</f>
        <v>1.52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HYPERLINK("http://141.218.60.56/~jnz1568/getInfo.php?workbook=27_11.xlsx&amp;sheet=U0&amp;row=389&amp;col=6&amp;number=3.5&amp;sourceID=14","3.5")</f>
        <v>3.5</v>
      </c>
      <c r="G389" s="4" t="str">
        <f>HYPERLINK("http://141.218.60.56/~jnz1568/getInfo.php?workbook=27_11.xlsx&amp;sheet=U0&amp;row=389&amp;col=7&amp;number=1.52&amp;sourceID=14","1.52")</f>
        <v>1.52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HYPERLINK("http://141.218.60.56/~jnz1568/getInfo.php?workbook=27_11.xlsx&amp;sheet=U0&amp;row=390&amp;col=6&amp;number=3.6&amp;sourceID=14","3.6")</f>
        <v>3.6</v>
      </c>
      <c r="G390" s="4" t="str">
        <f>HYPERLINK("http://141.218.60.56/~jnz1568/getInfo.php?workbook=27_11.xlsx&amp;sheet=U0&amp;row=390&amp;col=7&amp;number=1.52&amp;sourceID=14","1.52")</f>
        <v>1.52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HYPERLINK("http://141.218.60.56/~jnz1568/getInfo.php?workbook=27_11.xlsx&amp;sheet=U0&amp;row=391&amp;col=6&amp;number=3.7&amp;sourceID=14","3.7")</f>
        <v>3.7</v>
      </c>
      <c r="G391" s="4" t="str">
        <f>HYPERLINK("http://141.218.60.56/~jnz1568/getInfo.php?workbook=27_11.xlsx&amp;sheet=U0&amp;row=391&amp;col=7&amp;number=1.52&amp;sourceID=14","1.52")</f>
        <v>1.52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HYPERLINK("http://141.218.60.56/~jnz1568/getInfo.php?workbook=27_11.xlsx&amp;sheet=U0&amp;row=392&amp;col=6&amp;number=3.8&amp;sourceID=14","3.8")</f>
        <v>3.8</v>
      </c>
      <c r="G392" s="4" t="str">
        <f>HYPERLINK("http://141.218.60.56/~jnz1568/getInfo.php?workbook=27_11.xlsx&amp;sheet=U0&amp;row=392&amp;col=7&amp;number=1.52&amp;sourceID=14","1.52")</f>
        <v>1.52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HYPERLINK("http://141.218.60.56/~jnz1568/getInfo.php?workbook=27_11.xlsx&amp;sheet=U0&amp;row=393&amp;col=6&amp;number=3.9&amp;sourceID=14","3.9")</f>
        <v>3.9</v>
      </c>
      <c r="G393" s="4" t="str">
        <f>HYPERLINK("http://141.218.60.56/~jnz1568/getInfo.php?workbook=27_11.xlsx&amp;sheet=U0&amp;row=393&amp;col=7&amp;number=1.52&amp;sourceID=14","1.52")</f>
        <v>1.52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HYPERLINK("http://141.218.60.56/~jnz1568/getInfo.php?workbook=27_11.xlsx&amp;sheet=U0&amp;row=394&amp;col=6&amp;number=4&amp;sourceID=14","4")</f>
        <v>4</v>
      </c>
      <c r="G394" s="4" t="str">
        <f>HYPERLINK("http://141.218.60.56/~jnz1568/getInfo.php?workbook=27_11.xlsx&amp;sheet=U0&amp;row=394&amp;col=7&amp;number=1.52&amp;sourceID=14","1.52")</f>
        <v>1.52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HYPERLINK("http://141.218.60.56/~jnz1568/getInfo.php?workbook=27_11.xlsx&amp;sheet=U0&amp;row=395&amp;col=6&amp;number=4.1&amp;sourceID=14","4.1")</f>
        <v>4.1</v>
      </c>
      <c r="G395" s="4" t="str">
        <f>HYPERLINK("http://141.218.60.56/~jnz1568/getInfo.php?workbook=27_11.xlsx&amp;sheet=U0&amp;row=395&amp;col=7&amp;number=1.52&amp;sourceID=14","1.52")</f>
        <v>1.52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HYPERLINK("http://141.218.60.56/~jnz1568/getInfo.php?workbook=27_11.xlsx&amp;sheet=U0&amp;row=396&amp;col=6&amp;number=4.2&amp;sourceID=14","4.2")</f>
        <v>4.2</v>
      </c>
      <c r="G396" s="4" t="str">
        <f>HYPERLINK("http://141.218.60.56/~jnz1568/getInfo.php?workbook=27_11.xlsx&amp;sheet=U0&amp;row=396&amp;col=7&amp;number=1.52&amp;sourceID=14","1.52")</f>
        <v>1.52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HYPERLINK("http://141.218.60.56/~jnz1568/getInfo.php?workbook=27_11.xlsx&amp;sheet=U0&amp;row=397&amp;col=6&amp;number=4.3&amp;sourceID=14","4.3")</f>
        <v>4.3</v>
      </c>
      <c r="G397" s="4" t="str">
        <f>HYPERLINK("http://141.218.60.56/~jnz1568/getInfo.php?workbook=27_11.xlsx&amp;sheet=U0&amp;row=397&amp;col=7&amp;number=1.52&amp;sourceID=14","1.52")</f>
        <v>1.52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HYPERLINK("http://141.218.60.56/~jnz1568/getInfo.php?workbook=27_11.xlsx&amp;sheet=U0&amp;row=398&amp;col=6&amp;number=4.4&amp;sourceID=14","4.4")</f>
        <v>4.4</v>
      </c>
      <c r="G398" s="4" t="str">
        <f>HYPERLINK("http://141.218.60.56/~jnz1568/getInfo.php?workbook=27_11.xlsx&amp;sheet=U0&amp;row=398&amp;col=7&amp;number=1.52&amp;sourceID=14","1.52")</f>
        <v>1.52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HYPERLINK("http://141.218.60.56/~jnz1568/getInfo.php?workbook=27_11.xlsx&amp;sheet=U0&amp;row=399&amp;col=6&amp;number=4.5&amp;sourceID=14","4.5")</f>
        <v>4.5</v>
      </c>
      <c r="G399" s="4" t="str">
        <f>HYPERLINK("http://141.218.60.56/~jnz1568/getInfo.php?workbook=27_11.xlsx&amp;sheet=U0&amp;row=399&amp;col=7&amp;number=1.53&amp;sourceID=14","1.53")</f>
        <v>1.53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HYPERLINK("http://141.218.60.56/~jnz1568/getInfo.php?workbook=27_11.xlsx&amp;sheet=U0&amp;row=400&amp;col=6&amp;number=4.6&amp;sourceID=14","4.6")</f>
        <v>4.6</v>
      </c>
      <c r="G400" s="4" t="str">
        <f>HYPERLINK("http://141.218.60.56/~jnz1568/getInfo.php?workbook=27_11.xlsx&amp;sheet=U0&amp;row=400&amp;col=7&amp;number=1.53&amp;sourceID=14","1.53")</f>
        <v>1.53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HYPERLINK("http://141.218.60.56/~jnz1568/getInfo.php?workbook=27_11.xlsx&amp;sheet=U0&amp;row=401&amp;col=6&amp;number=4.7&amp;sourceID=14","4.7")</f>
        <v>4.7</v>
      </c>
      <c r="G401" s="4" t="str">
        <f>HYPERLINK("http://141.218.60.56/~jnz1568/getInfo.php?workbook=27_11.xlsx&amp;sheet=U0&amp;row=401&amp;col=7&amp;number=1.53&amp;sourceID=14","1.53")</f>
        <v>1.53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HYPERLINK("http://141.218.60.56/~jnz1568/getInfo.php?workbook=27_11.xlsx&amp;sheet=U0&amp;row=402&amp;col=6&amp;number=4.8&amp;sourceID=14","4.8")</f>
        <v>4.8</v>
      </c>
      <c r="G402" s="4" t="str">
        <f>HYPERLINK("http://141.218.60.56/~jnz1568/getInfo.php?workbook=27_11.xlsx&amp;sheet=U0&amp;row=402&amp;col=7&amp;number=1.53&amp;sourceID=14","1.53")</f>
        <v>1.53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HYPERLINK("http://141.218.60.56/~jnz1568/getInfo.php?workbook=27_11.xlsx&amp;sheet=U0&amp;row=403&amp;col=6&amp;number=4.9&amp;sourceID=14","4.9")</f>
        <v>4.9</v>
      </c>
      <c r="G403" s="4" t="str">
        <f>HYPERLINK("http://141.218.60.56/~jnz1568/getInfo.php?workbook=27_11.xlsx&amp;sheet=U0&amp;row=403&amp;col=7&amp;number=1.54&amp;sourceID=14","1.54")</f>
        <v>1.54</v>
      </c>
    </row>
    <row r="404" spans="1:7">
      <c r="A404" s="3">
        <v>27</v>
      </c>
      <c r="B404" s="3">
        <v>11</v>
      </c>
      <c r="C404" s="3">
        <v>2</v>
      </c>
      <c r="D404" s="3">
        <v>5</v>
      </c>
      <c r="E404" s="3">
        <v>1</v>
      </c>
      <c r="F404" s="4" t="str">
        <f>HYPERLINK("http://141.218.60.56/~jnz1568/getInfo.php?workbook=27_11.xlsx&amp;sheet=U0&amp;row=404&amp;col=6&amp;number=3&amp;sourceID=14","3")</f>
        <v>3</v>
      </c>
      <c r="G404" s="4" t="str">
        <f>HYPERLINK("http://141.218.60.56/~jnz1568/getInfo.php?workbook=27_11.xlsx&amp;sheet=U0&amp;row=404&amp;col=7&amp;number=0.0403&amp;sourceID=14","0.0403")</f>
        <v>0.0403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HYPERLINK("http://141.218.60.56/~jnz1568/getInfo.php?workbook=27_11.xlsx&amp;sheet=U0&amp;row=405&amp;col=6&amp;number=3.1&amp;sourceID=14","3.1")</f>
        <v>3.1</v>
      </c>
      <c r="G405" s="4" t="str">
        <f>HYPERLINK("http://141.218.60.56/~jnz1568/getInfo.php?workbook=27_11.xlsx&amp;sheet=U0&amp;row=405&amp;col=7&amp;number=0.0403&amp;sourceID=14","0.0403")</f>
        <v>0.0403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HYPERLINK("http://141.218.60.56/~jnz1568/getInfo.php?workbook=27_11.xlsx&amp;sheet=U0&amp;row=406&amp;col=6&amp;number=3.2&amp;sourceID=14","3.2")</f>
        <v>3.2</v>
      </c>
      <c r="G406" s="4" t="str">
        <f>HYPERLINK("http://141.218.60.56/~jnz1568/getInfo.php?workbook=27_11.xlsx&amp;sheet=U0&amp;row=406&amp;col=7&amp;number=0.0403&amp;sourceID=14","0.0403")</f>
        <v>0.0403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HYPERLINK("http://141.218.60.56/~jnz1568/getInfo.php?workbook=27_11.xlsx&amp;sheet=U0&amp;row=407&amp;col=6&amp;number=3.3&amp;sourceID=14","3.3")</f>
        <v>3.3</v>
      </c>
      <c r="G407" s="4" t="str">
        <f>HYPERLINK("http://141.218.60.56/~jnz1568/getInfo.php?workbook=27_11.xlsx&amp;sheet=U0&amp;row=407&amp;col=7&amp;number=0.0403&amp;sourceID=14","0.0403")</f>
        <v>0.0403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HYPERLINK("http://141.218.60.56/~jnz1568/getInfo.php?workbook=27_11.xlsx&amp;sheet=U0&amp;row=408&amp;col=6&amp;number=3.4&amp;sourceID=14","3.4")</f>
        <v>3.4</v>
      </c>
      <c r="G408" s="4" t="str">
        <f>HYPERLINK("http://141.218.60.56/~jnz1568/getInfo.php?workbook=27_11.xlsx&amp;sheet=U0&amp;row=408&amp;col=7&amp;number=0.0403&amp;sourceID=14","0.0403")</f>
        <v>0.0403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HYPERLINK("http://141.218.60.56/~jnz1568/getInfo.php?workbook=27_11.xlsx&amp;sheet=U0&amp;row=409&amp;col=6&amp;number=3.5&amp;sourceID=14","3.5")</f>
        <v>3.5</v>
      </c>
      <c r="G409" s="4" t="str">
        <f>HYPERLINK("http://141.218.60.56/~jnz1568/getInfo.php?workbook=27_11.xlsx&amp;sheet=U0&amp;row=409&amp;col=7&amp;number=0.0403&amp;sourceID=14","0.0403")</f>
        <v>0.0403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HYPERLINK("http://141.218.60.56/~jnz1568/getInfo.php?workbook=27_11.xlsx&amp;sheet=U0&amp;row=410&amp;col=6&amp;number=3.6&amp;sourceID=14","3.6")</f>
        <v>3.6</v>
      </c>
      <c r="G410" s="4" t="str">
        <f>HYPERLINK("http://141.218.60.56/~jnz1568/getInfo.php?workbook=27_11.xlsx&amp;sheet=U0&amp;row=410&amp;col=7&amp;number=0.0403&amp;sourceID=14","0.0403")</f>
        <v>0.0403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HYPERLINK("http://141.218.60.56/~jnz1568/getInfo.php?workbook=27_11.xlsx&amp;sheet=U0&amp;row=411&amp;col=6&amp;number=3.7&amp;sourceID=14","3.7")</f>
        <v>3.7</v>
      </c>
      <c r="G411" s="4" t="str">
        <f>HYPERLINK("http://141.218.60.56/~jnz1568/getInfo.php?workbook=27_11.xlsx&amp;sheet=U0&amp;row=411&amp;col=7&amp;number=0.0403&amp;sourceID=14","0.0403")</f>
        <v>0.0403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HYPERLINK("http://141.218.60.56/~jnz1568/getInfo.php?workbook=27_11.xlsx&amp;sheet=U0&amp;row=412&amp;col=6&amp;number=3.8&amp;sourceID=14","3.8")</f>
        <v>3.8</v>
      </c>
      <c r="G412" s="4" t="str">
        <f>HYPERLINK("http://141.218.60.56/~jnz1568/getInfo.php?workbook=27_11.xlsx&amp;sheet=U0&amp;row=412&amp;col=7&amp;number=0.0403&amp;sourceID=14","0.0403")</f>
        <v>0.0403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HYPERLINK("http://141.218.60.56/~jnz1568/getInfo.php?workbook=27_11.xlsx&amp;sheet=U0&amp;row=413&amp;col=6&amp;number=3.9&amp;sourceID=14","3.9")</f>
        <v>3.9</v>
      </c>
      <c r="G413" s="4" t="str">
        <f>HYPERLINK("http://141.218.60.56/~jnz1568/getInfo.php?workbook=27_11.xlsx&amp;sheet=U0&amp;row=413&amp;col=7&amp;number=0.0403&amp;sourceID=14","0.0403")</f>
        <v>0.0403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HYPERLINK("http://141.218.60.56/~jnz1568/getInfo.php?workbook=27_11.xlsx&amp;sheet=U0&amp;row=414&amp;col=6&amp;number=4&amp;sourceID=14","4")</f>
        <v>4</v>
      </c>
      <c r="G414" s="4" t="str">
        <f>HYPERLINK("http://141.218.60.56/~jnz1568/getInfo.php?workbook=27_11.xlsx&amp;sheet=U0&amp;row=414&amp;col=7&amp;number=0.0403&amp;sourceID=14","0.0403")</f>
        <v>0.0403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HYPERLINK("http://141.218.60.56/~jnz1568/getInfo.php?workbook=27_11.xlsx&amp;sheet=U0&amp;row=415&amp;col=6&amp;number=4.1&amp;sourceID=14","4.1")</f>
        <v>4.1</v>
      </c>
      <c r="G415" s="4" t="str">
        <f>HYPERLINK("http://141.218.60.56/~jnz1568/getInfo.php?workbook=27_11.xlsx&amp;sheet=U0&amp;row=415&amp;col=7&amp;number=0.0403&amp;sourceID=14","0.0403")</f>
        <v>0.0403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HYPERLINK("http://141.218.60.56/~jnz1568/getInfo.php?workbook=27_11.xlsx&amp;sheet=U0&amp;row=416&amp;col=6&amp;number=4.2&amp;sourceID=14","4.2")</f>
        <v>4.2</v>
      </c>
      <c r="G416" s="4" t="str">
        <f>HYPERLINK("http://141.218.60.56/~jnz1568/getInfo.php?workbook=27_11.xlsx&amp;sheet=U0&amp;row=416&amp;col=7&amp;number=0.0403&amp;sourceID=14","0.0403")</f>
        <v>0.0403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HYPERLINK("http://141.218.60.56/~jnz1568/getInfo.php?workbook=27_11.xlsx&amp;sheet=U0&amp;row=417&amp;col=6&amp;number=4.3&amp;sourceID=14","4.3")</f>
        <v>4.3</v>
      </c>
      <c r="G417" s="4" t="str">
        <f>HYPERLINK("http://141.218.60.56/~jnz1568/getInfo.php?workbook=27_11.xlsx&amp;sheet=U0&amp;row=417&amp;col=7&amp;number=0.0402&amp;sourceID=14","0.0402")</f>
        <v>0.0402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HYPERLINK("http://141.218.60.56/~jnz1568/getInfo.php?workbook=27_11.xlsx&amp;sheet=U0&amp;row=418&amp;col=6&amp;number=4.4&amp;sourceID=14","4.4")</f>
        <v>4.4</v>
      </c>
      <c r="G418" s="4" t="str">
        <f>HYPERLINK("http://141.218.60.56/~jnz1568/getInfo.php?workbook=27_11.xlsx&amp;sheet=U0&amp;row=418&amp;col=7&amp;number=0.0402&amp;sourceID=14","0.0402")</f>
        <v>0.0402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HYPERLINK("http://141.218.60.56/~jnz1568/getInfo.php?workbook=27_11.xlsx&amp;sheet=U0&amp;row=419&amp;col=6&amp;number=4.5&amp;sourceID=14","4.5")</f>
        <v>4.5</v>
      </c>
      <c r="G419" s="4" t="str">
        <f>HYPERLINK("http://141.218.60.56/~jnz1568/getInfo.php?workbook=27_11.xlsx&amp;sheet=U0&amp;row=419&amp;col=7&amp;number=0.0402&amp;sourceID=14","0.0402")</f>
        <v>0.0402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HYPERLINK("http://141.218.60.56/~jnz1568/getInfo.php?workbook=27_11.xlsx&amp;sheet=U0&amp;row=420&amp;col=6&amp;number=4.6&amp;sourceID=14","4.6")</f>
        <v>4.6</v>
      </c>
      <c r="G420" s="4" t="str">
        <f>HYPERLINK("http://141.218.60.56/~jnz1568/getInfo.php?workbook=27_11.xlsx&amp;sheet=U0&amp;row=420&amp;col=7&amp;number=0.0402&amp;sourceID=14","0.0402")</f>
        <v>0.0402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HYPERLINK("http://141.218.60.56/~jnz1568/getInfo.php?workbook=27_11.xlsx&amp;sheet=U0&amp;row=421&amp;col=6&amp;number=4.7&amp;sourceID=14","4.7")</f>
        <v>4.7</v>
      </c>
      <c r="G421" s="4" t="str">
        <f>HYPERLINK("http://141.218.60.56/~jnz1568/getInfo.php?workbook=27_11.xlsx&amp;sheet=U0&amp;row=421&amp;col=7&amp;number=0.0401&amp;sourceID=14","0.0401")</f>
        <v>0.0401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HYPERLINK("http://141.218.60.56/~jnz1568/getInfo.php?workbook=27_11.xlsx&amp;sheet=U0&amp;row=422&amp;col=6&amp;number=4.8&amp;sourceID=14","4.8")</f>
        <v>4.8</v>
      </c>
      <c r="G422" s="4" t="str">
        <f>HYPERLINK("http://141.218.60.56/~jnz1568/getInfo.php?workbook=27_11.xlsx&amp;sheet=U0&amp;row=422&amp;col=7&amp;number=0.0401&amp;sourceID=14","0.0401")</f>
        <v>0.0401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HYPERLINK("http://141.218.60.56/~jnz1568/getInfo.php?workbook=27_11.xlsx&amp;sheet=U0&amp;row=423&amp;col=6&amp;number=4.9&amp;sourceID=14","4.9")</f>
        <v>4.9</v>
      </c>
      <c r="G423" s="4" t="str">
        <f>HYPERLINK("http://141.218.60.56/~jnz1568/getInfo.php?workbook=27_11.xlsx&amp;sheet=U0&amp;row=423&amp;col=7&amp;number=0.04&amp;sourceID=14","0.04")</f>
        <v>0.04</v>
      </c>
    </row>
    <row r="424" spans="1:7">
      <c r="A424" s="3">
        <v>27</v>
      </c>
      <c r="B424" s="3">
        <v>11</v>
      </c>
      <c r="C424" s="3">
        <v>2</v>
      </c>
      <c r="D424" s="3">
        <v>6</v>
      </c>
      <c r="E424" s="3">
        <v>1</v>
      </c>
      <c r="F424" s="4" t="str">
        <f>HYPERLINK("http://141.218.60.56/~jnz1568/getInfo.php?workbook=27_11.xlsx&amp;sheet=U0&amp;row=424&amp;col=6&amp;number=3&amp;sourceID=14","3")</f>
        <v>3</v>
      </c>
      <c r="G424" s="4" t="str">
        <f>HYPERLINK("http://141.218.60.56/~jnz1568/getInfo.php?workbook=27_11.xlsx&amp;sheet=U0&amp;row=424&amp;col=7&amp;number=0.00745&amp;sourceID=14","0.00745")</f>
        <v>0.00745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HYPERLINK("http://141.218.60.56/~jnz1568/getInfo.php?workbook=27_11.xlsx&amp;sheet=U0&amp;row=425&amp;col=6&amp;number=3.1&amp;sourceID=14","3.1")</f>
        <v>3.1</v>
      </c>
      <c r="G425" s="4" t="str">
        <f>HYPERLINK("http://141.218.60.56/~jnz1568/getInfo.php?workbook=27_11.xlsx&amp;sheet=U0&amp;row=425&amp;col=7&amp;number=0.00745&amp;sourceID=14","0.00745")</f>
        <v>0.00745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HYPERLINK("http://141.218.60.56/~jnz1568/getInfo.php?workbook=27_11.xlsx&amp;sheet=U0&amp;row=426&amp;col=6&amp;number=3.2&amp;sourceID=14","3.2")</f>
        <v>3.2</v>
      </c>
      <c r="G426" s="4" t="str">
        <f>HYPERLINK("http://141.218.60.56/~jnz1568/getInfo.php?workbook=27_11.xlsx&amp;sheet=U0&amp;row=426&amp;col=7&amp;number=0.00745&amp;sourceID=14","0.00745")</f>
        <v>0.00745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HYPERLINK("http://141.218.60.56/~jnz1568/getInfo.php?workbook=27_11.xlsx&amp;sheet=U0&amp;row=427&amp;col=6&amp;number=3.3&amp;sourceID=14","3.3")</f>
        <v>3.3</v>
      </c>
      <c r="G427" s="4" t="str">
        <f>HYPERLINK("http://141.218.60.56/~jnz1568/getInfo.php?workbook=27_11.xlsx&amp;sheet=U0&amp;row=427&amp;col=7&amp;number=0.00745&amp;sourceID=14","0.00745")</f>
        <v>0.00745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HYPERLINK("http://141.218.60.56/~jnz1568/getInfo.php?workbook=27_11.xlsx&amp;sheet=U0&amp;row=428&amp;col=6&amp;number=3.4&amp;sourceID=14","3.4")</f>
        <v>3.4</v>
      </c>
      <c r="G428" s="4" t="str">
        <f>HYPERLINK("http://141.218.60.56/~jnz1568/getInfo.php?workbook=27_11.xlsx&amp;sheet=U0&amp;row=428&amp;col=7&amp;number=0.00746&amp;sourceID=14","0.00746")</f>
        <v>0.00746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HYPERLINK("http://141.218.60.56/~jnz1568/getInfo.php?workbook=27_11.xlsx&amp;sheet=U0&amp;row=429&amp;col=6&amp;number=3.5&amp;sourceID=14","3.5")</f>
        <v>3.5</v>
      </c>
      <c r="G429" s="4" t="str">
        <f>HYPERLINK("http://141.218.60.56/~jnz1568/getInfo.php?workbook=27_11.xlsx&amp;sheet=U0&amp;row=429&amp;col=7&amp;number=0.00746&amp;sourceID=14","0.00746")</f>
        <v>0.00746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HYPERLINK("http://141.218.60.56/~jnz1568/getInfo.php?workbook=27_11.xlsx&amp;sheet=U0&amp;row=430&amp;col=6&amp;number=3.6&amp;sourceID=14","3.6")</f>
        <v>3.6</v>
      </c>
      <c r="G430" s="4" t="str">
        <f>HYPERLINK("http://141.218.60.56/~jnz1568/getInfo.php?workbook=27_11.xlsx&amp;sheet=U0&amp;row=430&amp;col=7&amp;number=0.00746&amp;sourceID=14","0.00746")</f>
        <v>0.00746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HYPERLINK("http://141.218.60.56/~jnz1568/getInfo.php?workbook=27_11.xlsx&amp;sheet=U0&amp;row=431&amp;col=6&amp;number=3.7&amp;sourceID=14","3.7")</f>
        <v>3.7</v>
      </c>
      <c r="G431" s="4" t="str">
        <f>HYPERLINK("http://141.218.60.56/~jnz1568/getInfo.php?workbook=27_11.xlsx&amp;sheet=U0&amp;row=431&amp;col=7&amp;number=0.00746&amp;sourceID=14","0.00746")</f>
        <v>0.00746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HYPERLINK("http://141.218.60.56/~jnz1568/getInfo.php?workbook=27_11.xlsx&amp;sheet=U0&amp;row=432&amp;col=6&amp;number=3.8&amp;sourceID=14","3.8")</f>
        <v>3.8</v>
      </c>
      <c r="G432" s="4" t="str">
        <f>HYPERLINK("http://141.218.60.56/~jnz1568/getInfo.php?workbook=27_11.xlsx&amp;sheet=U0&amp;row=432&amp;col=7&amp;number=0.00746&amp;sourceID=14","0.00746")</f>
        <v>0.00746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HYPERLINK("http://141.218.60.56/~jnz1568/getInfo.php?workbook=27_11.xlsx&amp;sheet=U0&amp;row=433&amp;col=6&amp;number=3.9&amp;sourceID=14","3.9")</f>
        <v>3.9</v>
      </c>
      <c r="G433" s="4" t="str">
        <f>HYPERLINK("http://141.218.60.56/~jnz1568/getInfo.php?workbook=27_11.xlsx&amp;sheet=U0&amp;row=433&amp;col=7&amp;number=0.00747&amp;sourceID=14","0.00747")</f>
        <v>0.00747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HYPERLINK("http://141.218.60.56/~jnz1568/getInfo.php?workbook=27_11.xlsx&amp;sheet=U0&amp;row=434&amp;col=6&amp;number=4&amp;sourceID=14","4")</f>
        <v>4</v>
      </c>
      <c r="G434" s="4" t="str">
        <f>HYPERLINK("http://141.218.60.56/~jnz1568/getInfo.php?workbook=27_11.xlsx&amp;sheet=U0&amp;row=434&amp;col=7&amp;number=0.00747&amp;sourceID=14","0.00747")</f>
        <v>0.00747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HYPERLINK("http://141.218.60.56/~jnz1568/getInfo.php?workbook=27_11.xlsx&amp;sheet=U0&amp;row=435&amp;col=6&amp;number=4.1&amp;sourceID=14","4.1")</f>
        <v>4.1</v>
      </c>
      <c r="G435" s="4" t="str">
        <f>HYPERLINK("http://141.218.60.56/~jnz1568/getInfo.php?workbook=27_11.xlsx&amp;sheet=U0&amp;row=435&amp;col=7&amp;number=0.00748&amp;sourceID=14","0.00748")</f>
        <v>0.00748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HYPERLINK("http://141.218.60.56/~jnz1568/getInfo.php?workbook=27_11.xlsx&amp;sheet=U0&amp;row=436&amp;col=6&amp;number=4.2&amp;sourceID=14","4.2")</f>
        <v>4.2</v>
      </c>
      <c r="G436" s="4" t="str">
        <f>HYPERLINK("http://141.218.60.56/~jnz1568/getInfo.php?workbook=27_11.xlsx&amp;sheet=U0&amp;row=436&amp;col=7&amp;number=0.00748&amp;sourceID=14","0.00748")</f>
        <v>0.00748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HYPERLINK("http://141.218.60.56/~jnz1568/getInfo.php?workbook=27_11.xlsx&amp;sheet=U0&amp;row=437&amp;col=6&amp;number=4.3&amp;sourceID=14","4.3")</f>
        <v>4.3</v>
      </c>
      <c r="G437" s="4" t="str">
        <f>HYPERLINK("http://141.218.60.56/~jnz1568/getInfo.php?workbook=27_11.xlsx&amp;sheet=U0&amp;row=437&amp;col=7&amp;number=0.00749&amp;sourceID=14","0.00749")</f>
        <v>0.00749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HYPERLINK("http://141.218.60.56/~jnz1568/getInfo.php?workbook=27_11.xlsx&amp;sheet=U0&amp;row=438&amp;col=6&amp;number=4.4&amp;sourceID=14","4.4")</f>
        <v>4.4</v>
      </c>
      <c r="G438" s="4" t="str">
        <f>HYPERLINK("http://141.218.60.56/~jnz1568/getInfo.php?workbook=27_11.xlsx&amp;sheet=U0&amp;row=438&amp;col=7&amp;number=0.00751&amp;sourceID=14","0.00751")</f>
        <v>0.00751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HYPERLINK("http://141.218.60.56/~jnz1568/getInfo.php?workbook=27_11.xlsx&amp;sheet=U0&amp;row=439&amp;col=6&amp;number=4.5&amp;sourceID=14","4.5")</f>
        <v>4.5</v>
      </c>
      <c r="G439" s="4" t="str">
        <f>HYPERLINK("http://141.218.60.56/~jnz1568/getInfo.php?workbook=27_11.xlsx&amp;sheet=U0&amp;row=439&amp;col=7&amp;number=0.00752&amp;sourceID=14","0.00752")</f>
        <v>0.00752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HYPERLINK("http://141.218.60.56/~jnz1568/getInfo.php?workbook=27_11.xlsx&amp;sheet=U0&amp;row=440&amp;col=6&amp;number=4.6&amp;sourceID=14","4.6")</f>
        <v>4.6</v>
      </c>
      <c r="G440" s="4" t="str">
        <f>HYPERLINK("http://141.218.60.56/~jnz1568/getInfo.php?workbook=27_11.xlsx&amp;sheet=U0&amp;row=440&amp;col=7&amp;number=0.00754&amp;sourceID=14","0.00754")</f>
        <v>0.00754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HYPERLINK("http://141.218.60.56/~jnz1568/getInfo.php?workbook=27_11.xlsx&amp;sheet=U0&amp;row=441&amp;col=6&amp;number=4.7&amp;sourceID=14","4.7")</f>
        <v>4.7</v>
      </c>
      <c r="G441" s="4" t="str">
        <f>HYPERLINK("http://141.218.60.56/~jnz1568/getInfo.php?workbook=27_11.xlsx&amp;sheet=U0&amp;row=441&amp;col=7&amp;number=0.00756&amp;sourceID=14","0.00756")</f>
        <v>0.00756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HYPERLINK("http://141.218.60.56/~jnz1568/getInfo.php?workbook=27_11.xlsx&amp;sheet=U0&amp;row=442&amp;col=6&amp;number=4.8&amp;sourceID=14","4.8")</f>
        <v>4.8</v>
      </c>
      <c r="G442" s="4" t="str">
        <f>HYPERLINK("http://141.218.60.56/~jnz1568/getInfo.php?workbook=27_11.xlsx&amp;sheet=U0&amp;row=442&amp;col=7&amp;number=0.00759&amp;sourceID=14","0.00759")</f>
        <v>0.00759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HYPERLINK("http://141.218.60.56/~jnz1568/getInfo.php?workbook=27_11.xlsx&amp;sheet=U0&amp;row=443&amp;col=6&amp;number=4.9&amp;sourceID=14","4.9")</f>
        <v>4.9</v>
      </c>
      <c r="G443" s="4" t="str">
        <f>HYPERLINK("http://141.218.60.56/~jnz1568/getInfo.php?workbook=27_11.xlsx&amp;sheet=U0&amp;row=443&amp;col=7&amp;number=0.00762&amp;sourceID=14","0.00762")</f>
        <v>0.00762</v>
      </c>
    </row>
    <row r="444" spans="1:7">
      <c r="A444" s="3">
        <v>27</v>
      </c>
      <c r="B444" s="3">
        <v>11</v>
      </c>
      <c r="C444" s="3">
        <v>2</v>
      </c>
      <c r="D444" s="3">
        <v>7</v>
      </c>
      <c r="E444" s="3">
        <v>1</v>
      </c>
      <c r="F444" s="4" t="str">
        <f>HYPERLINK("http://141.218.60.56/~jnz1568/getInfo.php?workbook=27_11.xlsx&amp;sheet=U0&amp;row=444&amp;col=6&amp;number=3&amp;sourceID=14","3")</f>
        <v>3</v>
      </c>
      <c r="G444" s="4" t="str">
        <f>HYPERLINK("http://141.218.60.56/~jnz1568/getInfo.php?workbook=27_11.xlsx&amp;sheet=U0&amp;row=444&amp;col=7&amp;number=0.102&amp;sourceID=14","0.102")</f>
        <v>0.102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HYPERLINK("http://141.218.60.56/~jnz1568/getInfo.php?workbook=27_11.xlsx&amp;sheet=U0&amp;row=445&amp;col=6&amp;number=3.1&amp;sourceID=14","3.1")</f>
        <v>3.1</v>
      </c>
      <c r="G445" s="4" t="str">
        <f>HYPERLINK("http://141.218.60.56/~jnz1568/getInfo.php?workbook=27_11.xlsx&amp;sheet=U0&amp;row=445&amp;col=7&amp;number=0.102&amp;sourceID=14","0.102")</f>
        <v>0.102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HYPERLINK("http://141.218.60.56/~jnz1568/getInfo.php?workbook=27_11.xlsx&amp;sheet=U0&amp;row=446&amp;col=6&amp;number=3.2&amp;sourceID=14","3.2")</f>
        <v>3.2</v>
      </c>
      <c r="G446" s="4" t="str">
        <f>HYPERLINK("http://141.218.60.56/~jnz1568/getInfo.php?workbook=27_11.xlsx&amp;sheet=U0&amp;row=446&amp;col=7&amp;number=0.102&amp;sourceID=14","0.102")</f>
        <v>0.102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HYPERLINK("http://141.218.60.56/~jnz1568/getInfo.php?workbook=27_11.xlsx&amp;sheet=U0&amp;row=447&amp;col=6&amp;number=3.3&amp;sourceID=14","3.3")</f>
        <v>3.3</v>
      </c>
      <c r="G447" s="4" t="str">
        <f>HYPERLINK("http://141.218.60.56/~jnz1568/getInfo.php?workbook=27_11.xlsx&amp;sheet=U0&amp;row=447&amp;col=7&amp;number=0.102&amp;sourceID=14","0.102")</f>
        <v>0.102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HYPERLINK("http://141.218.60.56/~jnz1568/getInfo.php?workbook=27_11.xlsx&amp;sheet=U0&amp;row=448&amp;col=6&amp;number=3.4&amp;sourceID=14","3.4")</f>
        <v>3.4</v>
      </c>
      <c r="G448" s="4" t="str">
        <f>HYPERLINK("http://141.218.60.56/~jnz1568/getInfo.php?workbook=27_11.xlsx&amp;sheet=U0&amp;row=448&amp;col=7&amp;number=0.102&amp;sourceID=14","0.102")</f>
        <v>0.102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HYPERLINK("http://141.218.60.56/~jnz1568/getInfo.php?workbook=27_11.xlsx&amp;sheet=U0&amp;row=449&amp;col=6&amp;number=3.5&amp;sourceID=14","3.5")</f>
        <v>3.5</v>
      </c>
      <c r="G449" s="4" t="str">
        <f>HYPERLINK("http://141.218.60.56/~jnz1568/getInfo.php?workbook=27_11.xlsx&amp;sheet=U0&amp;row=449&amp;col=7&amp;number=0.102&amp;sourceID=14","0.102")</f>
        <v>0.102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HYPERLINK("http://141.218.60.56/~jnz1568/getInfo.php?workbook=27_11.xlsx&amp;sheet=U0&amp;row=450&amp;col=6&amp;number=3.6&amp;sourceID=14","3.6")</f>
        <v>3.6</v>
      </c>
      <c r="G450" s="4" t="str">
        <f>HYPERLINK("http://141.218.60.56/~jnz1568/getInfo.php?workbook=27_11.xlsx&amp;sheet=U0&amp;row=450&amp;col=7&amp;number=0.102&amp;sourceID=14","0.102")</f>
        <v>0.102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HYPERLINK("http://141.218.60.56/~jnz1568/getInfo.php?workbook=27_11.xlsx&amp;sheet=U0&amp;row=451&amp;col=6&amp;number=3.7&amp;sourceID=14","3.7")</f>
        <v>3.7</v>
      </c>
      <c r="G451" s="4" t="str">
        <f>HYPERLINK("http://141.218.60.56/~jnz1568/getInfo.php?workbook=27_11.xlsx&amp;sheet=U0&amp;row=451&amp;col=7&amp;number=0.102&amp;sourceID=14","0.102")</f>
        <v>0.102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HYPERLINK("http://141.218.60.56/~jnz1568/getInfo.php?workbook=27_11.xlsx&amp;sheet=U0&amp;row=452&amp;col=6&amp;number=3.8&amp;sourceID=14","3.8")</f>
        <v>3.8</v>
      </c>
      <c r="G452" s="4" t="str">
        <f>HYPERLINK("http://141.218.60.56/~jnz1568/getInfo.php?workbook=27_11.xlsx&amp;sheet=U0&amp;row=452&amp;col=7&amp;number=0.102&amp;sourceID=14","0.102")</f>
        <v>0.102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HYPERLINK("http://141.218.60.56/~jnz1568/getInfo.php?workbook=27_11.xlsx&amp;sheet=U0&amp;row=453&amp;col=6&amp;number=3.9&amp;sourceID=14","3.9")</f>
        <v>3.9</v>
      </c>
      <c r="G453" s="4" t="str">
        <f>HYPERLINK("http://141.218.60.56/~jnz1568/getInfo.php?workbook=27_11.xlsx&amp;sheet=U0&amp;row=453&amp;col=7&amp;number=0.102&amp;sourceID=14","0.102")</f>
        <v>0.102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HYPERLINK("http://141.218.60.56/~jnz1568/getInfo.php?workbook=27_11.xlsx&amp;sheet=U0&amp;row=454&amp;col=6&amp;number=4&amp;sourceID=14","4")</f>
        <v>4</v>
      </c>
      <c r="G454" s="4" t="str">
        <f>HYPERLINK("http://141.218.60.56/~jnz1568/getInfo.php?workbook=27_11.xlsx&amp;sheet=U0&amp;row=454&amp;col=7&amp;number=0.102&amp;sourceID=14","0.102")</f>
        <v>0.102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HYPERLINK("http://141.218.60.56/~jnz1568/getInfo.php?workbook=27_11.xlsx&amp;sheet=U0&amp;row=455&amp;col=6&amp;number=4.1&amp;sourceID=14","4.1")</f>
        <v>4.1</v>
      </c>
      <c r="G455" s="4" t="str">
        <f>HYPERLINK("http://141.218.60.56/~jnz1568/getInfo.php?workbook=27_11.xlsx&amp;sheet=U0&amp;row=455&amp;col=7&amp;number=0.102&amp;sourceID=14","0.102")</f>
        <v>0.102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HYPERLINK("http://141.218.60.56/~jnz1568/getInfo.php?workbook=27_11.xlsx&amp;sheet=U0&amp;row=456&amp;col=6&amp;number=4.2&amp;sourceID=14","4.2")</f>
        <v>4.2</v>
      </c>
      <c r="G456" s="4" t="str">
        <f>HYPERLINK("http://141.218.60.56/~jnz1568/getInfo.php?workbook=27_11.xlsx&amp;sheet=U0&amp;row=456&amp;col=7&amp;number=0.102&amp;sourceID=14","0.102")</f>
        <v>0.102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HYPERLINK("http://141.218.60.56/~jnz1568/getInfo.php?workbook=27_11.xlsx&amp;sheet=U0&amp;row=457&amp;col=6&amp;number=4.3&amp;sourceID=14","4.3")</f>
        <v>4.3</v>
      </c>
      <c r="G457" s="4" t="str">
        <f>HYPERLINK("http://141.218.60.56/~jnz1568/getInfo.php?workbook=27_11.xlsx&amp;sheet=U0&amp;row=457&amp;col=7&amp;number=0.102&amp;sourceID=14","0.102")</f>
        <v>0.102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HYPERLINK("http://141.218.60.56/~jnz1568/getInfo.php?workbook=27_11.xlsx&amp;sheet=U0&amp;row=458&amp;col=6&amp;number=4.4&amp;sourceID=14","4.4")</f>
        <v>4.4</v>
      </c>
      <c r="G458" s="4" t="str">
        <f>HYPERLINK("http://141.218.60.56/~jnz1568/getInfo.php?workbook=27_11.xlsx&amp;sheet=U0&amp;row=458&amp;col=7&amp;number=0.102&amp;sourceID=14","0.102")</f>
        <v>0.102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HYPERLINK("http://141.218.60.56/~jnz1568/getInfo.php?workbook=27_11.xlsx&amp;sheet=U0&amp;row=459&amp;col=6&amp;number=4.5&amp;sourceID=14","4.5")</f>
        <v>4.5</v>
      </c>
      <c r="G459" s="4" t="str">
        <f>HYPERLINK("http://141.218.60.56/~jnz1568/getInfo.php?workbook=27_11.xlsx&amp;sheet=U0&amp;row=459&amp;col=7&amp;number=0.102&amp;sourceID=14","0.102")</f>
        <v>0.102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HYPERLINK("http://141.218.60.56/~jnz1568/getInfo.php?workbook=27_11.xlsx&amp;sheet=U0&amp;row=460&amp;col=6&amp;number=4.6&amp;sourceID=14","4.6")</f>
        <v>4.6</v>
      </c>
      <c r="G460" s="4" t="str">
        <f>HYPERLINK("http://141.218.60.56/~jnz1568/getInfo.php?workbook=27_11.xlsx&amp;sheet=U0&amp;row=460&amp;col=7&amp;number=0.102&amp;sourceID=14","0.102")</f>
        <v>0.102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HYPERLINK("http://141.218.60.56/~jnz1568/getInfo.php?workbook=27_11.xlsx&amp;sheet=U0&amp;row=461&amp;col=6&amp;number=4.7&amp;sourceID=14","4.7")</f>
        <v>4.7</v>
      </c>
      <c r="G461" s="4" t="str">
        <f>HYPERLINK("http://141.218.60.56/~jnz1568/getInfo.php?workbook=27_11.xlsx&amp;sheet=U0&amp;row=461&amp;col=7&amp;number=0.102&amp;sourceID=14","0.102")</f>
        <v>0.102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HYPERLINK("http://141.218.60.56/~jnz1568/getInfo.php?workbook=27_11.xlsx&amp;sheet=U0&amp;row=462&amp;col=6&amp;number=4.8&amp;sourceID=14","4.8")</f>
        <v>4.8</v>
      </c>
      <c r="G462" s="4" t="str">
        <f>HYPERLINK("http://141.218.60.56/~jnz1568/getInfo.php?workbook=27_11.xlsx&amp;sheet=U0&amp;row=462&amp;col=7&amp;number=0.102&amp;sourceID=14","0.102")</f>
        <v>0.102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HYPERLINK("http://141.218.60.56/~jnz1568/getInfo.php?workbook=27_11.xlsx&amp;sheet=U0&amp;row=463&amp;col=6&amp;number=4.9&amp;sourceID=14","4.9")</f>
        <v>4.9</v>
      </c>
      <c r="G463" s="4" t="str">
        <f>HYPERLINK("http://141.218.60.56/~jnz1568/getInfo.php?workbook=27_11.xlsx&amp;sheet=U0&amp;row=463&amp;col=7&amp;number=0.102&amp;sourceID=14","0.102")</f>
        <v>0.102</v>
      </c>
    </row>
    <row r="464" spans="1:7">
      <c r="A464" s="3">
        <v>27</v>
      </c>
      <c r="B464" s="3">
        <v>11</v>
      </c>
      <c r="C464" s="3">
        <v>2</v>
      </c>
      <c r="D464" s="3">
        <v>8</v>
      </c>
      <c r="E464" s="3">
        <v>1</v>
      </c>
      <c r="F464" s="4" t="str">
        <f>HYPERLINK("http://141.218.60.56/~jnz1568/getInfo.php?workbook=27_11.xlsx&amp;sheet=U0&amp;row=464&amp;col=6&amp;number=3&amp;sourceID=14","3")</f>
        <v>3</v>
      </c>
      <c r="G464" s="4" t="str">
        <f>HYPERLINK("http://141.218.60.56/~jnz1568/getInfo.php?workbook=27_11.xlsx&amp;sheet=U0&amp;row=464&amp;col=7&amp;number=0.0141&amp;sourceID=14","0.0141")</f>
        <v>0.0141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HYPERLINK("http://141.218.60.56/~jnz1568/getInfo.php?workbook=27_11.xlsx&amp;sheet=U0&amp;row=465&amp;col=6&amp;number=3.1&amp;sourceID=14","3.1")</f>
        <v>3.1</v>
      </c>
      <c r="G465" s="4" t="str">
        <f>HYPERLINK("http://141.218.60.56/~jnz1568/getInfo.php?workbook=27_11.xlsx&amp;sheet=U0&amp;row=465&amp;col=7&amp;number=0.0141&amp;sourceID=14","0.0141")</f>
        <v>0.0141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HYPERLINK("http://141.218.60.56/~jnz1568/getInfo.php?workbook=27_11.xlsx&amp;sheet=U0&amp;row=466&amp;col=6&amp;number=3.2&amp;sourceID=14","3.2")</f>
        <v>3.2</v>
      </c>
      <c r="G466" s="4" t="str">
        <f>HYPERLINK("http://141.218.60.56/~jnz1568/getInfo.php?workbook=27_11.xlsx&amp;sheet=U0&amp;row=466&amp;col=7&amp;number=0.0141&amp;sourceID=14","0.0141")</f>
        <v>0.0141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HYPERLINK("http://141.218.60.56/~jnz1568/getInfo.php?workbook=27_11.xlsx&amp;sheet=U0&amp;row=467&amp;col=6&amp;number=3.3&amp;sourceID=14","3.3")</f>
        <v>3.3</v>
      </c>
      <c r="G467" s="4" t="str">
        <f>HYPERLINK("http://141.218.60.56/~jnz1568/getInfo.php?workbook=27_11.xlsx&amp;sheet=U0&amp;row=467&amp;col=7&amp;number=0.0141&amp;sourceID=14","0.0141")</f>
        <v>0.0141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HYPERLINK("http://141.218.60.56/~jnz1568/getInfo.php?workbook=27_11.xlsx&amp;sheet=U0&amp;row=468&amp;col=6&amp;number=3.4&amp;sourceID=14","3.4")</f>
        <v>3.4</v>
      </c>
      <c r="G468" s="4" t="str">
        <f>HYPERLINK("http://141.218.60.56/~jnz1568/getInfo.php?workbook=27_11.xlsx&amp;sheet=U0&amp;row=468&amp;col=7&amp;number=0.0141&amp;sourceID=14","0.0141")</f>
        <v>0.0141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HYPERLINK("http://141.218.60.56/~jnz1568/getInfo.php?workbook=27_11.xlsx&amp;sheet=U0&amp;row=469&amp;col=6&amp;number=3.5&amp;sourceID=14","3.5")</f>
        <v>3.5</v>
      </c>
      <c r="G469" s="4" t="str">
        <f>HYPERLINK("http://141.218.60.56/~jnz1568/getInfo.php?workbook=27_11.xlsx&amp;sheet=U0&amp;row=469&amp;col=7&amp;number=0.0141&amp;sourceID=14","0.0141")</f>
        <v>0.0141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HYPERLINK("http://141.218.60.56/~jnz1568/getInfo.php?workbook=27_11.xlsx&amp;sheet=U0&amp;row=470&amp;col=6&amp;number=3.6&amp;sourceID=14","3.6")</f>
        <v>3.6</v>
      </c>
      <c r="G470" s="4" t="str">
        <f>HYPERLINK("http://141.218.60.56/~jnz1568/getInfo.php?workbook=27_11.xlsx&amp;sheet=U0&amp;row=470&amp;col=7&amp;number=0.0141&amp;sourceID=14","0.0141")</f>
        <v>0.0141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HYPERLINK("http://141.218.60.56/~jnz1568/getInfo.php?workbook=27_11.xlsx&amp;sheet=U0&amp;row=471&amp;col=6&amp;number=3.7&amp;sourceID=14","3.7")</f>
        <v>3.7</v>
      </c>
      <c r="G471" s="4" t="str">
        <f>HYPERLINK("http://141.218.60.56/~jnz1568/getInfo.php?workbook=27_11.xlsx&amp;sheet=U0&amp;row=471&amp;col=7&amp;number=0.0141&amp;sourceID=14","0.0141")</f>
        <v>0.0141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HYPERLINK("http://141.218.60.56/~jnz1568/getInfo.php?workbook=27_11.xlsx&amp;sheet=U0&amp;row=472&amp;col=6&amp;number=3.8&amp;sourceID=14","3.8")</f>
        <v>3.8</v>
      </c>
      <c r="G472" s="4" t="str">
        <f>HYPERLINK("http://141.218.60.56/~jnz1568/getInfo.php?workbook=27_11.xlsx&amp;sheet=U0&amp;row=472&amp;col=7&amp;number=0.0141&amp;sourceID=14","0.0141")</f>
        <v>0.0141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HYPERLINK("http://141.218.60.56/~jnz1568/getInfo.php?workbook=27_11.xlsx&amp;sheet=U0&amp;row=473&amp;col=6&amp;number=3.9&amp;sourceID=14","3.9")</f>
        <v>3.9</v>
      </c>
      <c r="G473" s="4" t="str">
        <f>HYPERLINK("http://141.218.60.56/~jnz1568/getInfo.php?workbook=27_11.xlsx&amp;sheet=U0&amp;row=473&amp;col=7&amp;number=0.0141&amp;sourceID=14","0.0141")</f>
        <v>0.0141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HYPERLINK("http://141.218.60.56/~jnz1568/getInfo.php?workbook=27_11.xlsx&amp;sheet=U0&amp;row=474&amp;col=6&amp;number=4&amp;sourceID=14","4")</f>
        <v>4</v>
      </c>
      <c r="G474" s="4" t="str">
        <f>HYPERLINK("http://141.218.60.56/~jnz1568/getInfo.php?workbook=27_11.xlsx&amp;sheet=U0&amp;row=474&amp;col=7&amp;number=0.0141&amp;sourceID=14","0.0141")</f>
        <v>0.0141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HYPERLINK("http://141.218.60.56/~jnz1568/getInfo.php?workbook=27_11.xlsx&amp;sheet=U0&amp;row=475&amp;col=6&amp;number=4.1&amp;sourceID=14","4.1")</f>
        <v>4.1</v>
      </c>
      <c r="G475" s="4" t="str">
        <f>HYPERLINK("http://141.218.60.56/~jnz1568/getInfo.php?workbook=27_11.xlsx&amp;sheet=U0&amp;row=475&amp;col=7&amp;number=0.0141&amp;sourceID=14","0.0141")</f>
        <v>0.0141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HYPERLINK("http://141.218.60.56/~jnz1568/getInfo.php?workbook=27_11.xlsx&amp;sheet=U0&amp;row=476&amp;col=6&amp;number=4.2&amp;sourceID=14","4.2")</f>
        <v>4.2</v>
      </c>
      <c r="G476" s="4" t="str">
        <f>HYPERLINK("http://141.218.60.56/~jnz1568/getInfo.php?workbook=27_11.xlsx&amp;sheet=U0&amp;row=476&amp;col=7&amp;number=0.0141&amp;sourceID=14","0.0141")</f>
        <v>0.0141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HYPERLINK("http://141.218.60.56/~jnz1568/getInfo.php?workbook=27_11.xlsx&amp;sheet=U0&amp;row=477&amp;col=6&amp;number=4.3&amp;sourceID=14","4.3")</f>
        <v>4.3</v>
      </c>
      <c r="G477" s="4" t="str">
        <f>HYPERLINK("http://141.218.60.56/~jnz1568/getInfo.php?workbook=27_11.xlsx&amp;sheet=U0&amp;row=477&amp;col=7&amp;number=0.0141&amp;sourceID=14","0.0141")</f>
        <v>0.0141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HYPERLINK("http://141.218.60.56/~jnz1568/getInfo.php?workbook=27_11.xlsx&amp;sheet=U0&amp;row=478&amp;col=6&amp;number=4.4&amp;sourceID=14","4.4")</f>
        <v>4.4</v>
      </c>
      <c r="G478" s="4" t="str">
        <f>HYPERLINK("http://141.218.60.56/~jnz1568/getInfo.php?workbook=27_11.xlsx&amp;sheet=U0&amp;row=478&amp;col=7&amp;number=0.0141&amp;sourceID=14","0.0141")</f>
        <v>0.0141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HYPERLINK("http://141.218.60.56/~jnz1568/getInfo.php?workbook=27_11.xlsx&amp;sheet=U0&amp;row=479&amp;col=6&amp;number=4.5&amp;sourceID=14","4.5")</f>
        <v>4.5</v>
      </c>
      <c r="G479" s="4" t="str">
        <f>HYPERLINK("http://141.218.60.56/~jnz1568/getInfo.php?workbook=27_11.xlsx&amp;sheet=U0&amp;row=479&amp;col=7&amp;number=0.0141&amp;sourceID=14","0.0141")</f>
        <v>0.0141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HYPERLINK("http://141.218.60.56/~jnz1568/getInfo.php?workbook=27_11.xlsx&amp;sheet=U0&amp;row=480&amp;col=6&amp;number=4.6&amp;sourceID=14","4.6")</f>
        <v>4.6</v>
      </c>
      <c r="G480" s="4" t="str">
        <f>HYPERLINK("http://141.218.60.56/~jnz1568/getInfo.php?workbook=27_11.xlsx&amp;sheet=U0&amp;row=480&amp;col=7&amp;number=0.0141&amp;sourceID=14","0.0141")</f>
        <v>0.0141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HYPERLINK("http://141.218.60.56/~jnz1568/getInfo.php?workbook=27_11.xlsx&amp;sheet=U0&amp;row=481&amp;col=6&amp;number=4.7&amp;sourceID=14","4.7")</f>
        <v>4.7</v>
      </c>
      <c r="G481" s="4" t="str">
        <f>HYPERLINK("http://141.218.60.56/~jnz1568/getInfo.php?workbook=27_11.xlsx&amp;sheet=U0&amp;row=481&amp;col=7&amp;number=0.0141&amp;sourceID=14","0.0141")</f>
        <v>0.0141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HYPERLINK("http://141.218.60.56/~jnz1568/getInfo.php?workbook=27_11.xlsx&amp;sheet=U0&amp;row=482&amp;col=6&amp;number=4.8&amp;sourceID=14","4.8")</f>
        <v>4.8</v>
      </c>
      <c r="G482" s="4" t="str">
        <f>HYPERLINK("http://141.218.60.56/~jnz1568/getInfo.php?workbook=27_11.xlsx&amp;sheet=U0&amp;row=482&amp;col=7&amp;number=0.0141&amp;sourceID=14","0.0141")</f>
        <v>0.0141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HYPERLINK("http://141.218.60.56/~jnz1568/getInfo.php?workbook=27_11.xlsx&amp;sheet=U0&amp;row=483&amp;col=6&amp;number=4.9&amp;sourceID=14","4.9")</f>
        <v>4.9</v>
      </c>
      <c r="G483" s="4" t="str">
        <f>HYPERLINK("http://141.218.60.56/~jnz1568/getInfo.php?workbook=27_11.xlsx&amp;sheet=U0&amp;row=483&amp;col=7&amp;number=0.0141&amp;sourceID=14","0.0141")</f>
        <v>0.0141</v>
      </c>
    </row>
    <row r="484" spans="1:7">
      <c r="A484" s="3">
        <v>27</v>
      </c>
      <c r="B484" s="3">
        <v>11</v>
      </c>
      <c r="C484" s="3">
        <v>2</v>
      </c>
      <c r="D484" s="3">
        <v>9</v>
      </c>
      <c r="E484" s="3">
        <v>1</v>
      </c>
      <c r="F484" s="4" t="str">
        <f>HYPERLINK("http://141.218.60.56/~jnz1568/getInfo.php?workbook=27_11.xlsx&amp;sheet=U0&amp;row=484&amp;col=6&amp;number=3&amp;sourceID=14","3")</f>
        <v>3</v>
      </c>
      <c r="G484" s="4" t="str">
        <f>HYPERLINK("http://141.218.60.56/~jnz1568/getInfo.php?workbook=27_11.xlsx&amp;sheet=U0&amp;row=484&amp;col=7&amp;number=0.0324&amp;sourceID=14","0.0324")</f>
        <v>0.0324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HYPERLINK("http://141.218.60.56/~jnz1568/getInfo.php?workbook=27_11.xlsx&amp;sheet=U0&amp;row=485&amp;col=6&amp;number=3.1&amp;sourceID=14","3.1")</f>
        <v>3.1</v>
      </c>
      <c r="G485" s="4" t="str">
        <f>HYPERLINK("http://141.218.60.56/~jnz1568/getInfo.php?workbook=27_11.xlsx&amp;sheet=U0&amp;row=485&amp;col=7&amp;number=0.0324&amp;sourceID=14","0.0324")</f>
        <v>0.0324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HYPERLINK("http://141.218.60.56/~jnz1568/getInfo.php?workbook=27_11.xlsx&amp;sheet=U0&amp;row=486&amp;col=6&amp;number=3.2&amp;sourceID=14","3.2")</f>
        <v>3.2</v>
      </c>
      <c r="G486" s="4" t="str">
        <f>HYPERLINK("http://141.218.60.56/~jnz1568/getInfo.php?workbook=27_11.xlsx&amp;sheet=U0&amp;row=486&amp;col=7&amp;number=0.0324&amp;sourceID=14","0.0324")</f>
        <v>0.0324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HYPERLINK("http://141.218.60.56/~jnz1568/getInfo.php?workbook=27_11.xlsx&amp;sheet=U0&amp;row=487&amp;col=6&amp;number=3.3&amp;sourceID=14","3.3")</f>
        <v>3.3</v>
      </c>
      <c r="G487" s="4" t="str">
        <f>HYPERLINK("http://141.218.60.56/~jnz1568/getInfo.php?workbook=27_11.xlsx&amp;sheet=U0&amp;row=487&amp;col=7&amp;number=0.0324&amp;sourceID=14","0.0324")</f>
        <v>0.0324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HYPERLINK("http://141.218.60.56/~jnz1568/getInfo.php?workbook=27_11.xlsx&amp;sheet=U0&amp;row=488&amp;col=6&amp;number=3.4&amp;sourceID=14","3.4")</f>
        <v>3.4</v>
      </c>
      <c r="G488" s="4" t="str">
        <f>HYPERLINK("http://141.218.60.56/~jnz1568/getInfo.php?workbook=27_11.xlsx&amp;sheet=U0&amp;row=488&amp;col=7&amp;number=0.0324&amp;sourceID=14","0.0324")</f>
        <v>0.0324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HYPERLINK("http://141.218.60.56/~jnz1568/getInfo.php?workbook=27_11.xlsx&amp;sheet=U0&amp;row=489&amp;col=6&amp;number=3.5&amp;sourceID=14","3.5")</f>
        <v>3.5</v>
      </c>
      <c r="G489" s="4" t="str">
        <f>HYPERLINK("http://141.218.60.56/~jnz1568/getInfo.php?workbook=27_11.xlsx&amp;sheet=U0&amp;row=489&amp;col=7&amp;number=0.0324&amp;sourceID=14","0.0324")</f>
        <v>0.0324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HYPERLINK("http://141.218.60.56/~jnz1568/getInfo.php?workbook=27_11.xlsx&amp;sheet=U0&amp;row=490&amp;col=6&amp;number=3.6&amp;sourceID=14","3.6")</f>
        <v>3.6</v>
      </c>
      <c r="G490" s="4" t="str">
        <f>HYPERLINK("http://141.218.60.56/~jnz1568/getInfo.php?workbook=27_11.xlsx&amp;sheet=U0&amp;row=490&amp;col=7&amp;number=0.0325&amp;sourceID=14","0.0325")</f>
        <v>0.0325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HYPERLINK("http://141.218.60.56/~jnz1568/getInfo.php?workbook=27_11.xlsx&amp;sheet=U0&amp;row=491&amp;col=6&amp;number=3.7&amp;sourceID=14","3.7")</f>
        <v>3.7</v>
      </c>
      <c r="G491" s="4" t="str">
        <f>HYPERLINK("http://141.218.60.56/~jnz1568/getInfo.php?workbook=27_11.xlsx&amp;sheet=U0&amp;row=491&amp;col=7&amp;number=0.0325&amp;sourceID=14","0.0325")</f>
        <v>0.0325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HYPERLINK("http://141.218.60.56/~jnz1568/getInfo.php?workbook=27_11.xlsx&amp;sheet=U0&amp;row=492&amp;col=6&amp;number=3.8&amp;sourceID=14","3.8")</f>
        <v>3.8</v>
      </c>
      <c r="G492" s="4" t="str">
        <f>HYPERLINK("http://141.218.60.56/~jnz1568/getInfo.php?workbook=27_11.xlsx&amp;sheet=U0&amp;row=492&amp;col=7&amp;number=0.0325&amp;sourceID=14","0.0325")</f>
        <v>0.0325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HYPERLINK("http://141.218.60.56/~jnz1568/getInfo.php?workbook=27_11.xlsx&amp;sheet=U0&amp;row=493&amp;col=6&amp;number=3.9&amp;sourceID=14","3.9")</f>
        <v>3.9</v>
      </c>
      <c r="G493" s="4" t="str">
        <f>HYPERLINK("http://141.218.60.56/~jnz1568/getInfo.php?workbook=27_11.xlsx&amp;sheet=U0&amp;row=493&amp;col=7&amp;number=0.0325&amp;sourceID=14","0.0325")</f>
        <v>0.0325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HYPERLINK("http://141.218.60.56/~jnz1568/getInfo.php?workbook=27_11.xlsx&amp;sheet=U0&amp;row=494&amp;col=6&amp;number=4&amp;sourceID=14","4")</f>
        <v>4</v>
      </c>
      <c r="G494" s="4" t="str">
        <f>HYPERLINK("http://141.218.60.56/~jnz1568/getInfo.php?workbook=27_11.xlsx&amp;sheet=U0&amp;row=494&amp;col=7&amp;number=0.0325&amp;sourceID=14","0.0325")</f>
        <v>0.0325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HYPERLINK("http://141.218.60.56/~jnz1568/getInfo.php?workbook=27_11.xlsx&amp;sheet=U0&amp;row=495&amp;col=6&amp;number=4.1&amp;sourceID=14","4.1")</f>
        <v>4.1</v>
      </c>
      <c r="G495" s="4" t="str">
        <f>HYPERLINK("http://141.218.60.56/~jnz1568/getInfo.php?workbook=27_11.xlsx&amp;sheet=U0&amp;row=495&amp;col=7&amp;number=0.0325&amp;sourceID=14","0.0325")</f>
        <v>0.0325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HYPERLINK("http://141.218.60.56/~jnz1568/getInfo.php?workbook=27_11.xlsx&amp;sheet=U0&amp;row=496&amp;col=6&amp;number=4.2&amp;sourceID=14","4.2")</f>
        <v>4.2</v>
      </c>
      <c r="G496" s="4" t="str">
        <f>HYPERLINK("http://141.218.60.56/~jnz1568/getInfo.php?workbook=27_11.xlsx&amp;sheet=U0&amp;row=496&amp;col=7&amp;number=0.0326&amp;sourceID=14","0.0326")</f>
        <v>0.0326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HYPERLINK("http://141.218.60.56/~jnz1568/getInfo.php?workbook=27_11.xlsx&amp;sheet=U0&amp;row=497&amp;col=6&amp;number=4.3&amp;sourceID=14","4.3")</f>
        <v>4.3</v>
      </c>
      <c r="G497" s="4" t="str">
        <f>HYPERLINK("http://141.218.60.56/~jnz1568/getInfo.php?workbook=27_11.xlsx&amp;sheet=U0&amp;row=497&amp;col=7&amp;number=0.0326&amp;sourceID=14","0.0326")</f>
        <v>0.0326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HYPERLINK("http://141.218.60.56/~jnz1568/getInfo.php?workbook=27_11.xlsx&amp;sheet=U0&amp;row=498&amp;col=6&amp;number=4.4&amp;sourceID=14","4.4")</f>
        <v>4.4</v>
      </c>
      <c r="G498" s="4" t="str">
        <f>HYPERLINK("http://141.218.60.56/~jnz1568/getInfo.php?workbook=27_11.xlsx&amp;sheet=U0&amp;row=498&amp;col=7&amp;number=0.0327&amp;sourceID=14","0.0327")</f>
        <v>0.0327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HYPERLINK("http://141.218.60.56/~jnz1568/getInfo.php?workbook=27_11.xlsx&amp;sheet=U0&amp;row=499&amp;col=6&amp;number=4.5&amp;sourceID=14","4.5")</f>
        <v>4.5</v>
      </c>
      <c r="G499" s="4" t="str">
        <f>HYPERLINK("http://141.218.60.56/~jnz1568/getInfo.php?workbook=27_11.xlsx&amp;sheet=U0&amp;row=499&amp;col=7&amp;number=0.0327&amp;sourceID=14","0.0327")</f>
        <v>0.0327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HYPERLINK("http://141.218.60.56/~jnz1568/getInfo.php?workbook=27_11.xlsx&amp;sheet=U0&amp;row=500&amp;col=6&amp;number=4.6&amp;sourceID=14","4.6")</f>
        <v>4.6</v>
      </c>
      <c r="G500" s="4" t="str">
        <f>HYPERLINK("http://141.218.60.56/~jnz1568/getInfo.php?workbook=27_11.xlsx&amp;sheet=U0&amp;row=500&amp;col=7&amp;number=0.0328&amp;sourceID=14","0.0328")</f>
        <v>0.0328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HYPERLINK("http://141.218.60.56/~jnz1568/getInfo.php?workbook=27_11.xlsx&amp;sheet=U0&amp;row=501&amp;col=6&amp;number=4.7&amp;sourceID=14","4.7")</f>
        <v>4.7</v>
      </c>
      <c r="G501" s="4" t="str">
        <f>HYPERLINK("http://141.218.60.56/~jnz1568/getInfo.php?workbook=27_11.xlsx&amp;sheet=U0&amp;row=501&amp;col=7&amp;number=0.0329&amp;sourceID=14","0.0329")</f>
        <v>0.0329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HYPERLINK("http://141.218.60.56/~jnz1568/getInfo.php?workbook=27_11.xlsx&amp;sheet=U0&amp;row=502&amp;col=6&amp;number=4.8&amp;sourceID=14","4.8")</f>
        <v>4.8</v>
      </c>
      <c r="G502" s="4" t="str">
        <f>HYPERLINK("http://141.218.60.56/~jnz1568/getInfo.php?workbook=27_11.xlsx&amp;sheet=U0&amp;row=502&amp;col=7&amp;number=0.033&amp;sourceID=14","0.033")</f>
        <v>0.033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HYPERLINK("http://141.218.60.56/~jnz1568/getInfo.php?workbook=27_11.xlsx&amp;sheet=U0&amp;row=503&amp;col=6&amp;number=4.9&amp;sourceID=14","4.9")</f>
        <v>4.9</v>
      </c>
      <c r="G503" s="4" t="str">
        <f>HYPERLINK("http://141.218.60.56/~jnz1568/getInfo.php?workbook=27_11.xlsx&amp;sheet=U0&amp;row=503&amp;col=7&amp;number=0.0332&amp;sourceID=14","0.0332")</f>
        <v>0.0332</v>
      </c>
    </row>
    <row r="504" spans="1:7">
      <c r="A504" s="3">
        <v>27</v>
      </c>
      <c r="B504" s="3">
        <v>11</v>
      </c>
      <c r="C504" s="3">
        <v>2</v>
      </c>
      <c r="D504" s="3">
        <v>10</v>
      </c>
      <c r="E504" s="3">
        <v>1</v>
      </c>
      <c r="F504" s="4" t="str">
        <f>HYPERLINK("http://141.218.60.56/~jnz1568/getInfo.php?workbook=27_11.xlsx&amp;sheet=U0&amp;row=504&amp;col=6&amp;number=3&amp;sourceID=14","3")</f>
        <v>3</v>
      </c>
      <c r="G504" s="4" t="str">
        <f>HYPERLINK("http://141.218.60.56/~jnz1568/getInfo.php?workbook=27_11.xlsx&amp;sheet=U0&amp;row=504&amp;col=7&amp;number=0.0141&amp;sourceID=14","0.0141")</f>
        <v>0.0141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HYPERLINK("http://141.218.60.56/~jnz1568/getInfo.php?workbook=27_11.xlsx&amp;sheet=U0&amp;row=505&amp;col=6&amp;number=3.1&amp;sourceID=14","3.1")</f>
        <v>3.1</v>
      </c>
      <c r="G505" s="4" t="str">
        <f>HYPERLINK("http://141.218.60.56/~jnz1568/getInfo.php?workbook=27_11.xlsx&amp;sheet=U0&amp;row=505&amp;col=7&amp;number=0.0141&amp;sourceID=14","0.0141")</f>
        <v>0.0141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HYPERLINK("http://141.218.60.56/~jnz1568/getInfo.php?workbook=27_11.xlsx&amp;sheet=U0&amp;row=506&amp;col=6&amp;number=3.2&amp;sourceID=14","3.2")</f>
        <v>3.2</v>
      </c>
      <c r="G506" s="4" t="str">
        <f>HYPERLINK("http://141.218.60.56/~jnz1568/getInfo.php?workbook=27_11.xlsx&amp;sheet=U0&amp;row=506&amp;col=7&amp;number=0.0141&amp;sourceID=14","0.0141")</f>
        <v>0.0141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HYPERLINK("http://141.218.60.56/~jnz1568/getInfo.php?workbook=27_11.xlsx&amp;sheet=U0&amp;row=507&amp;col=6&amp;number=3.3&amp;sourceID=14","3.3")</f>
        <v>3.3</v>
      </c>
      <c r="G507" s="4" t="str">
        <f>HYPERLINK("http://141.218.60.56/~jnz1568/getInfo.php?workbook=27_11.xlsx&amp;sheet=U0&amp;row=507&amp;col=7&amp;number=0.0141&amp;sourceID=14","0.0141")</f>
        <v>0.0141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HYPERLINK("http://141.218.60.56/~jnz1568/getInfo.php?workbook=27_11.xlsx&amp;sheet=U0&amp;row=508&amp;col=6&amp;number=3.4&amp;sourceID=14","3.4")</f>
        <v>3.4</v>
      </c>
      <c r="G508" s="4" t="str">
        <f>HYPERLINK("http://141.218.60.56/~jnz1568/getInfo.php?workbook=27_11.xlsx&amp;sheet=U0&amp;row=508&amp;col=7&amp;number=0.0141&amp;sourceID=14","0.0141")</f>
        <v>0.0141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HYPERLINK("http://141.218.60.56/~jnz1568/getInfo.php?workbook=27_11.xlsx&amp;sheet=U0&amp;row=509&amp;col=6&amp;number=3.5&amp;sourceID=14","3.5")</f>
        <v>3.5</v>
      </c>
      <c r="G509" s="4" t="str">
        <f>HYPERLINK("http://141.218.60.56/~jnz1568/getInfo.php?workbook=27_11.xlsx&amp;sheet=U0&amp;row=509&amp;col=7&amp;number=0.0141&amp;sourceID=14","0.0141")</f>
        <v>0.0141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HYPERLINK("http://141.218.60.56/~jnz1568/getInfo.php?workbook=27_11.xlsx&amp;sheet=U0&amp;row=510&amp;col=6&amp;number=3.6&amp;sourceID=14","3.6")</f>
        <v>3.6</v>
      </c>
      <c r="G510" s="4" t="str">
        <f>HYPERLINK("http://141.218.60.56/~jnz1568/getInfo.php?workbook=27_11.xlsx&amp;sheet=U0&amp;row=510&amp;col=7&amp;number=0.0141&amp;sourceID=14","0.0141")</f>
        <v>0.0141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HYPERLINK("http://141.218.60.56/~jnz1568/getInfo.php?workbook=27_11.xlsx&amp;sheet=U0&amp;row=511&amp;col=6&amp;number=3.7&amp;sourceID=14","3.7")</f>
        <v>3.7</v>
      </c>
      <c r="G511" s="4" t="str">
        <f>HYPERLINK("http://141.218.60.56/~jnz1568/getInfo.php?workbook=27_11.xlsx&amp;sheet=U0&amp;row=511&amp;col=7&amp;number=0.0141&amp;sourceID=14","0.0141")</f>
        <v>0.0141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HYPERLINK("http://141.218.60.56/~jnz1568/getInfo.php?workbook=27_11.xlsx&amp;sheet=U0&amp;row=512&amp;col=6&amp;number=3.8&amp;sourceID=14","3.8")</f>
        <v>3.8</v>
      </c>
      <c r="G512" s="4" t="str">
        <f>HYPERLINK("http://141.218.60.56/~jnz1568/getInfo.php?workbook=27_11.xlsx&amp;sheet=U0&amp;row=512&amp;col=7&amp;number=0.0141&amp;sourceID=14","0.0141")</f>
        <v>0.0141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HYPERLINK("http://141.218.60.56/~jnz1568/getInfo.php?workbook=27_11.xlsx&amp;sheet=U0&amp;row=513&amp;col=6&amp;number=3.9&amp;sourceID=14","3.9")</f>
        <v>3.9</v>
      </c>
      <c r="G513" s="4" t="str">
        <f>HYPERLINK("http://141.218.60.56/~jnz1568/getInfo.php?workbook=27_11.xlsx&amp;sheet=U0&amp;row=513&amp;col=7&amp;number=0.0141&amp;sourceID=14","0.0141")</f>
        <v>0.0141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HYPERLINK("http://141.218.60.56/~jnz1568/getInfo.php?workbook=27_11.xlsx&amp;sheet=U0&amp;row=514&amp;col=6&amp;number=4&amp;sourceID=14","4")</f>
        <v>4</v>
      </c>
      <c r="G514" s="4" t="str">
        <f>HYPERLINK("http://141.218.60.56/~jnz1568/getInfo.php?workbook=27_11.xlsx&amp;sheet=U0&amp;row=514&amp;col=7&amp;number=0.0141&amp;sourceID=14","0.0141")</f>
        <v>0.0141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HYPERLINK("http://141.218.60.56/~jnz1568/getInfo.php?workbook=27_11.xlsx&amp;sheet=U0&amp;row=515&amp;col=6&amp;number=4.1&amp;sourceID=14","4.1")</f>
        <v>4.1</v>
      </c>
      <c r="G515" s="4" t="str">
        <f>HYPERLINK("http://141.218.60.56/~jnz1568/getInfo.php?workbook=27_11.xlsx&amp;sheet=U0&amp;row=515&amp;col=7&amp;number=0.0141&amp;sourceID=14","0.0141")</f>
        <v>0.0141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HYPERLINK("http://141.218.60.56/~jnz1568/getInfo.php?workbook=27_11.xlsx&amp;sheet=U0&amp;row=516&amp;col=6&amp;number=4.2&amp;sourceID=14","4.2")</f>
        <v>4.2</v>
      </c>
      <c r="G516" s="4" t="str">
        <f>HYPERLINK("http://141.218.60.56/~jnz1568/getInfo.php?workbook=27_11.xlsx&amp;sheet=U0&amp;row=516&amp;col=7&amp;number=0.0141&amp;sourceID=14","0.0141")</f>
        <v>0.0141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HYPERLINK("http://141.218.60.56/~jnz1568/getInfo.php?workbook=27_11.xlsx&amp;sheet=U0&amp;row=517&amp;col=6&amp;number=4.3&amp;sourceID=14","4.3")</f>
        <v>4.3</v>
      </c>
      <c r="G517" s="4" t="str">
        <f>HYPERLINK("http://141.218.60.56/~jnz1568/getInfo.php?workbook=27_11.xlsx&amp;sheet=U0&amp;row=517&amp;col=7&amp;number=0.0141&amp;sourceID=14","0.0141")</f>
        <v>0.0141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HYPERLINK("http://141.218.60.56/~jnz1568/getInfo.php?workbook=27_11.xlsx&amp;sheet=U0&amp;row=518&amp;col=6&amp;number=4.4&amp;sourceID=14","4.4")</f>
        <v>4.4</v>
      </c>
      <c r="G518" s="4" t="str">
        <f>HYPERLINK("http://141.218.60.56/~jnz1568/getInfo.php?workbook=27_11.xlsx&amp;sheet=U0&amp;row=518&amp;col=7&amp;number=0.0141&amp;sourceID=14","0.0141")</f>
        <v>0.0141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HYPERLINK("http://141.218.60.56/~jnz1568/getInfo.php?workbook=27_11.xlsx&amp;sheet=U0&amp;row=519&amp;col=6&amp;number=4.5&amp;sourceID=14","4.5")</f>
        <v>4.5</v>
      </c>
      <c r="G519" s="4" t="str">
        <f>HYPERLINK("http://141.218.60.56/~jnz1568/getInfo.php?workbook=27_11.xlsx&amp;sheet=U0&amp;row=519&amp;col=7&amp;number=0.0141&amp;sourceID=14","0.0141")</f>
        <v>0.0141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HYPERLINK("http://141.218.60.56/~jnz1568/getInfo.php?workbook=27_11.xlsx&amp;sheet=U0&amp;row=520&amp;col=6&amp;number=4.6&amp;sourceID=14","4.6")</f>
        <v>4.6</v>
      </c>
      <c r="G520" s="4" t="str">
        <f>HYPERLINK("http://141.218.60.56/~jnz1568/getInfo.php?workbook=27_11.xlsx&amp;sheet=U0&amp;row=520&amp;col=7&amp;number=0.0141&amp;sourceID=14","0.0141")</f>
        <v>0.0141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HYPERLINK("http://141.218.60.56/~jnz1568/getInfo.php?workbook=27_11.xlsx&amp;sheet=U0&amp;row=521&amp;col=6&amp;number=4.7&amp;sourceID=14","4.7")</f>
        <v>4.7</v>
      </c>
      <c r="G521" s="4" t="str">
        <f>HYPERLINK("http://141.218.60.56/~jnz1568/getInfo.php?workbook=27_11.xlsx&amp;sheet=U0&amp;row=521&amp;col=7&amp;number=0.0141&amp;sourceID=14","0.0141")</f>
        <v>0.0141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HYPERLINK("http://141.218.60.56/~jnz1568/getInfo.php?workbook=27_11.xlsx&amp;sheet=U0&amp;row=522&amp;col=6&amp;number=4.8&amp;sourceID=14","4.8")</f>
        <v>4.8</v>
      </c>
      <c r="G522" s="4" t="str">
        <f>HYPERLINK("http://141.218.60.56/~jnz1568/getInfo.php?workbook=27_11.xlsx&amp;sheet=U0&amp;row=522&amp;col=7&amp;number=0.0141&amp;sourceID=14","0.0141")</f>
        <v>0.0141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HYPERLINK("http://141.218.60.56/~jnz1568/getInfo.php?workbook=27_11.xlsx&amp;sheet=U0&amp;row=523&amp;col=6&amp;number=4.9&amp;sourceID=14","4.9")</f>
        <v>4.9</v>
      </c>
      <c r="G523" s="4" t="str">
        <f>HYPERLINK("http://141.218.60.56/~jnz1568/getInfo.php?workbook=27_11.xlsx&amp;sheet=U0&amp;row=523&amp;col=7&amp;number=0.0141&amp;sourceID=14","0.0141")</f>
        <v>0.0141</v>
      </c>
    </row>
    <row r="524" spans="1:7">
      <c r="A524" s="3">
        <v>27</v>
      </c>
      <c r="B524" s="3">
        <v>11</v>
      </c>
      <c r="C524" s="3">
        <v>2</v>
      </c>
      <c r="D524" s="3">
        <v>11</v>
      </c>
      <c r="E524" s="3">
        <v>1</v>
      </c>
      <c r="F524" s="4" t="str">
        <f>HYPERLINK("http://141.218.60.56/~jnz1568/getInfo.php?workbook=27_11.xlsx&amp;sheet=U0&amp;row=524&amp;col=6&amp;number=3&amp;sourceID=14","3")</f>
        <v>3</v>
      </c>
      <c r="G524" s="4" t="str">
        <f>HYPERLINK("http://141.218.60.56/~jnz1568/getInfo.php?workbook=27_11.xlsx&amp;sheet=U0&amp;row=524&amp;col=7&amp;number=0.0972&amp;sourceID=14","0.0972")</f>
        <v>0.0972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HYPERLINK("http://141.218.60.56/~jnz1568/getInfo.php?workbook=27_11.xlsx&amp;sheet=U0&amp;row=525&amp;col=6&amp;number=3.1&amp;sourceID=14","3.1")</f>
        <v>3.1</v>
      </c>
      <c r="G525" s="4" t="str">
        <f>HYPERLINK("http://141.218.60.56/~jnz1568/getInfo.php?workbook=27_11.xlsx&amp;sheet=U0&amp;row=525&amp;col=7&amp;number=0.0972&amp;sourceID=14","0.0972")</f>
        <v>0.0972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HYPERLINK("http://141.218.60.56/~jnz1568/getInfo.php?workbook=27_11.xlsx&amp;sheet=U0&amp;row=526&amp;col=6&amp;number=3.2&amp;sourceID=14","3.2")</f>
        <v>3.2</v>
      </c>
      <c r="G526" s="4" t="str">
        <f>HYPERLINK("http://141.218.60.56/~jnz1568/getInfo.php?workbook=27_11.xlsx&amp;sheet=U0&amp;row=526&amp;col=7&amp;number=0.0972&amp;sourceID=14","0.0972")</f>
        <v>0.0972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HYPERLINK("http://141.218.60.56/~jnz1568/getInfo.php?workbook=27_11.xlsx&amp;sheet=U0&amp;row=527&amp;col=6&amp;number=3.3&amp;sourceID=14","3.3")</f>
        <v>3.3</v>
      </c>
      <c r="G527" s="4" t="str">
        <f>HYPERLINK("http://141.218.60.56/~jnz1568/getInfo.php?workbook=27_11.xlsx&amp;sheet=U0&amp;row=527&amp;col=7&amp;number=0.0972&amp;sourceID=14","0.0972")</f>
        <v>0.0972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HYPERLINK("http://141.218.60.56/~jnz1568/getInfo.php?workbook=27_11.xlsx&amp;sheet=U0&amp;row=528&amp;col=6&amp;number=3.4&amp;sourceID=14","3.4")</f>
        <v>3.4</v>
      </c>
      <c r="G528" s="4" t="str">
        <f>HYPERLINK("http://141.218.60.56/~jnz1568/getInfo.php?workbook=27_11.xlsx&amp;sheet=U0&amp;row=528&amp;col=7&amp;number=0.0972&amp;sourceID=14","0.0972")</f>
        <v>0.0972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HYPERLINK("http://141.218.60.56/~jnz1568/getInfo.php?workbook=27_11.xlsx&amp;sheet=U0&amp;row=529&amp;col=6&amp;number=3.5&amp;sourceID=14","3.5")</f>
        <v>3.5</v>
      </c>
      <c r="G529" s="4" t="str">
        <f>HYPERLINK("http://141.218.60.56/~jnz1568/getInfo.php?workbook=27_11.xlsx&amp;sheet=U0&amp;row=529&amp;col=7&amp;number=0.0972&amp;sourceID=14","0.0972")</f>
        <v>0.0972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HYPERLINK("http://141.218.60.56/~jnz1568/getInfo.php?workbook=27_11.xlsx&amp;sheet=U0&amp;row=530&amp;col=6&amp;number=3.6&amp;sourceID=14","3.6")</f>
        <v>3.6</v>
      </c>
      <c r="G530" s="4" t="str">
        <f>HYPERLINK("http://141.218.60.56/~jnz1568/getInfo.php?workbook=27_11.xlsx&amp;sheet=U0&amp;row=530&amp;col=7&amp;number=0.0972&amp;sourceID=14","0.0972")</f>
        <v>0.0972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HYPERLINK("http://141.218.60.56/~jnz1568/getInfo.php?workbook=27_11.xlsx&amp;sheet=U0&amp;row=531&amp;col=6&amp;number=3.7&amp;sourceID=14","3.7")</f>
        <v>3.7</v>
      </c>
      <c r="G531" s="4" t="str">
        <f>HYPERLINK("http://141.218.60.56/~jnz1568/getInfo.php?workbook=27_11.xlsx&amp;sheet=U0&amp;row=531&amp;col=7&amp;number=0.0972&amp;sourceID=14","0.0972")</f>
        <v>0.0972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HYPERLINK("http://141.218.60.56/~jnz1568/getInfo.php?workbook=27_11.xlsx&amp;sheet=U0&amp;row=532&amp;col=6&amp;number=3.8&amp;sourceID=14","3.8")</f>
        <v>3.8</v>
      </c>
      <c r="G532" s="4" t="str">
        <f>HYPERLINK("http://141.218.60.56/~jnz1568/getInfo.php?workbook=27_11.xlsx&amp;sheet=U0&amp;row=532&amp;col=7&amp;number=0.0972&amp;sourceID=14","0.0972")</f>
        <v>0.0972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HYPERLINK("http://141.218.60.56/~jnz1568/getInfo.php?workbook=27_11.xlsx&amp;sheet=U0&amp;row=533&amp;col=6&amp;number=3.9&amp;sourceID=14","3.9")</f>
        <v>3.9</v>
      </c>
      <c r="G533" s="4" t="str">
        <f>HYPERLINK("http://141.218.60.56/~jnz1568/getInfo.php?workbook=27_11.xlsx&amp;sheet=U0&amp;row=533&amp;col=7&amp;number=0.0973&amp;sourceID=14","0.0973")</f>
        <v>0.0973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HYPERLINK("http://141.218.60.56/~jnz1568/getInfo.php?workbook=27_11.xlsx&amp;sheet=U0&amp;row=534&amp;col=6&amp;number=4&amp;sourceID=14","4")</f>
        <v>4</v>
      </c>
      <c r="G534" s="4" t="str">
        <f>HYPERLINK("http://141.218.60.56/~jnz1568/getInfo.php?workbook=27_11.xlsx&amp;sheet=U0&amp;row=534&amp;col=7&amp;number=0.0973&amp;sourceID=14","0.0973")</f>
        <v>0.0973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HYPERLINK("http://141.218.60.56/~jnz1568/getInfo.php?workbook=27_11.xlsx&amp;sheet=U0&amp;row=535&amp;col=6&amp;number=4.1&amp;sourceID=14","4.1")</f>
        <v>4.1</v>
      </c>
      <c r="G535" s="4" t="str">
        <f>HYPERLINK("http://141.218.60.56/~jnz1568/getInfo.php?workbook=27_11.xlsx&amp;sheet=U0&amp;row=535&amp;col=7&amp;number=0.0973&amp;sourceID=14","0.0973")</f>
        <v>0.0973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HYPERLINK("http://141.218.60.56/~jnz1568/getInfo.php?workbook=27_11.xlsx&amp;sheet=U0&amp;row=536&amp;col=6&amp;number=4.2&amp;sourceID=14","4.2")</f>
        <v>4.2</v>
      </c>
      <c r="G536" s="4" t="str">
        <f>HYPERLINK("http://141.218.60.56/~jnz1568/getInfo.php?workbook=27_11.xlsx&amp;sheet=U0&amp;row=536&amp;col=7&amp;number=0.0973&amp;sourceID=14","0.0973")</f>
        <v>0.0973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HYPERLINK("http://141.218.60.56/~jnz1568/getInfo.php?workbook=27_11.xlsx&amp;sheet=U0&amp;row=537&amp;col=6&amp;number=4.3&amp;sourceID=14","4.3")</f>
        <v>4.3</v>
      </c>
      <c r="G537" s="4" t="str">
        <f>HYPERLINK("http://141.218.60.56/~jnz1568/getInfo.php?workbook=27_11.xlsx&amp;sheet=U0&amp;row=537&amp;col=7&amp;number=0.0974&amp;sourceID=14","0.0974")</f>
        <v>0.0974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HYPERLINK("http://141.218.60.56/~jnz1568/getInfo.php?workbook=27_11.xlsx&amp;sheet=U0&amp;row=538&amp;col=6&amp;number=4.4&amp;sourceID=14","4.4")</f>
        <v>4.4</v>
      </c>
      <c r="G538" s="4" t="str">
        <f>HYPERLINK("http://141.218.60.56/~jnz1568/getInfo.php?workbook=27_11.xlsx&amp;sheet=U0&amp;row=538&amp;col=7&amp;number=0.0974&amp;sourceID=14","0.0974")</f>
        <v>0.0974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HYPERLINK("http://141.218.60.56/~jnz1568/getInfo.php?workbook=27_11.xlsx&amp;sheet=U0&amp;row=539&amp;col=6&amp;number=4.5&amp;sourceID=14","4.5")</f>
        <v>4.5</v>
      </c>
      <c r="G539" s="4" t="str">
        <f>HYPERLINK("http://141.218.60.56/~jnz1568/getInfo.php?workbook=27_11.xlsx&amp;sheet=U0&amp;row=539&amp;col=7&amp;number=0.0975&amp;sourceID=14","0.0975")</f>
        <v>0.0975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HYPERLINK("http://141.218.60.56/~jnz1568/getInfo.php?workbook=27_11.xlsx&amp;sheet=U0&amp;row=540&amp;col=6&amp;number=4.6&amp;sourceID=14","4.6")</f>
        <v>4.6</v>
      </c>
      <c r="G540" s="4" t="str">
        <f>HYPERLINK("http://141.218.60.56/~jnz1568/getInfo.php?workbook=27_11.xlsx&amp;sheet=U0&amp;row=540&amp;col=7&amp;number=0.0976&amp;sourceID=14","0.0976")</f>
        <v>0.0976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HYPERLINK("http://141.218.60.56/~jnz1568/getInfo.php?workbook=27_11.xlsx&amp;sheet=U0&amp;row=541&amp;col=6&amp;number=4.7&amp;sourceID=14","4.7")</f>
        <v>4.7</v>
      </c>
      <c r="G541" s="4" t="str">
        <f>HYPERLINK("http://141.218.60.56/~jnz1568/getInfo.php?workbook=27_11.xlsx&amp;sheet=U0&amp;row=541&amp;col=7&amp;number=0.0977&amp;sourceID=14","0.0977")</f>
        <v>0.0977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HYPERLINK("http://141.218.60.56/~jnz1568/getInfo.php?workbook=27_11.xlsx&amp;sheet=U0&amp;row=542&amp;col=6&amp;number=4.8&amp;sourceID=14","4.8")</f>
        <v>4.8</v>
      </c>
      <c r="G542" s="4" t="str">
        <f>HYPERLINK("http://141.218.60.56/~jnz1568/getInfo.php?workbook=27_11.xlsx&amp;sheet=U0&amp;row=542&amp;col=7&amp;number=0.0978&amp;sourceID=14","0.0978")</f>
        <v>0.0978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HYPERLINK("http://141.218.60.56/~jnz1568/getInfo.php?workbook=27_11.xlsx&amp;sheet=U0&amp;row=543&amp;col=6&amp;number=4.9&amp;sourceID=14","4.9")</f>
        <v>4.9</v>
      </c>
      <c r="G543" s="4" t="str">
        <f>HYPERLINK("http://141.218.60.56/~jnz1568/getInfo.php?workbook=27_11.xlsx&amp;sheet=U0&amp;row=543&amp;col=7&amp;number=0.098&amp;sourceID=14","0.098")</f>
        <v>0.098</v>
      </c>
    </row>
    <row r="544" spans="1:7">
      <c r="A544" s="3">
        <v>27</v>
      </c>
      <c r="B544" s="3">
        <v>11</v>
      </c>
      <c r="C544" s="3">
        <v>2</v>
      </c>
      <c r="D544" s="3">
        <v>12</v>
      </c>
      <c r="E544" s="3">
        <v>1</v>
      </c>
      <c r="F544" s="4" t="str">
        <f>HYPERLINK("http://141.218.60.56/~jnz1568/getInfo.php?workbook=27_11.xlsx&amp;sheet=U0&amp;row=544&amp;col=6&amp;number=3&amp;sourceID=14","3")</f>
        <v>3</v>
      </c>
      <c r="G544" s="4" t="str">
        <f>HYPERLINK("http://141.218.60.56/~jnz1568/getInfo.php?workbook=27_11.xlsx&amp;sheet=U0&amp;row=544&amp;col=7&amp;number=0.0214&amp;sourceID=14","0.0214")</f>
        <v>0.0214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HYPERLINK("http://141.218.60.56/~jnz1568/getInfo.php?workbook=27_11.xlsx&amp;sheet=U0&amp;row=545&amp;col=6&amp;number=3.1&amp;sourceID=14","3.1")</f>
        <v>3.1</v>
      </c>
      <c r="G545" s="4" t="str">
        <f>HYPERLINK("http://141.218.60.56/~jnz1568/getInfo.php?workbook=27_11.xlsx&amp;sheet=U0&amp;row=545&amp;col=7&amp;number=0.0214&amp;sourceID=14","0.0214")</f>
        <v>0.0214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HYPERLINK("http://141.218.60.56/~jnz1568/getInfo.php?workbook=27_11.xlsx&amp;sheet=U0&amp;row=546&amp;col=6&amp;number=3.2&amp;sourceID=14","3.2")</f>
        <v>3.2</v>
      </c>
      <c r="G546" s="4" t="str">
        <f>HYPERLINK("http://141.218.60.56/~jnz1568/getInfo.php?workbook=27_11.xlsx&amp;sheet=U0&amp;row=546&amp;col=7&amp;number=0.0214&amp;sourceID=14","0.0214")</f>
        <v>0.0214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HYPERLINK("http://141.218.60.56/~jnz1568/getInfo.php?workbook=27_11.xlsx&amp;sheet=U0&amp;row=547&amp;col=6&amp;number=3.3&amp;sourceID=14","3.3")</f>
        <v>3.3</v>
      </c>
      <c r="G547" s="4" t="str">
        <f>HYPERLINK("http://141.218.60.56/~jnz1568/getInfo.php?workbook=27_11.xlsx&amp;sheet=U0&amp;row=547&amp;col=7&amp;number=0.0214&amp;sourceID=14","0.0214")</f>
        <v>0.0214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HYPERLINK("http://141.218.60.56/~jnz1568/getInfo.php?workbook=27_11.xlsx&amp;sheet=U0&amp;row=548&amp;col=6&amp;number=3.4&amp;sourceID=14","3.4")</f>
        <v>3.4</v>
      </c>
      <c r="G548" s="4" t="str">
        <f>HYPERLINK("http://141.218.60.56/~jnz1568/getInfo.php?workbook=27_11.xlsx&amp;sheet=U0&amp;row=548&amp;col=7&amp;number=0.0214&amp;sourceID=14","0.0214")</f>
        <v>0.0214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HYPERLINK("http://141.218.60.56/~jnz1568/getInfo.php?workbook=27_11.xlsx&amp;sheet=U0&amp;row=549&amp;col=6&amp;number=3.5&amp;sourceID=14","3.5")</f>
        <v>3.5</v>
      </c>
      <c r="G549" s="4" t="str">
        <f>HYPERLINK("http://141.218.60.56/~jnz1568/getInfo.php?workbook=27_11.xlsx&amp;sheet=U0&amp;row=549&amp;col=7&amp;number=0.0214&amp;sourceID=14","0.0214")</f>
        <v>0.0214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HYPERLINK("http://141.218.60.56/~jnz1568/getInfo.php?workbook=27_11.xlsx&amp;sheet=U0&amp;row=550&amp;col=6&amp;number=3.6&amp;sourceID=14","3.6")</f>
        <v>3.6</v>
      </c>
      <c r="G550" s="4" t="str">
        <f>HYPERLINK("http://141.218.60.56/~jnz1568/getInfo.php?workbook=27_11.xlsx&amp;sheet=U0&amp;row=550&amp;col=7&amp;number=0.0214&amp;sourceID=14","0.0214")</f>
        <v>0.0214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HYPERLINK("http://141.218.60.56/~jnz1568/getInfo.php?workbook=27_11.xlsx&amp;sheet=U0&amp;row=551&amp;col=6&amp;number=3.7&amp;sourceID=14","3.7")</f>
        <v>3.7</v>
      </c>
      <c r="G551" s="4" t="str">
        <f>HYPERLINK("http://141.218.60.56/~jnz1568/getInfo.php?workbook=27_11.xlsx&amp;sheet=U0&amp;row=551&amp;col=7&amp;number=0.0214&amp;sourceID=14","0.0214")</f>
        <v>0.0214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HYPERLINK("http://141.218.60.56/~jnz1568/getInfo.php?workbook=27_11.xlsx&amp;sheet=U0&amp;row=552&amp;col=6&amp;number=3.8&amp;sourceID=14","3.8")</f>
        <v>3.8</v>
      </c>
      <c r="G552" s="4" t="str">
        <f>HYPERLINK("http://141.218.60.56/~jnz1568/getInfo.php?workbook=27_11.xlsx&amp;sheet=U0&amp;row=552&amp;col=7&amp;number=0.0214&amp;sourceID=14","0.0214")</f>
        <v>0.0214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HYPERLINK("http://141.218.60.56/~jnz1568/getInfo.php?workbook=27_11.xlsx&amp;sheet=U0&amp;row=553&amp;col=6&amp;number=3.9&amp;sourceID=14","3.9")</f>
        <v>3.9</v>
      </c>
      <c r="G553" s="4" t="str">
        <f>HYPERLINK("http://141.218.60.56/~jnz1568/getInfo.php?workbook=27_11.xlsx&amp;sheet=U0&amp;row=553&amp;col=7&amp;number=0.0214&amp;sourceID=14","0.0214")</f>
        <v>0.0214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HYPERLINK("http://141.218.60.56/~jnz1568/getInfo.php?workbook=27_11.xlsx&amp;sheet=U0&amp;row=554&amp;col=6&amp;number=4&amp;sourceID=14","4")</f>
        <v>4</v>
      </c>
      <c r="G554" s="4" t="str">
        <f>HYPERLINK("http://141.218.60.56/~jnz1568/getInfo.php?workbook=27_11.xlsx&amp;sheet=U0&amp;row=554&amp;col=7&amp;number=0.0214&amp;sourceID=14","0.0214")</f>
        <v>0.0214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HYPERLINK("http://141.218.60.56/~jnz1568/getInfo.php?workbook=27_11.xlsx&amp;sheet=U0&amp;row=555&amp;col=6&amp;number=4.1&amp;sourceID=14","4.1")</f>
        <v>4.1</v>
      </c>
      <c r="G555" s="4" t="str">
        <f>HYPERLINK("http://141.218.60.56/~jnz1568/getInfo.php?workbook=27_11.xlsx&amp;sheet=U0&amp;row=555&amp;col=7&amp;number=0.0214&amp;sourceID=14","0.0214")</f>
        <v>0.0214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HYPERLINK("http://141.218.60.56/~jnz1568/getInfo.php?workbook=27_11.xlsx&amp;sheet=U0&amp;row=556&amp;col=6&amp;number=4.2&amp;sourceID=14","4.2")</f>
        <v>4.2</v>
      </c>
      <c r="G556" s="4" t="str">
        <f>HYPERLINK("http://141.218.60.56/~jnz1568/getInfo.php?workbook=27_11.xlsx&amp;sheet=U0&amp;row=556&amp;col=7&amp;number=0.0214&amp;sourceID=14","0.0214")</f>
        <v>0.0214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HYPERLINK("http://141.218.60.56/~jnz1568/getInfo.php?workbook=27_11.xlsx&amp;sheet=U0&amp;row=557&amp;col=6&amp;number=4.3&amp;sourceID=14","4.3")</f>
        <v>4.3</v>
      </c>
      <c r="G557" s="4" t="str">
        <f>HYPERLINK("http://141.218.60.56/~jnz1568/getInfo.php?workbook=27_11.xlsx&amp;sheet=U0&amp;row=557&amp;col=7&amp;number=0.0214&amp;sourceID=14","0.0214")</f>
        <v>0.0214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HYPERLINK("http://141.218.60.56/~jnz1568/getInfo.php?workbook=27_11.xlsx&amp;sheet=U0&amp;row=558&amp;col=6&amp;number=4.4&amp;sourceID=14","4.4")</f>
        <v>4.4</v>
      </c>
      <c r="G558" s="4" t="str">
        <f>HYPERLINK("http://141.218.60.56/~jnz1568/getInfo.php?workbook=27_11.xlsx&amp;sheet=U0&amp;row=558&amp;col=7&amp;number=0.0214&amp;sourceID=14","0.0214")</f>
        <v>0.0214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HYPERLINK("http://141.218.60.56/~jnz1568/getInfo.php?workbook=27_11.xlsx&amp;sheet=U0&amp;row=559&amp;col=6&amp;number=4.5&amp;sourceID=14","4.5")</f>
        <v>4.5</v>
      </c>
      <c r="G559" s="4" t="str">
        <f>HYPERLINK("http://141.218.60.56/~jnz1568/getInfo.php?workbook=27_11.xlsx&amp;sheet=U0&amp;row=559&amp;col=7&amp;number=0.0213&amp;sourceID=14","0.0213")</f>
        <v>0.0213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HYPERLINK("http://141.218.60.56/~jnz1568/getInfo.php?workbook=27_11.xlsx&amp;sheet=U0&amp;row=560&amp;col=6&amp;number=4.6&amp;sourceID=14","4.6")</f>
        <v>4.6</v>
      </c>
      <c r="G560" s="4" t="str">
        <f>HYPERLINK("http://141.218.60.56/~jnz1568/getInfo.php?workbook=27_11.xlsx&amp;sheet=U0&amp;row=560&amp;col=7&amp;number=0.0213&amp;sourceID=14","0.0213")</f>
        <v>0.0213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HYPERLINK("http://141.218.60.56/~jnz1568/getInfo.php?workbook=27_11.xlsx&amp;sheet=U0&amp;row=561&amp;col=6&amp;number=4.7&amp;sourceID=14","4.7")</f>
        <v>4.7</v>
      </c>
      <c r="G561" s="4" t="str">
        <f>HYPERLINK("http://141.218.60.56/~jnz1568/getInfo.php?workbook=27_11.xlsx&amp;sheet=U0&amp;row=561&amp;col=7&amp;number=0.0213&amp;sourceID=14","0.0213")</f>
        <v>0.0213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HYPERLINK("http://141.218.60.56/~jnz1568/getInfo.php?workbook=27_11.xlsx&amp;sheet=U0&amp;row=562&amp;col=6&amp;number=4.8&amp;sourceID=14","4.8")</f>
        <v>4.8</v>
      </c>
      <c r="G562" s="4" t="str">
        <f>HYPERLINK("http://141.218.60.56/~jnz1568/getInfo.php?workbook=27_11.xlsx&amp;sheet=U0&amp;row=562&amp;col=7&amp;number=0.0212&amp;sourceID=14","0.0212")</f>
        <v>0.0212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HYPERLINK("http://141.218.60.56/~jnz1568/getInfo.php?workbook=27_11.xlsx&amp;sheet=U0&amp;row=563&amp;col=6&amp;number=4.9&amp;sourceID=14","4.9")</f>
        <v>4.9</v>
      </c>
      <c r="G563" s="4" t="str">
        <f>HYPERLINK("http://141.218.60.56/~jnz1568/getInfo.php?workbook=27_11.xlsx&amp;sheet=U0&amp;row=563&amp;col=7&amp;number=0.0212&amp;sourceID=14","0.0212")</f>
        <v>0.0212</v>
      </c>
    </row>
    <row r="564" spans="1:7">
      <c r="A564" s="3">
        <v>27</v>
      </c>
      <c r="B564" s="3">
        <v>11</v>
      </c>
      <c r="C564" s="3">
        <v>2</v>
      </c>
      <c r="D564" s="3">
        <v>13</v>
      </c>
      <c r="E564" s="3">
        <v>1</v>
      </c>
      <c r="F564" s="4" t="str">
        <f>HYPERLINK("http://141.218.60.56/~jnz1568/getInfo.php?workbook=27_11.xlsx&amp;sheet=U0&amp;row=564&amp;col=6&amp;number=3&amp;sourceID=14","3")</f>
        <v>3</v>
      </c>
      <c r="G564" s="4" t="str">
        <f>HYPERLINK("http://141.218.60.56/~jnz1568/getInfo.php?workbook=27_11.xlsx&amp;sheet=U0&amp;row=564&amp;col=7&amp;number=0.0017&amp;sourceID=14","0.0017")</f>
        <v>0.0017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HYPERLINK("http://141.218.60.56/~jnz1568/getInfo.php?workbook=27_11.xlsx&amp;sheet=U0&amp;row=565&amp;col=6&amp;number=3.1&amp;sourceID=14","3.1")</f>
        <v>3.1</v>
      </c>
      <c r="G565" s="4" t="str">
        <f>HYPERLINK("http://141.218.60.56/~jnz1568/getInfo.php?workbook=27_11.xlsx&amp;sheet=U0&amp;row=565&amp;col=7&amp;number=0.0017&amp;sourceID=14","0.0017")</f>
        <v>0.0017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HYPERLINK("http://141.218.60.56/~jnz1568/getInfo.php?workbook=27_11.xlsx&amp;sheet=U0&amp;row=566&amp;col=6&amp;number=3.2&amp;sourceID=14","3.2")</f>
        <v>3.2</v>
      </c>
      <c r="G566" s="4" t="str">
        <f>HYPERLINK("http://141.218.60.56/~jnz1568/getInfo.php?workbook=27_11.xlsx&amp;sheet=U0&amp;row=566&amp;col=7&amp;number=0.0017&amp;sourceID=14","0.0017")</f>
        <v>0.0017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HYPERLINK("http://141.218.60.56/~jnz1568/getInfo.php?workbook=27_11.xlsx&amp;sheet=U0&amp;row=567&amp;col=6&amp;number=3.3&amp;sourceID=14","3.3")</f>
        <v>3.3</v>
      </c>
      <c r="G567" s="4" t="str">
        <f>HYPERLINK("http://141.218.60.56/~jnz1568/getInfo.php?workbook=27_11.xlsx&amp;sheet=U0&amp;row=567&amp;col=7&amp;number=0.0017&amp;sourceID=14","0.0017")</f>
        <v>0.0017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HYPERLINK("http://141.218.60.56/~jnz1568/getInfo.php?workbook=27_11.xlsx&amp;sheet=U0&amp;row=568&amp;col=6&amp;number=3.4&amp;sourceID=14","3.4")</f>
        <v>3.4</v>
      </c>
      <c r="G568" s="4" t="str">
        <f>HYPERLINK("http://141.218.60.56/~jnz1568/getInfo.php?workbook=27_11.xlsx&amp;sheet=U0&amp;row=568&amp;col=7&amp;number=0.0017&amp;sourceID=14","0.0017")</f>
        <v>0.0017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HYPERLINK("http://141.218.60.56/~jnz1568/getInfo.php?workbook=27_11.xlsx&amp;sheet=U0&amp;row=569&amp;col=6&amp;number=3.5&amp;sourceID=14","3.5")</f>
        <v>3.5</v>
      </c>
      <c r="G569" s="4" t="str">
        <f>HYPERLINK("http://141.218.60.56/~jnz1568/getInfo.php?workbook=27_11.xlsx&amp;sheet=U0&amp;row=569&amp;col=7&amp;number=0.0017&amp;sourceID=14","0.0017")</f>
        <v>0.0017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HYPERLINK("http://141.218.60.56/~jnz1568/getInfo.php?workbook=27_11.xlsx&amp;sheet=U0&amp;row=570&amp;col=6&amp;number=3.6&amp;sourceID=14","3.6")</f>
        <v>3.6</v>
      </c>
      <c r="G570" s="4" t="str">
        <f>HYPERLINK("http://141.218.60.56/~jnz1568/getInfo.php?workbook=27_11.xlsx&amp;sheet=U0&amp;row=570&amp;col=7&amp;number=0.0017&amp;sourceID=14","0.0017")</f>
        <v>0.0017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HYPERLINK("http://141.218.60.56/~jnz1568/getInfo.php?workbook=27_11.xlsx&amp;sheet=U0&amp;row=571&amp;col=6&amp;number=3.7&amp;sourceID=14","3.7")</f>
        <v>3.7</v>
      </c>
      <c r="G571" s="4" t="str">
        <f>HYPERLINK("http://141.218.60.56/~jnz1568/getInfo.php?workbook=27_11.xlsx&amp;sheet=U0&amp;row=571&amp;col=7&amp;number=0.0017&amp;sourceID=14","0.0017")</f>
        <v>0.0017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HYPERLINK("http://141.218.60.56/~jnz1568/getInfo.php?workbook=27_11.xlsx&amp;sheet=U0&amp;row=572&amp;col=6&amp;number=3.8&amp;sourceID=14","3.8")</f>
        <v>3.8</v>
      </c>
      <c r="G572" s="4" t="str">
        <f>HYPERLINK("http://141.218.60.56/~jnz1568/getInfo.php?workbook=27_11.xlsx&amp;sheet=U0&amp;row=572&amp;col=7&amp;number=0.0017&amp;sourceID=14","0.0017")</f>
        <v>0.0017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HYPERLINK("http://141.218.60.56/~jnz1568/getInfo.php?workbook=27_11.xlsx&amp;sheet=U0&amp;row=573&amp;col=6&amp;number=3.9&amp;sourceID=14","3.9")</f>
        <v>3.9</v>
      </c>
      <c r="G573" s="4" t="str">
        <f>HYPERLINK("http://141.218.60.56/~jnz1568/getInfo.php?workbook=27_11.xlsx&amp;sheet=U0&amp;row=573&amp;col=7&amp;number=0.0017&amp;sourceID=14","0.0017")</f>
        <v>0.0017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HYPERLINK("http://141.218.60.56/~jnz1568/getInfo.php?workbook=27_11.xlsx&amp;sheet=U0&amp;row=574&amp;col=6&amp;number=4&amp;sourceID=14","4")</f>
        <v>4</v>
      </c>
      <c r="G574" s="4" t="str">
        <f>HYPERLINK("http://141.218.60.56/~jnz1568/getInfo.php?workbook=27_11.xlsx&amp;sheet=U0&amp;row=574&amp;col=7&amp;number=0.0017&amp;sourceID=14","0.0017")</f>
        <v>0.0017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HYPERLINK("http://141.218.60.56/~jnz1568/getInfo.php?workbook=27_11.xlsx&amp;sheet=U0&amp;row=575&amp;col=6&amp;number=4.1&amp;sourceID=14","4.1")</f>
        <v>4.1</v>
      </c>
      <c r="G575" s="4" t="str">
        <f>HYPERLINK("http://141.218.60.56/~jnz1568/getInfo.php?workbook=27_11.xlsx&amp;sheet=U0&amp;row=575&amp;col=7&amp;number=0.0017&amp;sourceID=14","0.0017")</f>
        <v>0.0017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HYPERLINK("http://141.218.60.56/~jnz1568/getInfo.php?workbook=27_11.xlsx&amp;sheet=U0&amp;row=576&amp;col=6&amp;number=4.2&amp;sourceID=14","4.2")</f>
        <v>4.2</v>
      </c>
      <c r="G576" s="4" t="str">
        <f>HYPERLINK("http://141.218.60.56/~jnz1568/getInfo.php?workbook=27_11.xlsx&amp;sheet=U0&amp;row=576&amp;col=7&amp;number=0.0017&amp;sourceID=14","0.0017")</f>
        <v>0.0017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HYPERLINK("http://141.218.60.56/~jnz1568/getInfo.php?workbook=27_11.xlsx&amp;sheet=U0&amp;row=577&amp;col=6&amp;number=4.3&amp;sourceID=14","4.3")</f>
        <v>4.3</v>
      </c>
      <c r="G577" s="4" t="str">
        <f>HYPERLINK("http://141.218.60.56/~jnz1568/getInfo.php?workbook=27_11.xlsx&amp;sheet=U0&amp;row=577&amp;col=7&amp;number=0.0017&amp;sourceID=14","0.0017")</f>
        <v>0.0017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HYPERLINK("http://141.218.60.56/~jnz1568/getInfo.php?workbook=27_11.xlsx&amp;sheet=U0&amp;row=578&amp;col=6&amp;number=4.4&amp;sourceID=14","4.4")</f>
        <v>4.4</v>
      </c>
      <c r="G578" s="4" t="str">
        <f>HYPERLINK("http://141.218.60.56/~jnz1568/getInfo.php?workbook=27_11.xlsx&amp;sheet=U0&amp;row=578&amp;col=7&amp;number=0.00171&amp;sourceID=14","0.00171")</f>
        <v>0.00171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HYPERLINK("http://141.218.60.56/~jnz1568/getInfo.php?workbook=27_11.xlsx&amp;sheet=U0&amp;row=579&amp;col=6&amp;number=4.5&amp;sourceID=14","4.5")</f>
        <v>4.5</v>
      </c>
      <c r="G579" s="4" t="str">
        <f>HYPERLINK("http://141.218.60.56/~jnz1568/getInfo.php?workbook=27_11.xlsx&amp;sheet=U0&amp;row=579&amp;col=7&amp;number=0.00171&amp;sourceID=14","0.00171")</f>
        <v>0.00171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HYPERLINK("http://141.218.60.56/~jnz1568/getInfo.php?workbook=27_11.xlsx&amp;sheet=U0&amp;row=580&amp;col=6&amp;number=4.6&amp;sourceID=14","4.6")</f>
        <v>4.6</v>
      </c>
      <c r="G580" s="4" t="str">
        <f>HYPERLINK("http://141.218.60.56/~jnz1568/getInfo.php?workbook=27_11.xlsx&amp;sheet=U0&amp;row=580&amp;col=7&amp;number=0.00171&amp;sourceID=14","0.00171")</f>
        <v>0.00171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HYPERLINK("http://141.218.60.56/~jnz1568/getInfo.php?workbook=27_11.xlsx&amp;sheet=U0&amp;row=581&amp;col=6&amp;number=4.7&amp;sourceID=14","4.7")</f>
        <v>4.7</v>
      </c>
      <c r="G581" s="4" t="str">
        <f>HYPERLINK("http://141.218.60.56/~jnz1568/getInfo.php?workbook=27_11.xlsx&amp;sheet=U0&amp;row=581&amp;col=7&amp;number=0.00171&amp;sourceID=14","0.00171")</f>
        <v>0.00171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HYPERLINK("http://141.218.60.56/~jnz1568/getInfo.php?workbook=27_11.xlsx&amp;sheet=U0&amp;row=582&amp;col=6&amp;number=4.8&amp;sourceID=14","4.8")</f>
        <v>4.8</v>
      </c>
      <c r="G582" s="4" t="str">
        <f>HYPERLINK("http://141.218.60.56/~jnz1568/getInfo.php?workbook=27_11.xlsx&amp;sheet=U0&amp;row=582&amp;col=7&amp;number=0.00171&amp;sourceID=14","0.00171")</f>
        <v>0.00171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HYPERLINK("http://141.218.60.56/~jnz1568/getInfo.php?workbook=27_11.xlsx&amp;sheet=U0&amp;row=583&amp;col=6&amp;number=4.9&amp;sourceID=14","4.9")</f>
        <v>4.9</v>
      </c>
      <c r="G583" s="4" t="str">
        <f>HYPERLINK("http://141.218.60.56/~jnz1568/getInfo.php?workbook=27_11.xlsx&amp;sheet=U0&amp;row=583&amp;col=7&amp;number=0.00171&amp;sourceID=14","0.00171")</f>
        <v>0.00171</v>
      </c>
    </row>
    <row r="584" spans="1:7">
      <c r="A584" s="3">
        <v>27</v>
      </c>
      <c r="B584" s="3">
        <v>11</v>
      </c>
      <c r="C584" s="3">
        <v>2</v>
      </c>
      <c r="D584" s="3">
        <v>14</v>
      </c>
      <c r="E584" s="3">
        <v>1</v>
      </c>
      <c r="F584" s="4" t="str">
        <f>HYPERLINK("http://141.218.60.56/~jnz1568/getInfo.php?workbook=27_11.xlsx&amp;sheet=U0&amp;row=584&amp;col=6&amp;number=3&amp;sourceID=14","3")</f>
        <v>3</v>
      </c>
      <c r="G584" s="4" t="str">
        <f>HYPERLINK("http://141.218.60.56/~jnz1568/getInfo.php?workbook=27_11.xlsx&amp;sheet=U0&amp;row=584&amp;col=7&amp;number=0.0197&amp;sourceID=14","0.0197")</f>
        <v>0.0197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HYPERLINK("http://141.218.60.56/~jnz1568/getInfo.php?workbook=27_11.xlsx&amp;sheet=U0&amp;row=585&amp;col=6&amp;number=3.1&amp;sourceID=14","3.1")</f>
        <v>3.1</v>
      </c>
      <c r="G585" s="4" t="str">
        <f>HYPERLINK("http://141.218.60.56/~jnz1568/getInfo.php?workbook=27_11.xlsx&amp;sheet=U0&amp;row=585&amp;col=7&amp;number=0.0197&amp;sourceID=14","0.0197")</f>
        <v>0.0197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HYPERLINK("http://141.218.60.56/~jnz1568/getInfo.php?workbook=27_11.xlsx&amp;sheet=U0&amp;row=586&amp;col=6&amp;number=3.2&amp;sourceID=14","3.2")</f>
        <v>3.2</v>
      </c>
      <c r="G586" s="4" t="str">
        <f>HYPERLINK("http://141.218.60.56/~jnz1568/getInfo.php?workbook=27_11.xlsx&amp;sheet=U0&amp;row=586&amp;col=7&amp;number=0.0197&amp;sourceID=14","0.0197")</f>
        <v>0.0197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HYPERLINK("http://141.218.60.56/~jnz1568/getInfo.php?workbook=27_11.xlsx&amp;sheet=U0&amp;row=587&amp;col=6&amp;number=3.3&amp;sourceID=14","3.3")</f>
        <v>3.3</v>
      </c>
      <c r="G587" s="4" t="str">
        <f>HYPERLINK("http://141.218.60.56/~jnz1568/getInfo.php?workbook=27_11.xlsx&amp;sheet=U0&amp;row=587&amp;col=7&amp;number=0.0197&amp;sourceID=14","0.0197")</f>
        <v>0.0197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HYPERLINK("http://141.218.60.56/~jnz1568/getInfo.php?workbook=27_11.xlsx&amp;sheet=U0&amp;row=588&amp;col=6&amp;number=3.4&amp;sourceID=14","3.4")</f>
        <v>3.4</v>
      </c>
      <c r="G588" s="4" t="str">
        <f>HYPERLINK("http://141.218.60.56/~jnz1568/getInfo.php?workbook=27_11.xlsx&amp;sheet=U0&amp;row=588&amp;col=7&amp;number=0.0197&amp;sourceID=14","0.0197")</f>
        <v>0.0197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HYPERLINK("http://141.218.60.56/~jnz1568/getInfo.php?workbook=27_11.xlsx&amp;sheet=U0&amp;row=589&amp;col=6&amp;number=3.5&amp;sourceID=14","3.5")</f>
        <v>3.5</v>
      </c>
      <c r="G589" s="4" t="str">
        <f>HYPERLINK("http://141.218.60.56/~jnz1568/getInfo.php?workbook=27_11.xlsx&amp;sheet=U0&amp;row=589&amp;col=7&amp;number=0.0197&amp;sourceID=14","0.0197")</f>
        <v>0.0197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HYPERLINK("http://141.218.60.56/~jnz1568/getInfo.php?workbook=27_11.xlsx&amp;sheet=U0&amp;row=590&amp;col=6&amp;number=3.6&amp;sourceID=14","3.6")</f>
        <v>3.6</v>
      </c>
      <c r="G590" s="4" t="str">
        <f>HYPERLINK("http://141.218.60.56/~jnz1568/getInfo.php?workbook=27_11.xlsx&amp;sheet=U0&amp;row=590&amp;col=7&amp;number=0.0197&amp;sourceID=14","0.0197")</f>
        <v>0.0197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HYPERLINK("http://141.218.60.56/~jnz1568/getInfo.php?workbook=27_11.xlsx&amp;sheet=U0&amp;row=591&amp;col=6&amp;number=3.7&amp;sourceID=14","3.7")</f>
        <v>3.7</v>
      </c>
      <c r="G591" s="4" t="str">
        <f>HYPERLINK("http://141.218.60.56/~jnz1568/getInfo.php?workbook=27_11.xlsx&amp;sheet=U0&amp;row=591&amp;col=7&amp;number=0.0197&amp;sourceID=14","0.0197")</f>
        <v>0.0197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HYPERLINK("http://141.218.60.56/~jnz1568/getInfo.php?workbook=27_11.xlsx&amp;sheet=U0&amp;row=592&amp;col=6&amp;number=3.8&amp;sourceID=14","3.8")</f>
        <v>3.8</v>
      </c>
      <c r="G592" s="4" t="str">
        <f>HYPERLINK("http://141.218.60.56/~jnz1568/getInfo.php?workbook=27_11.xlsx&amp;sheet=U0&amp;row=592&amp;col=7&amp;number=0.0197&amp;sourceID=14","0.0197")</f>
        <v>0.0197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HYPERLINK("http://141.218.60.56/~jnz1568/getInfo.php?workbook=27_11.xlsx&amp;sheet=U0&amp;row=593&amp;col=6&amp;number=3.9&amp;sourceID=14","3.9")</f>
        <v>3.9</v>
      </c>
      <c r="G593" s="4" t="str">
        <f>HYPERLINK("http://141.218.60.56/~jnz1568/getInfo.php?workbook=27_11.xlsx&amp;sheet=U0&amp;row=593&amp;col=7&amp;number=0.0197&amp;sourceID=14","0.0197")</f>
        <v>0.0197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HYPERLINK("http://141.218.60.56/~jnz1568/getInfo.php?workbook=27_11.xlsx&amp;sheet=U0&amp;row=594&amp;col=6&amp;number=4&amp;sourceID=14","4")</f>
        <v>4</v>
      </c>
      <c r="G594" s="4" t="str">
        <f>HYPERLINK("http://141.218.60.56/~jnz1568/getInfo.php?workbook=27_11.xlsx&amp;sheet=U0&amp;row=594&amp;col=7&amp;number=0.0197&amp;sourceID=14","0.0197")</f>
        <v>0.0197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HYPERLINK("http://141.218.60.56/~jnz1568/getInfo.php?workbook=27_11.xlsx&amp;sheet=U0&amp;row=595&amp;col=6&amp;number=4.1&amp;sourceID=14","4.1")</f>
        <v>4.1</v>
      </c>
      <c r="G595" s="4" t="str">
        <f>HYPERLINK("http://141.218.60.56/~jnz1568/getInfo.php?workbook=27_11.xlsx&amp;sheet=U0&amp;row=595&amp;col=7&amp;number=0.0197&amp;sourceID=14","0.0197")</f>
        <v>0.0197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HYPERLINK("http://141.218.60.56/~jnz1568/getInfo.php?workbook=27_11.xlsx&amp;sheet=U0&amp;row=596&amp;col=6&amp;number=4.2&amp;sourceID=14","4.2")</f>
        <v>4.2</v>
      </c>
      <c r="G596" s="4" t="str">
        <f>HYPERLINK("http://141.218.60.56/~jnz1568/getInfo.php?workbook=27_11.xlsx&amp;sheet=U0&amp;row=596&amp;col=7&amp;number=0.0197&amp;sourceID=14","0.0197")</f>
        <v>0.0197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HYPERLINK("http://141.218.60.56/~jnz1568/getInfo.php?workbook=27_11.xlsx&amp;sheet=U0&amp;row=597&amp;col=6&amp;number=4.3&amp;sourceID=14","4.3")</f>
        <v>4.3</v>
      </c>
      <c r="G597" s="4" t="str">
        <f>HYPERLINK("http://141.218.60.56/~jnz1568/getInfo.php?workbook=27_11.xlsx&amp;sheet=U0&amp;row=597&amp;col=7&amp;number=0.0197&amp;sourceID=14","0.0197")</f>
        <v>0.0197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HYPERLINK("http://141.218.60.56/~jnz1568/getInfo.php?workbook=27_11.xlsx&amp;sheet=U0&amp;row=598&amp;col=6&amp;number=4.4&amp;sourceID=14","4.4")</f>
        <v>4.4</v>
      </c>
      <c r="G598" s="4" t="str">
        <f>HYPERLINK("http://141.218.60.56/~jnz1568/getInfo.php?workbook=27_11.xlsx&amp;sheet=U0&amp;row=598&amp;col=7&amp;number=0.0197&amp;sourceID=14","0.0197")</f>
        <v>0.0197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HYPERLINK("http://141.218.60.56/~jnz1568/getInfo.php?workbook=27_11.xlsx&amp;sheet=U0&amp;row=599&amp;col=6&amp;number=4.5&amp;sourceID=14","4.5")</f>
        <v>4.5</v>
      </c>
      <c r="G599" s="4" t="str">
        <f>HYPERLINK("http://141.218.60.56/~jnz1568/getInfo.php?workbook=27_11.xlsx&amp;sheet=U0&amp;row=599&amp;col=7&amp;number=0.0197&amp;sourceID=14","0.0197")</f>
        <v>0.0197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HYPERLINK("http://141.218.60.56/~jnz1568/getInfo.php?workbook=27_11.xlsx&amp;sheet=U0&amp;row=600&amp;col=6&amp;number=4.6&amp;sourceID=14","4.6")</f>
        <v>4.6</v>
      </c>
      <c r="G600" s="4" t="str">
        <f>HYPERLINK("http://141.218.60.56/~jnz1568/getInfo.php?workbook=27_11.xlsx&amp;sheet=U0&amp;row=600&amp;col=7&amp;number=0.0197&amp;sourceID=14","0.0197")</f>
        <v>0.0197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HYPERLINK("http://141.218.60.56/~jnz1568/getInfo.php?workbook=27_11.xlsx&amp;sheet=U0&amp;row=601&amp;col=6&amp;number=4.7&amp;sourceID=14","4.7")</f>
        <v>4.7</v>
      </c>
      <c r="G601" s="4" t="str">
        <f>HYPERLINK("http://141.218.60.56/~jnz1568/getInfo.php?workbook=27_11.xlsx&amp;sheet=U0&amp;row=601&amp;col=7&amp;number=0.0197&amp;sourceID=14","0.0197")</f>
        <v>0.0197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HYPERLINK("http://141.218.60.56/~jnz1568/getInfo.php?workbook=27_11.xlsx&amp;sheet=U0&amp;row=602&amp;col=6&amp;number=4.8&amp;sourceID=14","4.8")</f>
        <v>4.8</v>
      </c>
      <c r="G602" s="4" t="str">
        <f>HYPERLINK("http://141.218.60.56/~jnz1568/getInfo.php?workbook=27_11.xlsx&amp;sheet=U0&amp;row=602&amp;col=7&amp;number=0.0197&amp;sourceID=14","0.0197")</f>
        <v>0.0197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HYPERLINK("http://141.218.60.56/~jnz1568/getInfo.php?workbook=27_11.xlsx&amp;sheet=U0&amp;row=603&amp;col=6&amp;number=4.9&amp;sourceID=14","4.9")</f>
        <v>4.9</v>
      </c>
      <c r="G603" s="4" t="str">
        <f>HYPERLINK("http://141.218.60.56/~jnz1568/getInfo.php?workbook=27_11.xlsx&amp;sheet=U0&amp;row=603&amp;col=7&amp;number=0.0197&amp;sourceID=14","0.0197")</f>
        <v>0.0197</v>
      </c>
    </row>
    <row r="604" spans="1:7">
      <c r="A604" s="3">
        <v>27</v>
      </c>
      <c r="B604" s="3">
        <v>11</v>
      </c>
      <c r="C604" s="3">
        <v>2</v>
      </c>
      <c r="D604" s="3">
        <v>15</v>
      </c>
      <c r="E604" s="3">
        <v>1</v>
      </c>
      <c r="F604" s="4" t="str">
        <f>HYPERLINK("http://141.218.60.56/~jnz1568/getInfo.php?workbook=27_11.xlsx&amp;sheet=U0&amp;row=604&amp;col=6&amp;number=3&amp;sourceID=14","3")</f>
        <v>3</v>
      </c>
      <c r="G604" s="4" t="str">
        <f>HYPERLINK("http://141.218.60.56/~jnz1568/getInfo.php?workbook=27_11.xlsx&amp;sheet=U0&amp;row=604&amp;col=7&amp;number=0.00419&amp;sourceID=14","0.00419")</f>
        <v>0.00419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HYPERLINK("http://141.218.60.56/~jnz1568/getInfo.php?workbook=27_11.xlsx&amp;sheet=U0&amp;row=605&amp;col=6&amp;number=3.1&amp;sourceID=14","3.1")</f>
        <v>3.1</v>
      </c>
      <c r="G605" s="4" t="str">
        <f>HYPERLINK("http://141.218.60.56/~jnz1568/getInfo.php?workbook=27_11.xlsx&amp;sheet=U0&amp;row=605&amp;col=7&amp;number=0.00419&amp;sourceID=14","0.00419")</f>
        <v>0.00419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HYPERLINK("http://141.218.60.56/~jnz1568/getInfo.php?workbook=27_11.xlsx&amp;sheet=U0&amp;row=606&amp;col=6&amp;number=3.2&amp;sourceID=14","3.2")</f>
        <v>3.2</v>
      </c>
      <c r="G606" s="4" t="str">
        <f>HYPERLINK("http://141.218.60.56/~jnz1568/getInfo.php?workbook=27_11.xlsx&amp;sheet=U0&amp;row=606&amp;col=7&amp;number=0.00419&amp;sourceID=14","0.00419")</f>
        <v>0.00419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HYPERLINK("http://141.218.60.56/~jnz1568/getInfo.php?workbook=27_11.xlsx&amp;sheet=U0&amp;row=607&amp;col=6&amp;number=3.3&amp;sourceID=14","3.3")</f>
        <v>3.3</v>
      </c>
      <c r="G607" s="4" t="str">
        <f>HYPERLINK("http://141.218.60.56/~jnz1568/getInfo.php?workbook=27_11.xlsx&amp;sheet=U0&amp;row=607&amp;col=7&amp;number=0.00419&amp;sourceID=14","0.00419")</f>
        <v>0.00419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HYPERLINK("http://141.218.60.56/~jnz1568/getInfo.php?workbook=27_11.xlsx&amp;sheet=U0&amp;row=608&amp;col=6&amp;number=3.4&amp;sourceID=14","3.4")</f>
        <v>3.4</v>
      </c>
      <c r="G608" s="4" t="str">
        <f>HYPERLINK("http://141.218.60.56/~jnz1568/getInfo.php?workbook=27_11.xlsx&amp;sheet=U0&amp;row=608&amp;col=7&amp;number=0.00419&amp;sourceID=14","0.00419")</f>
        <v>0.00419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HYPERLINK("http://141.218.60.56/~jnz1568/getInfo.php?workbook=27_11.xlsx&amp;sheet=U0&amp;row=609&amp;col=6&amp;number=3.5&amp;sourceID=14","3.5")</f>
        <v>3.5</v>
      </c>
      <c r="G609" s="4" t="str">
        <f>HYPERLINK("http://141.218.60.56/~jnz1568/getInfo.php?workbook=27_11.xlsx&amp;sheet=U0&amp;row=609&amp;col=7&amp;number=0.00419&amp;sourceID=14","0.00419")</f>
        <v>0.00419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HYPERLINK("http://141.218.60.56/~jnz1568/getInfo.php?workbook=27_11.xlsx&amp;sheet=U0&amp;row=610&amp;col=6&amp;number=3.6&amp;sourceID=14","3.6")</f>
        <v>3.6</v>
      </c>
      <c r="G610" s="4" t="str">
        <f>HYPERLINK("http://141.218.60.56/~jnz1568/getInfo.php?workbook=27_11.xlsx&amp;sheet=U0&amp;row=610&amp;col=7&amp;number=0.00419&amp;sourceID=14","0.00419")</f>
        <v>0.00419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HYPERLINK("http://141.218.60.56/~jnz1568/getInfo.php?workbook=27_11.xlsx&amp;sheet=U0&amp;row=611&amp;col=6&amp;number=3.7&amp;sourceID=14","3.7")</f>
        <v>3.7</v>
      </c>
      <c r="G611" s="4" t="str">
        <f>HYPERLINK("http://141.218.60.56/~jnz1568/getInfo.php?workbook=27_11.xlsx&amp;sheet=U0&amp;row=611&amp;col=7&amp;number=0.00419&amp;sourceID=14","0.00419")</f>
        <v>0.00419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HYPERLINK("http://141.218.60.56/~jnz1568/getInfo.php?workbook=27_11.xlsx&amp;sheet=U0&amp;row=612&amp;col=6&amp;number=3.8&amp;sourceID=14","3.8")</f>
        <v>3.8</v>
      </c>
      <c r="G612" s="4" t="str">
        <f>HYPERLINK("http://141.218.60.56/~jnz1568/getInfo.php?workbook=27_11.xlsx&amp;sheet=U0&amp;row=612&amp;col=7&amp;number=0.00419&amp;sourceID=14","0.00419")</f>
        <v>0.00419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HYPERLINK("http://141.218.60.56/~jnz1568/getInfo.php?workbook=27_11.xlsx&amp;sheet=U0&amp;row=613&amp;col=6&amp;number=3.9&amp;sourceID=14","3.9")</f>
        <v>3.9</v>
      </c>
      <c r="G613" s="4" t="str">
        <f>HYPERLINK("http://141.218.60.56/~jnz1568/getInfo.php?workbook=27_11.xlsx&amp;sheet=U0&amp;row=613&amp;col=7&amp;number=0.00419&amp;sourceID=14","0.00419")</f>
        <v>0.00419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HYPERLINK("http://141.218.60.56/~jnz1568/getInfo.php?workbook=27_11.xlsx&amp;sheet=U0&amp;row=614&amp;col=6&amp;number=4&amp;sourceID=14","4")</f>
        <v>4</v>
      </c>
      <c r="G614" s="4" t="str">
        <f>HYPERLINK("http://141.218.60.56/~jnz1568/getInfo.php?workbook=27_11.xlsx&amp;sheet=U0&amp;row=614&amp;col=7&amp;number=0.00419&amp;sourceID=14","0.00419")</f>
        <v>0.00419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HYPERLINK("http://141.218.60.56/~jnz1568/getInfo.php?workbook=27_11.xlsx&amp;sheet=U0&amp;row=615&amp;col=6&amp;number=4.1&amp;sourceID=14","4.1")</f>
        <v>4.1</v>
      </c>
      <c r="G615" s="4" t="str">
        <f>HYPERLINK("http://141.218.60.56/~jnz1568/getInfo.php?workbook=27_11.xlsx&amp;sheet=U0&amp;row=615&amp;col=7&amp;number=0.00419&amp;sourceID=14","0.00419")</f>
        <v>0.00419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HYPERLINK("http://141.218.60.56/~jnz1568/getInfo.php?workbook=27_11.xlsx&amp;sheet=U0&amp;row=616&amp;col=6&amp;number=4.2&amp;sourceID=14","4.2")</f>
        <v>4.2</v>
      </c>
      <c r="G616" s="4" t="str">
        <f>HYPERLINK("http://141.218.60.56/~jnz1568/getInfo.php?workbook=27_11.xlsx&amp;sheet=U0&amp;row=616&amp;col=7&amp;number=0.00418&amp;sourceID=14","0.00418")</f>
        <v>0.00418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HYPERLINK("http://141.218.60.56/~jnz1568/getInfo.php?workbook=27_11.xlsx&amp;sheet=U0&amp;row=617&amp;col=6&amp;number=4.3&amp;sourceID=14","4.3")</f>
        <v>4.3</v>
      </c>
      <c r="G617" s="4" t="str">
        <f>HYPERLINK("http://141.218.60.56/~jnz1568/getInfo.php?workbook=27_11.xlsx&amp;sheet=U0&amp;row=617&amp;col=7&amp;number=0.00418&amp;sourceID=14","0.00418")</f>
        <v>0.00418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HYPERLINK("http://141.218.60.56/~jnz1568/getInfo.php?workbook=27_11.xlsx&amp;sheet=U0&amp;row=618&amp;col=6&amp;number=4.4&amp;sourceID=14","4.4")</f>
        <v>4.4</v>
      </c>
      <c r="G618" s="4" t="str">
        <f>HYPERLINK("http://141.218.60.56/~jnz1568/getInfo.php?workbook=27_11.xlsx&amp;sheet=U0&amp;row=618&amp;col=7&amp;number=0.00418&amp;sourceID=14","0.00418")</f>
        <v>0.00418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HYPERLINK("http://141.218.60.56/~jnz1568/getInfo.php?workbook=27_11.xlsx&amp;sheet=U0&amp;row=619&amp;col=6&amp;number=4.5&amp;sourceID=14","4.5")</f>
        <v>4.5</v>
      </c>
      <c r="G619" s="4" t="str">
        <f>HYPERLINK("http://141.218.60.56/~jnz1568/getInfo.php?workbook=27_11.xlsx&amp;sheet=U0&amp;row=619&amp;col=7&amp;number=0.00418&amp;sourceID=14","0.00418")</f>
        <v>0.00418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HYPERLINK("http://141.218.60.56/~jnz1568/getInfo.php?workbook=27_11.xlsx&amp;sheet=U0&amp;row=620&amp;col=6&amp;number=4.6&amp;sourceID=14","4.6")</f>
        <v>4.6</v>
      </c>
      <c r="G620" s="4" t="str">
        <f>HYPERLINK("http://141.218.60.56/~jnz1568/getInfo.php?workbook=27_11.xlsx&amp;sheet=U0&amp;row=620&amp;col=7&amp;number=0.00418&amp;sourceID=14","0.00418")</f>
        <v>0.00418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HYPERLINK("http://141.218.60.56/~jnz1568/getInfo.php?workbook=27_11.xlsx&amp;sheet=U0&amp;row=621&amp;col=6&amp;number=4.7&amp;sourceID=14","4.7")</f>
        <v>4.7</v>
      </c>
      <c r="G621" s="4" t="str">
        <f>HYPERLINK("http://141.218.60.56/~jnz1568/getInfo.php?workbook=27_11.xlsx&amp;sheet=U0&amp;row=621&amp;col=7&amp;number=0.00418&amp;sourceID=14","0.00418")</f>
        <v>0.00418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HYPERLINK("http://141.218.60.56/~jnz1568/getInfo.php?workbook=27_11.xlsx&amp;sheet=U0&amp;row=622&amp;col=6&amp;number=4.8&amp;sourceID=14","4.8")</f>
        <v>4.8</v>
      </c>
      <c r="G622" s="4" t="str">
        <f>HYPERLINK("http://141.218.60.56/~jnz1568/getInfo.php?workbook=27_11.xlsx&amp;sheet=U0&amp;row=622&amp;col=7&amp;number=0.00418&amp;sourceID=14","0.00418")</f>
        <v>0.00418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HYPERLINK("http://141.218.60.56/~jnz1568/getInfo.php?workbook=27_11.xlsx&amp;sheet=U0&amp;row=623&amp;col=6&amp;number=4.9&amp;sourceID=14","4.9")</f>
        <v>4.9</v>
      </c>
      <c r="G623" s="4" t="str">
        <f>HYPERLINK("http://141.218.60.56/~jnz1568/getInfo.php?workbook=27_11.xlsx&amp;sheet=U0&amp;row=623&amp;col=7&amp;number=0.00418&amp;sourceID=14","0.00418")</f>
        <v>0.00418</v>
      </c>
    </row>
    <row r="624" spans="1:7">
      <c r="A624" s="3">
        <v>27</v>
      </c>
      <c r="B624" s="3">
        <v>11</v>
      </c>
      <c r="C624" s="3">
        <v>2</v>
      </c>
      <c r="D624" s="3">
        <v>16</v>
      </c>
      <c r="E624" s="3">
        <v>1</v>
      </c>
      <c r="F624" s="4" t="str">
        <f>HYPERLINK("http://141.218.60.56/~jnz1568/getInfo.php?workbook=27_11.xlsx&amp;sheet=U0&amp;row=624&amp;col=6&amp;number=3&amp;sourceID=14","3")</f>
        <v>3</v>
      </c>
      <c r="G624" s="4" t="str">
        <f>HYPERLINK("http://141.218.60.56/~jnz1568/getInfo.php?workbook=27_11.xlsx&amp;sheet=U0&amp;row=624&amp;col=7&amp;number=0.0107&amp;sourceID=14","0.0107")</f>
        <v>0.0107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HYPERLINK("http://141.218.60.56/~jnz1568/getInfo.php?workbook=27_11.xlsx&amp;sheet=U0&amp;row=625&amp;col=6&amp;number=3.1&amp;sourceID=14","3.1")</f>
        <v>3.1</v>
      </c>
      <c r="G625" s="4" t="str">
        <f>HYPERLINK("http://141.218.60.56/~jnz1568/getInfo.php?workbook=27_11.xlsx&amp;sheet=U0&amp;row=625&amp;col=7&amp;number=0.0107&amp;sourceID=14","0.0107")</f>
        <v>0.0107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HYPERLINK("http://141.218.60.56/~jnz1568/getInfo.php?workbook=27_11.xlsx&amp;sheet=U0&amp;row=626&amp;col=6&amp;number=3.2&amp;sourceID=14","3.2")</f>
        <v>3.2</v>
      </c>
      <c r="G626" s="4" t="str">
        <f>HYPERLINK("http://141.218.60.56/~jnz1568/getInfo.php?workbook=27_11.xlsx&amp;sheet=U0&amp;row=626&amp;col=7&amp;number=0.0107&amp;sourceID=14","0.0107")</f>
        <v>0.0107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HYPERLINK("http://141.218.60.56/~jnz1568/getInfo.php?workbook=27_11.xlsx&amp;sheet=U0&amp;row=627&amp;col=6&amp;number=3.3&amp;sourceID=14","3.3")</f>
        <v>3.3</v>
      </c>
      <c r="G627" s="4" t="str">
        <f>HYPERLINK("http://141.218.60.56/~jnz1568/getInfo.php?workbook=27_11.xlsx&amp;sheet=U0&amp;row=627&amp;col=7&amp;number=0.0107&amp;sourceID=14","0.0107")</f>
        <v>0.0107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HYPERLINK("http://141.218.60.56/~jnz1568/getInfo.php?workbook=27_11.xlsx&amp;sheet=U0&amp;row=628&amp;col=6&amp;number=3.4&amp;sourceID=14","3.4")</f>
        <v>3.4</v>
      </c>
      <c r="G628" s="4" t="str">
        <f>HYPERLINK("http://141.218.60.56/~jnz1568/getInfo.php?workbook=27_11.xlsx&amp;sheet=U0&amp;row=628&amp;col=7&amp;number=0.0107&amp;sourceID=14","0.0107")</f>
        <v>0.0107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HYPERLINK("http://141.218.60.56/~jnz1568/getInfo.php?workbook=27_11.xlsx&amp;sheet=U0&amp;row=629&amp;col=6&amp;number=3.5&amp;sourceID=14","3.5")</f>
        <v>3.5</v>
      </c>
      <c r="G629" s="4" t="str">
        <f>HYPERLINK("http://141.218.60.56/~jnz1568/getInfo.php?workbook=27_11.xlsx&amp;sheet=U0&amp;row=629&amp;col=7&amp;number=0.0107&amp;sourceID=14","0.0107")</f>
        <v>0.0107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HYPERLINK("http://141.218.60.56/~jnz1568/getInfo.php?workbook=27_11.xlsx&amp;sheet=U0&amp;row=630&amp;col=6&amp;number=3.6&amp;sourceID=14","3.6")</f>
        <v>3.6</v>
      </c>
      <c r="G630" s="4" t="str">
        <f>HYPERLINK("http://141.218.60.56/~jnz1568/getInfo.php?workbook=27_11.xlsx&amp;sheet=U0&amp;row=630&amp;col=7&amp;number=0.0107&amp;sourceID=14","0.0107")</f>
        <v>0.0107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HYPERLINK("http://141.218.60.56/~jnz1568/getInfo.php?workbook=27_11.xlsx&amp;sheet=U0&amp;row=631&amp;col=6&amp;number=3.7&amp;sourceID=14","3.7")</f>
        <v>3.7</v>
      </c>
      <c r="G631" s="4" t="str">
        <f>HYPERLINK("http://141.218.60.56/~jnz1568/getInfo.php?workbook=27_11.xlsx&amp;sheet=U0&amp;row=631&amp;col=7&amp;number=0.0107&amp;sourceID=14","0.0107")</f>
        <v>0.0107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HYPERLINK("http://141.218.60.56/~jnz1568/getInfo.php?workbook=27_11.xlsx&amp;sheet=U0&amp;row=632&amp;col=6&amp;number=3.8&amp;sourceID=14","3.8")</f>
        <v>3.8</v>
      </c>
      <c r="G632" s="4" t="str">
        <f>HYPERLINK("http://141.218.60.56/~jnz1568/getInfo.php?workbook=27_11.xlsx&amp;sheet=U0&amp;row=632&amp;col=7&amp;number=0.0107&amp;sourceID=14","0.0107")</f>
        <v>0.0107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HYPERLINK("http://141.218.60.56/~jnz1568/getInfo.php?workbook=27_11.xlsx&amp;sheet=U0&amp;row=633&amp;col=6&amp;number=3.9&amp;sourceID=14","3.9")</f>
        <v>3.9</v>
      </c>
      <c r="G633" s="4" t="str">
        <f>HYPERLINK("http://141.218.60.56/~jnz1568/getInfo.php?workbook=27_11.xlsx&amp;sheet=U0&amp;row=633&amp;col=7&amp;number=0.0107&amp;sourceID=14","0.0107")</f>
        <v>0.0107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HYPERLINK("http://141.218.60.56/~jnz1568/getInfo.php?workbook=27_11.xlsx&amp;sheet=U0&amp;row=634&amp;col=6&amp;number=4&amp;sourceID=14","4")</f>
        <v>4</v>
      </c>
      <c r="G634" s="4" t="str">
        <f>HYPERLINK("http://141.218.60.56/~jnz1568/getInfo.php?workbook=27_11.xlsx&amp;sheet=U0&amp;row=634&amp;col=7&amp;number=0.0107&amp;sourceID=14","0.0107")</f>
        <v>0.0107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HYPERLINK("http://141.218.60.56/~jnz1568/getInfo.php?workbook=27_11.xlsx&amp;sheet=U0&amp;row=635&amp;col=6&amp;number=4.1&amp;sourceID=14","4.1")</f>
        <v>4.1</v>
      </c>
      <c r="G635" s="4" t="str">
        <f>HYPERLINK("http://141.218.60.56/~jnz1568/getInfo.php?workbook=27_11.xlsx&amp;sheet=U0&amp;row=635&amp;col=7&amp;number=0.0107&amp;sourceID=14","0.0107")</f>
        <v>0.0107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HYPERLINK("http://141.218.60.56/~jnz1568/getInfo.php?workbook=27_11.xlsx&amp;sheet=U0&amp;row=636&amp;col=6&amp;number=4.2&amp;sourceID=14","4.2")</f>
        <v>4.2</v>
      </c>
      <c r="G636" s="4" t="str">
        <f>HYPERLINK("http://141.218.60.56/~jnz1568/getInfo.php?workbook=27_11.xlsx&amp;sheet=U0&amp;row=636&amp;col=7&amp;number=0.0107&amp;sourceID=14","0.0107")</f>
        <v>0.0107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HYPERLINK("http://141.218.60.56/~jnz1568/getInfo.php?workbook=27_11.xlsx&amp;sheet=U0&amp;row=637&amp;col=6&amp;number=4.3&amp;sourceID=14","4.3")</f>
        <v>4.3</v>
      </c>
      <c r="G637" s="4" t="str">
        <f>HYPERLINK("http://141.218.60.56/~jnz1568/getInfo.php?workbook=27_11.xlsx&amp;sheet=U0&amp;row=637&amp;col=7&amp;number=0.0107&amp;sourceID=14","0.0107")</f>
        <v>0.0107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HYPERLINK("http://141.218.60.56/~jnz1568/getInfo.php?workbook=27_11.xlsx&amp;sheet=U0&amp;row=638&amp;col=6&amp;number=4.4&amp;sourceID=14","4.4")</f>
        <v>4.4</v>
      </c>
      <c r="G638" s="4" t="str">
        <f>HYPERLINK("http://141.218.60.56/~jnz1568/getInfo.php?workbook=27_11.xlsx&amp;sheet=U0&amp;row=638&amp;col=7&amp;number=0.0108&amp;sourceID=14","0.0108")</f>
        <v>0.0108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HYPERLINK("http://141.218.60.56/~jnz1568/getInfo.php?workbook=27_11.xlsx&amp;sheet=U0&amp;row=639&amp;col=6&amp;number=4.5&amp;sourceID=14","4.5")</f>
        <v>4.5</v>
      </c>
      <c r="G639" s="4" t="str">
        <f>HYPERLINK("http://141.218.60.56/~jnz1568/getInfo.php?workbook=27_11.xlsx&amp;sheet=U0&amp;row=639&amp;col=7&amp;number=0.0108&amp;sourceID=14","0.0108")</f>
        <v>0.0108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HYPERLINK("http://141.218.60.56/~jnz1568/getInfo.php?workbook=27_11.xlsx&amp;sheet=U0&amp;row=640&amp;col=6&amp;number=4.6&amp;sourceID=14","4.6")</f>
        <v>4.6</v>
      </c>
      <c r="G640" s="4" t="str">
        <f>HYPERLINK("http://141.218.60.56/~jnz1568/getInfo.php?workbook=27_11.xlsx&amp;sheet=U0&amp;row=640&amp;col=7&amp;number=0.0108&amp;sourceID=14","0.0108")</f>
        <v>0.0108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HYPERLINK("http://141.218.60.56/~jnz1568/getInfo.php?workbook=27_11.xlsx&amp;sheet=U0&amp;row=641&amp;col=6&amp;number=4.7&amp;sourceID=14","4.7")</f>
        <v>4.7</v>
      </c>
      <c r="G641" s="4" t="str">
        <f>HYPERLINK("http://141.218.60.56/~jnz1568/getInfo.php?workbook=27_11.xlsx&amp;sheet=U0&amp;row=641&amp;col=7&amp;number=0.0108&amp;sourceID=14","0.0108")</f>
        <v>0.0108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HYPERLINK("http://141.218.60.56/~jnz1568/getInfo.php?workbook=27_11.xlsx&amp;sheet=U0&amp;row=642&amp;col=6&amp;number=4.8&amp;sourceID=14","4.8")</f>
        <v>4.8</v>
      </c>
      <c r="G642" s="4" t="str">
        <f>HYPERLINK("http://141.218.60.56/~jnz1568/getInfo.php?workbook=27_11.xlsx&amp;sheet=U0&amp;row=642&amp;col=7&amp;number=0.0108&amp;sourceID=14","0.0108")</f>
        <v>0.0108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HYPERLINK("http://141.218.60.56/~jnz1568/getInfo.php?workbook=27_11.xlsx&amp;sheet=U0&amp;row=643&amp;col=6&amp;number=4.9&amp;sourceID=14","4.9")</f>
        <v>4.9</v>
      </c>
      <c r="G643" s="4" t="str">
        <f>HYPERLINK("http://141.218.60.56/~jnz1568/getInfo.php?workbook=27_11.xlsx&amp;sheet=U0&amp;row=643&amp;col=7&amp;number=0.0109&amp;sourceID=14","0.0109")</f>
        <v>0.0109</v>
      </c>
    </row>
    <row r="644" spans="1:7">
      <c r="A644" s="3">
        <v>27</v>
      </c>
      <c r="B644" s="3">
        <v>11</v>
      </c>
      <c r="C644" s="3">
        <v>2</v>
      </c>
      <c r="D644" s="3">
        <v>17</v>
      </c>
      <c r="E644" s="3">
        <v>1</v>
      </c>
      <c r="F644" s="4" t="str">
        <f>HYPERLINK("http://141.218.60.56/~jnz1568/getInfo.php?workbook=27_11.xlsx&amp;sheet=U0&amp;row=644&amp;col=6&amp;number=3&amp;sourceID=14","3")</f>
        <v>3</v>
      </c>
      <c r="G644" s="4" t="str">
        <f>HYPERLINK("http://141.218.60.56/~jnz1568/getInfo.php?workbook=27_11.xlsx&amp;sheet=U0&amp;row=644&amp;col=7&amp;number=0.00521&amp;sourceID=14","0.00521")</f>
        <v>0.00521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HYPERLINK("http://141.218.60.56/~jnz1568/getInfo.php?workbook=27_11.xlsx&amp;sheet=U0&amp;row=645&amp;col=6&amp;number=3.1&amp;sourceID=14","3.1")</f>
        <v>3.1</v>
      </c>
      <c r="G645" s="4" t="str">
        <f>HYPERLINK("http://141.218.60.56/~jnz1568/getInfo.php?workbook=27_11.xlsx&amp;sheet=U0&amp;row=645&amp;col=7&amp;number=0.00521&amp;sourceID=14","0.00521")</f>
        <v>0.00521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HYPERLINK("http://141.218.60.56/~jnz1568/getInfo.php?workbook=27_11.xlsx&amp;sheet=U0&amp;row=646&amp;col=6&amp;number=3.2&amp;sourceID=14","3.2")</f>
        <v>3.2</v>
      </c>
      <c r="G646" s="4" t="str">
        <f>HYPERLINK("http://141.218.60.56/~jnz1568/getInfo.php?workbook=27_11.xlsx&amp;sheet=U0&amp;row=646&amp;col=7&amp;number=0.00521&amp;sourceID=14","0.00521")</f>
        <v>0.00521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HYPERLINK("http://141.218.60.56/~jnz1568/getInfo.php?workbook=27_11.xlsx&amp;sheet=U0&amp;row=647&amp;col=6&amp;number=3.3&amp;sourceID=14","3.3")</f>
        <v>3.3</v>
      </c>
      <c r="G647" s="4" t="str">
        <f>HYPERLINK("http://141.218.60.56/~jnz1568/getInfo.php?workbook=27_11.xlsx&amp;sheet=U0&amp;row=647&amp;col=7&amp;number=0.0052&amp;sourceID=14","0.0052")</f>
        <v>0.0052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HYPERLINK("http://141.218.60.56/~jnz1568/getInfo.php?workbook=27_11.xlsx&amp;sheet=U0&amp;row=648&amp;col=6&amp;number=3.4&amp;sourceID=14","3.4")</f>
        <v>3.4</v>
      </c>
      <c r="G648" s="4" t="str">
        <f>HYPERLINK("http://141.218.60.56/~jnz1568/getInfo.php?workbook=27_11.xlsx&amp;sheet=U0&amp;row=648&amp;col=7&amp;number=0.0052&amp;sourceID=14","0.0052")</f>
        <v>0.0052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HYPERLINK("http://141.218.60.56/~jnz1568/getInfo.php?workbook=27_11.xlsx&amp;sheet=U0&amp;row=649&amp;col=6&amp;number=3.5&amp;sourceID=14","3.5")</f>
        <v>3.5</v>
      </c>
      <c r="G649" s="4" t="str">
        <f>HYPERLINK("http://141.218.60.56/~jnz1568/getInfo.php?workbook=27_11.xlsx&amp;sheet=U0&amp;row=649&amp;col=7&amp;number=0.0052&amp;sourceID=14","0.0052")</f>
        <v>0.0052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HYPERLINK("http://141.218.60.56/~jnz1568/getInfo.php?workbook=27_11.xlsx&amp;sheet=U0&amp;row=650&amp;col=6&amp;number=3.6&amp;sourceID=14","3.6")</f>
        <v>3.6</v>
      </c>
      <c r="G650" s="4" t="str">
        <f>HYPERLINK("http://141.218.60.56/~jnz1568/getInfo.php?workbook=27_11.xlsx&amp;sheet=U0&amp;row=650&amp;col=7&amp;number=0.0052&amp;sourceID=14","0.0052")</f>
        <v>0.0052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HYPERLINK("http://141.218.60.56/~jnz1568/getInfo.php?workbook=27_11.xlsx&amp;sheet=U0&amp;row=651&amp;col=6&amp;number=3.7&amp;sourceID=14","3.7")</f>
        <v>3.7</v>
      </c>
      <c r="G651" s="4" t="str">
        <f>HYPERLINK("http://141.218.60.56/~jnz1568/getInfo.php?workbook=27_11.xlsx&amp;sheet=U0&amp;row=651&amp;col=7&amp;number=0.0052&amp;sourceID=14","0.0052")</f>
        <v>0.0052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HYPERLINK("http://141.218.60.56/~jnz1568/getInfo.php?workbook=27_11.xlsx&amp;sheet=U0&amp;row=652&amp;col=6&amp;number=3.8&amp;sourceID=14","3.8")</f>
        <v>3.8</v>
      </c>
      <c r="G652" s="4" t="str">
        <f>HYPERLINK("http://141.218.60.56/~jnz1568/getInfo.php?workbook=27_11.xlsx&amp;sheet=U0&amp;row=652&amp;col=7&amp;number=0.0052&amp;sourceID=14","0.0052")</f>
        <v>0.0052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HYPERLINK("http://141.218.60.56/~jnz1568/getInfo.php?workbook=27_11.xlsx&amp;sheet=U0&amp;row=653&amp;col=6&amp;number=3.9&amp;sourceID=14","3.9")</f>
        <v>3.9</v>
      </c>
      <c r="G653" s="4" t="str">
        <f>HYPERLINK("http://141.218.60.56/~jnz1568/getInfo.php?workbook=27_11.xlsx&amp;sheet=U0&amp;row=653&amp;col=7&amp;number=0.0052&amp;sourceID=14","0.0052")</f>
        <v>0.0052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HYPERLINK("http://141.218.60.56/~jnz1568/getInfo.php?workbook=27_11.xlsx&amp;sheet=U0&amp;row=654&amp;col=6&amp;number=4&amp;sourceID=14","4")</f>
        <v>4</v>
      </c>
      <c r="G654" s="4" t="str">
        <f>HYPERLINK("http://141.218.60.56/~jnz1568/getInfo.php?workbook=27_11.xlsx&amp;sheet=U0&amp;row=654&amp;col=7&amp;number=0.0052&amp;sourceID=14","0.0052")</f>
        <v>0.0052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HYPERLINK("http://141.218.60.56/~jnz1568/getInfo.php?workbook=27_11.xlsx&amp;sheet=U0&amp;row=655&amp;col=6&amp;number=4.1&amp;sourceID=14","4.1")</f>
        <v>4.1</v>
      </c>
      <c r="G655" s="4" t="str">
        <f>HYPERLINK("http://141.218.60.56/~jnz1568/getInfo.php?workbook=27_11.xlsx&amp;sheet=U0&amp;row=655&amp;col=7&amp;number=0.0052&amp;sourceID=14","0.0052")</f>
        <v>0.0052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HYPERLINK("http://141.218.60.56/~jnz1568/getInfo.php?workbook=27_11.xlsx&amp;sheet=U0&amp;row=656&amp;col=6&amp;number=4.2&amp;sourceID=14","4.2")</f>
        <v>4.2</v>
      </c>
      <c r="G656" s="4" t="str">
        <f>HYPERLINK("http://141.218.60.56/~jnz1568/getInfo.php?workbook=27_11.xlsx&amp;sheet=U0&amp;row=656&amp;col=7&amp;number=0.0052&amp;sourceID=14","0.0052")</f>
        <v>0.0052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HYPERLINK("http://141.218.60.56/~jnz1568/getInfo.php?workbook=27_11.xlsx&amp;sheet=U0&amp;row=657&amp;col=6&amp;number=4.3&amp;sourceID=14","4.3")</f>
        <v>4.3</v>
      </c>
      <c r="G657" s="4" t="str">
        <f>HYPERLINK("http://141.218.60.56/~jnz1568/getInfo.php?workbook=27_11.xlsx&amp;sheet=U0&amp;row=657&amp;col=7&amp;number=0.00519&amp;sourceID=14","0.00519")</f>
        <v>0.00519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HYPERLINK("http://141.218.60.56/~jnz1568/getInfo.php?workbook=27_11.xlsx&amp;sheet=U0&amp;row=658&amp;col=6&amp;number=4.4&amp;sourceID=14","4.4")</f>
        <v>4.4</v>
      </c>
      <c r="G658" s="4" t="str">
        <f>HYPERLINK("http://141.218.60.56/~jnz1568/getInfo.php?workbook=27_11.xlsx&amp;sheet=U0&amp;row=658&amp;col=7&amp;number=0.00519&amp;sourceID=14","0.00519")</f>
        <v>0.00519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HYPERLINK("http://141.218.60.56/~jnz1568/getInfo.php?workbook=27_11.xlsx&amp;sheet=U0&amp;row=659&amp;col=6&amp;number=4.5&amp;sourceID=14","4.5")</f>
        <v>4.5</v>
      </c>
      <c r="G659" s="4" t="str">
        <f>HYPERLINK("http://141.218.60.56/~jnz1568/getInfo.php?workbook=27_11.xlsx&amp;sheet=U0&amp;row=659&amp;col=7&amp;number=0.00519&amp;sourceID=14","0.00519")</f>
        <v>0.00519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HYPERLINK("http://141.218.60.56/~jnz1568/getInfo.php?workbook=27_11.xlsx&amp;sheet=U0&amp;row=660&amp;col=6&amp;number=4.6&amp;sourceID=14","4.6")</f>
        <v>4.6</v>
      </c>
      <c r="G660" s="4" t="str">
        <f>HYPERLINK("http://141.218.60.56/~jnz1568/getInfo.php?workbook=27_11.xlsx&amp;sheet=U0&amp;row=660&amp;col=7&amp;number=0.00518&amp;sourceID=14","0.00518")</f>
        <v>0.00518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HYPERLINK("http://141.218.60.56/~jnz1568/getInfo.php?workbook=27_11.xlsx&amp;sheet=U0&amp;row=661&amp;col=6&amp;number=4.7&amp;sourceID=14","4.7")</f>
        <v>4.7</v>
      </c>
      <c r="G661" s="4" t="str">
        <f>HYPERLINK("http://141.218.60.56/~jnz1568/getInfo.php?workbook=27_11.xlsx&amp;sheet=U0&amp;row=661&amp;col=7&amp;number=0.00517&amp;sourceID=14","0.00517")</f>
        <v>0.00517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HYPERLINK("http://141.218.60.56/~jnz1568/getInfo.php?workbook=27_11.xlsx&amp;sheet=U0&amp;row=662&amp;col=6&amp;number=4.8&amp;sourceID=14","4.8")</f>
        <v>4.8</v>
      </c>
      <c r="G662" s="4" t="str">
        <f>HYPERLINK("http://141.218.60.56/~jnz1568/getInfo.php?workbook=27_11.xlsx&amp;sheet=U0&amp;row=662&amp;col=7&amp;number=0.00517&amp;sourceID=14","0.00517")</f>
        <v>0.00517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HYPERLINK("http://141.218.60.56/~jnz1568/getInfo.php?workbook=27_11.xlsx&amp;sheet=U0&amp;row=663&amp;col=6&amp;number=4.9&amp;sourceID=14","4.9")</f>
        <v>4.9</v>
      </c>
      <c r="G663" s="4" t="str">
        <f>HYPERLINK("http://141.218.60.56/~jnz1568/getInfo.php?workbook=27_11.xlsx&amp;sheet=U0&amp;row=663&amp;col=7&amp;number=0.00516&amp;sourceID=14","0.00516")</f>
        <v>0.00516</v>
      </c>
    </row>
    <row r="664" spans="1:7">
      <c r="A664" s="3">
        <v>27</v>
      </c>
      <c r="B664" s="3">
        <v>11</v>
      </c>
      <c r="C664" s="3">
        <v>2</v>
      </c>
      <c r="D664" s="3">
        <v>18</v>
      </c>
      <c r="E664" s="3">
        <v>1</v>
      </c>
      <c r="F664" s="4" t="str">
        <f>HYPERLINK("http://141.218.60.56/~jnz1568/getInfo.php?workbook=27_11.xlsx&amp;sheet=U0&amp;row=664&amp;col=6&amp;number=3&amp;sourceID=14","3")</f>
        <v>3</v>
      </c>
      <c r="G664" s="4" t="str">
        <f>HYPERLINK("http://141.218.60.56/~jnz1568/getInfo.php?workbook=27_11.xlsx&amp;sheet=U0&amp;row=664&amp;col=7&amp;number=0.0188&amp;sourceID=14","0.0188")</f>
        <v>0.0188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HYPERLINK("http://141.218.60.56/~jnz1568/getInfo.php?workbook=27_11.xlsx&amp;sheet=U0&amp;row=665&amp;col=6&amp;number=3.1&amp;sourceID=14","3.1")</f>
        <v>3.1</v>
      </c>
      <c r="G665" s="4" t="str">
        <f>HYPERLINK("http://141.218.60.56/~jnz1568/getInfo.php?workbook=27_11.xlsx&amp;sheet=U0&amp;row=665&amp;col=7&amp;number=0.0188&amp;sourceID=14","0.0188")</f>
        <v>0.0188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HYPERLINK("http://141.218.60.56/~jnz1568/getInfo.php?workbook=27_11.xlsx&amp;sheet=U0&amp;row=666&amp;col=6&amp;number=3.2&amp;sourceID=14","3.2")</f>
        <v>3.2</v>
      </c>
      <c r="G666" s="4" t="str">
        <f>HYPERLINK("http://141.218.60.56/~jnz1568/getInfo.php?workbook=27_11.xlsx&amp;sheet=U0&amp;row=666&amp;col=7&amp;number=0.0188&amp;sourceID=14","0.0188")</f>
        <v>0.0188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HYPERLINK("http://141.218.60.56/~jnz1568/getInfo.php?workbook=27_11.xlsx&amp;sheet=U0&amp;row=667&amp;col=6&amp;number=3.3&amp;sourceID=14","3.3")</f>
        <v>3.3</v>
      </c>
      <c r="G667" s="4" t="str">
        <f>HYPERLINK("http://141.218.60.56/~jnz1568/getInfo.php?workbook=27_11.xlsx&amp;sheet=U0&amp;row=667&amp;col=7&amp;number=0.0188&amp;sourceID=14","0.0188")</f>
        <v>0.0188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HYPERLINK("http://141.218.60.56/~jnz1568/getInfo.php?workbook=27_11.xlsx&amp;sheet=U0&amp;row=668&amp;col=6&amp;number=3.4&amp;sourceID=14","3.4")</f>
        <v>3.4</v>
      </c>
      <c r="G668" s="4" t="str">
        <f>HYPERLINK("http://141.218.60.56/~jnz1568/getInfo.php?workbook=27_11.xlsx&amp;sheet=U0&amp;row=668&amp;col=7&amp;number=0.0188&amp;sourceID=14","0.0188")</f>
        <v>0.0188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HYPERLINK("http://141.218.60.56/~jnz1568/getInfo.php?workbook=27_11.xlsx&amp;sheet=U0&amp;row=669&amp;col=6&amp;number=3.5&amp;sourceID=14","3.5")</f>
        <v>3.5</v>
      </c>
      <c r="G669" s="4" t="str">
        <f>HYPERLINK("http://141.218.60.56/~jnz1568/getInfo.php?workbook=27_11.xlsx&amp;sheet=U0&amp;row=669&amp;col=7&amp;number=0.0188&amp;sourceID=14","0.0188")</f>
        <v>0.0188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HYPERLINK("http://141.218.60.56/~jnz1568/getInfo.php?workbook=27_11.xlsx&amp;sheet=U0&amp;row=670&amp;col=6&amp;number=3.6&amp;sourceID=14","3.6")</f>
        <v>3.6</v>
      </c>
      <c r="G670" s="4" t="str">
        <f>HYPERLINK("http://141.218.60.56/~jnz1568/getInfo.php?workbook=27_11.xlsx&amp;sheet=U0&amp;row=670&amp;col=7&amp;number=0.0188&amp;sourceID=14","0.0188")</f>
        <v>0.0188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HYPERLINK("http://141.218.60.56/~jnz1568/getInfo.php?workbook=27_11.xlsx&amp;sheet=U0&amp;row=671&amp;col=6&amp;number=3.7&amp;sourceID=14","3.7")</f>
        <v>3.7</v>
      </c>
      <c r="G671" s="4" t="str">
        <f>HYPERLINK("http://141.218.60.56/~jnz1568/getInfo.php?workbook=27_11.xlsx&amp;sheet=U0&amp;row=671&amp;col=7&amp;number=0.0188&amp;sourceID=14","0.0188")</f>
        <v>0.0188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HYPERLINK("http://141.218.60.56/~jnz1568/getInfo.php?workbook=27_11.xlsx&amp;sheet=U0&amp;row=672&amp;col=6&amp;number=3.8&amp;sourceID=14","3.8")</f>
        <v>3.8</v>
      </c>
      <c r="G672" s="4" t="str">
        <f>HYPERLINK("http://141.218.60.56/~jnz1568/getInfo.php?workbook=27_11.xlsx&amp;sheet=U0&amp;row=672&amp;col=7&amp;number=0.0188&amp;sourceID=14","0.0188")</f>
        <v>0.0188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HYPERLINK("http://141.218.60.56/~jnz1568/getInfo.php?workbook=27_11.xlsx&amp;sheet=U0&amp;row=673&amp;col=6&amp;number=3.9&amp;sourceID=14","3.9")</f>
        <v>3.9</v>
      </c>
      <c r="G673" s="4" t="str">
        <f>HYPERLINK("http://141.218.60.56/~jnz1568/getInfo.php?workbook=27_11.xlsx&amp;sheet=U0&amp;row=673&amp;col=7&amp;number=0.0188&amp;sourceID=14","0.0188")</f>
        <v>0.0188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HYPERLINK("http://141.218.60.56/~jnz1568/getInfo.php?workbook=27_11.xlsx&amp;sheet=U0&amp;row=674&amp;col=6&amp;number=4&amp;sourceID=14","4")</f>
        <v>4</v>
      </c>
      <c r="G674" s="4" t="str">
        <f>HYPERLINK("http://141.218.60.56/~jnz1568/getInfo.php?workbook=27_11.xlsx&amp;sheet=U0&amp;row=674&amp;col=7&amp;number=0.0188&amp;sourceID=14","0.0188")</f>
        <v>0.0188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HYPERLINK("http://141.218.60.56/~jnz1568/getInfo.php?workbook=27_11.xlsx&amp;sheet=U0&amp;row=675&amp;col=6&amp;number=4.1&amp;sourceID=14","4.1")</f>
        <v>4.1</v>
      </c>
      <c r="G675" s="4" t="str">
        <f>HYPERLINK("http://141.218.60.56/~jnz1568/getInfo.php?workbook=27_11.xlsx&amp;sheet=U0&amp;row=675&amp;col=7&amp;number=0.0188&amp;sourceID=14","0.0188")</f>
        <v>0.0188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HYPERLINK("http://141.218.60.56/~jnz1568/getInfo.php?workbook=27_11.xlsx&amp;sheet=U0&amp;row=676&amp;col=6&amp;number=4.2&amp;sourceID=14","4.2")</f>
        <v>4.2</v>
      </c>
      <c r="G676" s="4" t="str">
        <f>HYPERLINK("http://141.218.60.56/~jnz1568/getInfo.php?workbook=27_11.xlsx&amp;sheet=U0&amp;row=676&amp;col=7&amp;number=0.0188&amp;sourceID=14","0.0188")</f>
        <v>0.0188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HYPERLINK("http://141.218.60.56/~jnz1568/getInfo.php?workbook=27_11.xlsx&amp;sheet=U0&amp;row=677&amp;col=6&amp;number=4.3&amp;sourceID=14","4.3")</f>
        <v>4.3</v>
      </c>
      <c r="G677" s="4" t="str">
        <f>HYPERLINK("http://141.218.60.56/~jnz1568/getInfo.php?workbook=27_11.xlsx&amp;sheet=U0&amp;row=677&amp;col=7&amp;number=0.0188&amp;sourceID=14","0.0188")</f>
        <v>0.0188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HYPERLINK("http://141.218.60.56/~jnz1568/getInfo.php?workbook=27_11.xlsx&amp;sheet=U0&amp;row=678&amp;col=6&amp;number=4.4&amp;sourceID=14","4.4")</f>
        <v>4.4</v>
      </c>
      <c r="G678" s="4" t="str">
        <f>HYPERLINK("http://141.218.60.56/~jnz1568/getInfo.php?workbook=27_11.xlsx&amp;sheet=U0&amp;row=678&amp;col=7&amp;number=0.0188&amp;sourceID=14","0.0188")</f>
        <v>0.0188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HYPERLINK("http://141.218.60.56/~jnz1568/getInfo.php?workbook=27_11.xlsx&amp;sheet=U0&amp;row=679&amp;col=6&amp;number=4.5&amp;sourceID=14","4.5")</f>
        <v>4.5</v>
      </c>
      <c r="G679" s="4" t="str">
        <f>HYPERLINK("http://141.218.60.56/~jnz1568/getInfo.php?workbook=27_11.xlsx&amp;sheet=U0&amp;row=679&amp;col=7&amp;number=0.0188&amp;sourceID=14","0.0188")</f>
        <v>0.0188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HYPERLINK("http://141.218.60.56/~jnz1568/getInfo.php?workbook=27_11.xlsx&amp;sheet=U0&amp;row=680&amp;col=6&amp;number=4.6&amp;sourceID=14","4.6")</f>
        <v>4.6</v>
      </c>
      <c r="G680" s="4" t="str">
        <f>HYPERLINK("http://141.218.60.56/~jnz1568/getInfo.php?workbook=27_11.xlsx&amp;sheet=U0&amp;row=680&amp;col=7&amp;number=0.0188&amp;sourceID=14","0.0188")</f>
        <v>0.0188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HYPERLINK("http://141.218.60.56/~jnz1568/getInfo.php?workbook=27_11.xlsx&amp;sheet=U0&amp;row=681&amp;col=6&amp;number=4.7&amp;sourceID=14","4.7")</f>
        <v>4.7</v>
      </c>
      <c r="G681" s="4" t="str">
        <f>HYPERLINK("http://141.218.60.56/~jnz1568/getInfo.php?workbook=27_11.xlsx&amp;sheet=U0&amp;row=681&amp;col=7&amp;number=0.0188&amp;sourceID=14","0.0188")</f>
        <v>0.0188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HYPERLINK("http://141.218.60.56/~jnz1568/getInfo.php?workbook=27_11.xlsx&amp;sheet=U0&amp;row=682&amp;col=6&amp;number=4.8&amp;sourceID=14","4.8")</f>
        <v>4.8</v>
      </c>
      <c r="G682" s="4" t="str">
        <f>HYPERLINK("http://141.218.60.56/~jnz1568/getInfo.php?workbook=27_11.xlsx&amp;sheet=U0&amp;row=682&amp;col=7&amp;number=0.0188&amp;sourceID=14","0.0188")</f>
        <v>0.0188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HYPERLINK("http://141.218.60.56/~jnz1568/getInfo.php?workbook=27_11.xlsx&amp;sheet=U0&amp;row=683&amp;col=6&amp;number=4.9&amp;sourceID=14","4.9")</f>
        <v>4.9</v>
      </c>
      <c r="G683" s="4" t="str">
        <f>HYPERLINK("http://141.218.60.56/~jnz1568/getInfo.php?workbook=27_11.xlsx&amp;sheet=U0&amp;row=683&amp;col=7&amp;number=0.0189&amp;sourceID=14","0.0189")</f>
        <v>0.0189</v>
      </c>
    </row>
    <row r="684" spans="1:7">
      <c r="A684" s="3">
        <v>27</v>
      </c>
      <c r="B684" s="3">
        <v>11</v>
      </c>
      <c r="C684" s="3">
        <v>2</v>
      </c>
      <c r="D684" s="3">
        <v>19</v>
      </c>
      <c r="E684" s="3">
        <v>1</v>
      </c>
      <c r="F684" s="4" t="str">
        <f>HYPERLINK("http://141.218.60.56/~jnz1568/getInfo.php?workbook=27_11.xlsx&amp;sheet=U0&amp;row=684&amp;col=6&amp;number=3&amp;sourceID=14","3")</f>
        <v>3</v>
      </c>
      <c r="G684" s="4" t="str">
        <f>HYPERLINK("http://141.218.60.56/~jnz1568/getInfo.php?workbook=27_11.xlsx&amp;sheet=U0&amp;row=684&amp;col=7&amp;number=0.00653&amp;sourceID=14","0.00653")</f>
        <v>0.00653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HYPERLINK("http://141.218.60.56/~jnz1568/getInfo.php?workbook=27_11.xlsx&amp;sheet=U0&amp;row=685&amp;col=6&amp;number=3.1&amp;sourceID=14","3.1")</f>
        <v>3.1</v>
      </c>
      <c r="G685" s="4" t="str">
        <f>HYPERLINK("http://141.218.60.56/~jnz1568/getInfo.php?workbook=27_11.xlsx&amp;sheet=U0&amp;row=685&amp;col=7&amp;number=0.00653&amp;sourceID=14","0.00653")</f>
        <v>0.00653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HYPERLINK("http://141.218.60.56/~jnz1568/getInfo.php?workbook=27_11.xlsx&amp;sheet=U0&amp;row=686&amp;col=6&amp;number=3.2&amp;sourceID=14","3.2")</f>
        <v>3.2</v>
      </c>
      <c r="G686" s="4" t="str">
        <f>HYPERLINK("http://141.218.60.56/~jnz1568/getInfo.php?workbook=27_11.xlsx&amp;sheet=U0&amp;row=686&amp;col=7&amp;number=0.00652&amp;sourceID=14","0.00652")</f>
        <v>0.00652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HYPERLINK("http://141.218.60.56/~jnz1568/getInfo.php?workbook=27_11.xlsx&amp;sheet=U0&amp;row=687&amp;col=6&amp;number=3.3&amp;sourceID=14","3.3")</f>
        <v>3.3</v>
      </c>
      <c r="G687" s="4" t="str">
        <f>HYPERLINK("http://141.218.60.56/~jnz1568/getInfo.php?workbook=27_11.xlsx&amp;sheet=U0&amp;row=687&amp;col=7&amp;number=0.00652&amp;sourceID=14","0.00652")</f>
        <v>0.00652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HYPERLINK("http://141.218.60.56/~jnz1568/getInfo.php?workbook=27_11.xlsx&amp;sheet=U0&amp;row=688&amp;col=6&amp;number=3.4&amp;sourceID=14","3.4")</f>
        <v>3.4</v>
      </c>
      <c r="G688" s="4" t="str">
        <f>HYPERLINK("http://141.218.60.56/~jnz1568/getInfo.php?workbook=27_11.xlsx&amp;sheet=U0&amp;row=688&amp;col=7&amp;number=0.00652&amp;sourceID=14","0.00652")</f>
        <v>0.00652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HYPERLINK("http://141.218.60.56/~jnz1568/getInfo.php?workbook=27_11.xlsx&amp;sheet=U0&amp;row=689&amp;col=6&amp;number=3.5&amp;sourceID=14","3.5")</f>
        <v>3.5</v>
      </c>
      <c r="G689" s="4" t="str">
        <f>HYPERLINK("http://141.218.60.56/~jnz1568/getInfo.php?workbook=27_11.xlsx&amp;sheet=U0&amp;row=689&amp;col=7&amp;number=0.00652&amp;sourceID=14","0.00652")</f>
        <v>0.00652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HYPERLINK("http://141.218.60.56/~jnz1568/getInfo.php?workbook=27_11.xlsx&amp;sheet=U0&amp;row=690&amp;col=6&amp;number=3.6&amp;sourceID=14","3.6")</f>
        <v>3.6</v>
      </c>
      <c r="G690" s="4" t="str">
        <f>HYPERLINK("http://141.218.60.56/~jnz1568/getInfo.php?workbook=27_11.xlsx&amp;sheet=U0&amp;row=690&amp;col=7&amp;number=0.00652&amp;sourceID=14","0.00652")</f>
        <v>0.00652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HYPERLINK("http://141.218.60.56/~jnz1568/getInfo.php?workbook=27_11.xlsx&amp;sheet=U0&amp;row=691&amp;col=6&amp;number=3.7&amp;sourceID=14","3.7")</f>
        <v>3.7</v>
      </c>
      <c r="G691" s="4" t="str">
        <f>HYPERLINK("http://141.218.60.56/~jnz1568/getInfo.php?workbook=27_11.xlsx&amp;sheet=U0&amp;row=691&amp;col=7&amp;number=0.00652&amp;sourceID=14","0.00652")</f>
        <v>0.00652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HYPERLINK("http://141.218.60.56/~jnz1568/getInfo.php?workbook=27_11.xlsx&amp;sheet=U0&amp;row=692&amp;col=6&amp;number=3.8&amp;sourceID=14","3.8")</f>
        <v>3.8</v>
      </c>
      <c r="G692" s="4" t="str">
        <f>HYPERLINK("http://141.218.60.56/~jnz1568/getInfo.php?workbook=27_11.xlsx&amp;sheet=U0&amp;row=692&amp;col=7&amp;number=0.00652&amp;sourceID=14","0.00652")</f>
        <v>0.00652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HYPERLINK("http://141.218.60.56/~jnz1568/getInfo.php?workbook=27_11.xlsx&amp;sheet=U0&amp;row=693&amp;col=6&amp;number=3.9&amp;sourceID=14","3.9")</f>
        <v>3.9</v>
      </c>
      <c r="G693" s="4" t="str">
        <f>HYPERLINK("http://141.218.60.56/~jnz1568/getInfo.php?workbook=27_11.xlsx&amp;sheet=U0&amp;row=693&amp;col=7&amp;number=0.00652&amp;sourceID=14","0.00652")</f>
        <v>0.00652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HYPERLINK("http://141.218.60.56/~jnz1568/getInfo.php?workbook=27_11.xlsx&amp;sheet=U0&amp;row=694&amp;col=6&amp;number=4&amp;sourceID=14","4")</f>
        <v>4</v>
      </c>
      <c r="G694" s="4" t="str">
        <f>HYPERLINK("http://141.218.60.56/~jnz1568/getInfo.php?workbook=27_11.xlsx&amp;sheet=U0&amp;row=694&amp;col=7&amp;number=0.00651&amp;sourceID=14","0.00651")</f>
        <v>0.00651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HYPERLINK("http://141.218.60.56/~jnz1568/getInfo.php?workbook=27_11.xlsx&amp;sheet=U0&amp;row=695&amp;col=6&amp;number=4.1&amp;sourceID=14","4.1")</f>
        <v>4.1</v>
      </c>
      <c r="G695" s="4" t="str">
        <f>HYPERLINK("http://141.218.60.56/~jnz1568/getInfo.php?workbook=27_11.xlsx&amp;sheet=U0&amp;row=695&amp;col=7&amp;number=0.00651&amp;sourceID=14","0.00651")</f>
        <v>0.00651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HYPERLINK("http://141.218.60.56/~jnz1568/getInfo.php?workbook=27_11.xlsx&amp;sheet=U0&amp;row=696&amp;col=6&amp;number=4.2&amp;sourceID=14","4.2")</f>
        <v>4.2</v>
      </c>
      <c r="G696" s="4" t="str">
        <f>HYPERLINK("http://141.218.60.56/~jnz1568/getInfo.php?workbook=27_11.xlsx&amp;sheet=U0&amp;row=696&amp;col=7&amp;number=0.0065&amp;sourceID=14","0.0065")</f>
        <v>0.0065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HYPERLINK("http://141.218.60.56/~jnz1568/getInfo.php?workbook=27_11.xlsx&amp;sheet=U0&amp;row=697&amp;col=6&amp;number=4.3&amp;sourceID=14","4.3")</f>
        <v>4.3</v>
      </c>
      <c r="G697" s="4" t="str">
        <f>HYPERLINK("http://141.218.60.56/~jnz1568/getInfo.php?workbook=27_11.xlsx&amp;sheet=U0&amp;row=697&amp;col=7&amp;number=0.0065&amp;sourceID=14","0.0065")</f>
        <v>0.0065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HYPERLINK("http://141.218.60.56/~jnz1568/getInfo.php?workbook=27_11.xlsx&amp;sheet=U0&amp;row=698&amp;col=6&amp;number=4.4&amp;sourceID=14","4.4")</f>
        <v>4.4</v>
      </c>
      <c r="G698" s="4" t="str">
        <f>HYPERLINK("http://141.218.60.56/~jnz1568/getInfo.php?workbook=27_11.xlsx&amp;sheet=U0&amp;row=698&amp;col=7&amp;number=0.00649&amp;sourceID=14","0.00649")</f>
        <v>0.00649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HYPERLINK("http://141.218.60.56/~jnz1568/getInfo.php?workbook=27_11.xlsx&amp;sheet=U0&amp;row=699&amp;col=6&amp;number=4.5&amp;sourceID=14","4.5")</f>
        <v>4.5</v>
      </c>
      <c r="G699" s="4" t="str">
        <f>HYPERLINK("http://141.218.60.56/~jnz1568/getInfo.php?workbook=27_11.xlsx&amp;sheet=U0&amp;row=699&amp;col=7&amp;number=0.00648&amp;sourceID=14","0.00648")</f>
        <v>0.00648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HYPERLINK("http://141.218.60.56/~jnz1568/getInfo.php?workbook=27_11.xlsx&amp;sheet=U0&amp;row=700&amp;col=6&amp;number=4.6&amp;sourceID=14","4.6")</f>
        <v>4.6</v>
      </c>
      <c r="G700" s="4" t="str">
        <f>HYPERLINK("http://141.218.60.56/~jnz1568/getInfo.php?workbook=27_11.xlsx&amp;sheet=U0&amp;row=700&amp;col=7&amp;number=0.00647&amp;sourceID=14","0.00647")</f>
        <v>0.00647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HYPERLINK("http://141.218.60.56/~jnz1568/getInfo.php?workbook=27_11.xlsx&amp;sheet=U0&amp;row=701&amp;col=6&amp;number=4.7&amp;sourceID=14","4.7")</f>
        <v>4.7</v>
      </c>
      <c r="G701" s="4" t="str">
        <f>HYPERLINK("http://141.218.60.56/~jnz1568/getInfo.php?workbook=27_11.xlsx&amp;sheet=U0&amp;row=701&amp;col=7&amp;number=0.00646&amp;sourceID=14","0.00646")</f>
        <v>0.00646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HYPERLINK("http://141.218.60.56/~jnz1568/getInfo.php?workbook=27_11.xlsx&amp;sheet=U0&amp;row=702&amp;col=6&amp;number=4.8&amp;sourceID=14","4.8")</f>
        <v>4.8</v>
      </c>
      <c r="G702" s="4" t="str">
        <f>HYPERLINK("http://141.218.60.56/~jnz1568/getInfo.php?workbook=27_11.xlsx&amp;sheet=U0&amp;row=702&amp;col=7&amp;number=0.00644&amp;sourceID=14","0.00644")</f>
        <v>0.00644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HYPERLINK("http://141.218.60.56/~jnz1568/getInfo.php?workbook=27_11.xlsx&amp;sheet=U0&amp;row=703&amp;col=6&amp;number=4.9&amp;sourceID=14","4.9")</f>
        <v>4.9</v>
      </c>
      <c r="G703" s="4" t="str">
        <f>HYPERLINK("http://141.218.60.56/~jnz1568/getInfo.php?workbook=27_11.xlsx&amp;sheet=U0&amp;row=703&amp;col=7&amp;number=0.00641&amp;sourceID=14","0.00641")</f>
        <v>0.00641</v>
      </c>
    </row>
    <row r="704" spans="1:7">
      <c r="A704" s="3">
        <v>27</v>
      </c>
      <c r="B704" s="3">
        <v>11</v>
      </c>
      <c r="C704" s="3">
        <v>3</v>
      </c>
      <c r="D704" s="3">
        <v>4</v>
      </c>
      <c r="E704" s="3">
        <v>1</v>
      </c>
      <c r="F704" s="4" t="str">
        <f>HYPERLINK("http://141.218.60.56/~jnz1568/getInfo.php?workbook=27_11.xlsx&amp;sheet=U0&amp;row=704&amp;col=6&amp;number=3&amp;sourceID=14","3")</f>
        <v>3</v>
      </c>
      <c r="G704" s="4" t="str">
        <f>HYPERLINK("http://141.218.60.56/~jnz1568/getInfo.php?workbook=27_11.xlsx&amp;sheet=U0&amp;row=704&amp;col=7&amp;number=0.357&amp;sourceID=14","0.357")</f>
        <v>0.357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HYPERLINK("http://141.218.60.56/~jnz1568/getInfo.php?workbook=27_11.xlsx&amp;sheet=U0&amp;row=705&amp;col=6&amp;number=3.1&amp;sourceID=14","3.1")</f>
        <v>3.1</v>
      </c>
      <c r="G705" s="4" t="str">
        <f>HYPERLINK("http://141.218.60.56/~jnz1568/getInfo.php?workbook=27_11.xlsx&amp;sheet=U0&amp;row=705&amp;col=7&amp;number=0.357&amp;sourceID=14","0.357")</f>
        <v>0.357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HYPERLINK("http://141.218.60.56/~jnz1568/getInfo.php?workbook=27_11.xlsx&amp;sheet=U0&amp;row=706&amp;col=6&amp;number=3.2&amp;sourceID=14","3.2")</f>
        <v>3.2</v>
      </c>
      <c r="G706" s="4" t="str">
        <f>HYPERLINK("http://141.218.60.56/~jnz1568/getInfo.php?workbook=27_11.xlsx&amp;sheet=U0&amp;row=706&amp;col=7&amp;number=0.357&amp;sourceID=14","0.357")</f>
        <v>0.357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HYPERLINK("http://141.218.60.56/~jnz1568/getInfo.php?workbook=27_11.xlsx&amp;sheet=U0&amp;row=707&amp;col=6&amp;number=3.3&amp;sourceID=14","3.3")</f>
        <v>3.3</v>
      </c>
      <c r="G707" s="4" t="str">
        <f>HYPERLINK("http://141.218.60.56/~jnz1568/getInfo.php?workbook=27_11.xlsx&amp;sheet=U0&amp;row=707&amp;col=7&amp;number=0.357&amp;sourceID=14","0.357")</f>
        <v>0.357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HYPERLINK("http://141.218.60.56/~jnz1568/getInfo.php?workbook=27_11.xlsx&amp;sheet=U0&amp;row=708&amp;col=6&amp;number=3.4&amp;sourceID=14","3.4")</f>
        <v>3.4</v>
      </c>
      <c r="G708" s="4" t="str">
        <f>HYPERLINK("http://141.218.60.56/~jnz1568/getInfo.php?workbook=27_11.xlsx&amp;sheet=U0&amp;row=708&amp;col=7&amp;number=0.357&amp;sourceID=14","0.357")</f>
        <v>0.357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HYPERLINK("http://141.218.60.56/~jnz1568/getInfo.php?workbook=27_11.xlsx&amp;sheet=U0&amp;row=709&amp;col=6&amp;number=3.5&amp;sourceID=14","3.5")</f>
        <v>3.5</v>
      </c>
      <c r="G709" s="4" t="str">
        <f>HYPERLINK("http://141.218.60.56/~jnz1568/getInfo.php?workbook=27_11.xlsx&amp;sheet=U0&amp;row=709&amp;col=7&amp;number=0.357&amp;sourceID=14","0.357")</f>
        <v>0.357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HYPERLINK("http://141.218.60.56/~jnz1568/getInfo.php?workbook=27_11.xlsx&amp;sheet=U0&amp;row=710&amp;col=6&amp;number=3.6&amp;sourceID=14","3.6")</f>
        <v>3.6</v>
      </c>
      <c r="G710" s="4" t="str">
        <f>HYPERLINK("http://141.218.60.56/~jnz1568/getInfo.php?workbook=27_11.xlsx&amp;sheet=U0&amp;row=710&amp;col=7&amp;number=0.357&amp;sourceID=14","0.357")</f>
        <v>0.357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HYPERLINK("http://141.218.60.56/~jnz1568/getInfo.php?workbook=27_11.xlsx&amp;sheet=U0&amp;row=711&amp;col=6&amp;number=3.7&amp;sourceID=14","3.7")</f>
        <v>3.7</v>
      </c>
      <c r="G711" s="4" t="str">
        <f>HYPERLINK("http://141.218.60.56/~jnz1568/getInfo.php?workbook=27_11.xlsx&amp;sheet=U0&amp;row=711&amp;col=7&amp;number=0.357&amp;sourceID=14","0.357")</f>
        <v>0.357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HYPERLINK("http://141.218.60.56/~jnz1568/getInfo.php?workbook=27_11.xlsx&amp;sheet=U0&amp;row=712&amp;col=6&amp;number=3.8&amp;sourceID=14","3.8")</f>
        <v>3.8</v>
      </c>
      <c r="G712" s="4" t="str">
        <f>HYPERLINK("http://141.218.60.56/~jnz1568/getInfo.php?workbook=27_11.xlsx&amp;sheet=U0&amp;row=712&amp;col=7&amp;number=0.357&amp;sourceID=14","0.357")</f>
        <v>0.357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HYPERLINK("http://141.218.60.56/~jnz1568/getInfo.php?workbook=27_11.xlsx&amp;sheet=U0&amp;row=713&amp;col=6&amp;number=3.9&amp;sourceID=14","3.9")</f>
        <v>3.9</v>
      </c>
      <c r="G713" s="4" t="str">
        <f>HYPERLINK("http://141.218.60.56/~jnz1568/getInfo.php?workbook=27_11.xlsx&amp;sheet=U0&amp;row=713&amp;col=7&amp;number=0.357&amp;sourceID=14","0.357")</f>
        <v>0.357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HYPERLINK("http://141.218.60.56/~jnz1568/getInfo.php?workbook=27_11.xlsx&amp;sheet=U0&amp;row=714&amp;col=6&amp;number=4&amp;sourceID=14","4")</f>
        <v>4</v>
      </c>
      <c r="G714" s="4" t="str">
        <f>HYPERLINK("http://141.218.60.56/~jnz1568/getInfo.php?workbook=27_11.xlsx&amp;sheet=U0&amp;row=714&amp;col=7&amp;number=0.357&amp;sourceID=14","0.357")</f>
        <v>0.357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HYPERLINK("http://141.218.60.56/~jnz1568/getInfo.php?workbook=27_11.xlsx&amp;sheet=U0&amp;row=715&amp;col=6&amp;number=4.1&amp;sourceID=14","4.1")</f>
        <v>4.1</v>
      </c>
      <c r="G715" s="4" t="str">
        <f>HYPERLINK("http://141.218.60.56/~jnz1568/getInfo.php?workbook=27_11.xlsx&amp;sheet=U0&amp;row=715&amp;col=7&amp;number=0.358&amp;sourceID=14","0.358")</f>
        <v>0.358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HYPERLINK("http://141.218.60.56/~jnz1568/getInfo.php?workbook=27_11.xlsx&amp;sheet=U0&amp;row=716&amp;col=6&amp;number=4.2&amp;sourceID=14","4.2")</f>
        <v>4.2</v>
      </c>
      <c r="G716" s="4" t="str">
        <f>HYPERLINK("http://141.218.60.56/~jnz1568/getInfo.php?workbook=27_11.xlsx&amp;sheet=U0&amp;row=716&amp;col=7&amp;number=0.358&amp;sourceID=14","0.358")</f>
        <v>0.358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HYPERLINK("http://141.218.60.56/~jnz1568/getInfo.php?workbook=27_11.xlsx&amp;sheet=U0&amp;row=717&amp;col=6&amp;number=4.3&amp;sourceID=14","4.3")</f>
        <v>4.3</v>
      </c>
      <c r="G717" s="4" t="str">
        <f>HYPERLINK("http://141.218.60.56/~jnz1568/getInfo.php?workbook=27_11.xlsx&amp;sheet=U0&amp;row=717&amp;col=7&amp;number=0.358&amp;sourceID=14","0.358")</f>
        <v>0.358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HYPERLINK("http://141.218.60.56/~jnz1568/getInfo.php?workbook=27_11.xlsx&amp;sheet=U0&amp;row=718&amp;col=6&amp;number=4.4&amp;sourceID=14","4.4")</f>
        <v>4.4</v>
      </c>
      <c r="G718" s="4" t="str">
        <f>HYPERLINK("http://141.218.60.56/~jnz1568/getInfo.php?workbook=27_11.xlsx&amp;sheet=U0&amp;row=718&amp;col=7&amp;number=0.358&amp;sourceID=14","0.358")</f>
        <v>0.358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HYPERLINK("http://141.218.60.56/~jnz1568/getInfo.php?workbook=27_11.xlsx&amp;sheet=U0&amp;row=719&amp;col=6&amp;number=4.5&amp;sourceID=14","4.5")</f>
        <v>4.5</v>
      </c>
      <c r="G719" s="4" t="str">
        <f>HYPERLINK("http://141.218.60.56/~jnz1568/getInfo.php?workbook=27_11.xlsx&amp;sheet=U0&amp;row=719&amp;col=7&amp;number=0.359&amp;sourceID=14","0.359")</f>
        <v>0.359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HYPERLINK("http://141.218.60.56/~jnz1568/getInfo.php?workbook=27_11.xlsx&amp;sheet=U0&amp;row=720&amp;col=6&amp;number=4.6&amp;sourceID=14","4.6")</f>
        <v>4.6</v>
      </c>
      <c r="G720" s="4" t="str">
        <f>HYPERLINK("http://141.218.60.56/~jnz1568/getInfo.php?workbook=27_11.xlsx&amp;sheet=U0&amp;row=720&amp;col=7&amp;number=0.359&amp;sourceID=14","0.359")</f>
        <v>0.359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HYPERLINK("http://141.218.60.56/~jnz1568/getInfo.php?workbook=27_11.xlsx&amp;sheet=U0&amp;row=721&amp;col=6&amp;number=4.7&amp;sourceID=14","4.7")</f>
        <v>4.7</v>
      </c>
      <c r="G721" s="4" t="str">
        <f>HYPERLINK("http://141.218.60.56/~jnz1568/getInfo.php?workbook=27_11.xlsx&amp;sheet=U0&amp;row=721&amp;col=7&amp;number=0.36&amp;sourceID=14","0.36")</f>
        <v>0.36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HYPERLINK("http://141.218.60.56/~jnz1568/getInfo.php?workbook=27_11.xlsx&amp;sheet=U0&amp;row=722&amp;col=6&amp;number=4.8&amp;sourceID=14","4.8")</f>
        <v>4.8</v>
      </c>
      <c r="G722" s="4" t="str">
        <f>HYPERLINK("http://141.218.60.56/~jnz1568/getInfo.php?workbook=27_11.xlsx&amp;sheet=U0&amp;row=722&amp;col=7&amp;number=0.361&amp;sourceID=14","0.361")</f>
        <v>0.361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HYPERLINK("http://141.218.60.56/~jnz1568/getInfo.php?workbook=27_11.xlsx&amp;sheet=U0&amp;row=723&amp;col=6&amp;number=4.9&amp;sourceID=14","4.9")</f>
        <v>4.9</v>
      </c>
      <c r="G723" s="4" t="str">
        <f>HYPERLINK("http://141.218.60.56/~jnz1568/getInfo.php?workbook=27_11.xlsx&amp;sheet=U0&amp;row=723&amp;col=7&amp;number=0.362&amp;sourceID=14","0.362")</f>
        <v>0.362</v>
      </c>
    </row>
    <row r="724" spans="1:7">
      <c r="A724" s="3">
        <v>27</v>
      </c>
      <c r="B724" s="3">
        <v>11</v>
      </c>
      <c r="C724" s="3">
        <v>3</v>
      </c>
      <c r="D724" s="3">
        <v>5</v>
      </c>
      <c r="E724" s="3">
        <v>1</v>
      </c>
      <c r="F724" s="4" t="str">
        <f>HYPERLINK("http://141.218.60.56/~jnz1568/getInfo.php?workbook=27_11.xlsx&amp;sheet=U0&amp;row=724&amp;col=6&amp;number=3&amp;sourceID=14","3")</f>
        <v>3</v>
      </c>
      <c r="G724" s="4" t="str">
        <f>HYPERLINK("http://141.218.60.56/~jnz1568/getInfo.php?workbook=27_11.xlsx&amp;sheet=U0&amp;row=724&amp;col=7&amp;number=2.81&amp;sourceID=14","2.81")</f>
        <v>2.81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HYPERLINK("http://141.218.60.56/~jnz1568/getInfo.php?workbook=27_11.xlsx&amp;sheet=U0&amp;row=725&amp;col=6&amp;number=3.1&amp;sourceID=14","3.1")</f>
        <v>3.1</v>
      </c>
      <c r="G725" s="4" t="str">
        <f>HYPERLINK("http://141.218.60.56/~jnz1568/getInfo.php?workbook=27_11.xlsx&amp;sheet=U0&amp;row=725&amp;col=7&amp;number=2.81&amp;sourceID=14","2.81")</f>
        <v>2.81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HYPERLINK("http://141.218.60.56/~jnz1568/getInfo.php?workbook=27_11.xlsx&amp;sheet=U0&amp;row=726&amp;col=6&amp;number=3.2&amp;sourceID=14","3.2")</f>
        <v>3.2</v>
      </c>
      <c r="G726" s="4" t="str">
        <f>HYPERLINK("http://141.218.60.56/~jnz1568/getInfo.php?workbook=27_11.xlsx&amp;sheet=U0&amp;row=726&amp;col=7&amp;number=2.81&amp;sourceID=14","2.81")</f>
        <v>2.81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HYPERLINK("http://141.218.60.56/~jnz1568/getInfo.php?workbook=27_11.xlsx&amp;sheet=U0&amp;row=727&amp;col=6&amp;number=3.3&amp;sourceID=14","3.3")</f>
        <v>3.3</v>
      </c>
      <c r="G727" s="4" t="str">
        <f>HYPERLINK("http://141.218.60.56/~jnz1568/getInfo.php?workbook=27_11.xlsx&amp;sheet=U0&amp;row=727&amp;col=7&amp;number=2.81&amp;sourceID=14","2.81")</f>
        <v>2.81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HYPERLINK("http://141.218.60.56/~jnz1568/getInfo.php?workbook=27_11.xlsx&amp;sheet=U0&amp;row=728&amp;col=6&amp;number=3.4&amp;sourceID=14","3.4")</f>
        <v>3.4</v>
      </c>
      <c r="G728" s="4" t="str">
        <f>HYPERLINK("http://141.218.60.56/~jnz1568/getInfo.php?workbook=27_11.xlsx&amp;sheet=U0&amp;row=728&amp;col=7&amp;number=2.81&amp;sourceID=14","2.81")</f>
        <v>2.81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HYPERLINK("http://141.218.60.56/~jnz1568/getInfo.php?workbook=27_11.xlsx&amp;sheet=U0&amp;row=729&amp;col=6&amp;number=3.5&amp;sourceID=14","3.5")</f>
        <v>3.5</v>
      </c>
      <c r="G729" s="4" t="str">
        <f>HYPERLINK("http://141.218.60.56/~jnz1568/getInfo.php?workbook=27_11.xlsx&amp;sheet=U0&amp;row=729&amp;col=7&amp;number=2.81&amp;sourceID=14","2.81")</f>
        <v>2.81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HYPERLINK("http://141.218.60.56/~jnz1568/getInfo.php?workbook=27_11.xlsx&amp;sheet=U0&amp;row=730&amp;col=6&amp;number=3.6&amp;sourceID=14","3.6")</f>
        <v>3.6</v>
      </c>
      <c r="G730" s="4" t="str">
        <f>HYPERLINK("http://141.218.60.56/~jnz1568/getInfo.php?workbook=27_11.xlsx&amp;sheet=U0&amp;row=730&amp;col=7&amp;number=2.81&amp;sourceID=14","2.81")</f>
        <v>2.81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HYPERLINK("http://141.218.60.56/~jnz1568/getInfo.php?workbook=27_11.xlsx&amp;sheet=U0&amp;row=731&amp;col=6&amp;number=3.7&amp;sourceID=14","3.7")</f>
        <v>3.7</v>
      </c>
      <c r="G731" s="4" t="str">
        <f>HYPERLINK("http://141.218.60.56/~jnz1568/getInfo.php?workbook=27_11.xlsx&amp;sheet=U0&amp;row=731&amp;col=7&amp;number=2.81&amp;sourceID=14","2.81")</f>
        <v>2.81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HYPERLINK("http://141.218.60.56/~jnz1568/getInfo.php?workbook=27_11.xlsx&amp;sheet=U0&amp;row=732&amp;col=6&amp;number=3.8&amp;sourceID=14","3.8")</f>
        <v>3.8</v>
      </c>
      <c r="G732" s="4" t="str">
        <f>HYPERLINK("http://141.218.60.56/~jnz1568/getInfo.php?workbook=27_11.xlsx&amp;sheet=U0&amp;row=732&amp;col=7&amp;number=2.82&amp;sourceID=14","2.82")</f>
        <v>2.82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HYPERLINK("http://141.218.60.56/~jnz1568/getInfo.php?workbook=27_11.xlsx&amp;sheet=U0&amp;row=733&amp;col=6&amp;number=3.9&amp;sourceID=14","3.9")</f>
        <v>3.9</v>
      </c>
      <c r="G733" s="4" t="str">
        <f>HYPERLINK("http://141.218.60.56/~jnz1568/getInfo.php?workbook=27_11.xlsx&amp;sheet=U0&amp;row=733&amp;col=7&amp;number=2.82&amp;sourceID=14","2.82")</f>
        <v>2.82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HYPERLINK("http://141.218.60.56/~jnz1568/getInfo.php?workbook=27_11.xlsx&amp;sheet=U0&amp;row=734&amp;col=6&amp;number=4&amp;sourceID=14","4")</f>
        <v>4</v>
      </c>
      <c r="G734" s="4" t="str">
        <f>HYPERLINK("http://141.218.60.56/~jnz1568/getInfo.php?workbook=27_11.xlsx&amp;sheet=U0&amp;row=734&amp;col=7&amp;number=2.82&amp;sourceID=14","2.82")</f>
        <v>2.82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HYPERLINK("http://141.218.60.56/~jnz1568/getInfo.php?workbook=27_11.xlsx&amp;sheet=U0&amp;row=735&amp;col=6&amp;number=4.1&amp;sourceID=14","4.1")</f>
        <v>4.1</v>
      </c>
      <c r="G735" s="4" t="str">
        <f>HYPERLINK("http://141.218.60.56/~jnz1568/getInfo.php?workbook=27_11.xlsx&amp;sheet=U0&amp;row=735&amp;col=7&amp;number=2.82&amp;sourceID=14","2.82")</f>
        <v>2.82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HYPERLINK("http://141.218.60.56/~jnz1568/getInfo.php?workbook=27_11.xlsx&amp;sheet=U0&amp;row=736&amp;col=6&amp;number=4.2&amp;sourceID=14","4.2")</f>
        <v>4.2</v>
      </c>
      <c r="G736" s="4" t="str">
        <f>HYPERLINK("http://141.218.60.56/~jnz1568/getInfo.php?workbook=27_11.xlsx&amp;sheet=U0&amp;row=736&amp;col=7&amp;number=2.82&amp;sourceID=14","2.82")</f>
        <v>2.82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HYPERLINK("http://141.218.60.56/~jnz1568/getInfo.php?workbook=27_11.xlsx&amp;sheet=U0&amp;row=737&amp;col=6&amp;number=4.3&amp;sourceID=14","4.3")</f>
        <v>4.3</v>
      </c>
      <c r="G737" s="4" t="str">
        <f>HYPERLINK("http://141.218.60.56/~jnz1568/getInfo.php?workbook=27_11.xlsx&amp;sheet=U0&amp;row=737&amp;col=7&amp;number=2.82&amp;sourceID=14","2.82")</f>
        <v>2.82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HYPERLINK("http://141.218.60.56/~jnz1568/getInfo.php?workbook=27_11.xlsx&amp;sheet=U0&amp;row=738&amp;col=6&amp;number=4.4&amp;sourceID=14","4.4")</f>
        <v>4.4</v>
      </c>
      <c r="G738" s="4" t="str">
        <f>HYPERLINK("http://141.218.60.56/~jnz1568/getInfo.php?workbook=27_11.xlsx&amp;sheet=U0&amp;row=738&amp;col=7&amp;number=2.83&amp;sourceID=14","2.83")</f>
        <v>2.83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HYPERLINK("http://141.218.60.56/~jnz1568/getInfo.php?workbook=27_11.xlsx&amp;sheet=U0&amp;row=739&amp;col=6&amp;number=4.5&amp;sourceID=14","4.5")</f>
        <v>4.5</v>
      </c>
      <c r="G739" s="4" t="str">
        <f>HYPERLINK("http://141.218.60.56/~jnz1568/getInfo.php?workbook=27_11.xlsx&amp;sheet=U0&amp;row=739&amp;col=7&amp;number=2.83&amp;sourceID=14","2.83")</f>
        <v>2.83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HYPERLINK("http://141.218.60.56/~jnz1568/getInfo.php?workbook=27_11.xlsx&amp;sheet=U0&amp;row=740&amp;col=6&amp;number=4.6&amp;sourceID=14","4.6")</f>
        <v>4.6</v>
      </c>
      <c r="G740" s="4" t="str">
        <f>HYPERLINK("http://141.218.60.56/~jnz1568/getInfo.php?workbook=27_11.xlsx&amp;sheet=U0&amp;row=740&amp;col=7&amp;number=2.84&amp;sourceID=14","2.84")</f>
        <v>2.84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HYPERLINK("http://141.218.60.56/~jnz1568/getInfo.php?workbook=27_11.xlsx&amp;sheet=U0&amp;row=741&amp;col=6&amp;number=4.7&amp;sourceID=14","4.7")</f>
        <v>4.7</v>
      </c>
      <c r="G741" s="4" t="str">
        <f>HYPERLINK("http://141.218.60.56/~jnz1568/getInfo.php?workbook=27_11.xlsx&amp;sheet=U0&amp;row=741&amp;col=7&amp;number=2.84&amp;sourceID=14","2.84")</f>
        <v>2.84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HYPERLINK("http://141.218.60.56/~jnz1568/getInfo.php?workbook=27_11.xlsx&amp;sheet=U0&amp;row=742&amp;col=6&amp;number=4.8&amp;sourceID=14","4.8")</f>
        <v>4.8</v>
      </c>
      <c r="G742" s="4" t="str">
        <f>HYPERLINK("http://141.218.60.56/~jnz1568/getInfo.php?workbook=27_11.xlsx&amp;sheet=U0&amp;row=742&amp;col=7&amp;number=2.85&amp;sourceID=14","2.85")</f>
        <v>2.85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HYPERLINK("http://141.218.60.56/~jnz1568/getInfo.php?workbook=27_11.xlsx&amp;sheet=U0&amp;row=743&amp;col=6&amp;number=4.9&amp;sourceID=14","4.9")</f>
        <v>4.9</v>
      </c>
      <c r="G743" s="4" t="str">
        <f>HYPERLINK("http://141.218.60.56/~jnz1568/getInfo.php?workbook=27_11.xlsx&amp;sheet=U0&amp;row=743&amp;col=7&amp;number=2.86&amp;sourceID=14","2.86")</f>
        <v>2.86</v>
      </c>
    </row>
    <row r="744" spans="1:7">
      <c r="A744" s="3">
        <v>27</v>
      </c>
      <c r="B744" s="3">
        <v>11</v>
      </c>
      <c r="C744" s="3">
        <v>3</v>
      </c>
      <c r="D744" s="3">
        <v>6</v>
      </c>
      <c r="E744" s="3">
        <v>1</v>
      </c>
      <c r="F744" s="4" t="str">
        <f>HYPERLINK("http://141.218.60.56/~jnz1568/getInfo.php?workbook=27_11.xlsx&amp;sheet=U0&amp;row=744&amp;col=6&amp;number=3&amp;sourceID=14","3")</f>
        <v>3</v>
      </c>
      <c r="G744" s="4" t="str">
        <f>HYPERLINK("http://141.218.60.56/~jnz1568/getInfo.php?workbook=27_11.xlsx&amp;sheet=U0&amp;row=744&amp;col=7&amp;number=0.0163&amp;sourceID=14","0.0163")</f>
        <v>0.0163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HYPERLINK("http://141.218.60.56/~jnz1568/getInfo.php?workbook=27_11.xlsx&amp;sheet=U0&amp;row=745&amp;col=6&amp;number=3.1&amp;sourceID=14","3.1")</f>
        <v>3.1</v>
      </c>
      <c r="G745" s="4" t="str">
        <f>HYPERLINK("http://141.218.60.56/~jnz1568/getInfo.php?workbook=27_11.xlsx&amp;sheet=U0&amp;row=745&amp;col=7&amp;number=0.0163&amp;sourceID=14","0.0163")</f>
        <v>0.0163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HYPERLINK("http://141.218.60.56/~jnz1568/getInfo.php?workbook=27_11.xlsx&amp;sheet=U0&amp;row=746&amp;col=6&amp;number=3.2&amp;sourceID=14","3.2")</f>
        <v>3.2</v>
      </c>
      <c r="G746" s="4" t="str">
        <f>HYPERLINK("http://141.218.60.56/~jnz1568/getInfo.php?workbook=27_11.xlsx&amp;sheet=U0&amp;row=746&amp;col=7&amp;number=0.0163&amp;sourceID=14","0.0163")</f>
        <v>0.0163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HYPERLINK("http://141.218.60.56/~jnz1568/getInfo.php?workbook=27_11.xlsx&amp;sheet=U0&amp;row=747&amp;col=6&amp;number=3.3&amp;sourceID=14","3.3")</f>
        <v>3.3</v>
      </c>
      <c r="G747" s="4" t="str">
        <f>HYPERLINK("http://141.218.60.56/~jnz1568/getInfo.php?workbook=27_11.xlsx&amp;sheet=U0&amp;row=747&amp;col=7&amp;number=0.0163&amp;sourceID=14","0.0163")</f>
        <v>0.0163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HYPERLINK("http://141.218.60.56/~jnz1568/getInfo.php?workbook=27_11.xlsx&amp;sheet=U0&amp;row=748&amp;col=6&amp;number=3.4&amp;sourceID=14","3.4")</f>
        <v>3.4</v>
      </c>
      <c r="G748" s="4" t="str">
        <f>HYPERLINK("http://141.218.60.56/~jnz1568/getInfo.php?workbook=27_11.xlsx&amp;sheet=U0&amp;row=748&amp;col=7&amp;number=0.0163&amp;sourceID=14","0.0163")</f>
        <v>0.0163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HYPERLINK("http://141.218.60.56/~jnz1568/getInfo.php?workbook=27_11.xlsx&amp;sheet=U0&amp;row=749&amp;col=6&amp;number=3.5&amp;sourceID=14","3.5")</f>
        <v>3.5</v>
      </c>
      <c r="G749" s="4" t="str">
        <f>HYPERLINK("http://141.218.60.56/~jnz1568/getInfo.php?workbook=27_11.xlsx&amp;sheet=U0&amp;row=749&amp;col=7&amp;number=0.0163&amp;sourceID=14","0.0163")</f>
        <v>0.0163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HYPERLINK("http://141.218.60.56/~jnz1568/getInfo.php?workbook=27_11.xlsx&amp;sheet=U0&amp;row=750&amp;col=6&amp;number=3.6&amp;sourceID=14","3.6")</f>
        <v>3.6</v>
      </c>
      <c r="G750" s="4" t="str">
        <f>HYPERLINK("http://141.218.60.56/~jnz1568/getInfo.php?workbook=27_11.xlsx&amp;sheet=U0&amp;row=750&amp;col=7&amp;number=0.0164&amp;sourceID=14","0.0164")</f>
        <v>0.0164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HYPERLINK("http://141.218.60.56/~jnz1568/getInfo.php?workbook=27_11.xlsx&amp;sheet=U0&amp;row=751&amp;col=6&amp;number=3.7&amp;sourceID=14","3.7")</f>
        <v>3.7</v>
      </c>
      <c r="G751" s="4" t="str">
        <f>HYPERLINK("http://141.218.60.56/~jnz1568/getInfo.php?workbook=27_11.xlsx&amp;sheet=U0&amp;row=751&amp;col=7&amp;number=0.0164&amp;sourceID=14","0.0164")</f>
        <v>0.0164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HYPERLINK("http://141.218.60.56/~jnz1568/getInfo.php?workbook=27_11.xlsx&amp;sheet=U0&amp;row=752&amp;col=6&amp;number=3.8&amp;sourceID=14","3.8")</f>
        <v>3.8</v>
      </c>
      <c r="G752" s="4" t="str">
        <f>HYPERLINK("http://141.218.60.56/~jnz1568/getInfo.php?workbook=27_11.xlsx&amp;sheet=U0&amp;row=752&amp;col=7&amp;number=0.0164&amp;sourceID=14","0.0164")</f>
        <v>0.0164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HYPERLINK("http://141.218.60.56/~jnz1568/getInfo.php?workbook=27_11.xlsx&amp;sheet=U0&amp;row=753&amp;col=6&amp;number=3.9&amp;sourceID=14","3.9")</f>
        <v>3.9</v>
      </c>
      <c r="G753" s="4" t="str">
        <f>HYPERLINK("http://141.218.60.56/~jnz1568/getInfo.php?workbook=27_11.xlsx&amp;sheet=U0&amp;row=753&amp;col=7&amp;number=0.0164&amp;sourceID=14","0.0164")</f>
        <v>0.0164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HYPERLINK("http://141.218.60.56/~jnz1568/getInfo.php?workbook=27_11.xlsx&amp;sheet=U0&amp;row=754&amp;col=6&amp;number=4&amp;sourceID=14","4")</f>
        <v>4</v>
      </c>
      <c r="G754" s="4" t="str">
        <f>HYPERLINK("http://141.218.60.56/~jnz1568/getInfo.php?workbook=27_11.xlsx&amp;sheet=U0&amp;row=754&amp;col=7&amp;number=0.0164&amp;sourceID=14","0.0164")</f>
        <v>0.0164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HYPERLINK("http://141.218.60.56/~jnz1568/getInfo.php?workbook=27_11.xlsx&amp;sheet=U0&amp;row=755&amp;col=6&amp;number=4.1&amp;sourceID=14","4.1")</f>
        <v>4.1</v>
      </c>
      <c r="G755" s="4" t="str">
        <f>HYPERLINK("http://141.218.60.56/~jnz1568/getInfo.php?workbook=27_11.xlsx&amp;sheet=U0&amp;row=755&amp;col=7&amp;number=0.0164&amp;sourceID=14","0.0164")</f>
        <v>0.0164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HYPERLINK("http://141.218.60.56/~jnz1568/getInfo.php?workbook=27_11.xlsx&amp;sheet=U0&amp;row=756&amp;col=6&amp;number=4.2&amp;sourceID=14","4.2")</f>
        <v>4.2</v>
      </c>
      <c r="G756" s="4" t="str">
        <f>HYPERLINK("http://141.218.60.56/~jnz1568/getInfo.php?workbook=27_11.xlsx&amp;sheet=U0&amp;row=756&amp;col=7&amp;number=0.0164&amp;sourceID=14","0.0164")</f>
        <v>0.0164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HYPERLINK("http://141.218.60.56/~jnz1568/getInfo.php?workbook=27_11.xlsx&amp;sheet=U0&amp;row=757&amp;col=6&amp;number=4.3&amp;sourceID=14","4.3")</f>
        <v>4.3</v>
      </c>
      <c r="G757" s="4" t="str">
        <f>HYPERLINK("http://141.218.60.56/~jnz1568/getInfo.php?workbook=27_11.xlsx&amp;sheet=U0&amp;row=757&amp;col=7&amp;number=0.0164&amp;sourceID=14","0.0164")</f>
        <v>0.0164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HYPERLINK("http://141.218.60.56/~jnz1568/getInfo.php?workbook=27_11.xlsx&amp;sheet=U0&amp;row=758&amp;col=6&amp;number=4.4&amp;sourceID=14","4.4")</f>
        <v>4.4</v>
      </c>
      <c r="G758" s="4" t="str">
        <f>HYPERLINK("http://141.218.60.56/~jnz1568/getInfo.php?workbook=27_11.xlsx&amp;sheet=U0&amp;row=758&amp;col=7&amp;number=0.0165&amp;sourceID=14","0.0165")</f>
        <v>0.0165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HYPERLINK("http://141.218.60.56/~jnz1568/getInfo.php?workbook=27_11.xlsx&amp;sheet=U0&amp;row=759&amp;col=6&amp;number=4.5&amp;sourceID=14","4.5")</f>
        <v>4.5</v>
      </c>
      <c r="G759" s="4" t="str">
        <f>HYPERLINK("http://141.218.60.56/~jnz1568/getInfo.php?workbook=27_11.xlsx&amp;sheet=U0&amp;row=759&amp;col=7&amp;number=0.0165&amp;sourceID=14","0.0165")</f>
        <v>0.0165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HYPERLINK("http://141.218.60.56/~jnz1568/getInfo.php?workbook=27_11.xlsx&amp;sheet=U0&amp;row=760&amp;col=6&amp;number=4.6&amp;sourceID=14","4.6")</f>
        <v>4.6</v>
      </c>
      <c r="G760" s="4" t="str">
        <f>HYPERLINK("http://141.218.60.56/~jnz1568/getInfo.php?workbook=27_11.xlsx&amp;sheet=U0&amp;row=760&amp;col=7&amp;number=0.0165&amp;sourceID=14","0.0165")</f>
        <v>0.0165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HYPERLINK("http://141.218.60.56/~jnz1568/getInfo.php?workbook=27_11.xlsx&amp;sheet=U0&amp;row=761&amp;col=6&amp;number=4.7&amp;sourceID=14","4.7")</f>
        <v>4.7</v>
      </c>
      <c r="G761" s="4" t="str">
        <f>HYPERLINK("http://141.218.60.56/~jnz1568/getInfo.php?workbook=27_11.xlsx&amp;sheet=U0&amp;row=761&amp;col=7&amp;number=0.0166&amp;sourceID=14","0.0166")</f>
        <v>0.0166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HYPERLINK("http://141.218.60.56/~jnz1568/getInfo.php?workbook=27_11.xlsx&amp;sheet=U0&amp;row=762&amp;col=6&amp;number=4.8&amp;sourceID=14","4.8")</f>
        <v>4.8</v>
      </c>
      <c r="G762" s="4" t="str">
        <f>HYPERLINK("http://141.218.60.56/~jnz1568/getInfo.php?workbook=27_11.xlsx&amp;sheet=U0&amp;row=762&amp;col=7&amp;number=0.0166&amp;sourceID=14","0.0166")</f>
        <v>0.0166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HYPERLINK("http://141.218.60.56/~jnz1568/getInfo.php?workbook=27_11.xlsx&amp;sheet=U0&amp;row=763&amp;col=6&amp;number=4.9&amp;sourceID=14","4.9")</f>
        <v>4.9</v>
      </c>
      <c r="G763" s="4" t="str">
        <f>HYPERLINK("http://141.218.60.56/~jnz1568/getInfo.php?workbook=27_11.xlsx&amp;sheet=U0&amp;row=763&amp;col=7&amp;number=0.0167&amp;sourceID=14","0.0167")</f>
        <v>0.0167</v>
      </c>
    </row>
    <row r="764" spans="1:7">
      <c r="A764" s="3">
        <v>27</v>
      </c>
      <c r="B764" s="3">
        <v>11</v>
      </c>
      <c r="C764" s="3">
        <v>3</v>
      </c>
      <c r="D764" s="3">
        <v>7</v>
      </c>
      <c r="E764" s="3">
        <v>1</v>
      </c>
      <c r="F764" s="4" t="str">
        <f>HYPERLINK("http://141.218.60.56/~jnz1568/getInfo.php?workbook=27_11.xlsx&amp;sheet=U0&amp;row=764&amp;col=6&amp;number=3&amp;sourceID=14","3")</f>
        <v>3</v>
      </c>
      <c r="G764" s="4" t="str">
        <f>HYPERLINK("http://141.218.60.56/~jnz1568/getInfo.php?workbook=27_11.xlsx&amp;sheet=U0&amp;row=764&amp;col=7&amp;number=0.0152&amp;sourceID=14","0.0152")</f>
        <v>0.0152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HYPERLINK("http://141.218.60.56/~jnz1568/getInfo.php?workbook=27_11.xlsx&amp;sheet=U0&amp;row=765&amp;col=6&amp;number=3.1&amp;sourceID=14","3.1")</f>
        <v>3.1</v>
      </c>
      <c r="G765" s="4" t="str">
        <f>HYPERLINK("http://141.218.60.56/~jnz1568/getInfo.php?workbook=27_11.xlsx&amp;sheet=U0&amp;row=765&amp;col=7&amp;number=0.0152&amp;sourceID=14","0.0152")</f>
        <v>0.0152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HYPERLINK("http://141.218.60.56/~jnz1568/getInfo.php?workbook=27_11.xlsx&amp;sheet=U0&amp;row=766&amp;col=6&amp;number=3.2&amp;sourceID=14","3.2")</f>
        <v>3.2</v>
      </c>
      <c r="G766" s="4" t="str">
        <f>HYPERLINK("http://141.218.60.56/~jnz1568/getInfo.php?workbook=27_11.xlsx&amp;sheet=U0&amp;row=766&amp;col=7&amp;number=0.0152&amp;sourceID=14","0.0152")</f>
        <v>0.0152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HYPERLINK("http://141.218.60.56/~jnz1568/getInfo.php?workbook=27_11.xlsx&amp;sheet=U0&amp;row=767&amp;col=6&amp;number=3.3&amp;sourceID=14","3.3")</f>
        <v>3.3</v>
      </c>
      <c r="G767" s="4" t="str">
        <f>HYPERLINK("http://141.218.60.56/~jnz1568/getInfo.php?workbook=27_11.xlsx&amp;sheet=U0&amp;row=767&amp;col=7&amp;number=0.0152&amp;sourceID=14","0.0152")</f>
        <v>0.0152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HYPERLINK("http://141.218.60.56/~jnz1568/getInfo.php?workbook=27_11.xlsx&amp;sheet=U0&amp;row=768&amp;col=6&amp;number=3.4&amp;sourceID=14","3.4")</f>
        <v>3.4</v>
      </c>
      <c r="G768" s="4" t="str">
        <f>HYPERLINK("http://141.218.60.56/~jnz1568/getInfo.php?workbook=27_11.xlsx&amp;sheet=U0&amp;row=768&amp;col=7&amp;number=0.0152&amp;sourceID=14","0.0152")</f>
        <v>0.0152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HYPERLINK("http://141.218.60.56/~jnz1568/getInfo.php?workbook=27_11.xlsx&amp;sheet=U0&amp;row=769&amp;col=6&amp;number=3.5&amp;sourceID=14","3.5")</f>
        <v>3.5</v>
      </c>
      <c r="G769" s="4" t="str">
        <f>HYPERLINK("http://141.218.60.56/~jnz1568/getInfo.php?workbook=27_11.xlsx&amp;sheet=U0&amp;row=769&amp;col=7&amp;number=0.0152&amp;sourceID=14","0.0152")</f>
        <v>0.0152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HYPERLINK("http://141.218.60.56/~jnz1568/getInfo.php?workbook=27_11.xlsx&amp;sheet=U0&amp;row=770&amp;col=6&amp;number=3.6&amp;sourceID=14","3.6")</f>
        <v>3.6</v>
      </c>
      <c r="G770" s="4" t="str">
        <f>HYPERLINK("http://141.218.60.56/~jnz1568/getInfo.php?workbook=27_11.xlsx&amp;sheet=U0&amp;row=770&amp;col=7&amp;number=0.0152&amp;sourceID=14","0.0152")</f>
        <v>0.0152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HYPERLINK("http://141.218.60.56/~jnz1568/getInfo.php?workbook=27_11.xlsx&amp;sheet=U0&amp;row=771&amp;col=6&amp;number=3.7&amp;sourceID=14","3.7")</f>
        <v>3.7</v>
      </c>
      <c r="G771" s="4" t="str">
        <f>HYPERLINK("http://141.218.60.56/~jnz1568/getInfo.php?workbook=27_11.xlsx&amp;sheet=U0&amp;row=771&amp;col=7&amp;number=0.0152&amp;sourceID=14","0.0152")</f>
        <v>0.0152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HYPERLINK("http://141.218.60.56/~jnz1568/getInfo.php?workbook=27_11.xlsx&amp;sheet=U0&amp;row=772&amp;col=6&amp;number=3.8&amp;sourceID=14","3.8")</f>
        <v>3.8</v>
      </c>
      <c r="G772" s="4" t="str">
        <f>HYPERLINK("http://141.218.60.56/~jnz1568/getInfo.php?workbook=27_11.xlsx&amp;sheet=U0&amp;row=772&amp;col=7&amp;number=0.0152&amp;sourceID=14","0.0152")</f>
        <v>0.0152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HYPERLINK("http://141.218.60.56/~jnz1568/getInfo.php?workbook=27_11.xlsx&amp;sheet=U0&amp;row=773&amp;col=6&amp;number=3.9&amp;sourceID=14","3.9")</f>
        <v>3.9</v>
      </c>
      <c r="G773" s="4" t="str">
        <f>HYPERLINK("http://141.218.60.56/~jnz1568/getInfo.php?workbook=27_11.xlsx&amp;sheet=U0&amp;row=773&amp;col=7&amp;number=0.0152&amp;sourceID=14","0.0152")</f>
        <v>0.0152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HYPERLINK("http://141.218.60.56/~jnz1568/getInfo.php?workbook=27_11.xlsx&amp;sheet=U0&amp;row=774&amp;col=6&amp;number=4&amp;sourceID=14","4")</f>
        <v>4</v>
      </c>
      <c r="G774" s="4" t="str">
        <f>HYPERLINK("http://141.218.60.56/~jnz1568/getInfo.php?workbook=27_11.xlsx&amp;sheet=U0&amp;row=774&amp;col=7&amp;number=0.0152&amp;sourceID=14","0.0152")</f>
        <v>0.0152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HYPERLINK("http://141.218.60.56/~jnz1568/getInfo.php?workbook=27_11.xlsx&amp;sheet=U0&amp;row=775&amp;col=6&amp;number=4.1&amp;sourceID=14","4.1")</f>
        <v>4.1</v>
      </c>
      <c r="G775" s="4" t="str">
        <f>HYPERLINK("http://141.218.60.56/~jnz1568/getInfo.php?workbook=27_11.xlsx&amp;sheet=U0&amp;row=775&amp;col=7&amp;number=0.0152&amp;sourceID=14","0.0152")</f>
        <v>0.0152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HYPERLINK("http://141.218.60.56/~jnz1568/getInfo.php?workbook=27_11.xlsx&amp;sheet=U0&amp;row=776&amp;col=6&amp;number=4.2&amp;sourceID=14","4.2")</f>
        <v>4.2</v>
      </c>
      <c r="G776" s="4" t="str">
        <f>HYPERLINK("http://141.218.60.56/~jnz1568/getInfo.php?workbook=27_11.xlsx&amp;sheet=U0&amp;row=776&amp;col=7&amp;number=0.0152&amp;sourceID=14","0.0152")</f>
        <v>0.0152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HYPERLINK("http://141.218.60.56/~jnz1568/getInfo.php?workbook=27_11.xlsx&amp;sheet=U0&amp;row=777&amp;col=6&amp;number=4.3&amp;sourceID=14","4.3")</f>
        <v>4.3</v>
      </c>
      <c r="G777" s="4" t="str">
        <f>HYPERLINK("http://141.218.60.56/~jnz1568/getInfo.php?workbook=27_11.xlsx&amp;sheet=U0&amp;row=777&amp;col=7&amp;number=0.0152&amp;sourceID=14","0.0152")</f>
        <v>0.0152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HYPERLINK("http://141.218.60.56/~jnz1568/getInfo.php?workbook=27_11.xlsx&amp;sheet=U0&amp;row=778&amp;col=6&amp;number=4.4&amp;sourceID=14","4.4")</f>
        <v>4.4</v>
      </c>
      <c r="G778" s="4" t="str">
        <f>HYPERLINK("http://141.218.60.56/~jnz1568/getInfo.php?workbook=27_11.xlsx&amp;sheet=U0&amp;row=778&amp;col=7&amp;number=0.0152&amp;sourceID=14","0.0152")</f>
        <v>0.0152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HYPERLINK("http://141.218.60.56/~jnz1568/getInfo.php?workbook=27_11.xlsx&amp;sheet=U0&amp;row=779&amp;col=6&amp;number=4.5&amp;sourceID=14","4.5")</f>
        <v>4.5</v>
      </c>
      <c r="G779" s="4" t="str">
        <f>HYPERLINK("http://141.218.60.56/~jnz1568/getInfo.php?workbook=27_11.xlsx&amp;sheet=U0&amp;row=779&amp;col=7&amp;number=0.0152&amp;sourceID=14","0.0152")</f>
        <v>0.0152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HYPERLINK("http://141.218.60.56/~jnz1568/getInfo.php?workbook=27_11.xlsx&amp;sheet=U0&amp;row=780&amp;col=6&amp;number=4.6&amp;sourceID=14","4.6")</f>
        <v>4.6</v>
      </c>
      <c r="G780" s="4" t="str">
        <f>HYPERLINK("http://141.218.60.56/~jnz1568/getInfo.php?workbook=27_11.xlsx&amp;sheet=U0&amp;row=780&amp;col=7&amp;number=0.0152&amp;sourceID=14","0.0152")</f>
        <v>0.0152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HYPERLINK("http://141.218.60.56/~jnz1568/getInfo.php?workbook=27_11.xlsx&amp;sheet=U0&amp;row=781&amp;col=6&amp;number=4.7&amp;sourceID=14","4.7")</f>
        <v>4.7</v>
      </c>
      <c r="G781" s="4" t="str">
        <f>HYPERLINK("http://141.218.60.56/~jnz1568/getInfo.php?workbook=27_11.xlsx&amp;sheet=U0&amp;row=781&amp;col=7&amp;number=0.0152&amp;sourceID=14","0.0152")</f>
        <v>0.0152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HYPERLINK("http://141.218.60.56/~jnz1568/getInfo.php?workbook=27_11.xlsx&amp;sheet=U0&amp;row=782&amp;col=6&amp;number=4.8&amp;sourceID=14","4.8")</f>
        <v>4.8</v>
      </c>
      <c r="G782" s="4" t="str">
        <f>HYPERLINK("http://141.218.60.56/~jnz1568/getInfo.php?workbook=27_11.xlsx&amp;sheet=U0&amp;row=782&amp;col=7&amp;number=0.0152&amp;sourceID=14","0.0152")</f>
        <v>0.0152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HYPERLINK("http://141.218.60.56/~jnz1568/getInfo.php?workbook=27_11.xlsx&amp;sheet=U0&amp;row=783&amp;col=6&amp;number=4.9&amp;sourceID=14","4.9")</f>
        <v>4.9</v>
      </c>
      <c r="G783" s="4" t="str">
        <f>HYPERLINK("http://141.218.60.56/~jnz1568/getInfo.php?workbook=27_11.xlsx&amp;sheet=U0&amp;row=783&amp;col=7&amp;number=0.0152&amp;sourceID=14","0.0152")</f>
        <v>0.0152</v>
      </c>
    </row>
    <row r="784" spans="1:7">
      <c r="A784" s="3">
        <v>27</v>
      </c>
      <c r="B784" s="3">
        <v>11</v>
      </c>
      <c r="C784" s="3">
        <v>3</v>
      </c>
      <c r="D784" s="3">
        <v>8</v>
      </c>
      <c r="E784" s="3">
        <v>1</v>
      </c>
      <c r="F784" s="4" t="str">
        <f>HYPERLINK("http://141.218.60.56/~jnz1568/getInfo.php?workbook=27_11.xlsx&amp;sheet=U0&amp;row=784&amp;col=6&amp;number=3&amp;sourceID=14","3")</f>
        <v>3</v>
      </c>
      <c r="G784" s="4" t="str">
        <f>HYPERLINK("http://141.218.60.56/~jnz1568/getInfo.php?workbook=27_11.xlsx&amp;sheet=U0&amp;row=784&amp;col=7&amp;number=0.222&amp;sourceID=14","0.222")</f>
        <v>0.222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HYPERLINK("http://141.218.60.56/~jnz1568/getInfo.php?workbook=27_11.xlsx&amp;sheet=U0&amp;row=785&amp;col=6&amp;number=3.1&amp;sourceID=14","3.1")</f>
        <v>3.1</v>
      </c>
      <c r="G785" s="4" t="str">
        <f>HYPERLINK("http://141.218.60.56/~jnz1568/getInfo.php?workbook=27_11.xlsx&amp;sheet=U0&amp;row=785&amp;col=7&amp;number=0.222&amp;sourceID=14","0.222")</f>
        <v>0.222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HYPERLINK("http://141.218.60.56/~jnz1568/getInfo.php?workbook=27_11.xlsx&amp;sheet=U0&amp;row=786&amp;col=6&amp;number=3.2&amp;sourceID=14","3.2")</f>
        <v>3.2</v>
      </c>
      <c r="G786" s="4" t="str">
        <f>HYPERLINK("http://141.218.60.56/~jnz1568/getInfo.php?workbook=27_11.xlsx&amp;sheet=U0&amp;row=786&amp;col=7&amp;number=0.222&amp;sourceID=14","0.222")</f>
        <v>0.222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HYPERLINK("http://141.218.60.56/~jnz1568/getInfo.php?workbook=27_11.xlsx&amp;sheet=U0&amp;row=787&amp;col=6&amp;number=3.3&amp;sourceID=14","3.3")</f>
        <v>3.3</v>
      </c>
      <c r="G787" s="4" t="str">
        <f>HYPERLINK("http://141.218.60.56/~jnz1568/getInfo.php?workbook=27_11.xlsx&amp;sheet=U0&amp;row=787&amp;col=7&amp;number=0.222&amp;sourceID=14","0.222")</f>
        <v>0.222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HYPERLINK("http://141.218.60.56/~jnz1568/getInfo.php?workbook=27_11.xlsx&amp;sheet=U0&amp;row=788&amp;col=6&amp;number=3.4&amp;sourceID=14","3.4")</f>
        <v>3.4</v>
      </c>
      <c r="G788" s="4" t="str">
        <f>HYPERLINK("http://141.218.60.56/~jnz1568/getInfo.php?workbook=27_11.xlsx&amp;sheet=U0&amp;row=788&amp;col=7&amp;number=0.222&amp;sourceID=14","0.222")</f>
        <v>0.222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HYPERLINK("http://141.218.60.56/~jnz1568/getInfo.php?workbook=27_11.xlsx&amp;sheet=U0&amp;row=789&amp;col=6&amp;number=3.5&amp;sourceID=14","3.5")</f>
        <v>3.5</v>
      </c>
      <c r="G789" s="4" t="str">
        <f>HYPERLINK("http://141.218.60.56/~jnz1568/getInfo.php?workbook=27_11.xlsx&amp;sheet=U0&amp;row=789&amp;col=7&amp;number=0.222&amp;sourceID=14","0.222")</f>
        <v>0.222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HYPERLINK("http://141.218.60.56/~jnz1568/getInfo.php?workbook=27_11.xlsx&amp;sheet=U0&amp;row=790&amp;col=6&amp;number=3.6&amp;sourceID=14","3.6")</f>
        <v>3.6</v>
      </c>
      <c r="G790" s="4" t="str">
        <f>HYPERLINK("http://141.218.60.56/~jnz1568/getInfo.php?workbook=27_11.xlsx&amp;sheet=U0&amp;row=790&amp;col=7&amp;number=0.222&amp;sourceID=14","0.222")</f>
        <v>0.222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HYPERLINK("http://141.218.60.56/~jnz1568/getInfo.php?workbook=27_11.xlsx&amp;sheet=U0&amp;row=791&amp;col=6&amp;number=3.7&amp;sourceID=14","3.7")</f>
        <v>3.7</v>
      </c>
      <c r="G791" s="4" t="str">
        <f>HYPERLINK("http://141.218.60.56/~jnz1568/getInfo.php?workbook=27_11.xlsx&amp;sheet=U0&amp;row=791&amp;col=7&amp;number=0.222&amp;sourceID=14","0.222")</f>
        <v>0.222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HYPERLINK("http://141.218.60.56/~jnz1568/getInfo.php?workbook=27_11.xlsx&amp;sheet=U0&amp;row=792&amp;col=6&amp;number=3.8&amp;sourceID=14","3.8")</f>
        <v>3.8</v>
      </c>
      <c r="G792" s="4" t="str">
        <f>HYPERLINK("http://141.218.60.56/~jnz1568/getInfo.php?workbook=27_11.xlsx&amp;sheet=U0&amp;row=792&amp;col=7&amp;number=0.222&amp;sourceID=14","0.222")</f>
        <v>0.222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HYPERLINK("http://141.218.60.56/~jnz1568/getInfo.php?workbook=27_11.xlsx&amp;sheet=U0&amp;row=793&amp;col=6&amp;number=3.9&amp;sourceID=14","3.9")</f>
        <v>3.9</v>
      </c>
      <c r="G793" s="4" t="str">
        <f>HYPERLINK("http://141.218.60.56/~jnz1568/getInfo.php?workbook=27_11.xlsx&amp;sheet=U0&amp;row=793&amp;col=7&amp;number=0.222&amp;sourceID=14","0.222")</f>
        <v>0.222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HYPERLINK("http://141.218.60.56/~jnz1568/getInfo.php?workbook=27_11.xlsx&amp;sheet=U0&amp;row=794&amp;col=6&amp;number=4&amp;sourceID=14","4")</f>
        <v>4</v>
      </c>
      <c r="G794" s="4" t="str">
        <f>HYPERLINK("http://141.218.60.56/~jnz1568/getInfo.php?workbook=27_11.xlsx&amp;sheet=U0&amp;row=794&amp;col=7&amp;number=0.222&amp;sourceID=14","0.222")</f>
        <v>0.222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HYPERLINK("http://141.218.60.56/~jnz1568/getInfo.php?workbook=27_11.xlsx&amp;sheet=U0&amp;row=795&amp;col=6&amp;number=4.1&amp;sourceID=14","4.1")</f>
        <v>4.1</v>
      </c>
      <c r="G795" s="4" t="str">
        <f>HYPERLINK("http://141.218.60.56/~jnz1568/getInfo.php?workbook=27_11.xlsx&amp;sheet=U0&amp;row=795&amp;col=7&amp;number=0.222&amp;sourceID=14","0.222")</f>
        <v>0.222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HYPERLINK("http://141.218.60.56/~jnz1568/getInfo.php?workbook=27_11.xlsx&amp;sheet=U0&amp;row=796&amp;col=6&amp;number=4.2&amp;sourceID=14","4.2")</f>
        <v>4.2</v>
      </c>
      <c r="G796" s="4" t="str">
        <f>HYPERLINK("http://141.218.60.56/~jnz1568/getInfo.php?workbook=27_11.xlsx&amp;sheet=U0&amp;row=796&amp;col=7&amp;number=0.222&amp;sourceID=14","0.222")</f>
        <v>0.222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HYPERLINK("http://141.218.60.56/~jnz1568/getInfo.php?workbook=27_11.xlsx&amp;sheet=U0&amp;row=797&amp;col=6&amp;number=4.3&amp;sourceID=14","4.3")</f>
        <v>4.3</v>
      </c>
      <c r="G797" s="4" t="str">
        <f>HYPERLINK("http://141.218.60.56/~jnz1568/getInfo.php?workbook=27_11.xlsx&amp;sheet=U0&amp;row=797&amp;col=7&amp;number=0.222&amp;sourceID=14","0.222")</f>
        <v>0.222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HYPERLINK("http://141.218.60.56/~jnz1568/getInfo.php?workbook=27_11.xlsx&amp;sheet=U0&amp;row=798&amp;col=6&amp;number=4.4&amp;sourceID=14","4.4")</f>
        <v>4.4</v>
      </c>
      <c r="G798" s="4" t="str">
        <f>HYPERLINK("http://141.218.60.56/~jnz1568/getInfo.php?workbook=27_11.xlsx&amp;sheet=U0&amp;row=798&amp;col=7&amp;number=0.222&amp;sourceID=14","0.222")</f>
        <v>0.222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HYPERLINK("http://141.218.60.56/~jnz1568/getInfo.php?workbook=27_11.xlsx&amp;sheet=U0&amp;row=799&amp;col=6&amp;number=4.5&amp;sourceID=14","4.5")</f>
        <v>4.5</v>
      </c>
      <c r="G799" s="4" t="str">
        <f>HYPERLINK("http://141.218.60.56/~jnz1568/getInfo.php?workbook=27_11.xlsx&amp;sheet=U0&amp;row=799&amp;col=7&amp;number=0.222&amp;sourceID=14","0.222")</f>
        <v>0.222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HYPERLINK("http://141.218.60.56/~jnz1568/getInfo.php?workbook=27_11.xlsx&amp;sheet=U0&amp;row=800&amp;col=6&amp;number=4.6&amp;sourceID=14","4.6")</f>
        <v>4.6</v>
      </c>
      <c r="G800" s="4" t="str">
        <f>HYPERLINK("http://141.218.60.56/~jnz1568/getInfo.php?workbook=27_11.xlsx&amp;sheet=U0&amp;row=800&amp;col=7&amp;number=0.222&amp;sourceID=14","0.222")</f>
        <v>0.222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HYPERLINK("http://141.218.60.56/~jnz1568/getInfo.php?workbook=27_11.xlsx&amp;sheet=U0&amp;row=801&amp;col=6&amp;number=4.7&amp;sourceID=14","4.7")</f>
        <v>4.7</v>
      </c>
      <c r="G801" s="4" t="str">
        <f>HYPERLINK("http://141.218.60.56/~jnz1568/getInfo.php?workbook=27_11.xlsx&amp;sheet=U0&amp;row=801&amp;col=7&amp;number=0.222&amp;sourceID=14","0.222")</f>
        <v>0.222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HYPERLINK("http://141.218.60.56/~jnz1568/getInfo.php?workbook=27_11.xlsx&amp;sheet=U0&amp;row=802&amp;col=6&amp;number=4.8&amp;sourceID=14","4.8")</f>
        <v>4.8</v>
      </c>
      <c r="G802" s="4" t="str">
        <f>HYPERLINK("http://141.218.60.56/~jnz1568/getInfo.php?workbook=27_11.xlsx&amp;sheet=U0&amp;row=802&amp;col=7&amp;number=0.222&amp;sourceID=14","0.222")</f>
        <v>0.222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HYPERLINK("http://141.218.60.56/~jnz1568/getInfo.php?workbook=27_11.xlsx&amp;sheet=U0&amp;row=803&amp;col=6&amp;number=4.9&amp;sourceID=14","4.9")</f>
        <v>4.9</v>
      </c>
      <c r="G803" s="4" t="str">
        <f>HYPERLINK("http://141.218.60.56/~jnz1568/getInfo.php?workbook=27_11.xlsx&amp;sheet=U0&amp;row=803&amp;col=7&amp;number=0.222&amp;sourceID=14","0.222")</f>
        <v>0.222</v>
      </c>
    </row>
    <row r="804" spans="1:7">
      <c r="A804" s="3">
        <v>27</v>
      </c>
      <c r="B804" s="3">
        <v>11</v>
      </c>
      <c r="C804" s="3">
        <v>3</v>
      </c>
      <c r="D804" s="3">
        <v>9</v>
      </c>
      <c r="E804" s="3">
        <v>1</v>
      </c>
      <c r="F804" s="4" t="str">
        <f>HYPERLINK("http://141.218.60.56/~jnz1568/getInfo.php?workbook=27_11.xlsx&amp;sheet=U0&amp;row=804&amp;col=6&amp;number=3&amp;sourceID=14","3")</f>
        <v>3</v>
      </c>
      <c r="G804" s="4" t="str">
        <f>HYPERLINK("http://141.218.60.56/~jnz1568/getInfo.php?workbook=27_11.xlsx&amp;sheet=U0&amp;row=804&amp;col=7&amp;number=0.0248&amp;sourceID=14","0.0248")</f>
        <v>0.0248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HYPERLINK("http://141.218.60.56/~jnz1568/getInfo.php?workbook=27_11.xlsx&amp;sheet=U0&amp;row=805&amp;col=6&amp;number=3.1&amp;sourceID=14","3.1")</f>
        <v>3.1</v>
      </c>
      <c r="G805" s="4" t="str">
        <f>HYPERLINK("http://141.218.60.56/~jnz1568/getInfo.php?workbook=27_11.xlsx&amp;sheet=U0&amp;row=805&amp;col=7&amp;number=0.0248&amp;sourceID=14","0.0248")</f>
        <v>0.0248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HYPERLINK("http://141.218.60.56/~jnz1568/getInfo.php?workbook=27_11.xlsx&amp;sheet=U0&amp;row=806&amp;col=6&amp;number=3.2&amp;sourceID=14","3.2")</f>
        <v>3.2</v>
      </c>
      <c r="G806" s="4" t="str">
        <f>HYPERLINK("http://141.218.60.56/~jnz1568/getInfo.php?workbook=27_11.xlsx&amp;sheet=U0&amp;row=806&amp;col=7&amp;number=0.0248&amp;sourceID=14","0.0248")</f>
        <v>0.0248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HYPERLINK("http://141.218.60.56/~jnz1568/getInfo.php?workbook=27_11.xlsx&amp;sheet=U0&amp;row=807&amp;col=6&amp;number=3.3&amp;sourceID=14","3.3")</f>
        <v>3.3</v>
      </c>
      <c r="G807" s="4" t="str">
        <f>HYPERLINK("http://141.218.60.56/~jnz1568/getInfo.php?workbook=27_11.xlsx&amp;sheet=U0&amp;row=807&amp;col=7&amp;number=0.0248&amp;sourceID=14","0.0248")</f>
        <v>0.0248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HYPERLINK("http://141.218.60.56/~jnz1568/getInfo.php?workbook=27_11.xlsx&amp;sheet=U0&amp;row=808&amp;col=6&amp;number=3.4&amp;sourceID=14","3.4")</f>
        <v>3.4</v>
      </c>
      <c r="G808" s="4" t="str">
        <f>HYPERLINK("http://141.218.60.56/~jnz1568/getInfo.php?workbook=27_11.xlsx&amp;sheet=U0&amp;row=808&amp;col=7&amp;number=0.0248&amp;sourceID=14","0.0248")</f>
        <v>0.0248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HYPERLINK("http://141.218.60.56/~jnz1568/getInfo.php?workbook=27_11.xlsx&amp;sheet=U0&amp;row=809&amp;col=6&amp;number=3.5&amp;sourceID=14","3.5")</f>
        <v>3.5</v>
      </c>
      <c r="G809" s="4" t="str">
        <f>HYPERLINK("http://141.218.60.56/~jnz1568/getInfo.php?workbook=27_11.xlsx&amp;sheet=U0&amp;row=809&amp;col=7&amp;number=0.0248&amp;sourceID=14","0.0248")</f>
        <v>0.0248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HYPERLINK("http://141.218.60.56/~jnz1568/getInfo.php?workbook=27_11.xlsx&amp;sheet=U0&amp;row=810&amp;col=6&amp;number=3.6&amp;sourceID=14","3.6")</f>
        <v>3.6</v>
      </c>
      <c r="G810" s="4" t="str">
        <f>HYPERLINK("http://141.218.60.56/~jnz1568/getInfo.php?workbook=27_11.xlsx&amp;sheet=U0&amp;row=810&amp;col=7&amp;number=0.0248&amp;sourceID=14","0.0248")</f>
        <v>0.0248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HYPERLINK("http://141.218.60.56/~jnz1568/getInfo.php?workbook=27_11.xlsx&amp;sheet=U0&amp;row=811&amp;col=6&amp;number=3.7&amp;sourceID=14","3.7")</f>
        <v>3.7</v>
      </c>
      <c r="G811" s="4" t="str">
        <f>HYPERLINK("http://141.218.60.56/~jnz1568/getInfo.php?workbook=27_11.xlsx&amp;sheet=U0&amp;row=811&amp;col=7&amp;number=0.0248&amp;sourceID=14","0.0248")</f>
        <v>0.0248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HYPERLINK("http://141.218.60.56/~jnz1568/getInfo.php?workbook=27_11.xlsx&amp;sheet=U0&amp;row=812&amp;col=6&amp;number=3.8&amp;sourceID=14","3.8")</f>
        <v>3.8</v>
      </c>
      <c r="G812" s="4" t="str">
        <f>HYPERLINK("http://141.218.60.56/~jnz1568/getInfo.php?workbook=27_11.xlsx&amp;sheet=U0&amp;row=812&amp;col=7&amp;number=0.0248&amp;sourceID=14","0.0248")</f>
        <v>0.0248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HYPERLINK("http://141.218.60.56/~jnz1568/getInfo.php?workbook=27_11.xlsx&amp;sheet=U0&amp;row=813&amp;col=6&amp;number=3.9&amp;sourceID=14","3.9")</f>
        <v>3.9</v>
      </c>
      <c r="G813" s="4" t="str">
        <f>HYPERLINK("http://141.218.60.56/~jnz1568/getInfo.php?workbook=27_11.xlsx&amp;sheet=U0&amp;row=813&amp;col=7&amp;number=0.0248&amp;sourceID=14","0.0248")</f>
        <v>0.0248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HYPERLINK("http://141.218.60.56/~jnz1568/getInfo.php?workbook=27_11.xlsx&amp;sheet=U0&amp;row=814&amp;col=6&amp;number=4&amp;sourceID=14","4")</f>
        <v>4</v>
      </c>
      <c r="G814" s="4" t="str">
        <f>HYPERLINK("http://141.218.60.56/~jnz1568/getInfo.php?workbook=27_11.xlsx&amp;sheet=U0&amp;row=814&amp;col=7&amp;number=0.0248&amp;sourceID=14","0.0248")</f>
        <v>0.0248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HYPERLINK("http://141.218.60.56/~jnz1568/getInfo.php?workbook=27_11.xlsx&amp;sheet=U0&amp;row=815&amp;col=6&amp;number=4.1&amp;sourceID=14","4.1")</f>
        <v>4.1</v>
      </c>
      <c r="G815" s="4" t="str">
        <f>HYPERLINK("http://141.218.60.56/~jnz1568/getInfo.php?workbook=27_11.xlsx&amp;sheet=U0&amp;row=815&amp;col=7&amp;number=0.0248&amp;sourceID=14","0.0248")</f>
        <v>0.0248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HYPERLINK("http://141.218.60.56/~jnz1568/getInfo.php?workbook=27_11.xlsx&amp;sheet=U0&amp;row=816&amp;col=6&amp;number=4.2&amp;sourceID=14","4.2")</f>
        <v>4.2</v>
      </c>
      <c r="G816" s="4" t="str">
        <f>HYPERLINK("http://141.218.60.56/~jnz1568/getInfo.php?workbook=27_11.xlsx&amp;sheet=U0&amp;row=816&amp;col=7&amp;number=0.0248&amp;sourceID=14","0.0248")</f>
        <v>0.0248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HYPERLINK("http://141.218.60.56/~jnz1568/getInfo.php?workbook=27_11.xlsx&amp;sheet=U0&amp;row=817&amp;col=6&amp;number=4.3&amp;sourceID=14","4.3")</f>
        <v>4.3</v>
      </c>
      <c r="G817" s="4" t="str">
        <f>HYPERLINK("http://141.218.60.56/~jnz1568/getInfo.php?workbook=27_11.xlsx&amp;sheet=U0&amp;row=817&amp;col=7&amp;number=0.0248&amp;sourceID=14","0.0248")</f>
        <v>0.0248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HYPERLINK("http://141.218.60.56/~jnz1568/getInfo.php?workbook=27_11.xlsx&amp;sheet=U0&amp;row=818&amp;col=6&amp;number=4.4&amp;sourceID=14","4.4")</f>
        <v>4.4</v>
      </c>
      <c r="G818" s="4" t="str">
        <f>HYPERLINK("http://141.218.60.56/~jnz1568/getInfo.php?workbook=27_11.xlsx&amp;sheet=U0&amp;row=818&amp;col=7&amp;number=0.0249&amp;sourceID=14","0.0249")</f>
        <v>0.0249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HYPERLINK("http://141.218.60.56/~jnz1568/getInfo.php?workbook=27_11.xlsx&amp;sheet=U0&amp;row=819&amp;col=6&amp;number=4.5&amp;sourceID=14","4.5")</f>
        <v>4.5</v>
      </c>
      <c r="G819" s="4" t="str">
        <f>HYPERLINK("http://141.218.60.56/~jnz1568/getInfo.php?workbook=27_11.xlsx&amp;sheet=U0&amp;row=819&amp;col=7&amp;number=0.0249&amp;sourceID=14","0.0249")</f>
        <v>0.0249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HYPERLINK("http://141.218.60.56/~jnz1568/getInfo.php?workbook=27_11.xlsx&amp;sheet=U0&amp;row=820&amp;col=6&amp;number=4.6&amp;sourceID=14","4.6")</f>
        <v>4.6</v>
      </c>
      <c r="G820" s="4" t="str">
        <f>HYPERLINK("http://141.218.60.56/~jnz1568/getInfo.php?workbook=27_11.xlsx&amp;sheet=U0&amp;row=820&amp;col=7&amp;number=0.0249&amp;sourceID=14","0.0249")</f>
        <v>0.0249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HYPERLINK("http://141.218.60.56/~jnz1568/getInfo.php?workbook=27_11.xlsx&amp;sheet=U0&amp;row=821&amp;col=6&amp;number=4.7&amp;sourceID=14","4.7")</f>
        <v>4.7</v>
      </c>
      <c r="G821" s="4" t="str">
        <f>HYPERLINK("http://141.218.60.56/~jnz1568/getInfo.php?workbook=27_11.xlsx&amp;sheet=U0&amp;row=821&amp;col=7&amp;number=0.0249&amp;sourceID=14","0.0249")</f>
        <v>0.0249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HYPERLINK("http://141.218.60.56/~jnz1568/getInfo.php?workbook=27_11.xlsx&amp;sheet=U0&amp;row=822&amp;col=6&amp;number=4.8&amp;sourceID=14","4.8")</f>
        <v>4.8</v>
      </c>
      <c r="G822" s="4" t="str">
        <f>HYPERLINK("http://141.218.60.56/~jnz1568/getInfo.php?workbook=27_11.xlsx&amp;sheet=U0&amp;row=822&amp;col=7&amp;number=0.0249&amp;sourceID=14","0.0249")</f>
        <v>0.0249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HYPERLINK("http://141.218.60.56/~jnz1568/getInfo.php?workbook=27_11.xlsx&amp;sheet=U0&amp;row=823&amp;col=6&amp;number=4.9&amp;sourceID=14","4.9")</f>
        <v>4.9</v>
      </c>
      <c r="G823" s="4" t="str">
        <f>HYPERLINK("http://141.218.60.56/~jnz1568/getInfo.php?workbook=27_11.xlsx&amp;sheet=U0&amp;row=823&amp;col=7&amp;number=0.0249&amp;sourceID=14","0.0249")</f>
        <v>0.0249</v>
      </c>
    </row>
    <row r="824" spans="1:7">
      <c r="A824" s="3">
        <v>27</v>
      </c>
      <c r="B824" s="3">
        <v>11</v>
      </c>
      <c r="C824" s="3">
        <v>3</v>
      </c>
      <c r="D824" s="3">
        <v>10</v>
      </c>
      <c r="E824" s="3">
        <v>1</v>
      </c>
      <c r="F824" s="4" t="str">
        <f>HYPERLINK("http://141.218.60.56/~jnz1568/getInfo.php?workbook=27_11.xlsx&amp;sheet=U0&amp;row=824&amp;col=6&amp;number=3&amp;sourceID=14","3")</f>
        <v>3</v>
      </c>
      <c r="G824" s="4" t="str">
        <f>HYPERLINK("http://141.218.60.56/~jnz1568/getInfo.php?workbook=27_11.xlsx&amp;sheet=U0&amp;row=824&amp;col=7&amp;number=0.0752&amp;sourceID=14","0.0752")</f>
        <v>0.0752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HYPERLINK("http://141.218.60.56/~jnz1568/getInfo.php?workbook=27_11.xlsx&amp;sheet=U0&amp;row=825&amp;col=6&amp;number=3.1&amp;sourceID=14","3.1")</f>
        <v>3.1</v>
      </c>
      <c r="G825" s="4" t="str">
        <f>HYPERLINK("http://141.218.60.56/~jnz1568/getInfo.php?workbook=27_11.xlsx&amp;sheet=U0&amp;row=825&amp;col=7&amp;number=0.0752&amp;sourceID=14","0.0752")</f>
        <v>0.0752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HYPERLINK("http://141.218.60.56/~jnz1568/getInfo.php?workbook=27_11.xlsx&amp;sheet=U0&amp;row=826&amp;col=6&amp;number=3.2&amp;sourceID=14","3.2")</f>
        <v>3.2</v>
      </c>
      <c r="G826" s="4" t="str">
        <f>HYPERLINK("http://141.218.60.56/~jnz1568/getInfo.php?workbook=27_11.xlsx&amp;sheet=U0&amp;row=826&amp;col=7&amp;number=0.0752&amp;sourceID=14","0.0752")</f>
        <v>0.0752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HYPERLINK("http://141.218.60.56/~jnz1568/getInfo.php?workbook=27_11.xlsx&amp;sheet=U0&amp;row=827&amp;col=6&amp;number=3.3&amp;sourceID=14","3.3")</f>
        <v>3.3</v>
      </c>
      <c r="G827" s="4" t="str">
        <f>HYPERLINK("http://141.218.60.56/~jnz1568/getInfo.php?workbook=27_11.xlsx&amp;sheet=U0&amp;row=827&amp;col=7&amp;number=0.0752&amp;sourceID=14","0.0752")</f>
        <v>0.0752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HYPERLINK("http://141.218.60.56/~jnz1568/getInfo.php?workbook=27_11.xlsx&amp;sheet=U0&amp;row=828&amp;col=6&amp;number=3.4&amp;sourceID=14","3.4")</f>
        <v>3.4</v>
      </c>
      <c r="G828" s="4" t="str">
        <f>HYPERLINK("http://141.218.60.56/~jnz1568/getInfo.php?workbook=27_11.xlsx&amp;sheet=U0&amp;row=828&amp;col=7&amp;number=0.0752&amp;sourceID=14","0.0752")</f>
        <v>0.0752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HYPERLINK("http://141.218.60.56/~jnz1568/getInfo.php?workbook=27_11.xlsx&amp;sheet=U0&amp;row=829&amp;col=6&amp;number=3.5&amp;sourceID=14","3.5")</f>
        <v>3.5</v>
      </c>
      <c r="G829" s="4" t="str">
        <f>HYPERLINK("http://141.218.60.56/~jnz1568/getInfo.php?workbook=27_11.xlsx&amp;sheet=U0&amp;row=829&amp;col=7&amp;number=0.0752&amp;sourceID=14","0.0752")</f>
        <v>0.0752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HYPERLINK("http://141.218.60.56/~jnz1568/getInfo.php?workbook=27_11.xlsx&amp;sheet=U0&amp;row=830&amp;col=6&amp;number=3.6&amp;sourceID=14","3.6")</f>
        <v>3.6</v>
      </c>
      <c r="G830" s="4" t="str">
        <f>HYPERLINK("http://141.218.60.56/~jnz1568/getInfo.php?workbook=27_11.xlsx&amp;sheet=U0&amp;row=830&amp;col=7&amp;number=0.0752&amp;sourceID=14","0.0752")</f>
        <v>0.0752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HYPERLINK("http://141.218.60.56/~jnz1568/getInfo.php?workbook=27_11.xlsx&amp;sheet=U0&amp;row=831&amp;col=6&amp;number=3.7&amp;sourceID=14","3.7")</f>
        <v>3.7</v>
      </c>
      <c r="G831" s="4" t="str">
        <f>HYPERLINK("http://141.218.60.56/~jnz1568/getInfo.php?workbook=27_11.xlsx&amp;sheet=U0&amp;row=831&amp;col=7&amp;number=0.0752&amp;sourceID=14","0.0752")</f>
        <v>0.0752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HYPERLINK("http://141.218.60.56/~jnz1568/getInfo.php?workbook=27_11.xlsx&amp;sheet=U0&amp;row=832&amp;col=6&amp;number=3.8&amp;sourceID=14","3.8")</f>
        <v>3.8</v>
      </c>
      <c r="G832" s="4" t="str">
        <f>HYPERLINK("http://141.218.60.56/~jnz1568/getInfo.php?workbook=27_11.xlsx&amp;sheet=U0&amp;row=832&amp;col=7&amp;number=0.0753&amp;sourceID=14","0.0753")</f>
        <v>0.0753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HYPERLINK("http://141.218.60.56/~jnz1568/getInfo.php?workbook=27_11.xlsx&amp;sheet=U0&amp;row=833&amp;col=6&amp;number=3.9&amp;sourceID=14","3.9")</f>
        <v>3.9</v>
      </c>
      <c r="G833" s="4" t="str">
        <f>HYPERLINK("http://141.218.60.56/~jnz1568/getInfo.php?workbook=27_11.xlsx&amp;sheet=U0&amp;row=833&amp;col=7&amp;number=0.0753&amp;sourceID=14","0.0753")</f>
        <v>0.0753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HYPERLINK("http://141.218.60.56/~jnz1568/getInfo.php?workbook=27_11.xlsx&amp;sheet=U0&amp;row=834&amp;col=6&amp;number=4&amp;sourceID=14","4")</f>
        <v>4</v>
      </c>
      <c r="G834" s="4" t="str">
        <f>HYPERLINK("http://141.218.60.56/~jnz1568/getInfo.php?workbook=27_11.xlsx&amp;sheet=U0&amp;row=834&amp;col=7&amp;number=0.0753&amp;sourceID=14","0.0753")</f>
        <v>0.0753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HYPERLINK("http://141.218.60.56/~jnz1568/getInfo.php?workbook=27_11.xlsx&amp;sheet=U0&amp;row=835&amp;col=6&amp;number=4.1&amp;sourceID=14","4.1")</f>
        <v>4.1</v>
      </c>
      <c r="G835" s="4" t="str">
        <f>HYPERLINK("http://141.218.60.56/~jnz1568/getInfo.php?workbook=27_11.xlsx&amp;sheet=U0&amp;row=835&amp;col=7&amp;number=0.0754&amp;sourceID=14","0.0754")</f>
        <v>0.0754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HYPERLINK("http://141.218.60.56/~jnz1568/getInfo.php?workbook=27_11.xlsx&amp;sheet=U0&amp;row=836&amp;col=6&amp;number=4.2&amp;sourceID=14","4.2")</f>
        <v>4.2</v>
      </c>
      <c r="G836" s="4" t="str">
        <f>HYPERLINK("http://141.218.60.56/~jnz1568/getInfo.php?workbook=27_11.xlsx&amp;sheet=U0&amp;row=836&amp;col=7&amp;number=0.0754&amp;sourceID=14","0.0754")</f>
        <v>0.0754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HYPERLINK("http://141.218.60.56/~jnz1568/getInfo.php?workbook=27_11.xlsx&amp;sheet=U0&amp;row=837&amp;col=6&amp;number=4.3&amp;sourceID=14","4.3")</f>
        <v>4.3</v>
      </c>
      <c r="G837" s="4" t="str">
        <f>HYPERLINK("http://141.218.60.56/~jnz1568/getInfo.php?workbook=27_11.xlsx&amp;sheet=U0&amp;row=837&amp;col=7&amp;number=0.0755&amp;sourceID=14","0.0755")</f>
        <v>0.0755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HYPERLINK("http://141.218.60.56/~jnz1568/getInfo.php?workbook=27_11.xlsx&amp;sheet=U0&amp;row=838&amp;col=6&amp;number=4.4&amp;sourceID=14","4.4")</f>
        <v>4.4</v>
      </c>
      <c r="G838" s="4" t="str">
        <f>HYPERLINK("http://141.218.60.56/~jnz1568/getInfo.php?workbook=27_11.xlsx&amp;sheet=U0&amp;row=838&amp;col=7&amp;number=0.0756&amp;sourceID=14","0.0756")</f>
        <v>0.0756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HYPERLINK("http://141.218.60.56/~jnz1568/getInfo.php?workbook=27_11.xlsx&amp;sheet=U0&amp;row=839&amp;col=6&amp;number=4.5&amp;sourceID=14","4.5")</f>
        <v>4.5</v>
      </c>
      <c r="G839" s="4" t="str">
        <f>HYPERLINK("http://141.218.60.56/~jnz1568/getInfo.php?workbook=27_11.xlsx&amp;sheet=U0&amp;row=839&amp;col=7&amp;number=0.0757&amp;sourceID=14","0.0757")</f>
        <v>0.0757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HYPERLINK("http://141.218.60.56/~jnz1568/getInfo.php?workbook=27_11.xlsx&amp;sheet=U0&amp;row=840&amp;col=6&amp;number=4.6&amp;sourceID=14","4.6")</f>
        <v>4.6</v>
      </c>
      <c r="G840" s="4" t="str">
        <f>HYPERLINK("http://141.218.60.56/~jnz1568/getInfo.php?workbook=27_11.xlsx&amp;sheet=U0&amp;row=840&amp;col=7&amp;number=0.0759&amp;sourceID=14","0.0759")</f>
        <v>0.0759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HYPERLINK("http://141.218.60.56/~jnz1568/getInfo.php?workbook=27_11.xlsx&amp;sheet=U0&amp;row=841&amp;col=6&amp;number=4.7&amp;sourceID=14","4.7")</f>
        <v>4.7</v>
      </c>
      <c r="G841" s="4" t="str">
        <f>HYPERLINK("http://141.218.60.56/~jnz1568/getInfo.php?workbook=27_11.xlsx&amp;sheet=U0&amp;row=841&amp;col=7&amp;number=0.0761&amp;sourceID=14","0.0761")</f>
        <v>0.0761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HYPERLINK("http://141.218.60.56/~jnz1568/getInfo.php?workbook=27_11.xlsx&amp;sheet=U0&amp;row=842&amp;col=6&amp;number=4.8&amp;sourceID=14","4.8")</f>
        <v>4.8</v>
      </c>
      <c r="G842" s="4" t="str">
        <f>HYPERLINK("http://141.218.60.56/~jnz1568/getInfo.php?workbook=27_11.xlsx&amp;sheet=U0&amp;row=842&amp;col=7&amp;number=0.0763&amp;sourceID=14","0.0763")</f>
        <v>0.0763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HYPERLINK("http://141.218.60.56/~jnz1568/getInfo.php?workbook=27_11.xlsx&amp;sheet=U0&amp;row=843&amp;col=6&amp;number=4.9&amp;sourceID=14","4.9")</f>
        <v>4.9</v>
      </c>
      <c r="G843" s="4" t="str">
        <f>HYPERLINK("http://141.218.60.56/~jnz1568/getInfo.php?workbook=27_11.xlsx&amp;sheet=U0&amp;row=843&amp;col=7&amp;number=0.0767&amp;sourceID=14","0.0767")</f>
        <v>0.0767</v>
      </c>
    </row>
    <row r="844" spans="1:7">
      <c r="A844" s="3">
        <v>27</v>
      </c>
      <c r="B844" s="3">
        <v>11</v>
      </c>
      <c r="C844" s="3">
        <v>3</v>
      </c>
      <c r="D844" s="3">
        <v>11</v>
      </c>
      <c r="E844" s="3">
        <v>1</v>
      </c>
      <c r="F844" s="4" t="str">
        <f>HYPERLINK("http://141.218.60.56/~jnz1568/getInfo.php?workbook=27_11.xlsx&amp;sheet=U0&amp;row=844&amp;col=6&amp;number=3&amp;sourceID=14","3")</f>
        <v>3</v>
      </c>
      <c r="G844" s="4" t="str">
        <f>HYPERLINK("http://141.218.60.56/~jnz1568/getInfo.php?workbook=27_11.xlsx&amp;sheet=U0&amp;row=844&amp;col=7&amp;number=0.0563&amp;sourceID=14","0.0563")</f>
        <v>0.0563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HYPERLINK("http://141.218.60.56/~jnz1568/getInfo.php?workbook=27_11.xlsx&amp;sheet=U0&amp;row=845&amp;col=6&amp;number=3.1&amp;sourceID=14","3.1")</f>
        <v>3.1</v>
      </c>
      <c r="G845" s="4" t="str">
        <f>HYPERLINK("http://141.218.60.56/~jnz1568/getInfo.php?workbook=27_11.xlsx&amp;sheet=U0&amp;row=845&amp;col=7&amp;number=0.0563&amp;sourceID=14","0.0563")</f>
        <v>0.0563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HYPERLINK("http://141.218.60.56/~jnz1568/getInfo.php?workbook=27_11.xlsx&amp;sheet=U0&amp;row=846&amp;col=6&amp;number=3.2&amp;sourceID=14","3.2")</f>
        <v>3.2</v>
      </c>
      <c r="G846" s="4" t="str">
        <f>HYPERLINK("http://141.218.60.56/~jnz1568/getInfo.php?workbook=27_11.xlsx&amp;sheet=U0&amp;row=846&amp;col=7&amp;number=0.0563&amp;sourceID=14","0.0563")</f>
        <v>0.0563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HYPERLINK("http://141.218.60.56/~jnz1568/getInfo.php?workbook=27_11.xlsx&amp;sheet=U0&amp;row=847&amp;col=6&amp;number=3.3&amp;sourceID=14","3.3")</f>
        <v>3.3</v>
      </c>
      <c r="G847" s="4" t="str">
        <f>HYPERLINK("http://141.218.60.56/~jnz1568/getInfo.php?workbook=27_11.xlsx&amp;sheet=U0&amp;row=847&amp;col=7&amp;number=0.0563&amp;sourceID=14","0.0563")</f>
        <v>0.0563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HYPERLINK("http://141.218.60.56/~jnz1568/getInfo.php?workbook=27_11.xlsx&amp;sheet=U0&amp;row=848&amp;col=6&amp;number=3.4&amp;sourceID=14","3.4")</f>
        <v>3.4</v>
      </c>
      <c r="G848" s="4" t="str">
        <f>HYPERLINK("http://141.218.60.56/~jnz1568/getInfo.php?workbook=27_11.xlsx&amp;sheet=U0&amp;row=848&amp;col=7&amp;number=0.0563&amp;sourceID=14","0.0563")</f>
        <v>0.0563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HYPERLINK("http://141.218.60.56/~jnz1568/getInfo.php?workbook=27_11.xlsx&amp;sheet=U0&amp;row=849&amp;col=6&amp;number=3.5&amp;sourceID=14","3.5")</f>
        <v>3.5</v>
      </c>
      <c r="G849" s="4" t="str">
        <f>HYPERLINK("http://141.218.60.56/~jnz1568/getInfo.php?workbook=27_11.xlsx&amp;sheet=U0&amp;row=849&amp;col=7&amp;number=0.0563&amp;sourceID=14","0.0563")</f>
        <v>0.0563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HYPERLINK("http://141.218.60.56/~jnz1568/getInfo.php?workbook=27_11.xlsx&amp;sheet=U0&amp;row=850&amp;col=6&amp;number=3.6&amp;sourceID=14","3.6")</f>
        <v>3.6</v>
      </c>
      <c r="G850" s="4" t="str">
        <f>HYPERLINK("http://141.218.60.56/~jnz1568/getInfo.php?workbook=27_11.xlsx&amp;sheet=U0&amp;row=850&amp;col=7&amp;number=0.0563&amp;sourceID=14","0.0563")</f>
        <v>0.0563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HYPERLINK("http://141.218.60.56/~jnz1568/getInfo.php?workbook=27_11.xlsx&amp;sheet=U0&amp;row=851&amp;col=6&amp;number=3.7&amp;sourceID=14","3.7")</f>
        <v>3.7</v>
      </c>
      <c r="G851" s="4" t="str">
        <f>HYPERLINK("http://141.218.60.56/~jnz1568/getInfo.php?workbook=27_11.xlsx&amp;sheet=U0&amp;row=851&amp;col=7&amp;number=0.0563&amp;sourceID=14","0.0563")</f>
        <v>0.0563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HYPERLINK("http://141.218.60.56/~jnz1568/getInfo.php?workbook=27_11.xlsx&amp;sheet=U0&amp;row=852&amp;col=6&amp;number=3.8&amp;sourceID=14","3.8")</f>
        <v>3.8</v>
      </c>
      <c r="G852" s="4" t="str">
        <f>HYPERLINK("http://141.218.60.56/~jnz1568/getInfo.php?workbook=27_11.xlsx&amp;sheet=U0&amp;row=852&amp;col=7&amp;number=0.0563&amp;sourceID=14","0.0563")</f>
        <v>0.0563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HYPERLINK("http://141.218.60.56/~jnz1568/getInfo.php?workbook=27_11.xlsx&amp;sheet=U0&amp;row=853&amp;col=6&amp;number=3.9&amp;sourceID=14","3.9")</f>
        <v>3.9</v>
      </c>
      <c r="G853" s="4" t="str">
        <f>HYPERLINK("http://141.218.60.56/~jnz1568/getInfo.php?workbook=27_11.xlsx&amp;sheet=U0&amp;row=853&amp;col=7&amp;number=0.0563&amp;sourceID=14","0.0563")</f>
        <v>0.0563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HYPERLINK("http://141.218.60.56/~jnz1568/getInfo.php?workbook=27_11.xlsx&amp;sheet=U0&amp;row=854&amp;col=6&amp;number=4&amp;sourceID=14","4")</f>
        <v>4</v>
      </c>
      <c r="G854" s="4" t="str">
        <f>HYPERLINK("http://141.218.60.56/~jnz1568/getInfo.php?workbook=27_11.xlsx&amp;sheet=U0&amp;row=854&amp;col=7&amp;number=0.0563&amp;sourceID=14","0.0563")</f>
        <v>0.0563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HYPERLINK("http://141.218.60.56/~jnz1568/getInfo.php?workbook=27_11.xlsx&amp;sheet=U0&amp;row=855&amp;col=6&amp;number=4.1&amp;sourceID=14","4.1")</f>
        <v>4.1</v>
      </c>
      <c r="G855" s="4" t="str">
        <f>HYPERLINK("http://141.218.60.56/~jnz1568/getInfo.php?workbook=27_11.xlsx&amp;sheet=U0&amp;row=855&amp;col=7&amp;number=0.0563&amp;sourceID=14","0.0563")</f>
        <v>0.0563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HYPERLINK("http://141.218.60.56/~jnz1568/getInfo.php?workbook=27_11.xlsx&amp;sheet=U0&amp;row=856&amp;col=6&amp;number=4.2&amp;sourceID=14","4.2")</f>
        <v>4.2</v>
      </c>
      <c r="G856" s="4" t="str">
        <f>HYPERLINK("http://141.218.60.56/~jnz1568/getInfo.php?workbook=27_11.xlsx&amp;sheet=U0&amp;row=856&amp;col=7&amp;number=0.0563&amp;sourceID=14","0.0563")</f>
        <v>0.0563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HYPERLINK("http://141.218.60.56/~jnz1568/getInfo.php?workbook=27_11.xlsx&amp;sheet=U0&amp;row=857&amp;col=6&amp;number=4.3&amp;sourceID=14","4.3")</f>
        <v>4.3</v>
      </c>
      <c r="G857" s="4" t="str">
        <f>HYPERLINK("http://141.218.60.56/~jnz1568/getInfo.php?workbook=27_11.xlsx&amp;sheet=U0&amp;row=857&amp;col=7&amp;number=0.0563&amp;sourceID=14","0.0563")</f>
        <v>0.0563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HYPERLINK("http://141.218.60.56/~jnz1568/getInfo.php?workbook=27_11.xlsx&amp;sheet=U0&amp;row=858&amp;col=6&amp;number=4.4&amp;sourceID=14","4.4")</f>
        <v>4.4</v>
      </c>
      <c r="G858" s="4" t="str">
        <f>HYPERLINK("http://141.218.60.56/~jnz1568/getInfo.php?workbook=27_11.xlsx&amp;sheet=U0&amp;row=858&amp;col=7&amp;number=0.0563&amp;sourceID=14","0.0563")</f>
        <v>0.0563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HYPERLINK("http://141.218.60.56/~jnz1568/getInfo.php?workbook=27_11.xlsx&amp;sheet=U0&amp;row=859&amp;col=6&amp;number=4.5&amp;sourceID=14","4.5")</f>
        <v>4.5</v>
      </c>
      <c r="G859" s="4" t="str">
        <f>HYPERLINK("http://141.218.60.56/~jnz1568/getInfo.php?workbook=27_11.xlsx&amp;sheet=U0&amp;row=859&amp;col=7&amp;number=0.0563&amp;sourceID=14","0.0563")</f>
        <v>0.0563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HYPERLINK("http://141.218.60.56/~jnz1568/getInfo.php?workbook=27_11.xlsx&amp;sheet=U0&amp;row=860&amp;col=6&amp;number=4.6&amp;sourceID=14","4.6")</f>
        <v>4.6</v>
      </c>
      <c r="G860" s="4" t="str">
        <f>HYPERLINK("http://141.218.60.56/~jnz1568/getInfo.php?workbook=27_11.xlsx&amp;sheet=U0&amp;row=860&amp;col=7&amp;number=0.0563&amp;sourceID=14","0.0563")</f>
        <v>0.0563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HYPERLINK("http://141.218.60.56/~jnz1568/getInfo.php?workbook=27_11.xlsx&amp;sheet=U0&amp;row=861&amp;col=6&amp;number=4.7&amp;sourceID=14","4.7")</f>
        <v>4.7</v>
      </c>
      <c r="G861" s="4" t="str">
        <f>HYPERLINK("http://141.218.60.56/~jnz1568/getInfo.php?workbook=27_11.xlsx&amp;sheet=U0&amp;row=861&amp;col=7&amp;number=0.0563&amp;sourceID=14","0.0563")</f>
        <v>0.0563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HYPERLINK("http://141.218.60.56/~jnz1568/getInfo.php?workbook=27_11.xlsx&amp;sheet=U0&amp;row=862&amp;col=6&amp;number=4.8&amp;sourceID=14","4.8")</f>
        <v>4.8</v>
      </c>
      <c r="G862" s="4" t="str">
        <f>HYPERLINK("http://141.218.60.56/~jnz1568/getInfo.php?workbook=27_11.xlsx&amp;sheet=U0&amp;row=862&amp;col=7&amp;number=0.0563&amp;sourceID=14","0.0563")</f>
        <v>0.0563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HYPERLINK("http://141.218.60.56/~jnz1568/getInfo.php?workbook=27_11.xlsx&amp;sheet=U0&amp;row=863&amp;col=6&amp;number=4.9&amp;sourceID=14","4.9")</f>
        <v>4.9</v>
      </c>
      <c r="G863" s="4" t="str">
        <f>HYPERLINK("http://141.218.60.56/~jnz1568/getInfo.php?workbook=27_11.xlsx&amp;sheet=U0&amp;row=863&amp;col=7&amp;number=0.0563&amp;sourceID=14","0.0563")</f>
        <v>0.0563</v>
      </c>
    </row>
    <row r="864" spans="1:7">
      <c r="A864" s="3">
        <v>27</v>
      </c>
      <c r="B864" s="3">
        <v>11</v>
      </c>
      <c r="C864" s="3">
        <v>3</v>
      </c>
      <c r="D864" s="3">
        <v>12</v>
      </c>
      <c r="E864" s="3">
        <v>1</v>
      </c>
      <c r="F864" s="4" t="str">
        <f>HYPERLINK("http://141.218.60.56/~jnz1568/getInfo.php?workbook=27_11.xlsx&amp;sheet=U0&amp;row=864&amp;col=6&amp;number=3&amp;sourceID=14","3")</f>
        <v>3</v>
      </c>
      <c r="G864" s="4" t="str">
        <f>HYPERLINK("http://141.218.60.56/~jnz1568/getInfo.php?workbook=27_11.xlsx&amp;sheet=U0&amp;row=864&amp;col=7&amp;number=0.186&amp;sourceID=14","0.186")</f>
        <v>0.186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HYPERLINK("http://141.218.60.56/~jnz1568/getInfo.php?workbook=27_11.xlsx&amp;sheet=U0&amp;row=865&amp;col=6&amp;number=3.1&amp;sourceID=14","3.1")</f>
        <v>3.1</v>
      </c>
      <c r="G865" s="4" t="str">
        <f>HYPERLINK("http://141.218.60.56/~jnz1568/getInfo.php?workbook=27_11.xlsx&amp;sheet=U0&amp;row=865&amp;col=7&amp;number=0.186&amp;sourceID=14","0.186")</f>
        <v>0.186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HYPERLINK("http://141.218.60.56/~jnz1568/getInfo.php?workbook=27_11.xlsx&amp;sheet=U0&amp;row=866&amp;col=6&amp;number=3.2&amp;sourceID=14","3.2")</f>
        <v>3.2</v>
      </c>
      <c r="G866" s="4" t="str">
        <f>HYPERLINK("http://141.218.60.56/~jnz1568/getInfo.php?workbook=27_11.xlsx&amp;sheet=U0&amp;row=866&amp;col=7&amp;number=0.186&amp;sourceID=14","0.186")</f>
        <v>0.186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HYPERLINK("http://141.218.60.56/~jnz1568/getInfo.php?workbook=27_11.xlsx&amp;sheet=U0&amp;row=867&amp;col=6&amp;number=3.3&amp;sourceID=14","3.3")</f>
        <v>3.3</v>
      </c>
      <c r="G867" s="4" t="str">
        <f>HYPERLINK("http://141.218.60.56/~jnz1568/getInfo.php?workbook=27_11.xlsx&amp;sheet=U0&amp;row=867&amp;col=7&amp;number=0.186&amp;sourceID=14","0.186")</f>
        <v>0.186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HYPERLINK("http://141.218.60.56/~jnz1568/getInfo.php?workbook=27_11.xlsx&amp;sheet=U0&amp;row=868&amp;col=6&amp;number=3.4&amp;sourceID=14","3.4")</f>
        <v>3.4</v>
      </c>
      <c r="G868" s="4" t="str">
        <f>HYPERLINK("http://141.218.60.56/~jnz1568/getInfo.php?workbook=27_11.xlsx&amp;sheet=U0&amp;row=868&amp;col=7&amp;number=0.186&amp;sourceID=14","0.186")</f>
        <v>0.186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HYPERLINK("http://141.218.60.56/~jnz1568/getInfo.php?workbook=27_11.xlsx&amp;sheet=U0&amp;row=869&amp;col=6&amp;number=3.5&amp;sourceID=14","3.5")</f>
        <v>3.5</v>
      </c>
      <c r="G869" s="4" t="str">
        <f>HYPERLINK("http://141.218.60.56/~jnz1568/getInfo.php?workbook=27_11.xlsx&amp;sheet=U0&amp;row=869&amp;col=7&amp;number=0.186&amp;sourceID=14","0.186")</f>
        <v>0.186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HYPERLINK("http://141.218.60.56/~jnz1568/getInfo.php?workbook=27_11.xlsx&amp;sheet=U0&amp;row=870&amp;col=6&amp;number=3.6&amp;sourceID=14","3.6")</f>
        <v>3.6</v>
      </c>
      <c r="G870" s="4" t="str">
        <f>HYPERLINK("http://141.218.60.56/~jnz1568/getInfo.php?workbook=27_11.xlsx&amp;sheet=U0&amp;row=870&amp;col=7&amp;number=0.186&amp;sourceID=14","0.186")</f>
        <v>0.186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HYPERLINK("http://141.218.60.56/~jnz1568/getInfo.php?workbook=27_11.xlsx&amp;sheet=U0&amp;row=871&amp;col=6&amp;number=3.7&amp;sourceID=14","3.7")</f>
        <v>3.7</v>
      </c>
      <c r="G871" s="4" t="str">
        <f>HYPERLINK("http://141.218.60.56/~jnz1568/getInfo.php?workbook=27_11.xlsx&amp;sheet=U0&amp;row=871&amp;col=7&amp;number=0.186&amp;sourceID=14","0.186")</f>
        <v>0.186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HYPERLINK("http://141.218.60.56/~jnz1568/getInfo.php?workbook=27_11.xlsx&amp;sheet=U0&amp;row=872&amp;col=6&amp;number=3.8&amp;sourceID=14","3.8")</f>
        <v>3.8</v>
      </c>
      <c r="G872" s="4" t="str">
        <f>HYPERLINK("http://141.218.60.56/~jnz1568/getInfo.php?workbook=27_11.xlsx&amp;sheet=U0&amp;row=872&amp;col=7&amp;number=0.186&amp;sourceID=14","0.186")</f>
        <v>0.186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HYPERLINK("http://141.218.60.56/~jnz1568/getInfo.php?workbook=27_11.xlsx&amp;sheet=U0&amp;row=873&amp;col=6&amp;number=3.9&amp;sourceID=14","3.9")</f>
        <v>3.9</v>
      </c>
      <c r="G873" s="4" t="str">
        <f>HYPERLINK("http://141.218.60.56/~jnz1568/getInfo.php?workbook=27_11.xlsx&amp;sheet=U0&amp;row=873&amp;col=7&amp;number=0.186&amp;sourceID=14","0.186")</f>
        <v>0.186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HYPERLINK("http://141.218.60.56/~jnz1568/getInfo.php?workbook=27_11.xlsx&amp;sheet=U0&amp;row=874&amp;col=6&amp;number=4&amp;sourceID=14","4")</f>
        <v>4</v>
      </c>
      <c r="G874" s="4" t="str">
        <f>HYPERLINK("http://141.218.60.56/~jnz1568/getInfo.php?workbook=27_11.xlsx&amp;sheet=U0&amp;row=874&amp;col=7&amp;number=0.186&amp;sourceID=14","0.186")</f>
        <v>0.186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HYPERLINK("http://141.218.60.56/~jnz1568/getInfo.php?workbook=27_11.xlsx&amp;sheet=U0&amp;row=875&amp;col=6&amp;number=4.1&amp;sourceID=14","4.1")</f>
        <v>4.1</v>
      </c>
      <c r="G875" s="4" t="str">
        <f>HYPERLINK("http://141.218.60.56/~jnz1568/getInfo.php?workbook=27_11.xlsx&amp;sheet=U0&amp;row=875&amp;col=7&amp;number=0.187&amp;sourceID=14","0.187")</f>
        <v>0.187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HYPERLINK("http://141.218.60.56/~jnz1568/getInfo.php?workbook=27_11.xlsx&amp;sheet=U0&amp;row=876&amp;col=6&amp;number=4.2&amp;sourceID=14","4.2")</f>
        <v>4.2</v>
      </c>
      <c r="G876" s="4" t="str">
        <f>HYPERLINK("http://141.218.60.56/~jnz1568/getInfo.php?workbook=27_11.xlsx&amp;sheet=U0&amp;row=876&amp;col=7&amp;number=0.187&amp;sourceID=14","0.187")</f>
        <v>0.187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HYPERLINK("http://141.218.60.56/~jnz1568/getInfo.php?workbook=27_11.xlsx&amp;sheet=U0&amp;row=877&amp;col=6&amp;number=4.3&amp;sourceID=14","4.3")</f>
        <v>4.3</v>
      </c>
      <c r="G877" s="4" t="str">
        <f>HYPERLINK("http://141.218.60.56/~jnz1568/getInfo.php?workbook=27_11.xlsx&amp;sheet=U0&amp;row=877&amp;col=7&amp;number=0.187&amp;sourceID=14","0.187")</f>
        <v>0.187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HYPERLINK("http://141.218.60.56/~jnz1568/getInfo.php?workbook=27_11.xlsx&amp;sheet=U0&amp;row=878&amp;col=6&amp;number=4.4&amp;sourceID=14","4.4")</f>
        <v>4.4</v>
      </c>
      <c r="G878" s="4" t="str">
        <f>HYPERLINK("http://141.218.60.56/~jnz1568/getInfo.php?workbook=27_11.xlsx&amp;sheet=U0&amp;row=878&amp;col=7&amp;number=0.187&amp;sourceID=14","0.187")</f>
        <v>0.187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HYPERLINK("http://141.218.60.56/~jnz1568/getInfo.php?workbook=27_11.xlsx&amp;sheet=U0&amp;row=879&amp;col=6&amp;number=4.5&amp;sourceID=14","4.5")</f>
        <v>4.5</v>
      </c>
      <c r="G879" s="4" t="str">
        <f>HYPERLINK("http://141.218.60.56/~jnz1568/getInfo.php?workbook=27_11.xlsx&amp;sheet=U0&amp;row=879&amp;col=7&amp;number=0.187&amp;sourceID=14","0.187")</f>
        <v>0.187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HYPERLINK("http://141.218.60.56/~jnz1568/getInfo.php?workbook=27_11.xlsx&amp;sheet=U0&amp;row=880&amp;col=6&amp;number=4.6&amp;sourceID=14","4.6")</f>
        <v>4.6</v>
      </c>
      <c r="G880" s="4" t="str">
        <f>HYPERLINK("http://141.218.60.56/~jnz1568/getInfo.php?workbook=27_11.xlsx&amp;sheet=U0&amp;row=880&amp;col=7&amp;number=0.187&amp;sourceID=14","0.187")</f>
        <v>0.187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HYPERLINK("http://141.218.60.56/~jnz1568/getInfo.php?workbook=27_11.xlsx&amp;sheet=U0&amp;row=881&amp;col=6&amp;number=4.7&amp;sourceID=14","4.7")</f>
        <v>4.7</v>
      </c>
      <c r="G881" s="4" t="str">
        <f>HYPERLINK("http://141.218.60.56/~jnz1568/getInfo.php?workbook=27_11.xlsx&amp;sheet=U0&amp;row=881&amp;col=7&amp;number=0.187&amp;sourceID=14","0.187")</f>
        <v>0.187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HYPERLINK("http://141.218.60.56/~jnz1568/getInfo.php?workbook=27_11.xlsx&amp;sheet=U0&amp;row=882&amp;col=6&amp;number=4.8&amp;sourceID=14","4.8")</f>
        <v>4.8</v>
      </c>
      <c r="G882" s="4" t="str">
        <f>HYPERLINK("http://141.218.60.56/~jnz1568/getInfo.php?workbook=27_11.xlsx&amp;sheet=U0&amp;row=882&amp;col=7&amp;number=0.187&amp;sourceID=14","0.187")</f>
        <v>0.187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HYPERLINK("http://141.218.60.56/~jnz1568/getInfo.php?workbook=27_11.xlsx&amp;sheet=U0&amp;row=883&amp;col=6&amp;number=4.9&amp;sourceID=14","4.9")</f>
        <v>4.9</v>
      </c>
      <c r="G883" s="4" t="str">
        <f>HYPERLINK("http://141.218.60.56/~jnz1568/getInfo.php?workbook=27_11.xlsx&amp;sheet=U0&amp;row=883&amp;col=7&amp;number=0.188&amp;sourceID=14","0.188")</f>
        <v>0.188</v>
      </c>
    </row>
    <row r="884" spans="1:7">
      <c r="A884" s="3">
        <v>27</v>
      </c>
      <c r="B884" s="3">
        <v>11</v>
      </c>
      <c r="C884" s="3">
        <v>3</v>
      </c>
      <c r="D884" s="3">
        <v>13</v>
      </c>
      <c r="E884" s="3">
        <v>1</v>
      </c>
      <c r="F884" s="4" t="str">
        <f>HYPERLINK("http://141.218.60.56/~jnz1568/getInfo.php?workbook=27_11.xlsx&amp;sheet=U0&amp;row=884&amp;col=6&amp;number=3&amp;sourceID=14","3")</f>
        <v>3</v>
      </c>
      <c r="G884" s="4" t="str">
        <f>HYPERLINK("http://141.218.60.56/~jnz1568/getInfo.php?workbook=27_11.xlsx&amp;sheet=U0&amp;row=884&amp;col=7&amp;number=0.0035&amp;sourceID=14","0.0035")</f>
        <v>0.0035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HYPERLINK("http://141.218.60.56/~jnz1568/getInfo.php?workbook=27_11.xlsx&amp;sheet=U0&amp;row=885&amp;col=6&amp;number=3.1&amp;sourceID=14","3.1")</f>
        <v>3.1</v>
      </c>
      <c r="G885" s="4" t="str">
        <f>HYPERLINK("http://141.218.60.56/~jnz1568/getInfo.php?workbook=27_11.xlsx&amp;sheet=U0&amp;row=885&amp;col=7&amp;number=0.0035&amp;sourceID=14","0.0035")</f>
        <v>0.0035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HYPERLINK("http://141.218.60.56/~jnz1568/getInfo.php?workbook=27_11.xlsx&amp;sheet=U0&amp;row=886&amp;col=6&amp;number=3.2&amp;sourceID=14","3.2")</f>
        <v>3.2</v>
      </c>
      <c r="G886" s="4" t="str">
        <f>HYPERLINK("http://141.218.60.56/~jnz1568/getInfo.php?workbook=27_11.xlsx&amp;sheet=U0&amp;row=886&amp;col=7&amp;number=0.0035&amp;sourceID=14","0.0035")</f>
        <v>0.0035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HYPERLINK("http://141.218.60.56/~jnz1568/getInfo.php?workbook=27_11.xlsx&amp;sheet=U0&amp;row=887&amp;col=6&amp;number=3.3&amp;sourceID=14","3.3")</f>
        <v>3.3</v>
      </c>
      <c r="G887" s="4" t="str">
        <f>HYPERLINK("http://141.218.60.56/~jnz1568/getInfo.php?workbook=27_11.xlsx&amp;sheet=U0&amp;row=887&amp;col=7&amp;number=0.0035&amp;sourceID=14","0.0035")</f>
        <v>0.0035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HYPERLINK("http://141.218.60.56/~jnz1568/getInfo.php?workbook=27_11.xlsx&amp;sheet=U0&amp;row=888&amp;col=6&amp;number=3.4&amp;sourceID=14","3.4")</f>
        <v>3.4</v>
      </c>
      <c r="G888" s="4" t="str">
        <f>HYPERLINK("http://141.218.60.56/~jnz1568/getInfo.php?workbook=27_11.xlsx&amp;sheet=U0&amp;row=888&amp;col=7&amp;number=0.00351&amp;sourceID=14","0.00351")</f>
        <v>0.00351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HYPERLINK("http://141.218.60.56/~jnz1568/getInfo.php?workbook=27_11.xlsx&amp;sheet=U0&amp;row=889&amp;col=6&amp;number=3.5&amp;sourceID=14","3.5")</f>
        <v>3.5</v>
      </c>
      <c r="G889" s="4" t="str">
        <f>HYPERLINK("http://141.218.60.56/~jnz1568/getInfo.php?workbook=27_11.xlsx&amp;sheet=U0&amp;row=889&amp;col=7&amp;number=0.00351&amp;sourceID=14","0.00351")</f>
        <v>0.00351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HYPERLINK("http://141.218.60.56/~jnz1568/getInfo.php?workbook=27_11.xlsx&amp;sheet=U0&amp;row=890&amp;col=6&amp;number=3.6&amp;sourceID=14","3.6")</f>
        <v>3.6</v>
      </c>
      <c r="G890" s="4" t="str">
        <f>HYPERLINK("http://141.218.60.56/~jnz1568/getInfo.php?workbook=27_11.xlsx&amp;sheet=U0&amp;row=890&amp;col=7&amp;number=0.00351&amp;sourceID=14","0.00351")</f>
        <v>0.00351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HYPERLINK("http://141.218.60.56/~jnz1568/getInfo.php?workbook=27_11.xlsx&amp;sheet=U0&amp;row=891&amp;col=6&amp;number=3.7&amp;sourceID=14","3.7")</f>
        <v>3.7</v>
      </c>
      <c r="G891" s="4" t="str">
        <f>HYPERLINK("http://141.218.60.56/~jnz1568/getInfo.php?workbook=27_11.xlsx&amp;sheet=U0&amp;row=891&amp;col=7&amp;number=0.00351&amp;sourceID=14","0.00351")</f>
        <v>0.00351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HYPERLINK("http://141.218.60.56/~jnz1568/getInfo.php?workbook=27_11.xlsx&amp;sheet=U0&amp;row=892&amp;col=6&amp;number=3.8&amp;sourceID=14","3.8")</f>
        <v>3.8</v>
      </c>
      <c r="G892" s="4" t="str">
        <f>HYPERLINK("http://141.218.60.56/~jnz1568/getInfo.php?workbook=27_11.xlsx&amp;sheet=U0&amp;row=892&amp;col=7&amp;number=0.00351&amp;sourceID=14","0.00351")</f>
        <v>0.00351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HYPERLINK("http://141.218.60.56/~jnz1568/getInfo.php?workbook=27_11.xlsx&amp;sheet=U0&amp;row=893&amp;col=6&amp;number=3.9&amp;sourceID=14","3.9")</f>
        <v>3.9</v>
      </c>
      <c r="G893" s="4" t="str">
        <f>HYPERLINK("http://141.218.60.56/~jnz1568/getInfo.php?workbook=27_11.xlsx&amp;sheet=U0&amp;row=893&amp;col=7&amp;number=0.00351&amp;sourceID=14","0.00351")</f>
        <v>0.00351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HYPERLINK("http://141.218.60.56/~jnz1568/getInfo.php?workbook=27_11.xlsx&amp;sheet=U0&amp;row=894&amp;col=6&amp;number=4&amp;sourceID=14","4")</f>
        <v>4</v>
      </c>
      <c r="G894" s="4" t="str">
        <f>HYPERLINK("http://141.218.60.56/~jnz1568/getInfo.php?workbook=27_11.xlsx&amp;sheet=U0&amp;row=894&amp;col=7&amp;number=0.00351&amp;sourceID=14","0.00351")</f>
        <v>0.00351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HYPERLINK("http://141.218.60.56/~jnz1568/getInfo.php?workbook=27_11.xlsx&amp;sheet=U0&amp;row=895&amp;col=6&amp;number=4.1&amp;sourceID=14","4.1")</f>
        <v>4.1</v>
      </c>
      <c r="G895" s="4" t="str">
        <f>HYPERLINK("http://141.218.60.56/~jnz1568/getInfo.php?workbook=27_11.xlsx&amp;sheet=U0&amp;row=895&amp;col=7&amp;number=0.00351&amp;sourceID=14","0.00351")</f>
        <v>0.00351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HYPERLINK("http://141.218.60.56/~jnz1568/getInfo.php?workbook=27_11.xlsx&amp;sheet=U0&amp;row=896&amp;col=6&amp;number=4.2&amp;sourceID=14","4.2")</f>
        <v>4.2</v>
      </c>
      <c r="G896" s="4" t="str">
        <f>HYPERLINK("http://141.218.60.56/~jnz1568/getInfo.php?workbook=27_11.xlsx&amp;sheet=U0&amp;row=896&amp;col=7&amp;number=0.00351&amp;sourceID=14","0.00351")</f>
        <v>0.00351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HYPERLINK("http://141.218.60.56/~jnz1568/getInfo.php?workbook=27_11.xlsx&amp;sheet=U0&amp;row=897&amp;col=6&amp;number=4.3&amp;sourceID=14","4.3")</f>
        <v>4.3</v>
      </c>
      <c r="G897" s="4" t="str">
        <f>HYPERLINK("http://141.218.60.56/~jnz1568/getInfo.php?workbook=27_11.xlsx&amp;sheet=U0&amp;row=897&amp;col=7&amp;number=0.00351&amp;sourceID=14","0.00351")</f>
        <v>0.00351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HYPERLINK("http://141.218.60.56/~jnz1568/getInfo.php?workbook=27_11.xlsx&amp;sheet=U0&amp;row=898&amp;col=6&amp;number=4.4&amp;sourceID=14","4.4")</f>
        <v>4.4</v>
      </c>
      <c r="G898" s="4" t="str">
        <f>HYPERLINK("http://141.218.60.56/~jnz1568/getInfo.php?workbook=27_11.xlsx&amp;sheet=U0&amp;row=898&amp;col=7&amp;number=0.00352&amp;sourceID=14","0.00352")</f>
        <v>0.00352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HYPERLINK("http://141.218.60.56/~jnz1568/getInfo.php?workbook=27_11.xlsx&amp;sheet=U0&amp;row=899&amp;col=6&amp;number=4.5&amp;sourceID=14","4.5")</f>
        <v>4.5</v>
      </c>
      <c r="G899" s="4" t="str">
        <f>HYPERLINK("http://141.218.60.56/~jnz1568/getInfo.php?workbook=27_11.xlsx&amp;sheet=U0&amp;row=899&amp;col=7&amp;number=0.00352&amp;sourceID=14","0.00352")</f>
        <v>0.00352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HYPERLINK("http://141.218.60.56/~jnz1568/getInfo.php?workbook=27_11.xlsx&amp;sheet=U0&amp;row=900&amp;col=6&amp;number=4.6&amp;sourceID=14","4.6")</f>
        <v>4.6</v>
      </c>
      <c r="G900" s="4" t="str">
        <f>HYPERLINK("http://141.218.60.56/~jnz1568/getInfo.php?workbook=27_11.xlsx&amp;sheet=U0&amp;row=900&amp;col=7&amp;number=0.00352&amp;sourceID=14","0.00352")</f>
        <v>0.00352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HYPERLINK("http://141.218.60.56/~jnz1568/getInfo.php?workbook=27_11.xlsx&amp;sheet=U0&amp;row=901&amp;col=6&amp;number=4.7&amp;sourceID=14","4.7")</f>
        <v>4.7</v>
      </c>
      <c r="G901" s="4" t="str">
        <f>HYPERLINK("http://141.218.60.56/~jnz1568/getInfo.php?workbook=27_11.xlsx&amp;sheet=U0&amp;row=901&amp;col=7&amp;number=0.00353&amp;sourceID=14","0.00353")</f>
        <v>0.00353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HYPERLINK("http://141.218.60.56/~jnz1568/getInfo.php?workbook=27_11.xlsx&amp;sheet=U0&amp;row=902&amp;col=6&amp;number=4.8&amp;sourceID=14","4.8")</f>
        <v>4.8</v>
      </c>
      <c r="G902" s="4" t="str">
        <f>HYPERLINK("http://141.218.60.56/~jnz1568/getInfo.php?workbook=27_11.xlsx&amp;sheet=U0&amp;row=902&amp;col=7&amp;number=0.00353&amp;sourceID=14","0.00353")</f>
        <v>0.00353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HYPERLINK("http://141.218.60.56/~jnz1568/getInfo.php?workbook=27_11.xlsx&amp;sheet=U0&amp;row=903&amp;col=6&amp;number=4.9&amp;sourceID=14","4.9")</f>
        <v>4.9</v>
      </c>
      <c r="G903" s="4" t="str">
        <f>HYPERLINK("http://141.218.60.56/~jnz1568/getInfo.php?workbook=27_11.xlsx&amp;sheet=U0&amp;row=903&amp;col=7&amp;number=0.00354&amp;sourceID=14","0.00354")</f>
        <v>0.00354</v>
      </c>
    </row>
    <row r="904" spans="1:7">
      <c r="A904" s="3">
        <v>27</v>
      </c>
      <c r="B904" s="3">
        <v>11</v>
      </c>
      <c r="C904" s="3">
        <v>3</v>
      </c>
      <c r="D904" s="3">
        <v>14</v>
      </c>
      <c r="E904" s="3">
        <v>1</v>
      </c>
      <c r="F904" s="4" t="str">
        <f>HYPERLINK("http://141.218.60.56/~jnz1568/getInfo.php?workbook=27_11.xlsx&amp;sheet=U0&amp;row=904&amp;col=6&amp;number=3&amp;sourceID=14","3")</f>
        <v>3</v>
      </c>
      <c r="G904" s="4" t="str">
        <f>HYPERLINK("http://141.218.60.56/~jnz1568/getInfo.php?workbook=27_11.xlsx&amp;sheet=U0&amp;row=904&amp;col=7&amp;number=0.0044&amp;sourceID=14","0.0044")</f>
        <v>0.0044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HYPERLINK("http://141.218.60.56/~jnz1568/getInfo.php?workbook=27_11.xlsx&amp;sheet=U0&amp;row=905&amp;col=6&amp;number=3.1&amp;sourceID=14","3.1")</f>
        <v>3.1</v>
      </c>
      <c r="G905" s="4" t="str">
        <f>HYPERLINK("http://141.218.60.56/~jnz1568/getInfo.php?workbook=27_11.xlsx&amp;sheet=U0&amp;row=905&amp;col=7&amp;number=0.0044&amp;sourceID=14","0.0044")</f>
        <v>0.0044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HYPERLINK("http://141.218.60.56/~jnz1568/getInfo.php?workbook=27_11.xlsx&amp;sheet=U0&amp;row=906&amp;col=6&amp;number=3.2&amp;sourceID=14","3.2")</f>
        <v>3.2</v>
      </c>
      <c r="G906" s="4" t="str">
        <f>HYPERLINK("http://141.218.60.56/~jnz1568/getInfo.php?workbook=27_11.xlsx&amp;sheet=U0&amp;row=906&amp;col=7&amp;number=0.0044&amp;sourceID=14","0.0044")</f>
        <v>0.0044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HYPERLINK("http://141.218.60.56/~jnz1568/getInfo.php?workbook=27_11.xlsx&amp;sheet=U0&amp;row=907&amp;col=6&amp;number=3.3&amp;sourceID=14","3.3")</f>
        <v>3.3</v>
      </c>
      <c r="G907" s="4" t="str">
        <f>HYPERLINK("http://141.218.60.56/~jnz1568/getInfo.php?workbook=27_11.xlsx&amp;sheet=U0&amp;row=907&amp;col=7&amp;number=0.0044&amp;sourceID=14","0.0044")</f>
        <v>0.0044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HYPERLINK("http://141.218.60.56/~jnz1568/getInfo.php?workbook=27_11.xlsx&amp;sheet=U0&amp;row=908&amp;col=6&amp;number=3.4&amp;sourceID=14","3.4")</f>
        <v>3.4</v>
      </c>
      <c r="G908" s="4" t="str">
        <f>HYPERLINK("http://141.218.60.56/~jnz1568/getInfo.php?workbook=27_11.xlsx&amp;sheet=U0&amp;row=908&amp;col=7&amp;number=0.0044&amp;sourceID=14","0.0044")</f>
        <v>0.0044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HYPERLINK("http://141.218.60.56/~jnz1568/getInfo.php?workbook=27_11.xlsx&amp;sheet=U0&amp;row=909&amp;col=6&amp;number=3.5&amp;sourceID=14","3.5")</f>
        <v>3.5</v>
      </c>
      <c r="G909" s="4" t="str">
        <f>HYPERLINK("http://141.218.60.56/~jnz1568/getInfo.php?workbook=27_11.xlsx&amp;sheet=U0&amp;row=909&amp;col=7&amp;number=0.0044&amp;sourceID=14","0.0044")</f>
        <v>0.0044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HYPERLINK("http://141.218.60.56/~jnz1568/getInfo.php?workbook=27_11.xlsx&amp;sheet=U0&amp;row=910&amp;col=6&amp;number=3.6&amp;sourceID=14","3.6")</f>
        <v>3.6</v>
      </c>
      <c r="G910" s="4" t="str">
        <f>HYPERLINK("http://141.218.60.56/~jnz1568/getInfo.php?workbook=27_11.xlsx&amp;sheet=U0&amp;row=910&amp;col=7&amp;number=0.0044&amp;sourceID=14","0.0044")</f>
        <v>0.0044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HYPERLINK("http://141.218.60.56/~jnz1568/getInfo.php?workbook=27_11.xlsx&amp;sheet=U0&amp;row=911&amp;col=6&amp;number=3.7&amp;sourceID=14","3.7")</f>
        <v>3.7</v>
      </c>
      <c r="G911" s="4" t="str">
        <f>HYPERLINK("http://141.218.60.56/~jnz1568/getInfo.php?workbook=27_11.xlsx&amp;sheet=U0&amp;row=911&amp;col=7&amp;number=0.0044&amp;sourceID=14","0.0044")</f>
        <v>0.0044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HYPERLINK("http://141.218.60.56/~jnz1568/getInfo.php?workbook=27_11.xlsx&amp;sheet=U0&amp;row=912&amp;col=6&amp;number=3.8&amp;sourceID=14","3.8")</f>
        <v>3.8</v>
      </c>
      <c r="G912" s="4" t="str">
        <f>HYPERLINK("http://141.218.60.56/~jnz1568/getInfo.php?workbook=27_11.xlsx&amp;sheet=U0&amp;row=912&amp;col=7&amp;number=0.0044&amp;sourceID=14","0.0044")</f>
        <v>0.0044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HYPERLINK("http://141.218.60.56/~jnz1568/getInfo.php?workbook=27_11.xlsx&amp;sheet=U0&amp;row=913&amp;col=6&amp;number=3.9&amp;sourceID=14","3.9")</f>
        <v>3.9</v>
      </c>
      <c r="G913" s="4" t="str">
        <f>HYPERLINK("http://141.218.60.56/~jnz1568/getInfo.php?workbook=27_11.xlsx&amp;sheet=U0&amp;row=913&amp;col=7&amp;number=0.0044&amp;sourceID=14","0.0044")</f>
        <v>0.0044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HYPERLINK("http://141.218.60.56/~jnz1568/getInfo.php?workbook=27_11.xlsx&amp;sheet=U0&amp;row=914&amp;col=6&amp;number=4&amp;sourceID=14","4")</f>
        <v>4</v>
      </c>
      <c r="G914" s="4" t="str">
        <f>HYPERLINK("http://141.218.60.56/~jnz1568/getInfo.php?workbook=27_11.xlsx&amp;sheet=U0&amp;row=914&amp;col=7&amp;number=0.0044&amp;sourceID=14","0.0044")</f>
        <v>0.0044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HYPERLINK("http://141.218.60.56/~jnz1568/getInfo.php?workbook=27_11.xlsx&amp;sheet=U0&amp;row=915&amp;col=6&amp;number=4.1&amp;sourceID=14","4.1")</f>
        <v>4.1</v>
      </c>
      <c r="G915" s="4" t="str">
        <f>HYPERLINK("http://141.218.60.56/~jnz1568/getInfo.php?workbook=27_11.xlsx&amp;sheet=U0&amp;row=915&amp;col=7&amp;number=0.0044&amp;sourceID=14","0.0044")</f>
        <v>0.0044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HYPERLINK("http://141.218.60.56/~jnz1568/getInfo.php?workbook=27_11.xlsx&amp;sheet=U0&amp;row=916&amp;col=6&amp;number=4.2&amp;sourceID=14","4.2")</f>
        <v>4.2</v>
      </c>
      <c r="G916" s="4" t="str">
        <f>HYPERLINK("http://141.218.60.56/~jnz1568/getInfo.php?workbook=27_11.xlsx&amp;sheet=U0&amp;row=916&amp;col=7&amp;number=0.0044&amp;sourceID=14","0.0044")</f>
        <v>0.0044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HYPERLINK("http://141.218.60.56/~jnz1568/getInfo.php?workbook=27_11.xlsx&amp;sheet=U0&amp;row=917&amp;col=6&amp;number=4.3&amp;sourceID=14","4.3")</f>
        <v>4.3</v>
      </c>
      <c r="G917" s="4" t="str">
        <f>HYPERLINK("http://141.218.60.56/~jnz1568/getInfo.php?workbook=27_11.xlsx&amp;sheet=U0&amp;row=917&amp;col=7&amp;number=0.0044&amp;sourceID=14","0.0044")</f>
        <v>0.0044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HYPERLINK("http://141.218.60.56/~jnz1568/getInfo.php?workbook=27_11.xlsx&amp;sheet=U0&amp;row=918&amp;col=6&amp;number=4.4&amp;sourceID=14","4.4")</f>
        <v>4.4</v>
      </c>
      <c r="G918" s="4" t="str">
        <f>HYPERLINK("http://141.218.60.56/~jnz1568/getInfo.php?workbook=27_11.xlsx&amp;sheet=U0&amp;row=918&amp;col=7&amp;number=0.0044&amp;sourceID=14","0.0044")</f>
        <v>0.0044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HYPERLINK("http://141.218.60.56/~jnz1568/getInfo.php?workbook=27_11.xlsx&amp;sheet=U0&amp;row=919&amp;col=6&amp;number=4.5&amp;sourceID=14","4.5")</f>
        <v>4.5</v>
      </c>
      <c r="G919" s="4" t="str">
        <f>HYPERLINK("http://141.218.60.56/~jnz1568/getInfo.php?workbook=27_11.xlsx&amp;sheet=U0&amp;row=919&amp;col=7&amp;number=0.00439&amp;sourceID=14","0.00439")</f>
        <v>0.00439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HYPERLINK("http://141.218.60.56/~jnz1568/getInfo.php?workbook=27_11.xlsx&amp;sheet=U0&amp;row=920&amp;col=6&amp;number=4.6&amp;sourceID=14","4.6")</f>
        <v>4.6</v>
      </c>
      <c r="G920" s="4" t="str">
        <f>HYPERLINK("http://141.218.60.56/~jnz1568/getInfo.php?workbook=27_11.xlsx&amp;sheet=U0&amp;row=920&amp;col=7&amp;number=0.00439&amp;sourceID=14","0.00439")</f>
        <v>0.00439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HYPERLINK("http://141.218.60.56/~jnz1568/getInfo.php?workbook=27_11.xlsx&amp;sheet=U0&amp;row=921&amp;col=6&amp;number=4.7&amp;sourceID=14","4.7")</f>
        <v>4.7</v>
      </c>
      <c r="G921" s="4" t="str">
        <f>HYPERLINK("http://141.218.60.56/~jnz1568/getInfo.php?workbook=27_11.xlsx&amp;sheet=U0&amp;row=921&amp;col=7&amp;number=0.00439&amp;sourceID=14","0.00439")</f>
        <v>0.00439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HYPERLINK("http://141.218.60.56/~jnz1568/getInfo.php?workbook=27_11.xlsx&amp;sheet=U0&amp;row=922&amp;col=6&amp;number=4.8&amp;sourceID=14","4.8")</f>
        <v>4.8</v>
      </c>
      <c r="G922" s="4" t="str">
        <f>HYPERLINK("http://141.218.60.56/~jnz1568/getInfo.php?workbook=27_11.xlsx&amp;sheet=U0&amp;row=922&amp;col=7&amp;number=0.00439&amp;sourceID=14","0.00439")</f>
        <v>0.00439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HYPERLINK("http://141.218.60.56/~jnz1568/getInfo.php?workbook=27_11.xlsx&amp;sheet=U0&amp;row=923&amp;col=6&amp;number=4.9&amp;sourceID=14","4.9")</f>
        <v>4.9</v>
      </c>
      <c r="G923" s="4" t="str">
        <f>HYPERLINK("http://141.218.60.56/~jnz1568/getInfo.php?workbook=27_11.xlsx&amp;sheet=U0&amp;row=923&amp;col=7&amp;number=0.00438&amp;sourceID=14","0.00438")</f>
        <v>0.00438</v>
      </c>
    </row>
    <row r="924" spans="1:7">
      <c r="A924" s="3">
        <v>27</v>
      </c>
      <c r="B924" s="3">
        <v>11</v>
      </c>
      <c r="C924" s="3">
        <v>3</v>
      </c>
      <c r="D924" s="3">
        <v>15</v>
      </c>
      <c r="E924" s="3">
        <v>1</v>
      </c>
      <c r="F924" s="4" t="str">
        <f>HYPERLINK("http://141.218.60.56/~jnz1568/getInfo.php?workbook=27_11.xlsx&amp;sheet=U0&amp;row=924&amp;col=6&amp;number=3&amp;sourceID=14","3")</f>
        <v>3</v>
      </c>
      <c r="G924" s="4" t="str">
        <f>HYPERLINK("http://141.218.60.56/~jnz1568/getInfo.php?workbook=27_11.xlsx&amp;sheet=U0&amp;row=924&amp;col=7&amp;number=0.0439&amp;sourceID=14","0.0439")</f>
        <v>0.0439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HYPERLINK("http://141.218.60.56/~jnz1568/getInfo.php?workbook=27_11.xlsx&amp;sheet=U0&amp;row=925&amp;col=6&amp;number=3.1&amp;sourceID=14","3.1")</f>
        <v>3.1</v>
      </c>
      <c r="G925" s="4" t="str">
        <f>HYPERLINK("http://141.218.60.56/~jnz1568/getInfo.php?workbook=27_11.xlsx&amp;sheet=U0&amp;row=925&amp;col=7&amp;number=0.0439&amp;sourceID=14","0.0439")</f>
        <v>0.0439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HYPERLINK("http://141.218.60.56/~jnz1568/getInfo.php?workbook=27_11.xlsx&amp;sheet=U0&amp;row=926&amp;col=6&amp;number=3.2&amp;sourceID=14","3.2")</f>
        <v>3.2</v>
      </c>
      <c r="G926" s="4" t="str">
        <f>HYPERLINK("http://141.218.60.56/~jnz1568/getInfo.php?workbook=27_11.xlsx&amp;sheet=U0&amp;row=926&amp;col=7&amp;number=0.0439&amp;sourceID=14","0.0439")</f>
        <v>0.0439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HYPERLINK("http://141.218.60.56/~jnz1568/getInfo.php?workbook=27_11.xlsx&amp;sheet=U0&amp;row=927&amp;col=6&amp;number=3.3&amp;sourceID=14","3.3")</f>
        <v>3.3</v>
      </c>
      <c r="G927" s="4" t="str">
        <f>HYPERLINK("http://141.218.60.56/~jnz1568/getInfo.php?workbook=27_11.xlsx&amp;sheet=U0&amp;row=927&amp;col=7&amp;number=0.0439&amp;sourceID=14","0.0439")</f>
        <v>0.0439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HYPERLINK("http://141.218.60.56/~jnz1568/getInfo.php?workbook=27_11.xlsx&amp;sheet=U0&amp;row=928&amp;col=6&amp;number=3.4&amp;sourceID=14","3.4")</f>
        <v>3.4</v>
      </c>
      <c r="G928" s="4" t="str">
        <f>HYPERLINK("http://141.218.60.56/~jnz1568/getInfo.php?workbook=27_11.xlsx&amp;sheet=U0&amp;row=928&amp;col=7&amp;number=0.0439&amp;sourceID=14","0.0439")</f>
        <v>0.0439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HYPERLINK("http://141.218.60.56/~jnz1568/getInfo.php?workbook=27_11.xlsx&amp;sheet=U0&amp;row=929&amp;col=6&amp;number=3.5&amp;sourceID=14","3.5")</f>
        <v>3.5</v>
      </c>
      <c r="G929" s="4" t="str">
        <f>HYPERLINK("http://141.218.60.56/~jnz1568/getInfo.php?workbook=27_11.xlsx&amp;sheet=U0&amp;row=929&amp;col=7&amp;number=0.0439&amp;sourceID=14","0.0439")</f>
        <v>0.0439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HYPERLINK("http://141.218.60.56/~jnz1568/getInfo.php?workbook=27_11.xlsx&amp;sheet=U0&amp;row=930&amp;col=6&amp;number=3.6&amp;sourceID=14","3.6")</f>
        <v>3.6</v>
      </c>
      <c r="G930" s="4" t="str">
        <f>HYPERLINK("http://141.218.60.56/~jnz1568/getInfo.php?workbook=27_11.xlsx&amp;sheet=U0&amp;row=930&amp;col=7&amp;number=0.0439&amp;sourceID=14","0.0439")</f>
        <v>0.0439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HYPERLINK("http://141.218.60.56/~jnz1568/getInfo.php?workbook=27_11.xlsx&amp;sheet=U0&amp;row=931&amp;col=6&amp;number=3.7&amp;sourceID=14","3.7")</f>
        <v>3.7</v>
      </c>
      <c r="G931" s="4" t="str">
        <f>HYPERLINK("http://141.218.60.56/~jnz1568/getInfo.php?workbook=27_11.xlsx&amp;sheet=U0&amp;row=931&amp;col=7&amp;number=0.0439&amp;sourceID=14","0.0439")</f>
        <v>0.0439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HYPERLINK("http://141.218.60.56/~jnz1568/getInfo.php?workbook=27_11.xlsx&amp;sheet=U0&amp;row=932&amp;col=6&amp;number=3.8&amp;sourceID=14","3.8")</f>
        <v>3.8</v>
      </c>
      <c r="G932" s="4" t="str">
        <f>HYPERLINK("http://141.218.60.56/~jnz1568/getInfo.php?workbook=27_11.xlsx&amp;sheet=U0&amp;row=932&amp;col=7&amp;number=0.0439&amp;sourceID=14","0.0439")</f>
        <v>0.0439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HYPERLINK("http://141.218.60.56/~jnz1568/getInfo.php?workbook=27_11.xlsx&amp;sheet=U0&amp;row=933&amp;col=6&amp;number=3.9&amp;sourceID=14","3.9")</f>
        <v>3.9</v>
      </c>
      <c r="G933" s="4" t="str">
        <f>HYPERLINK("http://141.218.60.56/~jnz1568/getInfo.php?workbook=27_11.xlsx&amp;sheet=U0&amp;row=933&amp;col=7&amp;number=0.0439&amp;sourceID=14","0.0439")</f>
        <v>0.0439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HYPERLINK("http://141.218.60.56/~jnz1568/getInfo.php?workbook=27_11.xlsx&amp;sheet=U0&amp;row=934&amp;col=6&amp;number=4&amp;sourceID=14","4")</f>
        <v>4</v>
      </c>
      <c r="G934" s="4" t="str">
        <f>HYPERLINK("http://141.218.60.56/~jnz1568/getInfo.php?workbook=27_11.xlsx&amp;sheet=U0&amp;row=934&amp;col=7&amp;number=0.0439&amp;sourceID=14","0.0439")</f>
        <v>0.0439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HYPERLINK("http://141.218.60.56/~jnz1568/getInfo.php?workbook=27_11.xlsx&amp;sheet=U0&amp;row=935&amp;col=6&amp;number=4.1&amp;sourceID=14","4.1")</f>
        <v>4.1</v>
      </c>
      <c r="G935" s="4" t="str">
        <f>HYPERLINK("http://141.218.60.56/~jnz1568/getInfo.php?workbook=27_11.xlsx&amp;sheet=U0&amp;row=935&amp;col=7&amp;number=0.0439&amp;sourceID=14","0.0439")</f>
        <v>0.0439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HYPERLINK("http://141.218.60.56/~jnz1568/getInfo.php?workbook=27_11.xlsx&amp;sheet=U0&amp;row=936&amp;col=6&amp;number=4.2&amp;sourceID=14","4.2")</f>
        <v>4.2</v>
      </c>
      <c r="G936" s="4" t="str">
        <f>HYPERLINK("http://141.218.60.56/~jnz1568/getInfo.php?workbook=27_11.xlsx&amp;sheet=U0&amp;row=936&amp;col=7&amp;number=0.0439&amp;sourceID=14","0.0439")</f>
        <v>0.0439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HYPERLINK("http://141.218.60.56/~jnz1568/getInfo.php?workbook=27_11.xlsx&amp;sheet=U0&amp;row=937&amp;col=6&amp;number=4.3&amp;sourceID=14","4.3")</f>
        <v>4.3</v>
      </c>
      <c r="G937" s="4" t="str">
        <f>HYPERLINK("http://141.218.60.56/~jnz1568/getInfo.php?workbook=27_11.xlsx&amp;sheet=U0&amp;row=937&amp;col=7&amp;number=0.0439&amp;sourceID=14","0.0439")</f>
        <v>0.0439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HYPERLINK("http://141.218.60.56/~jnz1568/getInfo.php?workbook=27_11.xlsx&amp;sheet=U0&amp;row=938&amp;col=6&amp;number=4.4&amp;sourceID=14","4.4")</f>
        <v>4.4</v>
      </c>
      <c r="G938" s="4" t="str">
        <f>HYPERLINK("http://141.218.60.56/~jnz1568/getInfo.php?workbook=27_11.xlsx&amp;sheet=U0&amp;row=938&amp;col=7&amp;number=0.0439&amp;sourceID=14","0.0439")</f>
        <v>0.0439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HYPERLINK("http://141.218.60.56/~jnz1568/getInfo.php?workbook=27_11.xlsx&amp;sheet=U0&amp;row=939&amp;col=6&amp;number=4.5&amp;sourceID=14","4.5")</f>
        <v>4.5</v>
      </c>
      <c r="G939" s="4" t="str">
        <f>HYPERLINK("http://141.218.60.56/~jnz1568/getInfo.php?workbook=27_11.xlsx&amp;sheet=U0&amp;row=939&amp;col=7&amp;number=0.0439&amp;sourceID=14","0.0439")</f>
        <v>0.0439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HYPERLINK("http://141.218.60.56/~jnz1568/getInfo.php?workbook=27_11.xlsx&amp;sheet=U0&amp;row=940&amp;col=6&amp;number=4.6&amp;sourceID=14","4.6")</f>
        <v>4.6</v>
      </c>
      <c r="G940" s="4" t="str">
        <f>HYPERLINK("http://141.218.60.56/~jnz1568/getInfo.php?workbook=27_11.xlsx&amp;sheet=U0&amp;row=940&amp;col=7&amp;number=0.0439&amp;sourceID=14","0.0439")</f>
        <v>0.0439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HYPERLINK("http://141.218.60.56/~jnz1568/getInfo.php?workbook=27_11.xlsx&amp;sheet=U0&amp;row=941&amp;col=6&amp;number=4.7&amp;sourceID=14","4.7")</f>
        <v>4.7</v>
      </c>
      <c r="G941" s="4" t="str">
        <f>HYPERLINK("http://141.218.60.56/~jnz1568/getInfo.php?workbook=27_11.xlsx&amp;sheet=U0&amp;row=941&amp;col=7&amp;number=0.0439&amp;sourceID=14","0.0439")</f>
        <v>0.0439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HYPERLINK("http://141.218.60.56/~jnz1568/getInfo.php?workbook=27_11.xlsx&amp;sheet=U0&amp;row=942&amp;col=6&amp;number=4.8&amp;sourceID=14","4.8")</f>
        <v>4.8</v>
      </c>
      <c r="G942" s="4" t="str">
        <f>HYPERLINK("http://141.218.60.56/~jnz1568/getInfo.php?workbook=27_11.xlsx&amp;sheet=U0&amp;row=942&amp;col=7&amp;number=0.0439&amp;sourceID=14","0.0439")</f>
        <v>0.0439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HYPERLINK("http://141.218.60.56/~jnz1568/getInfo.php?workbook=27_11.xlsx&amp;sheet=U0&amp;row=943&amp;col=6&amp;number=4.9&amp;sourceID=14","4.9")</f>
        <v>4.9</v>
      </c>
      <c r="G943" s="4" t="str">
        <f>HYPERLINK("http://141.218.60.56/~jnz1568/getInfo.php?workbook=27_11.xlsx&amp;sheet=U0&amp;row=943&amp;col=7&amp;number=0.044&amp;sourceID=14","0.044")</f>
        <v>0.044</v>
      </c>
    </row>
    <row r="944" spans="1:7">
      <c r="A944" s="3">
        <v>27</v>
      </c>
      <c r="B944" s="3">
        <v>11</v>
      </c>
      <c r="C944" s="3">
        <v>3</v>
      </c>
      <c r="D944" s="3">
        <v>16</v>
      </c>
      <c r="E944" s="3">
        <v>1</v>
      </c>
      <c r="F944" s="4" t="str">
        <f>HYPERLINK("http://141.218.60.56/~jnz1568/getInfo.php?workbook=27_11.xlsx&amp;sheet=U0&amp;row=944&amp;col=6&amp;number=3&amp;sourceID=14","3")</f>
        <v>3</v>
      </c>
      <c r="G944" s="4" t="str">
        <f>HYPERLINK("http://141.218.60.56/~jnz1568/getInfo.php?workbook=27_11.xlsx&amp;sheet=U0&amp;row=944&amp;col=7&amp;number=0.00881&amp;sourceID=14","0.00881")</f>
        <v>0.00881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HYPERLINK("http://141.218.60.56/~jnz1568/getInfo.php?workbook=27_11.xlsx&amp;sheet=U0&amp;row=945&amp;col=6&amp;number=3.1&amp;sourceID=14","3.1")</f>
        <v>3.1</v>
      </c>
      <c r="G945" s="4" t="str">
        <f>HYPERLINK("http://141.218.60.56/~jnz1568/getInfo.php?workbook=27_11.xlsx&amp;sheet=U0&amp;row=945&amp;col=7&amp;number=0.00881&amp;sourceID=14","0.00881")</f>
        <v>0.00881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HYPERLINK("http://141.218.60.56/~jnz1568/getInfo.php?workbook=27_11.xlsx&amp;sheet=U0&amp;row=946&amp;col=6&amp;number=3.2&amp;sourceID=14","3.2")</f>
        <v>3.2</v>
      </c>
      <c r="G946" s="4" t="str">
        <f>HYPERLINK("http://141.218.60.56/~jnz1568/getInfo.php?workbook=27_11.xlsx&amp;sheet=U0&amp;row=946&amp;col=7&amp;number=0.00881&amp;sourceID=14","0.00881")</f>
        <v>0.00881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HYPERLINK("http://141.218.60.56/~jnz1568/getInfo.php?workbook=27_11.xlsx&amp;sheet=U0&amp;row=947&amp;col=6&amp;number=3.3&amp;sourceID=14","3.3")</f>
        <v>3.3</v>
      </c>
      <c r="G947" s="4" t="str">
        <f>HYPERLINK("http://141.218.60.56/~jnz1568/getInfo.php?workbook=27_11.xlsx&amp;sheet=U0&amp;row=947&amp;col=7&amp;number=0.00881&amp;sourceID=14","0.00881")</f>
        <v>0.00881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HYPERLINK("http://141.218.60.56/~jnz1568/getInfo.php?workbook=27_11.xlsx&amp;sheet=U0&amp;row=948&amp;col=6&amp;number=3.4&amp;sourceID=14","3.4")</f>
        <v>3.4</v>
      </c>
      <c r="G948" s="4" t="str">
        <f>HYPERLINK("http://141.218.60.56/~jnz1568/getInfo.php?workbook=27_11.xlsx&amp;sheet=U0&amp;row=948&amp;col=7&amp;number=0.00881&amp;sourceID=14","0.00881")</f>
        <v>0.00881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HYPERLINK("http://141.218.60.56/~jnz1568/getInfo.php?workbook=27_11.xlsx&amp;sheet=U0&amp;row=949&amp;col=6&amp;number=3.5&amp;sourceID=14","3.5")</f>
        <v>3.5</v>
      </c>
      <c r="G949" s="4" t="str">
        <f>HYPERLINK("http://141.218.60.56/~jnz1568/getInfo.php?workbook=27_11.xlsx&amp;sheet=U0&amp;row=949&amp;col=7&amp;number=0.00881&amp;sourceID=14","0.00881")</f>
        <v>0.00881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HYPERLINK("http://141.218.60.56/~jnz1568/getInfo.php?workbook=27_11.xlsx&amp;sheet=U0&amp;row=950&amp;col=6&amp;number=3.6&amp;sourceID=14","3.6")</f>
        <v>3.6</v>
      </c>
      <c r="G950" s="4" t="str">
        <f>HYPERLINK("http://141.218.60.56/~jnz1568/getInfo.php?workbook=27_11.xlsx&amp;sheet=U0&amp;row=950&amp;col=7&amp;number=0.00881&amp;sourceID=14","0.00881")</f>
        <v>0.00881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HYPERLINK("http://141.218.60.56/~jnz1568/getInfo.php?workbook=27_11.xlsx&amp;sheet=U0&amp;row=951&amp;col=6&amp;number=3.7&amp;sourceID=14","3.7")</f>
        <v>3.7</v>
      </c>
      <c r="G951" s="4" t="str">
        <f>HYPERLINK("http://141.218.60.56/~jnz1568/getInfo.php?workbook=27_11.xlsx&amp;sheet=U0&amp;row=951&amp;col=7&amp;number=0.00881&amp;sourceID=14","0.00881")</f>
        <v>0.00881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HYPERLINK("http://141.218.60.56/~jnz1568/getInfo.php?workbook=27_11.xlsx&amp;sheet=U0&amp;row=952&amp;col=6&amp;number=3.8&amp;sourceID=14","3.8")</f>
        <v>3.8</v>
      </c>
      <c r="G952" s="4" t="str">
        <f>HYPERLINK("http://141.218.60.56/~jnz1568/getInfo.php?workbook=27_11.xlsx&amp;sheet=U0&amp;row=952&amp;col=7&amp;number=0.00881&amp;sourceID=14","0.00881")</f>
        <v>0.00881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HYPERLINK("http://141.218.60.56/~jnz1568/getInfo.php?workbook=27_11.xlsx&amp;sheet=U0&amp;row=953&amp;col=6&amp;number=3.9&amp;sourceID=14","3.9")</f>
        <v>3.9</v>
      </c>
      <c r="G953" s="4" t="str">
        <f>HYPERLINK("http://141.218.60.56/~jnz1568/getInfo.php?workbook=27_11.xlsx&amp;sheet=U0&amp;row=953&amp;col=7&amp;number=0.00881&amp;sourceID=14","0.00881")</f>
        <v>0.00881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HYPERLINK("http://141.218.60.56/~jnz1568/getInfo.php?workbook=27_11.xlsx&amp;sheet=U0&amp;row=954&amp;col=6&amp;number=4&amp;sourceID=14","4")</f>
        <v>4</v>
      </c>
      <c r="G954" s="4" t="str">
        <f>HYPERLINK("http://141.218.60.56/~jnz1568/getInfo.php?workbook=27_11.xlsx&amp;sheet=U0&amp;row=954&amp;col=7&amp;number=0.00881&amp;sourceID=14","0.00881")</f>
        <v>0.00881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HYPERLINK("http://141.218.60.56/~jnz1568/getInfo.php?workbook=27_11.xlsx&amp;sheet=U0&amp;row=955&amp;col=6&amp;number=4.1&amp;sourceID=14","4.1")</f>
        <v>4.1</v>
      </c>
      <c r="G955" s="4" t="str">
        <f>HYPERLINK("http://141.218.60.56/~jnz1568/getInfo.php?workbook=27_11.xlsx&amp;sheet=U0&amp;row=955&amp;col=7&amp;number=0.00881&amp;sourceID=14","0.00881")</f>
        <v>0.00881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HYPERLINK("http://141.218.60.56/~jnz1568/getInfo.php?workbook=27_11.xlsx&amp;sheet=U0&amp;row=956&amp;col=6&amp;number=4.2&amp;sourceID=14","4.2")</f>
        <v>4.2</v>
      </c>
      <c r="G956" s="4" t="str">
        <f>HYPERLINK("http://141.218.60.56/~jnz1568/getInfo.php?workbook=27_11.xlsx&amp;sheet=U0&amp;row=956&amp;col=7&amp;number=0.00881&amp;sourceID=14","0.00881")</f>
        <v>0.00881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HYPERLINK("http://141.218.60.56/~jnz1568/getInfo.php?workbook=27_11.xlsx&amp;sheet=U0&amp;row=957&amp;col=6&amp;number=4.3&amp;sourceID=14","4.3")</f>
        <v>4.3</v>
      </c>
      <c r="G957" s="4" t="str">
        <f>HYPERLINK("http://141.218.60.56/~jnz1568/getInfo.php?workbook=27_11.xlsx&amp;sheet=U0&amp;row=957&amp;col=7&amp;number=0.00881&amp;sourceID=14","0.00881")</f>
        <v>0.00881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HYPERLINK("http://141.218.60.56/~jnz1568/getInfo.php?workbook=27_11.xlsx&amp;sheet=U0&amp;row=958&amp;col=6&amp;number=4.4&amp;sourceID=14","4.4")</f>
        <v>4.4</v>
      </c>
      <c r="G958" s="4" t="str">
        <f>HYPERLINK("http://141.218.60.56/~jnz1568/getInfo.php?workbook=27_11.xlsx&amp;sheet=U0&amp;row=958&amp;col=7&amp;number=0.0088&amp;sourceID=14","0.0088")</f>
        <v>0.0088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HYPERLINK("http://141.218.60.56/~jnz1568/getInfo.php?workbook=27_11.xlsx&amp;sheet=U0&amp;row=959&amp;col=6&amp;number=4.5&amp;sourceID=14","4.5")</f>
        <v>4.5</v>
      </c>
      <c r="G959" s="4" t="str">
        <f>HYPERLINK("http://141.218.60.56/~jnz1568/getInfo.php?workbook=27_11.xlsx&amp;sheet=U0&amp;row=959&amp;col=7&amp;number=0.0088&amp;sourceID=14","0.0088")</f>
        <v>0.0088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HYPERLINK("http://141.218.60.56/~jnz1568/getInfo.php?workbook=27_11.xlsx&amp;sheet=U0&amp;row=960&amp;col=6&amp;number=4.6&amp;sourceID=14","4.6")</f>
        <v>4.6</v>
      </c>
      <c r="G960" s="4" t="str">
        <f>HYPERLINK("http://141.218.60.56/~jnz1568/getInfo.php?workbook=27_11.xlsx&amp;sheet=U0&amp;row=960&amp;col=7&amp;number=0.0088&amp;sourceID=14","0.0088")</f>
        <v>0.0088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HYPERLINK("http://141.218.60.56/~jnz1568/getInfo.php?workbook=27_11.xlsx&amp;sheet=U0&amp;row=961&amp;col=6&amp;number=4.7&amp;sourceID=14","4.7")</f>
        <v>4.7</v>
      </c>
      <c r="G961" s="4" t="str">
        <f>HYPERLINK("http://141.218.60.56/~jnz1568/getInfo.php?workbook=27_11.xlsx&amp;sheet=U0&amp;row=961&amp;col=7&amp;number=0.00879&amp;sourceID=14","0.00879")</f>
        <v>0.00879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HYPERLINK("http://141.218.60.56/~jnz1568/getInfo.php?workbook=27_11.xlsx&amp;sheet=U0&amp;row=962&amp;col=6&amp;number=4.8&amp;sourceID=14","4.8")</f>
        <v>4.8</v>
      </c>
      <c r="G962" s="4" t="str">
        <f>HYPERLINK("http://141.218.60.56/~jnz1568/getInfo.php?workbook=27_11.xlsx&amp;sheet=U0&amp;row=962&amp;col=7&amp;number=0.00879&amp;sourceID=14","0.00879")</f>
        <v>0.00879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HYPERLINK("http://141.218.60.56/~jnz1568/getInfo.php?workbook=27_11.xlsx&amp;sheet=U0&amp;row=963&amp;col=6&amp;number=4.9&amp;sourceID=14","4.9")</f>
        <v>4.9</v>
      </c>
      <c r="G963" s="4" t="str">
        <f>HYPERLINK("http://141.218.60.56/~jnz1568/getInfo.php?workbook=27_11.xlsx&amp;sheet=U0&amp;row=963&amp;col=7&amp;number=0.00878&amp;sourceID=14","0.00878")</f>
        <v>0.00878</v>
      </c>
    </row>
    <row r="964" spans="1:7">
      <c r="A964" s="3">
        <v>27</v>
      </c>
      <c r="B964" s="3">
        <v>11</v>
      </c>
      <c r="C964" s="3">
        <v>3</v>
      </c>
      <c r="D964" s="3">
        <v>17</v>
      </c>
      <c r="E964" s="3">
        <v>1</v>
      </c>
      <c r="F964" s="4" t="str">
        <f>HYPERLINK("http://141.218.60.56/~jnz1568/getInfo.php?workbook=27_11.xlsx&amp;sheet=U0&amp;row=964&amp;col=6&amp;number=3&amp;sourceID=14","3")</f>
        <v>3</v>
      </c>
      <c r="G964" s="4" t="str">
        <f>HYPERLINK("http://141.218.60.56/~jnz1568/getInfo.php?workbook=27_11.xlsx&amp;sheet=U0&amp;row=964&amp;col=7&amp;number=0.0247&amp;sourceID=14","0.0247")</f>
        <v>0.0247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HYPERLINK("http://141.218.60.56/~jnz1568/getInfo.php?workbook=27_11.xlsx&amp;sheet=U0&amp;row=965&amp;col=6&amp;number=3.1&amp;sourceID=14","3.1")</f>
        <v>3.1</v>
      </c>
      <c r="G965" s="4" t="str">
        <f>HYPERLINK("http://141.218.60.56/~jnz1568/getInfo.php?workbook=27_11.xlsx&amp;sheet=U0&amp;row=965&amp;col=7&amp;number=0.0247&amp;sourceID=14","0.0247")</f>
        <v>0.0247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HYPERLINK("http://141.218.60.56/~jnz1568/getInfo.php?workbook=27_11.xlsx&amp;sheet=U0&amp;row=966&amp;col=6&amp;number=3.2&amp;sourceID=14","3.2")</f>
        <v>3.2</v>
      </c>
      <c r="G966" s="4" t="str">
        <f>HYPERLINK("http://141.218.60.56/~jnz1568/getInfo.php?workbook=27_11.xlsx&amp;sheet=U0&amp;row=966&amp;col=7&amp;number=0.0247&amp;sourceID=14","0.0247")</f>
        <v>0.0247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HYPERLINK("http://141.218.60.56/~jnz1568/getInfo.php?workbook=27_11.xlsx&amp;sheet=U0&amp;row=967&amp;col=6&amp;number=3.3&amp;sourceID=14","3.3")</f>
        <v>3.3</v>
      </c>
      <c r="G967" s="4" t="str">
        <f>HYPERLINK("http://141.218.60.56/~jnz1568/getInfo.php?workbook=27_11.xlsx&amp;sheet=U0&amp;row=967&amp;col=7&amp;number=0.0247&amp;sourceID=14","0.0247")</f>
        <v>0.0247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HYPERLINK("http://141.218.60.56/~jnz1568/getInfo.php?workbook=27_11.xlsx&amp;sheet=U0&amp;row=968&amp;col=6&amp;number=3.4&amp;sourceID=14","3.4")</f>
        <v>3.4</v>
      </c>
      <c r="G968" s="4" t="str">
        <f>HYPERLINK("http://141.218.60.56/~jnz1568/getInfo.php?workbook=27_11.xlsx&amp;sheet=U0&amp;row=968&amp;col=7&amp;number=0.0247&amp;sourceID=14","0.0247")</f>
        <v>0.0247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HYPERLINK("http://141.218.60.56/~jnz1568/getInfo.php?workbook=27_11.xlsx&amp;sheet=U0&amp;row=969&amp;col=6&amp;number=3.5&amp;sourceID=14","3.5")</f>
        <v>3.5</v>
      </c>
      <c r="G969" s="4" t="str">
        <f>HYPERLINK("http://141.218.60.56/~jnz1568/getInfo.php?workbook=27_11.xlsx&amp;sheet=U0&amp;row=969&amp;col=7&amp;number=0.0247&amp;sourceID=14","0.0247")</f>
        <v>0.0247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HYPERLINK("http://141.218.60.56/~jnz1568/getInfo.php?workbook=27_11.xlsx&amp;sheet=U0&amp;row=970&amp;col=6&amp;number=3.6&amp;sourceID=14","3.6")</f>
        <v>3.6</v>
      </c>
      <c r="G970" s="4" t="str">
        <f>HYPERLINK("http://141.218.60.56/~jnz1568/getInfo.php?workbook=27_11.xlsx&amp;sheet=U0&amp;row=970&amp;col=7&amp;number=0.0247&amp;sourceID=14","0.0247")</f>
        <v>0.0247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HYPERLINK("http://141.218.60.56/~jnz1568/getInfo.php?workbook=27_11.xlsx&amp;sheet=U0&amp;row=971&amp;col=6&amp;number=3.7&amp;sourceID=14","3.7")</f>
        <v>3.7</v>
      </c>
      <c r="G971" s="4" t="str">
        <f>HYPERLINK("http://141.218.60.56/~jnz1568/getInfo.php?workbook=27_11.xlsx&amp;sheet=U0&amp;row=971&amp;col=7&amp;number=0.0247&amp;sourceID=14","0.0247")</f>
        <v>0.0247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HYPERLINK("http://141.218.60.56/~jnz1568/getInfo.php?workbook=27_11.xlsx&amp;sheet=U0&amp;row=972&amp;col=6&amp;number=3.8&amp;sourceID=14","3.8")</f>
        <v>3.8</v>
      </c>
      <c r="G972" s="4" t="str">
        <f>HYPERLINK("http://141.218.60.56/~jnz1568/getInfo.php?workbook=27_11.xlsx&amp;sheet=U0&amp;row=972&amp;col=7&amp;number=0.0247&amp;sourceID=14","0.0247")</f>
        <v>0.0247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HYPERLINK("http://141.218.60.56/~jnz1568/getInfo.php?workbook=27_11.xlsx&amp;sheet=U0&amp;row=973&amp;col=6&amp;number=3.9&amp;sourceID=14","3.9")</f>
        <v>3.9</v>
      </c>
      <c r="G973" s="4" t="str">
        <f>HYPERLINK("http://141.218.60.56/~jnz1568/getInfo.php?workbook=27_11.xlsx&amp;sheet=U0&amp;row=973&amp;col=7&amp;number=0.0247&amp;sourceID=14","0.0247")</f>
        <v>0.0247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HYPERLINK("http://141.218.60.56/~jnz1568/getInfo.php?workbook=27_11.xlsx&amp;sheet=U0&amp;row=974&amp;col=6&amp;number=4&amp;sourceID=14","4")</f>
        <v>4</v>
      </c>
      <c r="G974" s="4" t="str">
        <f>HYPERLINK("http://141.218.60.56/~jnz1568/getInfo.php?workbook=27_11.xlsx&amp;sheet=U0&amp;row=974&amp;col=7&amp;number=0.0248&amp;sourceID=14","0.0248")</f>
        <v>0.0248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HYPERLINK("http://141.218.60.56/~jnz1568/getInfo.php?workbook=27_11.xlsx&amp;sheet=U0&amp;row=975&amp;col=6&amp;number=4.1&amp;sourceID=14","4.1")</f>
        <v>4.1</v>
      </c>
      <c r="G975" s="4" t="str">
        <f>HYPERLINK("http://141.218.60.56/~jnz1568/getInfo.php?workbook=27_11.xlsx&amp;sheet=U0&amp;row=975&amp;col=7&amp;number=0.0248&amp;sourceID=14","0.0248")</f>
        <v>0.0248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HYPERLINK("http://141.218.60.56/~jnz1568/getInfo.php?workbook=27_11.xlsx&amp;sheet=U0&amp;row=976&amp;col=6&amp;number=4.2&amp;sourceID=14","4.2")</f>
        <v>4.2</v>
      </c>
      <c r="G976" s="4" t="str">
        <f>HYPERLINK("http://141.218.60.56/~jnz1568/getInfo.php?workbook=27_11.xlsx&amp;sheet=U0&amp;row=976&amp;col=7&amp;number=0.0248&amp;sourceID=14","0.0248")</f>
        <v>0.0248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HYPERLINK("http://141.218.60.56/~jnz1568/getInfo.php?workbook=27_11.xlsx&amp;sheet=U0&amp;row=977&amp;col=6&amp;number=4.3&amp;sourceID=14","4.3")</f>
        <v>4.3</v>
      </c>
      <c r="G977" s="4" t="str">
        <f>HYPERLINK("http://141.218.60.56/~jnz1568/getInfo.php?workbook=27_11.xlsx&amp;sheet=U0&amp;row=977&amp;col=7&amp;number=0.0248&amp;sourceID=14","0.0248")</f>
        <v>0.0248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HYPERLINK("http://141.218.60.56/~jnz1568/getInfo.php?workbook=27_11.xlsx&amp;sheet=U0&amp;row=978&amp;col=6&amp;number=4.4&amp;sourceID=14","4.4")</f>
        <v>4.4</v>
      </c>
      <c r="G978" s="4" t="str">
        <f>HYPERLINK("http://141.218.60.56/~jnz1568/getInfo.php?workbook=27_11.xlsx&amp;sheet=U0&amp;row=978&amp;col=7&amp;number=0.0248&amp;sourceID=14","0.0248")</f>
        <v>0.0248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HYPERLINK("http://141.218.60.56/~jnz1568/getInfo.php?workbook=27_11.xlsx&amp;sheet=U0&amp;row=979&amp;col=6&amp;number=4.5&amp;sourceID=14","4.5")</f>
        <v>4.5</v>
      </c>
      <c r="G979" s="4" t="str">
        <f>HYPERLINK("http://141.218.60.56/~jnz1568/getInfo.php?workbook=27_11.xlsx&amp;sheet=U0&amp;row=979&amp;col=7&amp;number=0.0248&amp;sourceID=14","0.0248")</f>
        <v>0.0248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HYPERLINK("http://141.218.60.56/~jnz1568/getInfo.php?workbook=27_11.xlsx&amp;sheet=U0&amp;row=980&amp;col=6&amp;number=4.6&amp;sourceID=14","4.6")</f>
        <v>4.6</v>
      </c>
      <c r="G980" s="4" t="str">
        <f>HYPERLINK("http://141.218.60.56/~jnz1568/getInfo.php?workbook=27_11.xlsx&amp;sheet=U0&amp;row=980&amp;col=7&amp;number=0.0249&amp;sourceID=14","0.0249")</f>
        <v>0.0249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HYPERLINK("http://141.218.60.56/~jnz1568/getInfo.php?workbook=27_11.xlsx&amp;sheet=U0&amp;row=981&amp;col=6&amp;number=4.7&amp;sourceID=14","4.7")</f>
        <v>4.7</v>
      </c>
      <c r="G981" s="4" t="str">
        <f>HYPERLINK("http://141.218.60.56/~jnz1568/getInfo.php?workbook=27_11.xlsx&amp;sheet=U0&amp;row=981&amp;col=7&amp;number=0.0249&amp;sourceID=14","0.0249")</f>
        <v>0.0249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HYPERLINK("http://141.218.60.56/~jnz1568/getInfo.php?workbook=27_11.xlsx&amp;sheet=U0&amp;row=982&amp;col=6&amp;number=4.8&amp;sourceID=14","4.8")</f>
        <v>4.8</v>
      </c>
      <c r="G982" s="4" t="str">
        <f>HYPERLINK("http://141.218.60.56/~jnz1568/getInfo.php?workbook=27_11.xlsx&amp;sheet=U0&amp;row=982&amp;col=7&amp;number=0.025&amp;sourceID=14","0.025")</f>
        <v>0.025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HYPERLINK("http://141.218.60.56/~jnz1568/getInfo.php?workbook=27_11.xlsx&amp;sheet=U0&amp;row=983&amp;col=6&amp;number=4.9&amp;sourceID=14","4.9")</f>
        <v>4.9</v>
      </c>
      <c r="G983" s="4" t="str">
        <f>HYPERLINK("http://141.218.60.56/~jnz1568/getInfo.php?workbook=27_11.xlsx&amp;sheet=U0&amp;row=983&amp;col=7&amp;number=0.025&amp;sourceID=14","0.025")</f>
        <v>0.025</v>
      </c>
    </row>
    <row r="984" spans="1:7">
      <c r="A984" s="3">
        <v>27</v>
      </c>
      <c r="B984" s="3">
        <v>11</v>
      </c>
      <c r="C984" s="3">
        <v>3</v>
      </c>
      <c r="D984" s="3">
        <v>18</v>
      </c>
      <c r="E984" s="3">
        <v>1</v>
      </c>
      <c r="F984" s="4" t="str">
        <f>HYPERLINK("http://141.218.60.56/~jnz1568/getInfo.php?workbook=27_11.xlsx&amp;sheet=U0&amp;row=984&amp;col=6&amp;number=3&amp;sourceID=14","3")</f>
        <v>3</v>
      </c>
      <c r="G984" s="4" t="str">
        <f>HYPERLINK("http://141.218.60.56/~jnz1568/getInfo.php?workbook=27_11.xlsx&amp;sheet=U0&amp;row=984&amp;col=7&amp;number=0.0137&amp;sourceID=14","0.0137")</f>
        <v>0.0137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HYPERLINK("http://141.218.60.56/~jnz1568/getInfo.php?workbook=27_11.xlsx&amp;sheet=U0&amp;row=985&amp;col=6&amp;number=3.1&amp;sourceID=14","3.1")</f>
        <v>3.1</v>
      </c>
      <c r="G985" s="4" t="str">
        <f>HYPERLINK("http://141.218.60.56/~jnz1568/getInfo.php?workbook=27_11.xlsx&amp;sheet=U0&amp;row=985&amp;col=7&amp;number=0.0137&amp;sourceID=14","0.0137")</f>
        <v>0.0137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HYPERLINK("http://141.218.60.56/~jnz1568/getInfo.php?workbook=27_11.xlsx&amp;sheet=U0&amp;row=986&amp;col=6&amp;number=3.2&amp;sourceID=14","3.2")</f>
        <v>3.2</v>
      </c>
      <c r="G986" s="4" t="str">
        <f>HYPERLINK("http://141.218.60.56/~jnz1568/getInfo.php?workbook=27_11.xlsx&amp;sheet=U0&amp;row=986&amp;col=7&amp;number=0.0137&amp;sourceID=14","0.0137")</f>
        <v>0.0137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HYPERLINK("http://141.218.60.56/~jnz1568/getInfo.php?workbook=27_11.xlsx&amp;sheet=U0&amp;row=987&amp;col=6&amp;number=3.3&amp;sourceID=14","3.3")</f>
        <v>3.3</v>
      </c>
      <c r="G987" s="4" t="str">
        <f>HYPERLINK("http://141.218.60.56/~jnz1568/getInfo.php?workbook=27_11.xlsx&amp;sheet=U0&amp;row=987&amp;col=7&amp;number=0.0137&amp;sourceID=14","0.0137")</f>
        <v>0.0137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HYPERLINK("http://141.218.60.56/~jnz1568/getInfo.php?workbook=27_11.xlsx&amp;sheet=U0&amp;row=988&amp;col=6&amp;number=3.4&amp;sourceID=14","3.4")</f>
        <v>3.4</v>
      </c>
      <c r="G988" s="4" t="str">
        <f>HYPERLINK("http://141.218.60.56/~jnz1568/getInfo.php?workbook=27_11.xlsx&amp;sheet=U0&amp;row=988&amp;col=7&amp;number=0.0137&amp;sourceID=14","0.0137")</f>
        <v>0.0137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HYPERLINK("http://141.218.60.56/~jnz1568/getInfo.php?workbook=27_11.xlsx&amp;sheet=U0&amp;row=989&amp;col=6&amp;number=3.5&amp;sourceID=14","3.5")</f>
        <v>3.5</v>
      </c>
      <c r="G989" s="4" t="str">
        <f>HYPERLINK("http://141.218.60.56/~jnz1568/getInfo.php?workbook=27_11.xlsx&amp;sheet=U0&amp;row=989&amp;col=7&amp;number=0.0137&amp;sourceID=14","0.0137")</f>
        <v>0.0137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HYPERLINK("http://141.218.60.56/~jnz1568/getInfo.php?workbook=27_11.xlsx&amp;sheet=U0&amp;row=990&amp;col=6&amp;number=3.6&amp;sourceID=14","3.6")</f>
        <v>3.6</v>
      </c>
      <c r="G990" s="4" t="str">
        <f>HYPERLINK("http://141.218.60.56/~jnz1568/getInfo.php?workbook=27_11.xlsx&amp;sheet=U0&amp;row=990&amp;col=7&amp;number=0.0137&amp;sourceID=14","0.0137")</f>
        <v>0.0137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HYPERLINK("http://141.218.60.56/~jnz1568/getInfo.php?workbook=27_11.xlsx&amp;sheet=U0&amp;row=991&amp;col=6&amp;number=3.7&amp;sourceID=14","3.7")</f>
        <v>3.7</v>
      </c>
      <c r="G991" s="4" t="str">
        <f>HYPERLINK("http://141.218.60.56/~jnz1568/getInfo.php?workbook=27_11.xlsx&amp;sheet=U0&amp;row=991&amp;col=7&amp;number=0.0137&amp;sourceID=14","0.0137")</f>
        <v>0.0137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HYPERLINK("http://141.218.60.56/~jnz1568/getInfo.php?workbook=27_11.xlsx&amp;sheet=U0&amp;row=992&amp;col=6&amp;number=3.8&amp;sourceID=14","3.8")</f>
        <v>3.8</v>
      </c>
      <c r="G992" s="4" t="str">
        <f>HYPERLINK("http://141.218.60.56/~jnz1568/getInfo.php?workbook=27_11.xlsx&amp;sheet=U0&amp;row=992&amp;col=7&amp;number=0.0137&amp;sourceID=14","0.0137")</f>
        <v>0.0137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HYPERLINK("http://141.218.60.56/~jnz1568/getInfo.php?workbook=27_11.xlsx&amp;sheet=U0&amp;row=993&amp;col=6&amp;number=3.9&amp;sourceID=14","3.9")</f>
        <v>3.9</v>
      </c>
      <c r="G993" s="4" t="str">
        <f>HYPERLINK("http://141.218.60.56/~jnz1568/getInfo.php?workbook=27_11.xlsx&amp;sheet=U0&amp;row=993&amp;col=7&amp;number=0.0137&amp;sourceID=14","0.0137")</f>
        <v>0.0137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HYPERLINK("http://141.218.60.56/~jnz1568/getInfo.php?workbook=27_11.xlsx&amp;sheet=U0&amp;row=994&amp;col=6&amp;number=4&amp;sourceID=14","4")</f>
        <v>4</v>
      </c>
      <c r="G994" s="4" t="str">
        <f>HYPERLINK("http://141.218.60.56/~jnz1568/getInfo.php?workbook=27_11.xlsx&amp;sheet=U0&amp;row=994&amp;col=7&amp;number=0.0137&amp;sourceID=14","0.0137")</f>
        <v>0.0137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HYPERLINK("http://141.218.60.56/~jnz1568/getInfo.php?workbook=27_11.xlsx&amp;sheet=U0&amp;row=995&amp;col=6&amp;number=4.1&amp;sourceID=14","4.1")</f>
        <v>4.1</v>
      </c>
      <c r="G995" s="4" t="str">
        <f>HYPERLINK("http://141.218.60.56/~jnz1568/getInfo.php?workbook=27_11.xlsx&amp;sheet=U0&amp;row=995&amp;col=7&amp;number=0.0137&amp;sourceID=14","0.0137")</f>
        <v>0.0137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HYPERLINK("http://141.218.60.56/~jnz1568/getInfo.php?workbook=27_11.xlsx&amp;sheet=U0&amp;row=996&amp;col=6&amp;number=4.2&amp;sourceID=14","4.2")</f>
        <v>4.2</v>
      </c>
      <c r="G996" s="4" t="str">
        <f>HYPERLINK("http://141.218.60.56/~jnz1568/getInfo.php?workbook=27_11.xlsx&amp;sheet=U0&amp;row=996&amp;col=7&amp;number=0.0137&amp;sourceID=14","0.0137")</f>
        <v>0.0137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HYPERLINK("http://141.218.60.56/~jnz1568/getInfo.php?workbook=27_11.xlsx&amp;sheet=U0&amp;row=997&amp;col=6&amp;number=4.3&amp;sourceID=14","4.3")</f>
        <v>4.3</v>
      </c>
      <c r="G997" s="4" t="str">
        <f>HYPERLINK("http://141.218.60.56/~jnz1568/getInfo.php?workbook=27_11.xlsx&amp;sheet=U0&amp;row=997&amp;col=7&amp;number=0.0137&amp;sourceID=14","0.0137")</f>
        <v>0.0137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HYPERLINK("http://141.218.60.56/~jnz1568/getInfo.php?workbook=27_11.xlsx&amp;sheet=U0&amp;row=998&amp;col=6&amp;number=4.4&amp;sourceID=14","4.4")</f>
        <v>4.4</v>
      </c>
      <c r="G998" s="4" t="str">
        <f>HYPERLINK("http://141.218.60.56/~jnz1568/getInfo.php?workbook=27_11.xlsx&amp;sheet=U0&amp;row=998&amp;col=7&amp;number=0.0137&amp;sourceID=14","0.0137")</f>
        <v>0.0137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HYPERLINK("http://141.218.60.56/~jnz1568/getInfo.php?workbook=27_11.xlsx&amp;sheet=U0&amp;row=999&amp;col=6&amp;number=4.5&amp;sourceID=14","4.5")</f>
        <v>4.5</v>
      </c>
      <c r="G999" s="4" t="str">
        <f>HYPERLINK("http://141.218.60.56/~jnz1568/getInfo.php?workbook=27_11.xlsx&amp;sheet=U0&amp;row=999&amp;col=7&amp;number=0.0137&amp;sourceID=14","0.0137")</f>
        <v>0.0137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HYPERLINK("http://141.218.60.56/~jnz1568/getInfo.php?workbook=27_11.xlsx&amp;sheet=U0&amp;row=1000&amp;col=6&amp;number=4.6&amp;sourceID=14","4.6")</f>
        <v>4.6</v>
      </c>
      <c r="G1000" s="4" t="str">
        <f>HYPERLINK("http://141.218.60.56/~jnz1568/getInfo.php?workbook=27_11.xlsx&amp;sheet=U0&amp;row=1000&amp;col=7&amp;number=0.0137&amp;sourceID=14","0.0137")</f>
        <v>0.0137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HYPERLINK("http://141.218.60.56/~jnz1568/getInfo.php?workbook=27_11.xlsx&amp;sheet=U0&amp;row=1001&amp;col=6&amp;number=4.7&amp;sourceID=14","4.7")</f>
        <v>4.7</v>
      </c>
      <c r="G1001" s="4" t="str">
        <f>HYPERLINK("http://141.218.60.56/~jnz1568/getInfo.php?workbook=27_11.xlsx&amp;sheet=U0&amp;row=1001&amp;col=7&amp;number=0.0137&amp;sourceID=14","0.0137")</f>
        <v>0.0137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HYPERLINK("http://141.218.60.56/~jnz1568/getInfo.php?workbook=27_11.xlsx&amp;sheet=U0&amp;row=1002&amp;col=6&amp;number=4.8&amp;sourceID=14","4.8")</f>
        <v>4.8</v>
      </c>
      <c r="G1002" s="4" t="str">
        <f>HYPERLINK("http://141.218.60.56/~jnz1568/getInfo.php?workbook=27_11.xlsx&amp;sheet=U0&amp;row=1002&amp;col=7&amp;number=0.0136&amp;sourceID=14","0.0136")</f>
        <v>0.0136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HYPERLINK("http://141.218.60.56/~jnz1568/getInfo.php?workbook=27_11.xlsx&amp;sheet=U0&amp;row=1003&amp;col=6&amp;number=4.9&amp;sourceID=14","4.9")</f>
        <v>4.9</v>
      </c>
      <c r="G1003" s="4" t="str">
        <f>HYPERLINK("http://141.218.60.56/~jnz1568/getInfo.php?workbook=27_11.xlsx&amp;sheet=U0&amp;row=1003&amp;col=7&amp;number=0.0136&amp;sourceID=14","0.0136")</f>
        <v>0.0136</v>
      </c>
    </row>
    <row r="1004" spans="1:7">
      <c r="A1004" s="3">
        <v>27</v>
      </c>
      <c r="B1004" s="3">
        <v>11</v>
      </c>
      <c r="C1004" s="3">
        <v>3</v>
      </c>
      <c r="D1004" s="3">
        <v>19</v>
      </c>
      <c r="E1004" s="3">
        <v>1</v>
      </c>
      <c r="F1004" s="4" t="str">
        <f>HYPERLINK("http://141.218.60.56/~jnz1568/getInfo.php?workbook=27_11.xlsx&amp;sheet=U0&amp;row=1004&amp;col=6&amp;number=3&amp;sourceID=14","3")</f>
        <v>3</v>
      </c>
      <c r="G1004" s="4" t="str">
        <f>HYPERLINK("http://141.218.60.56/~jnz1568/getInfo.php?workbook=27_11.xlsx&amp;sheet=U0&amp;row=1004&amp;col=7&amp;number=0.037&amp;sourceID=14","0.037")</f>
        <v>0.037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HYPERLINK("http://141.218.60.56/~jnz1568/getInfo.php?workbook=27_11.xlsx&amp;sheet=U0&amp;row=1005&amp;col=6&amp;number=3.1&amp;sourceID=14","3.1")</f>
        <v>3.1</v>
      </c>
      <c r="G1005" s="4" t="str">
        <f>HYPERLINK("http://141.218.60.56/~jnz1568/getInfo.php?workbook=27_11.xlsx&amp;sheet=U0&amp;row=1005&amp;col=7&amp;number=0.037&amp;sourceID=14","0.037")</f>
        <v>0.037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HYPERLINK("http://141.218.60.56/~jnz1568/getInfo.php?workbook=27_11.xlsx&amp;sheet=U0&amp;row=1006&amp;col=6&amp;number=3.2&amp;sourceID=14","3.2")</f>
        <v>3.2</v>
      </c>
      <c r="G1006" s="4" t="str">
        <f>HYPERLINK("http://141.218.60.56/~jnz1568/getInfo.php?workbook=27_11.xlsx&amp;sheet=U0&amp;row=1006&amp;col=7&amp;number=0.037&amp;sourceID=14","0.037")</f>
        <v>0.037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HYPERLINK("http://141.218.60.56/~jnz1568/getInfo.php?workbook=27_11.xlsx&amp;sheet=U0&amp;row=1007&amp;col=6&amp;number=3.3&amp;sourceID=14","3.3")</f>
        <v>3.3</v>
      </c>
      <c r="G1007" s="4" t="str">
        <f>HYPERLINK("http://141.218.60.56/~jnz1568/getInfo.php?workbook=27_11.xlsx&amp;sheet=U0&amp;row=1007&amp;col=7&amp;number=0.037&amp;sourceID=14","0.037")</f>
        <v>0.037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HYPERLINK("http://141.218.60.56/~jnz1568/getInfo.php?workbook=27_11.xlsx&amp;sheet=U0&amp;row=1008&amp;col=6&amp;number=3.4&amp;sourceID=14","3.4")</f>
        <v>3.4</v>
      </c>
      <c r="G1008" s="4" t="str">
        <f>HYPERLINK("http://141.218.60.56/~jnz1568/getInfo.php?workbook=27_11.xlsx&amp;sheet=U0&amp;row=1008&amp;col=7&amp;number=0.037&amp;sourceID=14","0.037")</f>
        <v>0.037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HYPERLINK("http://141.218.60.56/~jnz1568/getInfo.php?workbook=27_11.xlsx&amp;sheet=U0&amp;row=1009&amp;col=6&amp;number=3.5&amp;sourceID=14","3.5")</f>
        <v>3.5</v>
      </c>
      <c r="G1009" s="4" t="str">
        <f>HYPERLINK("http://141.218.60.56/~jnz1568/getInfo.php?workbook=27_11.xlsx&amp;sheet=U0&amp;row=1009&amp;col=7&amp;number=0.037&amp;sourceID=14","0.037")</f>
        <v>0.037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HYPERLINK("http://141.218.60.56/~jnz1568/getInfo.php?workbook=27_11.xlsx&amp;sheet=U0&amp;row=1010&amp;col=6&amp;number=3.6&amp;sourceID=14","3.6")</f>
        <v>3.6</v>
      </c>
      <c r="G1010" s="4" t="str">
        <f>HYPERLINK("http://141.218.60.56/~jnz1568/getInfo.php?workbook=27_11.xlsx&amp;sheet=U0&amp;row=1010&amp;col=7&amp;number=0.037&amp;sourceID=14","0.037")</f>
        <v>0.037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HYPERLINK("http://141.218.60.56/~jnz1568/getInfo.php?workbook=27_11.xlsx&amp;sheet=U0&amp;row=1011&amp;col=6&amp;number=3.7&amp;sourceID=14","3.7")</f>
        <v>3.7</v>
      </c>
      <c r="G1011" s="4" t="str">
        <f>HYPERLINK("http://141.218.60.56/~jnz1568/getInfo.php?workbook=27_11.xlsx&amp;sheet=U0&amp;row=1011&amp;col=7&amp;number=0.037&amp;sourceID=14","0.037")</f>
        <v>0.037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HYPERLINK("http://141.218.60.56/~jnz1568/getInfo.php?workbook=27_11.xlsx&amp;sheet=U0&amp;row=1012&amp;col=6&amp;number=3.8&amp;sourceID=14","3.8")</f>
        <v>3.8</v>
      </c>
      <c r="G1012" s="4" t="str">
        <f>HYPERLINK("http://141.218.60.56/~jnz1568/getInfo.php?workbook=27_11.xlsx&amp;sheet=U0&amp;row=1012&amp;col=7&amp;number=0.037&amp;sourceID=14","0.037")</f>
        <v>0.037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HYPERLINK("http://141.218.60.56/~jnz1568/getInfo.php?workbook=27_11.xlsx&amp;sheet=U0&amp;row=1013&amp;col=6&amp;number=3.9&amp;sourceID=14","3.9")</f>
        <v>3.9</v>
      </c>
      <c r="G1013" s="4" t="str">
        <f>HYPERLINK("http://141.218.60.56/~jnz1568/getInfo.php?workbook=27_11.xlsx&amp;sheet=U0&amp;row=1013&amp;col=7&amp;number=0.037&amp;sourceID=14","0.037")</f>
        <v>0.037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HYPERLINK("http://141.218.60.56/~jnz1568/getInfo.php?workbook=27_11.xlsx&amp;sheet=U0&amp;row=1014&amp;col=6&amp;number=4&amp;sourceID=14","4")</f>
        <v>4</v>
      </c>
      <c r="G1014" s="4" t="str">
        <f>HYPERLINK("http://141.218.60.56/~jnz1568/getInfo.php?workbook=27_11.xlsx&amp;sheet=U0&amp;row=1014&amp;col=7&amp;number=0.037&amp;sourceID=14","0.037")</f>
        <v>0.037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HYPERLINK("http://141.218.60.56/~jnz1568/getInfo.php?workbook=27_11.xlsx&amp;sheet=U0&amp;row=1015&amp;col=6&amp;number=4.1&amp;sourceID=14","4.1")</f>
        <v>4.1</v>
      </c>
      <c r="G1015" s="4" t="str">
        <f>HYPERLINK("http://141.218.60.56/~jnz1568/getInfo.php?workbook=27_11.xlsx&amp;sheet=U0&amp;row=1015&amp;col=7&amp;number=0.037&amp;sourceID=14","0.037")</f>
        <v>0.037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HYPERLINK("http://141.218.60.56/~jnz1568/getInfo.php?workbook=27_11.xlsx&amp;sheet=U0&amp;row=1016&amp;col=6&amp;number=4.2&amp;sourceID=14","4.2")</f>
        <v>4.2</v>
      </c>
      <c r="G1016" s="4" t="str">
        <f>HYPERLINK("http://141.218.60.56/~jnz1568/getInfo.php?workbook=27_11.xlsx&amp;sheet=U0&amp;row=1016&amp;col=7&amp;number=0.037&amp;sourceID=14","0.037")</f>
        <v>0.037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HYPERLINK("http://141.218.60.56/~jnz1568/getInfo.php?workbook=27_11.xlsx&amp;sheet=U0&amp;row=1017&amp;col=6&amp;number=4.3&amp;sourceID=14","4.3")</f>
        <v>4.3</v>
      </c>
      <c r="G1017" s="4" t="str">
        <f>HYPERLINK("http://141.218.60.56/~jnz1568/getInfo.php?workbook=27_11.xlsx&amp;sheet=U0&amp;row=1017&amp;col=7&amp;number=0.037&amp;sourceID=14","0.037")</f>
        <v>0.037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HYPERLINK("http://141.218.60.56/~jnz1568/getInfo.php?workbook=27_11.xlsx&amp;sheet=U0&amp;row=1018&amp;col=6&amp;number=4.4&amp;sourceID=14","4.4")</f>
        <v>4.4</v>
      </c>
      <c r="G1018" s="4" t="str">
        <f>HYPERLINK("http://141.218.60.56/~jnz1568/getInfo.php?workbook=27_11.xlsx&amp;sheet=U0&amp;row=1018&amp;col=7&amp;number=0.037&amp;sourceID=14","0.037")</f>
        <v>0.037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HYPERLINK("http://141.218.60.56/~jnz1568/getInfo.php?workbook=27_11.xlsx&amp;sheet=U0&amp;row=1019&amp;col=6&amp;number=4.5&amp;sourceID=14","4.5")</f>
        <v>4.5</v>
      </c>
      <c r="G1019" s="4" t="str">
        <f>HYPERLINK("http://141.218.60.56/~jnz1568/getInfo.php?workbook=27_11.xlsx&amp;sheet=U0&amp;row=1019&amp;col=7&amp;number=0.037&amp;sourceID=14","0.037")</f>
        <v>0.037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HYPERLINK("http://141.218.60.56/~jnz1568/getInfo.php?workbook=27_11.xlsx&amp;sheet=U0&amp;row=1020&amp;col=6&amp;number=4.6&amp;sourceID=14","4.6")</f>
        <v>4.6</v>
      </c>
      <c r="G1020" s="4" t="str">
        <f>HYPERLINK("http://141.218.60.56/~jnz1568/getInfo.php?workbook=27_11.xlsx&amp;sheet=U0&amp;row=1020&amp;col=7&amp;number=0.037&amp;sourceID=14","0.037")</f>
        <v>0.037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HYPERLINK("http://141.218.60.56/~jnz1568/getInfo.php?workbook=27_11.xlsx&amp;sheet=U0&amp;row=1021&amp;col=6&amp;number=4.7&amp;sourceID=14","4.7")</f>
        <v>4.7</v>
      </c>
      <c r="G1021" s="4" t="str">
        <f>HYPERLINK("http://141.218.60.56/~jnz1568/getInfo.php?workbook=27_11.xlsx&amp;sheet=U0&amp;row=1021&amp;col=7&amp;number=0.037&amp;sourceID=14","0.037")</f>
        <v>0.037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HYPERLINK("http://141.218.60.56/~jnz1568/getInfo.php?workbook=27_11.xlsx&amp;sheet=U0&amp;row=1022&amp;col=6&amp;number=4.8&amp;sourceID=14","4.8")</f>
        <v>4.8</v>
      </c>
      <c r="G1022" s="4" t="str">
        <f>HYPERLINK("http://141.218.60.56/~jnz1568/getInfo.php?workbook=27_11.xlsx&amp;sheet=U0&amp;row=1022&amp;col=7&amp;number=0.0371&amp;sourceID=14","0.0371")</f>
        <v>0.0371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HYPERLINK("http://141.218.60.56/~jnz1568/getInfo.php?workbook=27_11.xlsx&amp;sheet=U0&amp;row=1023&amp;col=6&amp;number=4.9&amp;sourceID=14","4.9")</f>
        <v>4.9</v>
      </c>
      <c r="G1023" s="4" t="str">
        <f>HYPERLINK("http://141.218.60.56/~jnz1568/getInfo.php?workbook=27_11.xlsx&amp;sheet=U0&amp;row=1023&amp;col=7&amp;number=0.0371&amp;sourceID=14","0.0371")</f>
        <v>0.0371</v>
      </c>
    </row>
    <row r="1024" spans="1:7">
      <c r="A1024" s="3">
        <v>27</v>
      </c>
      <c r="B1024" s="3">
        <v>11</v>
      </c>
      <c r="C1024" s="3">
        <v>4</v>
      </c>
      <c r="D1024" s="3">
        <v>5</v>
      </c>
      <c r="E1024" s="3">
        <v>1</v>
      </c>
      <c r="F1024" s="4" t="str">
        <f>HYPERLINK("http://141.218.60.56/~jnz1568/getInfo.php?workbook=27_11.xlsx&amp;sheet=U0&amp;row=1024&amp;col=6&amp;number=3&amp;sourceID=14","3")</f>
        <v>3</v>
      </c>
      <c r="G1024" s="4" t="str">
        <f>HYPERLINK("http://141.218.60.56/~jnz1568/getInfo.php?workbook=27_11.xlsx&amp;sheet=U0&amp;row=1024&amp;col=7&amp;number=0.211&amp;sourceID=14","0.211")</f>
        <v>0.211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HYPERLINK("http://141.218.60.56/~jnz1568/getInfo.php?workbook=27_11.xlsx&amp;sheet=U0&amp;row=1025&amp;col=6&amp;number=3.1&amp;sourceID=14","3.1")</f>
        <v>3.1</v>
      </c>
      <c r="G1025" s="4" t="str">
        <f>HYPERLINK("http://141.218.60.56/~jnz1568/getInfo.php?workbook=27_11.xlsx&amp;sheet=U0&amp;row=1025&amp;col=7&amp;number=0.211&amp;sourceID=14","0.211")</f>
        <v>0.211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HYPERLINK("http://141.218.60.56/~jnz1568/getInfo.php?workbook=27_11.xlsx&amp;sheet=U0&amp;row=1026&amp;col=6&amp;number=3.2&amp;sourceID=14","3.2")</f>
        <v>3.2</v>
      </c>
      <c r="G1026" s="4" t="str">
        <f>HYPERLINK("http://141.218.60.56/~jnz1568/getInfo.php?workbook=27_11.xlsx&amp;sheet=U0&amp;row=1026&amp;col=7&amp;number=0.211&amp;sourceID=14","0.211")</f>
        <v>0.211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HYPERLINK("http://141.218.60.56/~jnz1568/getInfo.php?workbook=27_11.xlsx&amp;sheet=U0&amp;row=1027&amp;col=6&amp;number=3.3&amp;sourceID=14","3.3")</f>
        <v>3.3</v>
      </c>
      <c r="G1027" s="4" t="str">
        <f>HYPERLINK("http://141.218.60.56/~jnz1568/getInfo.php?workbook=27_11.xlsx&amp;sheet=U0&amp;row=1027&amp;col=7&amp;number=0.211&amp;sourceID=14","0.211")</f>
        <v>0.211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HYPERLINK("http://141.218.60.56/~jnz1568/getInfo.php?workbook=27_11.xlsx&amp;sheet=U0&amp;row=1028&amp;col=6&amp;number=3.4&amp;sourceID=14","3.4")</f>
        <v>3.4</v>
      </c>
      <c r="G1028" s="4" t="str">
        <f>HYPERLINK("http://141.218.60.56/~jnz1568/getInfo.php?workbook=27_11.xlsx&amp;sheet=U0&amp;row=1028&amp;col=7&amp;number=0.211&amp;sourceID=14","0.211")</f>
        <v>0.211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HYPERLINK("http://141.218.60.56/~jnz1568/getInfo.php?workbook=27_11.xlsx&amp;sheet=U0&amp;row=1029&amp;col=6&amp;number=3.5&amp;sourceID=14","3.5")</f>
        <v>3.5</v>
      </c>
      <c r="G1029" s="4" t="str">
        <f>HYPERLINK("http://141.218.60.56/~jnz1568/getInfo.php?workbook=27_11.xlsx&amp;sheet=U0&amp;row=1029&amp;col=7&amp;number=0.211&amp;sourceID=14","0.211")</f>
        <v>0.211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HYPERLINK("http://141.218.60.56/~jnz1568/getInfo.php?workbook=27_11.xlsx&amp;sheet=U0&amp;row=1030&amp;col=6&amp;number=3.6&amp;sourceID=14","3.6")</f>
        <v>3.6</v>
      </c>
      <c r="G1030" s="4" t="str">
        <f>HYPERLINK("http://141.218.60.56/~jnz1568/getInfo.php?workbook=27_11.xlsx&amp;sheet=U0&amp;row=1030&amp;col=7&amp;number=0.211&amp;sourceID=14","0.211")</f>
        <v>0.211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HYPERLINK("http://141.218.60.56/~jnz1568/getInfo.php?workbook=27_11.xlsx&amp;sheet=U0&amp;row=1031&amp;col=6&amp;number=3.7&amp;sourceID=14","3.7")</f>
        <v>3.7</v>
      </c>
      <c r="G1031" s="4" t="str">
        <f>HYPERLINK("http://141.218.60.56/~jnz1568/getInfo.php?workbook=27_11.xlsx&amp;sheet=U0&amp;row=1031&amp;col=7&amp;number=0.211&amp;sourceID=14","0.211")</f>
        <v>0.211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HYPERLINK("http://141.218.60.56/~jnz1568/getInfo.php?workbook=27_11.xlsx&amp;sheet=U0&amp;row=1032&amp;col=6&amp;number=3.8&amp;sourceID=14","3.8")</f>
        <v>3.8</v>
      </c>
      <c r="G1032" s="4" t="str">
        <f>HYPERLINK("http://141.218.60.56/~jnz1568/getInfo.php?workbook=27_11.xlsx&amp;sheet=U0&amp;row=1032&amp;col=7&amp;number=0.211&amp;sourceID=14","0.211")</f>
        <v>0.211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HYPERLINK("http://141.218.60.56/~jnz1568/getInfo.php?workbook=27_11.xlsx&amp;sheet=U0&amp;row=1033&amp;col=6&amp;number=3.9&amp;sourceID=14","3.9")</f>
        <v>3.9</v>
      </c>
      <c r="G1033" s="4" t="str">
        <f>HYPERLINK("http://141.218.60.56/~jnz1568/getInfo.php?workbook=27_11.xlsx&amp;sheet=U0&amp;row=1033&amp;col=7&amp;number=0.211&amp;sourceID=14","0.211")</f>
        <v>0.211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HYPERLINK("http://141.218.60.56/~jnz1568/getInfo.php?workbook=27_11.xlsx&amp;sheet=U0&amp;row=1034&amp;col=6&amp;number=4&amp;sourceID=14","4")</f>
        <v>4</v>
      </c>
      <c r="G1034" s="4" t="str">
        <f>HYPERLINK("http://141.218.60.56/~jnz1568/getInfo.php?workbook=27_11.xlsx&amp;sheet=U0&amp;row=1034&amp;col=7&amp;number=0.211&amp;sourceID=14","0.211")</f>
        <v>0.211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HYPERLINK("http://141.218.60.56/~jnz1568/getInfo.php?workbook=27_11.xlsx&amp;sheet=U0&amp;row=1035&amp;col=6&amp;number=4.1&amp;sourceID=14","4.1")</f>
        <v>4.1</v>
      </c>
      <c r="G1035" s="4" t="str">
        <f>HYPERLINK("http://141.218.60.56/~jnz1568/getInfo.php?workbook=27_11.xlsx&amp;sheet=U0&amp;row=1035&amp;col=7&amp;number=0.211&amp;sourceID=14","0.211")</f>
        <v>0.211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HYPERLINK("http://141.218.60.56/~jnz1568/getInfo.php?workbook=27_11.xlsx&amp;sheet=U0&amp;row=1036&amp;col=6&amp;number=4.2&amp;sourceID=14","4.2")</f>
        <v>4.2</v>
      </c>
      <c r="G1036" s="4" t="str">
        <f>HYPERLINK("http://141.218.60.56/~jnz1568/getInfo.php?workbook=27_11.xlsx&amp;sheet=U0&amp;row=1036&amp;col=7&amp;number=0.21&amp;sourceID=14","0.21")</f>
        <v>0.21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HYPERLINK("http://141.218.60.56/~jnz1568/getInfo.php?workbook=27_11.xlsx&amp;sheet=U0&amp;row=1037&amp;col=6&amp;number=4.3&amp;sourceID=14","4.3")</f>
        <v>4.3</v>
      </c>
      <c r="G1037" s="4" t="str">
        <f>HYPERLINK("http://141.218.60.56/~jnz1568/getInfo.php?workbook=27_11.xlsx&amp;sheet=U0&amp;row=1037&amp;col=7&amp;number=0.21&amp;sourceID=14","0.21")</f>
        <v>0.21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HYPERLINK("http://141.218.60.56/~jnz1568/getInfo.php?workbook=27_11.xlsx&amp;sheet=U0&amp;row=1038&amp;col=6&amp;number=4.4&amp;sourceID=14","4.4")</f>
        <v>4.4</v>
      </c>
      <c r="G1038" s="4" t="str">
        <f>HYPERLINK("http://141.218.60.56/~jnz1568/getInfo.php?workbook=27_11.xlsx&amp;sheet=U0&amp;row=1038&amp;col=7&amp;number=0.21&amp;sourceID=14","0.21")</f>
        <v>0.21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HYPERLINK("http://141.218.60.56/~jnz1568/getInfo.php?workbook=27_11.xlsx&amp;sheet=U0&amp;row=1039&amp;col=6&amp;number=4.5&amp;sourceID=14","4.5")</f>
        <v>4.5</v>
      </c>
      <c r="G1039" s="4" t="str">
        <f>HYPERLINK("http://141.218.60.56/~jnz1568/getInfo.php?workbook=27_11.xlsx&amp;sheet=U0&amp;row=1039&amp;col=7&amp;number=0.21&amp;sourceID=14","0.21")</f>
        <v>0.21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HYPERLINK("http://141.218.60.56/~jnz1568/getInfo.php?workbook=27_11.xlsx&amp;sheet=U0&amp;row=1040&amp;col=6&amp;number=4.6&amp;sourceID=14","4.6")</f>
        <v>4.6</v>
      </c>
      <c r="G1040" s="4" t="str">
        <f>HYPERLINK("http://141.218.60.56/~jnz1568/getInfo.php?workbook=27_11.xlsx&amp;sheet=U0&amp;row=1040&amp;col=7&amp;number=0.209&amp;sourceID=14","0.209")</f>
        <v>0.209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HYPERLINK("http://141.218.60.56/~jnz1568/getInfo.php?workbook=27_11.xlsx&amp;sheet=U0&amp;row=1041&amp;col=6&amp;number=4.7&amp;sourceID=14","4.7")</f>
        <v>4.7</v>
      </c>
      <c r="G1041" s="4" t="str">
        <f>HYPERLINK("http://141.218.60.56/~jnz1568/getInfo.php?workbook=27_11.xlsx&amp;sheet=U0&amp;row=1041&amp;col=7&amp;number=0.209&amp;sourceID=14","0.209")</f>
        <v>0.209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HYPERLINK("http://141.218.60.56/~jnz1568/getInfo.php?workbook=27_11.xlsx&amp;sheet=U0&amp;row=1042&amp;col=6&amp;number=4.8&amp;sourceID=14","4.8")</f>
        <v>4.8</v>
      </c>
      <c r="G1042" s="4" t="str">
        <f>HYPERLINK("http://141.218.60.56/~jnz1568/getInfo.php?workbook=27_11.xlsx&amp;sheet=U0&amp;row=1042&amp;col=7&amp;number=0.208&amp;sourceID=14","0.208")</f>
        <v>0.208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HYPERLINK("http://141.218.60.56/~jnz1568/getInfo.php?workbook=27_11.xlsx&amp;sheet=U0&amp;row=1043&amp;col=6&amp;number=4.9&amp;sourceID=14","4.9")</f>
        <v>4.9</v>
      </c>
      <c r="G1043" s="4" t="str">
        <f>HYPERLINK("http://141.218.60.56/~jnz1568/getInfo.php?workbook=27_11.xlsx&amp;sheet=U0&amp;row=1043&amp;col=7&amp;number=0.207&amp;sourceID=14","0.207")</f>
        <v>0.207</v>
      </c>
    </row>
    <row r="1044" spans="1:7">
      <c r="A1044" s="3">
        <v>27</v>
      </c>
      <c r="B1044" s="3">
        <v>11</v>
      </c>
      <c r="C1044" s="3">
        <v>4</v>
      </c>
      <c r="D1044" s="3">
        <v>6</v>
      </c>
      <c r="E1044" s="3">
        <v>1</v>
      </c>
      <c r="F1044" s="4" t="str">
        <f>HYPERLINK("http://141.218.60.56/~jnz1568/getInfo.php?workbook=27_11.xlsx&amp;sheet=U0&amp;row=1044&amp;col=6&amp;number=3&amp;sourceID=14","3")</f>
        <v>3</v>
      </c>
      <c r="G1044" s="4" t="str">
        <f>HYPERLINK("http://141.218.60.56/~jnz1568/getInfo.php?workbook=27_11.xlsx&amp;sheet=U0&amp;row=1044&amp;col=7&amp;number=0.0124&amp;sourceID=14","0.0124")</f>
        <v>0.0124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HYPERLINK("http://141.218.60.56/~jnz1568/getInfo.php?workbook=27_11.xlsx&amp;sheet=U0&amp;row=1045&amp;col=6&amp;number=3.1&amp;sourceID=14","3.1")</f>
        <v>3.1</v>
      </c>
      <c r="G1045" s="4" t="str">
        <f>HYPERLINK("http://141.218.60.56/~jnz1568/getInfo.php?workbook=27_11.xlsx&amp;sheet=U0&amp;row=1045&amp;col=7&amp;number=0.0124&amp;sourceID=14","0.0124")</f>
        <v>0.0124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HYPERLINK("http://141.218.60.56/~jnz1568/getInfo.php?workbook=27_11.xlsx&amp;sheet=U0&amp;row=1046&amp;col=6&amp;number=3.2&amp;sourceID=14","3.2")</f>
        <v>3.2</v>
      </c>
      <c r="G1046" s="4" t="str">
        <f>HYPERLINK("http://141.218.60.56/~jnz1568/getInfo.php?workbook=27_11.xlsx&amp;sheet=U0&amp;row=1046&amp;col=7&amp;number=0.0124&amp;sourceID=14","0.0124")</f>
        <v>0.0124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HYPERLINK("http://141.218.60.56/~jnz1568/getInfo.php?workbook=27_11.xlsx&amp;sheet=U0&amp;row=1047&amp;col=6&amp;number=3.3&amp;sourceID=14","3.3")</f>
        <v>3.3</v>
      </c>
      <c r="G1047" s="4" t="str">
        <f>HYPERLINK("http://141.218.60.56/~jnz1568/getInfo.php?workbook=27_11.xlsx&amp;sheet=U0&amp;row=1047&amp;col=7&amp;number=0.0124&amp;sourceID=14","0.0124")</f>
        <v>0.0124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HYPERLINK("http://141.218.60.56/~jnz1568/getInfo.php?workbook=27_11.xlsx&amp;sheet=U0&amp;row=1048&amp;col=6&amp;number=3.4&amp;sourceID=14","3.4")</f>
        <v>3.4</v>
      </c>
      <c r="G1048" s="4" t="str">
        <f>HYPERLINK("http://141.218.60.56/~jnz1568/getInfo.php?workbook=27_11.xlsx&amp;sheet=U0&amp;row=1048&amp;col=7&amp;number=0.0124&amp;sourceID=14","0.0124")</f>
        <v>0.0124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HYPERLINK("http://141.218.60.56/~jnz1568/getInfo.php?workbook=27_11.xlsx&amp;sheet=U0&amp;row=1049&amp;col=6&amp;number=3.5&amp;sourceID=14","3.5")</f>
        <v>3.5</v>
      </c>
      <c r="G1049" s="4" t="str">
        <f>HYPERLINK("http://141.218.60.56/~jnz1568/getInfo.php?workbook=27_11.xlsx&amp;sheet=U0&amp;row=1049&amp;col=7&amp;number=0.0124&amp;sourceID=14","0.0124")</f>
        <v>0.0124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HYPERLINK("http://141.218.60.56/~jnz1568/getInfo.php?workbook=27_11.xlsx&amp;sheet=U0&amp;row=1050&amp;col=6&amp;number=3.6&amp;sourceID=14","3.6")</f>
        <v>3.6</v>
      </c>
      <c r="G1050" s="4" t="str">
        <f>HYPERLINK("http://141.218.60.56/~jnz1568/getInfo.php?workbook=27_11.xlsx&amp;sheet=U0&amp;row=1050&amp;col=7&amp;number=0.0124&amp;sourceID=14","0.0124")</f>
        <v>0.0124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HYPERLINK("http://141.218.60.56/~jnz1568/getInfo.php?workbook=27_11.xlsx&amp;sheet=U0&amp;row=1051&amp;col=6&amp;number=3.7&amp;sourceID=14","3.7")</f>
        <v>3.7</v>
      </c>
      <c r="G1051" s="4" t="str">
        <f>HYPERLINK("http://141.218.60.56/~jnz1568/getInfo.php?workbook=27_11.xlsx&amp;sheet=U0&amp;row=1051&amp;col=7&amp;number=0.0124&amp;sourceID=14","0.0124")</f>
        <v>0.0124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HYPERLINK("http://141.218.60.56/~jnz1568/getInfo.php?workbook=27_11.xlsx&amp;sheet=U0&amp;row=1052&amp;col=6&amp;number=3.8&amp;sourceID=14","3.8")</f>
        <v>3.8</v>
      </c>
      <c r="G1052" s="4" t="str">
        <f>HYPERLINK("http://141.218.60.56/~jnz1568/getInfo.php?workbook=27_11.xlsx&amp;sheet=U0&amp;row=1052&amp;col=7&amp;number=0.0124&amp;sourceID=14","0.0124")</f>
        <v>0.0124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HYPERLINK("http://141.218.60.56/~jnz1568/getInfo.php?workbook=27_11.xlsx&amp;sheet=U0&amp;row=1053&amp;col=6&amp;number=3.9&amp;sourceID=14","3.9")</f>
        <v>3.9</v>
      </c>
      <c r="G1053" s="4" t="str">
        <f>HYPERLINK("http://141.218.60.56/~jnz1568/getInfo.php?workbook=27_11.xlsx&amp;sheet=U0&amp;row=1053&amp;col=7&amp;number=0.0124&amp;sourceID=14","0.0124")</f>
        <v>0.0124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HYPERLINK("http://141.218.60.56/~jnz1568/getInfo.php?workbook=27_11.xlsx&amp;sheet=U0&amp;row=1054&amp;col=6&amp;number=4&amp;sourceID=14","4")</f>
        <v>4</v>
      </c>
      <c r="G1054" s="4" t="str">
        <f>HYPERLINK("http://141.218.60.56/~jnz1568/getInfo.php?workbook=27_11.xlsx&amp;sheet=U0&amp;row=1054&amp;col=7&amp;number=0.0124&amp;sourceID=14","0.0124")</f>
        <v>0.0124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HYPERLINK("http://141.218.60.56/~jnz1568/getInfo.php?workbook=27_11.xlsx&amp;sheet=U0&amp;row=1055&amp;col=6&amp;number=4.1&amp;sourceID=14","4.1")</f>
        <v>4.1</v>
      </c>
      <c r="G1055" s="4" t="str">
        <f>HYPERLINK("http://141.218.60.56/~jnz1568/getInfo.php?workbook=27_11.xlsx&amp;sheet=U0&amp;row=1055&amp;col=7&amp;number=0.0124&amp;sourceID=14","0.0124")</f>
        <v>0.0124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HYPERLINK("http://141.218.60.56/~jnz1568/getInfo.php?workbook=27_11.xlsx&amp;sheet=U0&amp;row=1056&amp;col=6&amp;number=4.2&amp;sourceID=14","4.2")</f>
        <v>4.2</v>
      </c>
      <c r="G1056" s="4" t="str">
        <f>HYPERLINK("http://141.218.60.56/~jnz1568/getInfo.php?workbook=27_11.xlsx&amp;sheet=U0&amp;row=1056&amp;col=7&amp;number=0.0124&amp;sourceID=14","0.0124")</f>
        <v>0.0124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HYPERLINK("http://141.218.60.56/~jnz1568/getInfo.php?workbook=27_11.xlsx&amp;sheet=U0&amp;row=1057&amp;col=6&amp;number=4.3&amp;sourceID=14","4.3")</f>
        <v>4.3</v>
      </c>
      <c r="G1057" s="4" t="str">
        <f>HYPERLINK("http://141.218.60.56/~jnz1568/getInfo.php?workbook=27_11.xlsx&amp;sheet=U0&amp;row=1057&amp;col=7&amp;number=0.0124&amp;sourceID=14","0.0124")</f>
        <v>0.0124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HYPERLINK("http://141.218.60.56/~jnz1568/getInfo.php?workbook=27_11.xlsx&amp;sheet=U0&amp;row=1058&amp;col=6&amp;number=4.4&amp;sourceID=14","4.4")</f>
        <v>4.4</v>
      </c>
      <c r="G1058" s="4" t="str">
        <f>HYPERLINK("http://141.218.60.56/~jnz1568/getInfo.php?workbook=27_11.xlsx&amp;sheet=U0&amp;row=1058&amp;col=7&amp;number=0.0124&amp;sourceID=14","0.0124")</f>
        <v>0.0124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HYPERLINK("http://141.218.60.56/~jnz1568/getInfo.php?workbook=27_11.xlsx&amp;sheet=U0&amp;row=1059&amp;col=6&amp;number=4.5&amp;sourceID=14","4.5")</f>
        <v>4.5</v>
      </c>
      <c r="G1059" s="4" t="str">
        <f>HYPERLINK("http://141.218.60.56/~jnz1568/getInfo.php?workbook=27_11.xlsx&amp;sheet=U0&amp;row=1059&amp;col=7&amp;number=0.0124&amp;sourceID=14","0.0124")</f>
        <v>0.0124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HYPERLINK("http://141.218.60.56/~jnz1568/getInfo.php?workbook=27_11.xlsx&amp;sheet=U0&amp;row=1060&amp;col=6&amp;number=4.6&amp;sourceID=14","4.6")</f>
        <v>4.6</v>
      </c>
      <c r="G1060" s="4" t="str">
        <f>HYPERLINK("http://141.218.60.56/~jnz1568/getInfo.php?workbook=27_11.xlsx&amp;sheet=U0&amp;row=1060&amp;col=7&amp;number=0.0124&amp;sourceID=14","0.0124")</f>
        <v>0.0124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HYPERLINK("http://141.218.60.56/~jnz1568/getInfo.php?workbook=27_11.xlsx&amp;sheet=U0&amp;row=1061&amp;col=6&amp;number=4.7&amp;sourceID=14","4.7")</f>
        <v>4.7</v>
      </c>
      <c r="G1061" s="4" t="str">
        <f>HYPERLINK("http://141.218.60.56/~jnz1568/getInfo.php?workbook=27_11.xlsx&amp;sheet=U0&amp;row=1061&amp;col=7&amp;number=0.0124&amp;sourceID=14","0.0124")</f>
        <v>0.0124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HYPERLINK("http://141.218.60.56/~jnz1568/getInfo.php?workbook=27_11.xlsx&amp;sheet=U0&amp;row=1062&amp;col=6&amp;number=4.8&amp;sourceID=14","4.8")</f>
        <v>4.8</v>
      </c>
      <c r="G1062" s="4" t="str">
        <f>HYPERLINK("http://141.218.60.56/~jnz1568/getInfo.php?workbook=27_11.xlsx&amp;sheet=U0&amp;row=1062&amp;col=7&amp;number=0.0124&amp;sourceID=14","0.0124")</f>
        <v>0.0124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HYPERLINK("http://141.218.60.56/~jnz1568/getInfo.php?workbook=27_11.xlsx&amp;sheet=U0&amp;row=1063&amp;col=6&amp;number=4.9&amp;sourceID=14","4.9")</f>
        <v>4.9</v>
      </c>
      <c r="G1063" s="4" t="str">
        <f>HYPERLINK("http://141.218.60.56/~jnz1568/getInfo.php?workbook=27_11.xlsx&amp;sheet=U0&amp;row=1063&amp;col=7&amp;number=0.0124&amp;sourceID=14","0.0124")</f>
        <v>0.0124</v>
      </c>
    </row>
    <row r="1064" spans="1:7">
      <c r="A1064" s="3">
        <v>27</v>
      </c>
      <c r="B1064" s="3">
        <v>11</v>
      </c>
      <c r="C1064" s="3">
        <v>4</v>
      </c>
      <c r="D1064" s="3">
        <v>7</v>
      </c>
      <c r="E1064" s="3">
        <v>1</v>
      </c>
      <c r="F1064" s="4" t="str">
        <f>HYPERLINK("http://141.218.60.56/~jnz1568/getInfo.php?workbook=27_11.xlsx&amp;sheet=U0&amp;row=1064&amp;col=6&amp;number=3&amp;sourceID=14","3")</f>
        <v>3</v>
      </c>
      <c r="G1064" s="4" t="str">
        <f>HYPERLINK("http://141.218.60.56/~jnz1568/getInfo.php?workbook=27_11.xlsx&amp;sheet=U0&amp;row=1064&amp;col=7&amp;number=0.0164&amp;sourceID=14","0.0164")</f>
        <v>0.0164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HYPERLINK("http://141.218.60.56/~jnz1568/getInfo.php?workbook=27_11.xlsx&amp;sheet=U0&amp;row=1065&amp;col=6&amp;number=3.1&amp;sourceID=14","3.1")</f>
        <v>3.1</v>
      </c>
      <c r="G1065" s="4" t="str">
        <f>HYPERLINK("http://141.218.60.56/~jnz1568/getInfo.php?workbook=27_11.xlsx&amp;sheet=U0&amp;row=1065&amp;col=7&amp;number=0.0164&amp;sourceID=14","0.0164")</f>
        <v>0.0164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HYPERLINK("http://141.218.60.56/~jnz1568/getInfo.php?workbook=27_11.xlsx&amp;sheet=U0&amp;row=1066&amp;col=6&amp;number=3.2&amp;sourceID=14","3.2")</f>
        <v>3.2</v>
      </c>
      <c r="G1066" s="4" t="str">
        <f>HYPERLINK("http://141.218.60.56/~jnz1568/getInfo.php?workbook=27_11.xlsx&amp;sheet=U0&amp;row=1066&amp;col=7&amp;number=0.0164&amp;sourceID=14","0.0164")</f>
        <v>0.0164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HYPERLINK("http://141.218.60.56/~jnz1568/getInfo.php?workbook=27_11.xlsx&amp;sheet=U0&amp;row=1067&amp;col=6&amp;number=3.3&amp;sourceID=14","3.3")</f>
        <v>3.3</v>
      </c>
      <c r="G1067" s="4" t="str">
        <f>HYPERLINK("http://141.218.60.56/~jnz1568/getInfo.php?workbook=27_11.xlsx&amp;sheet=U0&amp;row=1067&amp;col=7&amp;number=0.0164&amp;sourceID=14","0.0164")</f>
        <v>0.0164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HYPERLINK("http://141.218.60.56/~jnz1568/getInfo.php?workbook=27_11.xlsx&amp;sheet=U0&amp;row=1068&amp;col=6&amp;number=3.4&amp;sourceID=14","3.4")</f>
        <v>3.4</v>
      </c>
      <c r="G1068" s="4" t="str">
        <f>HYPERLINK("http://141.218.60.56/~jnz1568/getInfo.php?workbook=27_11.xlsx&amp;sheet=U0&amp;row=1068&amp;col=7&amp;number=0.0164&amp;sourceID=14","0.0164")</f>
        <v>0.0164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HYPERLINK("http://141.218.60.56/~jnz1568/getInfo.php?workbook=27_11.xlsx&amp;sheet=U0&amp;row=1069&amp;col=6&amp;number=3.5&amp;sourceID=14","3.5")</f>
        <v>3.5</v>
      </c>
      <c r="G1069" s="4" t="str">
        <f>HYPERLINK("http://141.218.60.56/~jnz1568/getInfo.php?workbook=27_11.xlsx&amp;sheet=U0&amp;row=1069&amp;col=7&amp;number=0.0165&amp;sourceID=14","0.0165")</f>
        <v>0.0165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HYPERLINK("http://141.218.60.56/~jnz1568/getInfo.php?workbook=27_11.xlsx&amp;sheet=U0&amp;row=1070&amp;col=6&amp;number=3.6&amp;sourceID=14","3.6")</f>
        <v>3.6</v>
      </c>
      <c r="G1070" s="4" t="str">
        <f>HYPERLINK("http://141.218.60.56/~jnz1568/getInfo.php?workbook=27_11.xlsx&amp;sheet=U0&amp;row=1070&amp;col=7&amp;number=0.0165&amp;sourceID=14","0.0165")</f>
        <v>0.0165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HYPERLINK("http://141.218.60.56/~jnz1568/getInfo.php?workbook=27_11.xlsx&amp;sheet=U0&amp;row=1071&amp;col=6&amp;number=3.7&amp;sourceID=14","3.7")</f>
        <v>3.7</v>
      </c>
      <c r="G1071" s="4" t="str">
        <f>HYPERLINK("http://141.218.60.56/~jnz1568/getInfo.php?workbook=27_11.xlsx&amp;sheet=U0&amp;row=1071&amp;col=7&amp;number=0.0165&amp;sourceID=14","0.0165")</f>
        <v>0.0165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HYPERLINK("http://141.218.60.56/~jnz1568/getInfo.php?workbook=27_11.xlsx&amp;sheet=U0&amp;row=1072&amp;col=6&amp;number=3.8&amp;sourceID=14","3.8")</f>
        <v>3.8</v>
      </c>
      <c r="G1072" s="4" t="str">
        <f>HYPERLINK("http://141.218.60.56/~jnz1568/getInfo.php?workbook=27_11.xlsx&amp;sheet=U0&amp;row=1072&amp;col=7&amp;number=0.0165&amp;sourceID=14","0.0165")</f>
        <v>0.0165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HYPERLINK("http://141.218.60.56/~jnz1568/getInfo.php?workbook=27_11.xlsx&amp;sheet=U0&amp;row=1073&amp;col=6&amp;number=3.9&amp;sourceID=14","3.9")</f>
        <v>3.9</v>
      </c>
      <c r="G1073" s="4" t="str">
        <f>HYPERLINK("http://141.218.60.56/~jnz1568/getInfo.php?workbook=27_11.xlsx&amp;sheet=U0&amp;row=1073&amp;col=7&amp;number=0.0165&amp;sourceID=14","0.0165")</f>
        <v>0.0165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HYPERLINK("http://141.218.60.56/~jnz1568/getInfo.php?workbook=27_11.xlsx&amp;sheet=U0&amp;row=1074&amp;col=6&amp;number=4&amp;sourceID=14","4")</f>
        <v>4</v>
      </c>
      <c r="G1074" s="4" t="str">
        <f>HYPERLINK("http://141.218.60.56/~jnz1568/getInfo.php?workbook=27_11.xlsx&amp;sheet=U0&amp;row=1074&amp;col=7&amp;number=0.0165&amp;sourceID=14","0.0165")</f>
        <v>0.0165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HYPERLINK("http://141.218.60.56/~jnz1568/getInfo.php?workbook=27_11.xlsx&amp;sheet=U0&amp;row=1075&amp;col=6&amp;number=4.1&amp;sourceID=14","4.1")</f>
        <v>4.1</v>
      </c>
      <c r="G1075" s="4" t="str">
        <f>HYPERLINK("http://141.218.60.56/~jnz1568/getInfo.php?workbook=27_11.xlsx&amp;sheet=U0&amp;row=1075&amp;col=7&amp;number=0.0165&amp;sourceID=14","0.0165")</f>
        <v>0.0165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HYPERLINK("http://141.218.60.56/~jnz1568/getInfo.php?workbook=27_11.xlsx&amp;sheet=U0&amp;row=1076&amp;col=6&amp;number=4.2&amp;sourceID=14","4.2")</f>
        <v>4.2</v>
      </c>
      <c r="G1076" s="4" t="str">
        <f>HYPERLINK("http://141.218.60.56/~jnz1568/getInfo.php?workbook=27_11.xlsx&amp;sheet=U0&amp;row=1076&amp;col=7&amp;number=0.0165&amp;sourceID=14","0.0165")</f>
        <v>0.0165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HYPERLINK("http://141.218.60.56/~jnz1568/getInfo.php?workbook=27_11.xlsx&amp;sheet=U0&amp;row=1077&amp;col=6&amp;number=4.3&amp;sourceID=14","4.3")</f>
        <v>4.3</v>
      </c>
      <c r="G1077" s="4" t="str">
        <f>HYPERLINK("http://141.218.60.56/~jnz1568/getInfo.php?workbook=27_11.xlsx&amp;sheet=U0&amp;row=1077&amp;col=7&amp;number=0.0165&amp;sourceID=14","0.0165")</f>
        <v>0.0165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HYPERLINK("http://141.218.60.56/~jnz1568/getInfo.php?workbook=27_11.xlsx&amp;sheet=U0&amp;row=1078&amp;col=6&amp;number=4.4&amp;sourceID=14","4.4")</f>
        <v>4.4</v>
      </c>
      <c r="G1078" s="4" t="str">
        <f>HYPERLINK("http://141.218.60.56/~jnz1568/getInfo.php?workbook=27_11.xlsx&amp;sheet=U0&amp;row=1078&amp;col=7&amp;number=0.0165&amp;sourceID=14","0.0165")</f>
        <v>0.0165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HYPERLINK("http://141.218.60.56/~jnz1568/getInfo.php?workbook=27_11.xlsx&amp;sheet=U0&amp;row=1079&amp;col=6&amp;number=4.5&amp;sourceID=14","4.5")</f>
        <v>4.5</v>
      </c>
      <c r="G1079" s="4" t="str">
        <f>HYPERLINK("http://141.218.60.56/~jnz1568/getInfo.php?workbook=27_11.xlsx&amp;sheet=U0&amp;row=1079&amp;col=7&amp;number=0.0166&amp;sourceID=14","0.0166")</f>
        <v>0.0166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HYPERLINK("http://141.218.60.56/~jnz1568/getInfo.php?workbook=27_11.xlsx&amp;sheet=U0&amp;row=1080&amp;col=6&amp;number=4.6&amp;sourceID=14","4.6")</f>
        <v>4.6</v>
      </c>
      <c r="G1080" s="4" t="str">
        <f>HYPERLINK("http://141.218.60.56/~jnz1568/getInfo.php?workbook=27_11.xlsx&amp;sheet=U0&amp;row=1080&amp;col=7&amp;number=0.0166&amp;sourceID=14","0.0166")</f>
        <v>0.0166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HYPERLINK("http://141.218.60.56/~jnz1568/getInfo.php?workbook=27_11.xlsx&amp;sheet=U0&amp;row=1081&amp;col=6&amp;number=4.7&amp;sourceID=14","4.7")</f>
        <v>4.7</v>
      </c>
      <c r="G1081" s="4" t="str">
        <f>HYPERLINK("http://141.218.60.56/~jnz1568/getInfo.php?workbook=27_11.xlsx&amp;sheet=U0&amp;row=1081&amp;col=7&amp;number=0.0166&amp;sourceID=14","0.0166")</f>
        <v>0.0166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HYPERLINK("http://141.218.60.56/~jnz1568/getInfo.php?workbook=27_11.xlsx&amp;sheet=U0&amp;row=1082&amp;col=6&amp;number=4.8&amp;sourceID=14","4.8")</f>
        <v>4.8</v>
      </c>
      <c r="G1082" s="4" t="str">
        <f>HYPERLINK("http://141.218.60.56/~jnz1568/getInfo.php?workbook=27_11.xlsx&amp;sheet=U0&amp;row=1082&amp;col=7&amp;number=0.0167&amp;sourceID=14","0.0167")</f>
        <v>0.0167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HYPERLINK("http://141.218.60.56/~jnz1568/getInfo.php?workbook=27_11.xlsx&amp;sheet=U0&amp;row=1083&amp;col=6&amp;number=4.9&amp;sourceID=14","4.9")</f>
        <v>4.9</v>
      </c>
      <c r="G1083" s="4" t="str">
        <f>HYPERLINK("http://141.218.60.56/~jnz1568/getInfo.php?workbook=27_11.xlsx&amp;sheet=U0&amp;row=1083&amp;col=7&amp;number=0.0167&amp;sourceID=14","0.0167")</f>
        <v>0.0167</v>
      </c>
    </row>
    <row r="1084" spans="1:7">
      <c r="A1084" s="3">
        <v>27</v>
      </c>
      <c r="B1084" s="3">
        <v>11</v>
      </c>
      <c r="C1084" s="3">
        <v>4</v>
      </c>
      <c r="D1084" s="3">
        <v>8</v>
      </c>
      <c r="E1084" s="3">
        <v>1</v>
      </c>
      <c r="F1084" s="4" t="str">
        <f>HYPERLINK("http://141.218.60.56/~jnz1568/getInfo.php?workbook=27_11.xlsx&amp;sheet=U0&amp;row=1084&amp;col=6&amp;number=3&amp;sourceID=14","3")</f>
        <v>3</v>
      </c>
      <c r="G1084" s="4" t="str">
        <f>HYPERLINK("http://141.218.60.56/~jnz1568/getInfo.php?workbook=27_11.xlsx&amp;sheet=U0&amp;row=1084&amp;col=7&amp;number=0.0182&amp;sourceID=14","0.0182")</f>
        <v>0.0182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HYPERLINK("http://141.218.60.56/~jnz1568/getInfo.php?workbook=27_11.xlsx&amp;sheet=U0&amp;row=1085&amp;col=6&amp;number=3.1&amp;sourceID=14","3.1")</f>
        <v>3.1</v>
      </c>
      <c r="G1085" s="4" t="str">
        <f>HYPERLINK("http://141.218.60.56/~jnz1568/getInfo.php?workbook=27_11.xlsx&amp;sheet=U0&amp;row=1085&amp;col=7&amp;number=0.0182&amp;sourceID=14","0.0182")</f>
        <v>0.0182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HYPERLINK("http://141.218.60.56/~jnz1568/getInfo.php?workbook=27_11.xlsx&amp;sheet=U0&amp;row=1086&amp;col=6&amp;number=3.2&amp;sourceID=14","3.2")</f>
        <v>3.2</v>
      </c>
      <c r="G1086" s="4" t="str">
        <f>HYPERLINK("http://141.218.60.56/~jnz1568/getInfo.php?workbook=27_11.xlsx&amp;sheet=U0&amp;row=1086&amp;col=7&amp;number=0.0182&amp;sourceID=14","0.0182")</f>
        <v>0.0182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HYPERLINK("http://141.218.60.56/~jnz1568/getInfo.php?workbook=27_11.xlsx&amp;sheet=U0&amp;row=1087&amp;col=6&amp;number=3.3&amp;sourceID=14","3.3")</f>
        <v>3.3</v>
      </c>
      <c r="G1087" s="4" t="str">
        <f>HYPERLINK("http://141.218.60.56/~jnz1568/getInfo.php?workbook=27_11.xlsx&amp;sheet=U0&amp;row=1087&amp;col=7&amp;number=0.0182&amp;sourceID=14","0.0182")</f>
        <v>0.0182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HYPERLINK("http://141.218.60.56/~jnz1568/getInfo.php?workbook=27_11.xlsx&amp;sheet=U0&amp;row=1088&amp;col=6&amp;number=3.4&amp;sourceID=14","3.4")</f>
        <v>3.4</v>
      </c>
      <c r="G1088" s="4" t="str">
        <f>HYPERLINK("http://141.218.60.56/~jnz1568/getInfo.php?workbook=27_11.xlsx&amp;sheet=U0&amp;row=1088&amp;col=7&amp;number=0.0182&amp;sourceID=14","0.0182")</f>
        <v>0.0182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HYPERLINK("http://141.218.60.56/~jnz1568/getInfo.php?workbook=27_11.xlsx&amp;sheet=U0&amp;row=1089&amp;col=6&amp;number=3.5&amp;sourceID=14","3.5")</f>
        <v>3.5</v>
      </c>
      <c r="G1089" s="4" t="str">
        <f>HYPERLINK("http://141.218.60.56/~jnz1568/getInfo.php?workbook=27_11.xlsx&amp;sheet=U0&amp;row=1089&amp;col=7&amp;number=0.0182&amp;sourceID=14","0.0182")</f>
        <v>0.0182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HYPERLINK("http://141.218.60.56/~jnz1568/getInfo.php?workbook=27_11.xlsx&amp;sheet=U0&amp;row=1090&amp;col=6&amp;number=3.6&amp;sourceID=14","3.6")</f>
        <v>3.6</v>
      </c>
      <c r="G1090" s="4" t="str">
        <f>HYPERLINK("http://141.218.60.56/~jnz1568/getInfo.php?workbook=27_11.xlsx&amp;sheet=U0&amp;row=1090&amp;col=7&amp;number=0.0182&amp;sourceID=14","0.0182")</f>
        <v>0.0182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HYPERLINK("http://141.218.60.56/~jnz1568/getInfo.php?workbook=27_11.xlsx&amp;sheet=U0&amp;row=1091&amp;col=6&amp;number=3.7&amp;sourceID=14","3.7")</f>
        <v>3.7</v>
      </c>
      <c r="G1091" s="4" t="str">
        <f>HYPERLINK("http://141.218.60.56/~jnz1568/getInfo.php?workbook=27_11.xlsx&amp;sheet=U0&amp;row=1091&amp;col=7&amp;number=0.0182&amp;sourceID=14","0.0182")</f>
        <v>0.0182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HYPERLINK("http://141.218.60.56/~jnz1568/getInfo.php?workbook=27_11.xlsx&amp;sheet=U0&amp;row=1092&amp;col=6&amp;number=3.8&amp;sourceID=14","3.8")</f>
        <v>3.8</v>
      </c>
      <c r="G1092" s="4" t="str">
        <f>HYPERLINK("http://141.218.60.56/~jnz1568/getInfo.php?workbook=27_11.xlsx&amp;sheet=U0&amp;row=1092&amp;col=7&amp;number=0.0182&amp;sourceID=14","0.0182")</f>
        <v>0.0182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HYPERLINK("http://141.218.60.56/~jnz1568/getInfo.php?workbook=27_11.xlsx&amp;sheet=U0&amp;row=1093&amp;col=6&amp;number=3.9&amp;sourceID=14","3.9")</f>
        <v>3.9</v>
      </c>
      <c r="G1093" s="4" t="str">
        <f>HYPERLINK("http://141.218.60.56/~jnz1568/getInfo.php?workbook=27_11.xlsx&amp;sheet=U0&amp;row=1093&amp;col=7&amp;number=0.0182&amp;sourceID=14","0.0182")</f>
        <v>0.0182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HYPERLINK("http://141.218.60.56/~jnz1568/getInfo.php?workbook=27_11.xlsx&amp;sheet=U0&amp;row=1094&amp;col=6&amp;number=4&amp;sourceID=14","4")</f>
        <v>4</v>
      </c>
      <c r="G1094" s="4" t="str">
        <f>HYPERLINK("http://141.218.60.56/~jnz1568/getInfo.php?workbook=27_11.xlsx&amp;sheet=U0&amp;row=1094&amp;col=7&amp;number=0.0182&amp;sourceID=14","0.0182")</f>
        <v>0.0182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HYPERLINK("http://141.218.60.56/~jnz1568/getInfo.php?workbook=27_11.xlsx&amp;sheet=U0&amp;row=1095&amp;col=6&amp;number=4.1&amp;sourceID=14","4.1")</f>
        <v>4.1</v>
      </c>
      <c r="G1095" s="4" t="str">
        <f>HYPERLINK("http://141.218.60.56/~jnz1568/getInfo.php?workbook=27_11.xlsx&amp;sheet=U0&amp;row=1095&amp;col=7&amp;number=0.0182&amp;sourceID=14","0.0182")</f>
        <v>0.0182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HYPERLINK("http://141.218.60.56/~jnz1568/getInfo.php?workbook=27_11.xlsx&amp;sheet=U0&amp;row=1096&amp;col=6&amp;number=4.2&amp;sourceID=14","4.2")</f>
        <v>4.2</v>
      </c>
      <c r="G1096" s="4" t="str">
        <f>HYPERLINK("http://141.218.60.56/~jnz1568/getInfo.php?workbook=27_11.xlsx&amp;sheet=U0&amp;row=1096&amp;col=7&amp;number=0.0182&amp;sourceID=14","0.0182")</f>
        <v>0.0182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HYPERLINK("http://141.218.60.56/~jnz1568/getInfo.php?workbook=27_11.xlsx&amp;sheet=U0&amp;row=1097&amp;col=6&amp;number=4.3&amp;sourceID=14","4.3")</f>
        <v>4.3</v>
      </c>
      <c r="G1097" s="4" t="str">
        <f>HYPERLINK("http://141.218.60.56/~jnz1568/getInfo.php?workbook=27_11.xlsx&amp;sheet=U0&amp;row=1097&amp;col=7&amp;number=0.0182&amp;sourceID=14","0.0182")</f>
        <v>0.0182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HYPERLINK("http://141.218.60.56/~jnz1568/getInfo.php?workbook=27_11.xlsx&amp;sheet=U0&amp;row=1098&amp;col=6&amp;number=4.4&amp;sourceID=14","4.4")</f>
        <v>4.4</v>
      </c>
      <c r="G1098" s="4" t="str">
        <f>HYPERLINK("http://141.218.60.56/~jnz1568/getInfo.php?workbook=27_11.xlsx&amp;sheet=U0&amp;row=1098&amp;col=7&amp;number=0.0182&amp;sourceID=14","0.0182")</f>
        <v>0.0182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HYPERLINK("http://141.218.60.56/~jnz1568/getInfo.php?workbook=27_11.xlsx&amp;sheet=U0&amp;row=1099&amp;col=6&amp;number=4.5&amp;sourceID=14","4.5")</f>
        <v>4.5</v>
      </c>
      <c r="G1099" s="4" t="str">
        <f>HYPERLINK("http://141.218.60.56/~jnz1568/getInfo.php?workbook=27_11.xlsx&amp;sheet=U0&amp;row=1099&amp;col=7&amp;number=0.0182&amp;sourceID=14","0.0182")</f>
        <v>0.0182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HYPERLINK("http://141.218.60.56/~jnz1568/getInfo.php?workbook=27_11.xlsx&amp;sheet=U0&amp;row=1100&amp;col=6&amp;number=4.6&amp;sourceID=14","4.6")</f>
        <v>4.6</v>
      </c>
      <c r="G1100" s="4" t="str">
        <f>HYPERLINK("http://141.218.60.56/~jnz1568/getInfo.php?workbook=27_11.xlsx&amp;sheet=U0&amp;row=1100&amp;col=7&amp;number=0.0182&amp;sourceID=14","0.0182")</f>
        <v>0.0182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HYPERLINK("http://141.218.60.56/~jnz1568/getInfo.php?workbook=27_11.xlsx&amp;sheet=U0&amp;row=1101&amp;col=6&amp;number=4.7&amp;sourceID=14","4.7")</f>
        <v>4.7</v>
      </c>
      <c r="G1101" s="4" t="str">
        <f>HYPERLINK("http://141.218.60.56/~jnz1568/getInfo.php?workbook=27_11.xlsx&amp;sheet=U0&amp;row=1101&amp;col=7&amp;number=0.0181&amp;sourceID=14","0.0181")</f>
        <v>0.0181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HYPERLINK("http://141.218.60.56/~jnz1568/getInfo.php?workbook=27_11.xlsx&amp;sheet=U0&amp;row=1102&amp;col=6&amp;number=4.8&amp;sourceID=14","4.8")</f>
        <v>4.8</v>
      </c>
      <c r="G1102" s="4" t="str">
        <f>HYPERLINK("http://141.218.60.56/~jnz1568/getInfo.php?workbook=27_11.xlsx&amp;sheet=U0&amp;row=1102&amp;col=7&amp;number=0.0181&amp;sourceID=14","0.0181")</f>
        <v>0.0181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HYPERLINK("http://141.218.60.56/~jnz1568/getInfo.php?workbook=27_11.xlsx&amp;sheet=U0&amp;row=1103&amp;col=6&amp;number=4.9&amp;sourceID=14","4.9")</f>
        <v>4.9</v>
      </c>
      <c r="G1103" s="4" t="str">
        <f>HYPERLINK("http://141.218.60.56/~jnz1568/getInfo.php?workbook=27_11.xlsx&amp;sheet=U0&amp;row=1103&amp;col=7&amp;number=0.0181&amp;sourceID=14","0.0181")</f>
        <v>0.0181</v>
      </c>
    </row>
    <row r="1104" spans="1:7">
      <c r="A1104" s="3">
        <v>27</v>
      </c>
      <c r="B1104" s="3">
        <v>11</v>
      </c>
      <c r="C1104" s="3">
        <v>4</v>
      </c>
      <c r="D1104" s="3">
        <v>9</v>
      </c>
      <c r="E1104" s="3">
        <v>1</v>
      </c>
      <c r="F1104" s="4" t="str">
        <f>HYPERLINK("http://141.218.60.56/~jnz1568/getInfo.php?workbook=27_11.xlsx&amp;sheet=U0&amp;row=1104&amp;col=6&amp;number=3&amp;sourceID=14","3")</f>
        <v>3</v>
      </c>
      <c r="G1104" s="4" t="str">
        <f>HYPERLINK("http://141.218.60.56/~jnz1568/getInfo.php?workbook=27_11.xlsx&amp;sheet=U0&amp;row=1104&amp;col=7&amp;number=0.261&amp;sourceID=14","0.261")</f>
        <v>0.261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HYPERLINK("http://141.218.60.56/~jnz1568/getInfo.php?workbook=27_11.xlsx&amp;sheet=U0&amp;row=1105&amp;col=6&amp;number=3.1&amp;sourceID=14","3.1")</f>
        <v>3.1</v>
      </c>
      <c r="G1105" s="4" t="str">
        <f>HYPERLINK("http://141.218.60.56/~jnz1568/getInfo.php?workbook=27_11.xlsx&amp;sheet=U0&amp;row=1105&amp;col=7&amp;number=0.261&amp;sourceID=14","0.261")</f>
        <v>0.261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HYPERLINK("http://141.218.60.56/~jnz1568/getInfo.php?workbook=27_11.xlsx&amp;sheet=U0&amp;row=1106&amp;col=6&amp;number=3.2&amp;sourceID=14","3.2")</f>
        <v>3.2</v>
      </c>
      <c r="G1106" s="4" t="str">
        <f>HYPERLINK("http://141.218.60.56/~jnz1568/getInfo.php?workbook=27_11.xlsx&amp;sheet=U0&amp;row=1106&amp;col=7&amp;number=0.261&amp;sourceID=14","0.261")</f>
        <v>0.261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HYPERLINK("http://141.218.60.56/~jnz1568/getInfo.php?workbook=27_11.xlsx&amp;sheet=U0&amp;row=1107&amp;col=6&amp;number=3.3&amp;sourceID=14","3.3")</f>
        <v>3.3</v>
      </c>
      <c r="G1107" s="4" t="str">
        <f>HYPERLINK("http://141.218.60.56/~jnz1568/getInfo.php?workbook=27_11.xlsx&amp;sheet=U0&amp;row=1107&amp;col=7&amp;number=0.261&amp;sourceID=14","0.261")</f>
        <v>0.261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HYPERLINK("http://141.218.60.56/~jnz1568/getInfo.php?workbook=27_11.xlsx&amp;sheet=U0&amp;row=1108&amp;col=6&amp;number=3.4&amp;sourceID=14","3.4")</f>
        <v>3.4</v>
      </c>
      <c r="G1108" s="4" t="str">
        <f>HYPERLINK("http://141.218.60.56/~jnz1568/getInfo.php?workbook=27_11.xlsx&amp;sheet=U0&amp;row=1108&amp;col=7&amp;number=0.261&amp;sourceID=14","0.261")</f>
        <v>0.261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HYPERLINK("http://141.218.60.56/~jnz1568/getInfo.php?workbook=27_11.xlsx&amp;sheet=U0&amp;row=1109&amp;col=6&amp;number=3.5&amp;sourceID=14","3.5")</f>
        <v>3.5</v>
      </c>
      <c r="G1109" s="4" t="str">
        <f>HYPERLINK("http://141.218.60.56/~jnz1568/getInfo.php?workbook=27_11.xlsx&amp;sheet=U0&amp;row=1109&amp;col=7&amp;number=0.261&amp;sourceID=14","0.261")</f>
        <v>0.261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HYPERLINK("http://141.218.60.56/~jnz1568/getInfo.php?workbook=27_11.xlsx&amp;sheet=U0&amp;row=1110&amp;col=6&amp;number=3.6&amp;sourceID=14","3.6")</f>
        <v>3.6</v>
      </c>
      <c r="G1110" s="4" t="str">
        <f>HYPERLINK("http://141.218.60.56/~jnz1568/getInfo.php?workbook=27_11.xlsx&amp;sheet=U0&amp;row=1110&amp;col=7&amp;number=0.261&amp;sourceID=14","0.261")</f>
        <v>0.261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HYPERLINK("http://141.218.60.56/~jnz1568/getInfo.php?workbook=27_11.xlsx&amp;sheet=U0&amp;row=1111&amp;col=6&amp;number=3.7&amp;sourceID=14","3.7")</f>
        <v>3.7</v>
      </c>
      <c r="G1111" s="4" t="str">
        <f>HYPERLINK("http://141.218.60.56/~jnz1568/getInfo.php?workbook=27_11.xlsx&amp;sheet=U0&amp;row=1111&amp;col=7&amp;number=0.261&amp;sourceID=14","0.261")</f>
        <v>0.261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HYPERLINK("http://141.218.60.56/~jnz1568/getInfo.php?workbook=27_11.xlsx&amp;sheet=U0&amp;row=1112&amp;col=6&amp;number=3.8&amp;sourceID=14","3.8")</f>
        <v>3.8</v>
      </c>
      <c r="G1112" s="4" t="str">
        <f>HYPERLINK("http://141.218.60.56/~jnz1568/getInfo.php?workbook=27_11.xlsx&amp;sheet=U0&amp;row=1112&amp;col=7&amp;number=0.261&amp;sourceID=14","0.261")</f>
        <v>0.261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HYPERLINK("http://141.218.60.56/~jnz1568/getInfo.php?workbook=27_11.xlsx&amp;sheet=U0&amp;row=1113&amp;col=6&amp;number=3.9&amp;sourceID=14","3.9")</f>
        <v>3.9</v>
      </c>
      <c r="G1113" s="4" t="str">
        <f>HYPERLINK("http://141.218.60.56/~jnz1568/getInfo.php?workbook=27_11.xlsx&amp;sheet=U0&amp;row=1113&amp;col=7&amp;number=0.261&amp;sourceID=14","0.261")</f>
        <v>0.261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HYPERLINK("http://141.218.60.56/~jnz1568/getInfo.php?workbook=27_11.xlsx&amp;sheet=U0&amp;row=1114&amp;col=6&amp;number=4&amp;sourceID=14","4")</f>
        <v>4</v>
      </c>
      <c r="G1114" s="4" t="str">
        <f>HYPERLINK("http://141.218.60.56/~jnz1568/getInfo.php?workbook=27_11.xlsx&amp;sheet=U0&amp;row=1114&amp;col=7&amp;number=0.261&amp;sourceID=14","0.261")</f>
        <v>0.261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HYPERLINK("http://141.218.60.56/~jnz1568/getInfo.php?workbook=27_11.xlsx&amp;sheet=U0&amp;row=1115&amp;col=6&amp;number=4.1&amp;sourceID=14","4.1")</f>
        <v>4.1</v>
      </c>
      <c r="G1115" s="4" t="str">
        <f>HYPERLINK("http://141.218.60.56/~jnz1568/getInfo.php?workbook=27_11.xlsx&amp;sheet=U0&amp;row=1115&amp;col=7&amp;number=0.261&amp;sourceID=14","0.261")</f>
        <v>0.261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HYPERLINK("http://141.218.60.56/~jnz1568/getInfo.php?workbook=27_11.xlsx&amp;sheet=U0&amp;row=1116&amp;col=6&amp;number=4.2&amp;sourceID=14","4.2")</f>
        <v>4.2</v>
      </c>
      <c r="G1116" s="4" t="str">
        <f>HYPERLINK("http://141.218.60.56/~jnz1568/getInfo.php?workbook=27_11.xlsx&amp;sheet=U0&amp;row=1116&amp;col=7&amp;number=0.261&amp;sourceID=14","0.261")</f>
        <v>0.261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HYPERLINK("http://141.218.60.56/~jnz1568/getInfo.php?workbook=27_11.xlsx&amp;sheet=U0&amp;row=1117&amp;col=6&amp;number=4.3&amp;sourceID=14","4.3")</f>
        <v>4.3</v>
      </c>
      <c r="G1117" s="4" t="str">
        <f>HYPERLINK("http://141.218.60.56/~jnz1568/getInfo.php?workbook=27_11.xlsx&amp;sheet=U0&amp;row=1117&amp;col=7&amp;number=0.261&amp;sourceID=14","0.261")</f>
        <v>0.261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HYPERLINK("http://141.218.60.56/~jnz1568/getInfo.php?workbook=27_11.xlsx&amp;sheet=U0&amp;row=1118&amp;col=6&amp;number=4.4&amp;sourceID=14","4.4")</f>
        <v>4.4</v>
      </c>
      <c r="G1118" s="4" t="str">
        <f>HYPERLINK("http://141.218.60.56/~jnz1568/getInfo.php?workbook=27_11.xlsx&amp;sheet=U0&amp;row=1118&amp;col=7&amp;number=0.261&amp;sourceID=14","0.261")</f>
        <v>0.261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HYPERLINK("http://141.218.60.56/~jnz1568/getInfo.php?workbook=27_11.xlsx&amp;sheet=U0&amp;row=1119&amp;col=6&amp;number=4.5&amp;sourceID=14","4.5")</f>
        <v>4.5</v>
      </c>
      <c r="G1119" s="4" t="str">
        <f>HYPERLINK("http://141.218.60.56/~jnz1568/getInfo.php?workbook=27_11.xlsx&amp;sheet=U0&amp;row=1119&amp;col=7&amp;number=0.261&amp;sourceID=14","0.261")</f>
        <v>0.261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HYPERLINK("http://141.218.60.56/~jnz1568/getInfo.php?workbook=27_11.xlsx&amp;sheet=U0&amp;row=1120&amp;col=6&amp;number=4.6&amp;sourceID=14","4.6")</f>
        <v>4.6</v>
      </c>
      <c r="G1120" s="4" t="str">
        <f>HYPERLINK("http://141.218.60.56/~jnz1568/getInfo.php?workbook=27_11.xlsx&amp;sheet=U0&amp;row=1120&amp;col=7&amp;number=0.261&amp;sourceID=14","0.261")</f>
        <v>0.261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HYPERLINK("http://141.218.60.56/~jnz1568/getInfo.php?workbook=27_11.xlsx&amp;sheet=U0&amp;row=1121&amp;col=6&amp;number=4.7&amp;sourceID=14","4.7")</f>
        <v>4.7</v>
      </c>
      <c r="G1121" s="4" t="str">
        <f>HYPERLINK("http://141.218.60.56/~jnz1568/getInfo.php?workbook=27_11.xlsx&amp;sheet=U0&amp;row=1121&amp;col=7&amp;number=0.261&amp;sourceID=14","0.261")</f>
        <v>0.261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HYPERLINK("http://141.218.60.56/~jnz1568/getInfo.php?workbook=27_11.xlsx&amp;sheet=U0&amp;row=1122&amp;col=6&amp;number=4.8&amp;sourceID=14","4.8")</f>
        <v>4.8</v>
      </c>
      <c r="G1122" s="4" t="str">
        <f>HYPERLINK("http://141.218.60.56/~jnz1568/getInfo.php?workbook=27_11.xlsx&amp;sheet=U0&amp;row=1122&amp;col=7&amp;number=0.261&amp;sourceID=14","0.261")</f>
        <v>0.261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HYPERLINK("http://141.218.60.56/~jnz1568/getInfo.php?workbook=27_11.xlsx&amp;sheet=U0&amp;row=1123&amp;col=6&amp;number=4.9&amp;sourceID=14","4.9")</f>
        <v>4.9</v>
      </c>
      <c r="G1123" s="4" t="str">
        <f>HYPERLINK("http://141.218.60.56/~jnz1568/getInfo.php?workbook=27_11.xlsx&amp;sheet=U0&amp;row=1123&amp;col=7&amp;number=0.261&amp;sourceID=14","0.261")</f>
        <v>0.261</v>
      </c>
    </row>
    <row r="1124" spans="1:7">
      <c r="A1124" s="3">
        <v>27</v>
      </c>
      <c r="B1124" s="3">
        <v>11</v>
      </c>
      <c r="C1124" s="3">
        <v>4</v>
      </c>
      <c r="D1124" s="3">
        <v>10</v>
      </c>
      <c r="E1124" s="3">
        <v>1</v>
      </c>
      <c r="F1124" s="4" t="str">
        <f>HYPERLINK("http://141.218.60.56/~jnz1568/getInfo.php?workbook=27_11.xlsx&amp;sheet=U0&amp;row=1124&amp;col=6&amp;number=3&amp;sourceID=14","3")</f>
        <v>3</v>
      </c>
      <c r="G1124" s="4" t="str">
        <f>HYPERLINK("http://141.218.60.56/~jnz1568/getInfo.php?workbook=27_11.xlsx&amp;sheet=U0&amp;row=1124&amp;col=7&amp;number=0.0409&amp;sourceID=14","0.0409")</f>
        <v>0.0409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HYPERLINK("http://141.218.60.56/~jnz1568/getInfo.php?workbook=27_11.xlsx&amp;sheet=U0&amp;row=1125&amp;col=6&amp;number=3.1&amp;sourceID=14","3.1")</f>
        <v>3.1</v>
      </c>
      <c r="G1125" s="4" t="str">
        <f>HYPERLINK("http://141.218.60.56/~jnz1568/getInfo.php?workbook=27_11.xlsx&amp;sheet=U0&amp;row=1125&amp;col=7&amp;number=0.0409&amp;sourceID=14","0.0409")</f>
        <v>0.0409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HYPERLINK("http://141.218.60.56/~jnz1568/getInfo.php?workbook=27_11.xlsx&amp;sheet=U0&amp;row=1126&amp;col=6&amp;number=3.2&amp;sourceID=14","3.2")</f>
        <v>3.2</v>
      </c>
      <c r="G1126" s="4" t="str">
        <f>HYPERLINK("http://141.218.60.56/~jnz1568/getInfo.php?workbook=27_11.xlsx&amp;sheet=U0&amp;row=1126&amp;col=7&amp;number=0.0409&amp;sourceID=14","0.0409")</f>
        <v>0.0409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HYPERLINK("http://141.218.60.56/~jnz1568/getInfo.php?workbook=27_11.xlsx&amp;sheet=U0&amp;row=1127&amp;col=6&amp;number=3.3&amp;sourceID=14","3.3")</f>
        <v>3.3</v>
      </c>
      <c r="G1127" s="4" t="str">
        <f>HYPERLINK("http://141.218.60.56/~jnz1568/getInfo.php?workbook=27_11.xlsx&amp;sheet=U0&amp;row=1127&amp;col=7&amp;number=0.0409&amp;sourceID=14","0.0409")</f>
        <v>0.0409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HYPERLINK("http://141.218.60.56/~jnz1568/getInfo.php?workbook=27_11.xlsx&amp;sheet=U0&amp;row=1128&amp;col=6&amp;number=3.4&amp;sourceID=14","3.4")</f>
        <v>3.4</v>
      </c>
      <c r="G1128" s="4" t="str">
        <f>HYPERLINK("http://141.218.60.56/~jnz1568/getInfo.php?workbook=27_11.xlsx&amp;sheet=U0&amp;row=1128&amp;col=7&amp;number=0.0409&amp;sourceID=14","0.0409")</f>
        <v>0.0409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HYPERLINK("http://141.218.60.56/~jnz1568/getInfo.php?workbook=27_11.xlsx&amp;sheet=U0&amp;row=1129&amp;col=6&amp;number=3.5&amp;sourceID=14","3.5")</f>
        <v>3.5</v>
      </c>
      <c r="G1129" s="4" t="str">
        <f>HYPERLINK("http://141.218.60.56/~jnz1568/getInfo.php?workbook=27_11.xlsx&amp;sheet=U0&amp;row=1129&amp;col=7&amp;number=0.0409&amp;sourceID=14","0.0409")</f>
        <v>0.0409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HYPERLINK("http://141.218.60.56/~jnz1568/getInfo.php?workbook=27_11.xlsx&amp;sheet=U0&amp;row=1130&amp;col=6&amp;number=3.6&amp;sourceID=14","3.6")</f>
        <v>3.6</v>
      </c>
      <c r="G1130" s="4" t="str">
        <f>HYPERLINK("http://141.218.60.56/~jnz1568/getInfo.php?workbook=27_11.xlsx&amp;sheet=U0&amp;row=1130&amp;col=7&amp;number=0.0409&amp;sourceID=14","0.0409")</f>
        <v>0.0409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HYPERLINK("http://141.218.60.56/~jnz1568/getInfo.php?workbook=27_11.xlsx&amp;sheet=U0&amp;row=1131&amp;col=6&amp;number=3.7&amp;sourceID=14","3.7")</f>
        <v>3.7</v>
      </c>
      <c r="G1131" s="4" t="str">
        <f>HYPERLINK("http://141.218.60.56/~jnz1568/getInfo.php?workbook=27_11.xlsx&amp;sheet=U0&amp;row=1131&amp;col=7&amp;number=0.0409&amp;sourceID=14","0.0409")</f>
        <v>0.0409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HYPERLINK("http://141.218.60.56/~jnz1568/getInfo.php?workbook=27_11.xlsx&amp;sheet=U0&amp;row=1132&amp;col=6&amp;number=3.8&amp;sourceID=14","3.8")</f>
        <v>3.8</v>
      </c>
      <c r="G1132" s="4" t="str">
        <f>HYPERLINK("http://141.218.60.56/~jnz1568/getInfo.php?workbook=27_11.xlsx&amp;sheet=U0&amp;row=1132&amp;col=7&amp;number=0.0408&amp;sourceID=14","0.0408")</f>
        <v>0.0408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HYPERLINK("http://141.218.60.56/~jnz1568/getInfo.php?workbook=27_11.xlsx&amp;sheet=U0&amp;row=1133&amp;col=6&amp;number=3.9&amp;sourceID=14","3.9")</f>
        <v>3.9</v>
      </c>
      <c r="G1133" s="4" t="str">
        <f>HYPERLINK("http://141.218.60.56/~jnz1568/getInfo.php?workbook=27_11.xlsx&amp;sheet=U0&amp;row=1133&amp;col=7&amp;number=0.0408&amp;sourceID=14","0.0408")</f>
        <v>0.0408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HYPERLINK("http://141.218.60.56/~jnz1568/getInfo.php?workbook=27_11.xlsx&amp;sheet=U0&amp;row=1134&amp;col=6&amp;number=4&amp;sourceID=14","4")</f>
        <v>4</v>
      </c>
      <c r="G1134" s="4" t="str">
        <f>HYPERLINK("http://141.218.60.56/~jnz1568/getInfo.php?workbook=27_11.xlsx&amp;sheet=U0&amp;row=1134&amp;col=7&amp;number=0.0408&amp;sourceID=14","0.0408")</f>
        <v>0.0408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HYPERLINK("http://141.218.60.56/~jnz1568/getInfo.php?workbook=27_11.xlsx&amp;sheet=U0&amp;row=1135&amp;col=6&amp;number=4.1&amp;sourceID=14","4.1")</f>
        <v>4.1</v>
      </c>
      <c r="G1135" s="4" t="str">
        <f>HYPERLINK("http://141.218.60.56/~jnz1568/getInfo.php?workbook=27_11.xlsx&amp;sheet=U0&amp;row=1135&amp;col=7&amp;number=0.0408&amp;sourceID=14","0.0408")</f>
        <v>0.0408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HYPERLINK("http://141.218.60.56/~jnz1568/getInfo.php?workbook=27_11.xlsx&amp;sheet=U0&amp;row=1136&amp;col=6&amp;number=4.2&amp;sourceID=14","4.2")</f>
        <v>4.2</v>
      </c>
      <c r="G1136" s="4" t="str">
        <f>HYPERLINK("http://141.218.60.56/~jnz1568/getInfo.php?workbook=27_11.xlsx&amp;sheet=U0&amp;row=1136&amp;col=7&amp;number=0.0408&amp;sourceID=14","0.0408")</f>
        <v>0.0408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HYPERLINK("http://141.218.60.56/~jnz1568/getInfo.php?workbook=27_11.xlsx&amp;sheet=U0&amp;row=1137&amp;col=6&amp;number=4.3&amp;sourceID=14","4.3")</f>
        <v>4.3</v>
      </c>
      <c r="G1137" s="4" t="str">
        <f>HYPERLINK("http://141.218.60.56/~jnz1568/getInfo.php?workbook=27_11.xlsx&amp;sheet=U0&amp;row=1137&amp;col=7&amp;number=0.0407&amp;sourceID=14","0.0407")</f>
        <v>0.0407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HYPERLINK("http://141.218.60.56/~jnz1568/getInfo.php?workbook=27_11.xlsx&amp;sheet=U0&amp;row=1138&amp;col=6&amp;number=4.4&amp;sourceID=14","4.4")</f>
        <v>4.4</v>
      </c>
      <c r="G1138" s="4" t="str">
        <f>HYPERLINK("http://141.218.60.56/~jnz1568/getInfo.php?workbook=27_11.xlsx&amp;sheet=U0&amp;row=1138&amp;col=7&amp;number=0.0407&amp;sourceID=14","0.0407")</f>
        <v>0.0407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HYPERLINK("http://141.218.60.56/~jnz1568/getInfo.php?workbook=27_11.xlsx&amp;sheet=U0&amp;row=1139&amp;col=6&amp;number=4.5&amp;sourceID=14","4.5")</f>
        <v>4.5</v>
      </c>
      <c r="G1139" s="4" t="str">
        <f>HYPERLINK("http://141.218.60.56/~jnz1568/getInfo.php?workbook=27_11.xlsx&amp;sheet=U0&amp;row=1139&amp;col=7&amp;number=0.0406&amp;sourceID=14","0.0406")</f>
        <v>0.0406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HYPERLINK("http://141.218.60.56/~jnz1568/getInfo.php?workbook=27_11.xlsx&amp;sheet=U0&amp;row=1140&amp;col=6&amp;number=4.6&amp;sourceID=14","4.6")</f>
        <v>4.6</v>
      </c>
      <c r="G1140" s="4" t="str">
        <f>HYPERLINK("http://141.218.60.56/~jnz1568/getInfo.php?workbook=27_11.xlsx&amp;sheet=U0&amp;row=1140&amp;col=7&amp;number=0.0405&amp;sourceID=14","0.0405")</f>
        <v>0.0405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HYPERLINK("http://141.218.60.56/~jnz1568/getInfo.php?workbook=27_11.xlsx&amp;sheet=U0&amp;row=1141&amp;col=6&amp;number=4.7&amp;sourceID=14","4.7")</f>
        <v>4.7</v>
      </c>
      <c r="G1141" s="4" t="str">
        <f>HYPERLINK("http://141.218.60.56/~jnz1568/getInfo.php?workbook=27_11.xlsx&amp;sheet=U0&amp;row=1141&amp;col=7&amp;number=0.0404&amp;sourceID=14","0.0404")</f>
        <v>0.0404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HYPERLINK("http://141.218.60.56/~jnz1568/getInfo.php?workbook=27_11.xlsx&amp;sheet=U0&amp;row=1142&amp;col=6&amp;number=4.8&amp;sourceID=14","4.8")</f>
        <v>4.8</v>
      </c>
      <c r="G1142" s="4" t="str">
        <f>HYPERLINK("http://141.218.60.56/~jnz1568/getInfo.php?workbook=27_11.xlsx&amp;sheet=U0&amp;row=1142&amp;col=7&amp;number=0.0403&amp;sourceID=14","0.0403")</f>
        <v>0.0403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HYPERLINK("http://141.218.60.56/~jnz1568/getInfo.php?workbook=27_11.xlsx&amp;sheet=U0&amp;row=1143&amp;col=6&amp;number=4.9&amp;sourceID=14","4.9")</f>
        <v>4.9</v>
      </c>
      <c r="G1143" s="4" t="str">
        <f>HYPERLINK("http://141.218.60.56/~jnz1568/getInfo.php?workbook=27_11.xlsx&amp;sheet=U0&amp;row=1143&amp;col=7&amp;number=0.0401&amp;sourceID=14","0.0401")</f>
        <v>0.0401</v>
      </c>
    </row>
    <row r="1144" spans="1:7">
      <c r="A1144" s="3">
        <v>27</v>
      </c>
      <c r="B1144" s="3">
        <v>11</v>
      </c>
      <c r="C1144" s="3">
        <v>4</v>
      </c>
      <c r="D1144" s="3">
        <v>11</v>
      </c>
      <c r="E1144" s="3">
        <v>1</v>
      </c>
      <c r="F1144" s="4" t="str">
        <f>HYPERLINK("http://141.218.60.56/~jnz1568/getInfo.php?workbook=27_11.xlsx&amp;sheet=U0&amp;row=1144&amp;col=6&amp;number=3&amp;sourceID=14","3")</f>
        <v>3</v>
      </c>
      <c r="G1144" s="4" t="str">
        <f>HYPERLINK("http://141.218.60.56/~jnz1568/getInfo.php?workbook=27_11.xlsx&amp;sheet=U0&amp;row=1144&amp;col=7&amp;number=0.795&amp;sourceID=14","0.795")</f>
        <v>0.795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HYPERLINK("http://141.218.60.56/~jnz1568/getInfo.php?workbook=27_11.xlsx&amp;sheet=U0&amp;row=1145&amp;col=6&amp;number=3.1&amp;sourceID=14","3.1")</f>
        <v>3.1</v>
      </c>
      <c r="G1145" s="4" t="str">
        <f>HYPERLINK("http://141.218.60.56/~jnz1568/getInfo.php?workbook=27_11.xlsx&amp;sheet=U0&amp;row=1145&amp;col=7&amp;number=0.795&amp;sourceID=14","0.795")</f>
        <v>0.795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HYPERLINK("http://141.218.60.56/~jnz1568/getInfo.php?workbook=27_11.xlsx&amp;sheet=U0&amp;row=1146&amp;col=6&amp;number=3.2&amp;sourceID=14","3.2")</f>
        <v>3.2</v>
      </c>
      <c r="G1146" s="4" t="str">
        <f>HYPERLINK("http://141.218.60.56/~jnz1568/getInfo.php?workbook=27_11.xlsx&amp;sheet=U0&amp;row=1146&amp;col=7&amp;number=0.795&amp;sourceID=14","0.795")</f>
        <v>0.795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HYPERLINK("http://141.218.60.56/~jnz1568/getInfo.php?workbook=27_11.xlsx&amp;sheet=U0&amp;row=1147&amp;col=6&amp;number=3.3&amp;sourceID=14","3.3")</f>
        <v>3.3</v>
      </c>
      <c r="G1147" s="4" t="str">
        <f>HYPERLINK("http://141.218.60.56/~jnz1568/getInfo.php?workbook=27_11.xlsx&amp;sheet=U0&amp;row=1147&amp;col=7&amp;number=0.795&amp;sourceID=14","0.795")</f>
        <v>0.795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HYPERLINK("http://141.218.60.56/~jnz1568/getInfo.php?workbook=27_11.xlsx&amp;sheet=U0&amp;row=1148&amp;col=6&amp;number=3.4&amp;sourceID=14","3.4")</f>
        <v>3.4</v>
      </c>
      <c r="G1148" s="4" t="str">
        <f>HYPERLINK("http://141.218.60.56/~jnz1568/getInfo.php?workbook=27_11.xlsx&amp;sheet=U0&amp;row=1148&amp;col=7&amp;number=0.795&amp;sourceID=14","0.795")</f>
        <v>0.795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HYPERLINK("http://141.218.60.56/~jnz1568/getInfo.php?workbook=27_11.xlsx&amp;sheet=U0&amp;row=1149&amp;col=6&amp;number=3.5&amp;sourceID=14","3.5")</f>
        <v>3.5</v>
      </c>
      <c r="G1149" s="4" t="str">
        <f>HYPERLINK("http://141.218.60.56/~jnz1568/getInfo.php?workbook=27_11.xlsx&amp;sheet=U0&amp;row=1149&amp;col=7&amp;number=0.795&amp;sourceID=14","0.795")</f>
        <v>0.795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HYPERLINK("http://141.218.60.56/~jnz1568/getInfo.php?workbook=27_11.xlsx&amp;sheet=U0&amp;row=1150&amp;col=6&amp;number=3.6&amp;sourceID=14","3.6")</f>
        <v>3.6</v>
      </c>
      <c r="G1150" s="4" t="str">
        <f>HYPERLINK("http://141.218.60.56/~jnz1568/getInfo.php?workbook=27_11.xlsx&amp;sheet=U0&amp;row=1150&amp;col=7&amp;number=0.796&amp;sourceID=14","0.796")</f>
        <v>0.796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HYPERLINK("http://141.218.60.56/~jnz1568/getInfo.php?workbook=27_11.xlsx&amp;sheet=U0&amp;row=1151&amp;col=6&amp;number=3.7&amp;sourceID=14","3.7")</f>
        <v>3.7</v>
      </c>
      <c r="G1151" s="4" t="str">
        <f>HYPERLINK("http://141.218.60.56/~jnz1568/getInfo.php?workbook=27_11.xlsx&amp;sheet=U0&amp;row=1151&amp;col=7&amp;number=0.796&amp;sourceID=14","0.796")</f>
        <v>0.796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HYPERLINK("http://141.218.60.56/~jnz1568/getInfo.php?workbook=27_11.xlsx&amp;sheet=U0&amp;row=1152&amp;col=6&amp;number=3.8&amp;sourceID=14","3.8")</f>
        <v>3.8</v>
      </c>
      <c r="G1152" s="4" t="str">
        <f>HYPERLINK("http://141.218.60.56/~jnz1568/getInfo.php?workbook=27_11.xlsx&amp;sheet=U0&amp;row=1152&amp;col=7&amp;number=0.796&amp;sourceID=14","0.796")</f>
        <v>0.796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HYPERLINK("http://141.218.60.56/~jnz1568/getInfo.php?workbook=27_11.xlsx&amp;sheet=U0&amp;row=1153&amp;col=6&amp;number=3.9&amp;sourceID=14","3.9")</f>
        <v>3.9</v>
      </c>
      <c r="G1153" s="4" t="str">
        <f>HYPERLINK("http://141.218.60.56/~jnz1568/getInfo.php?workbook=27_11.xlsx&amp;sheet=U0&amp;row=1153&amp;col=7&amp;number=0.796&amp;sourceID=14","0.796")</f>
        <v>0.796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HYPERLINK("http://141.218.60.56/~jnz1568/getInfo.php?workbook=27_11.xlsx&amp;sheet=U0&amp;row=1154&amp;col=6&amp;number=4&amp;sourceID=14","4")</f>
        <v>4</v>
      </c>
      <c r="G1154" s="4" t="str">
        <f>HYPERLINK("http://141.218.60.56/~jnz1568/getInfo.php?workbook=27_11.xlsx&amp;sheet=U0&amp;row=1154&amp;col=7&amp;number=0.796&amp;sourceID=14","0.796")</f>
        <v>0.796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HYPERLINK("http://141.218.60.56/~jnz1568/getInfo.php?workbook=27_11.xlsx&amp;sheet=U0&amp;row=1155&amp;col=6&amp;number=4.1&amp;sourceID=14","4.1")</f>
        <v>4.1</v>
      </c>
      <c r="G1155" s="4" t="str">
        <f>HYPERLINK("http://141.218.60.56/~jnz1568/getInfo.php?workbook=27_11.xlsx&amp;sheet=U0&amp;row=1155&amp;col=7&amp;number=0.796&amp;sourceID=14","0.796")</f>
        <v>0.796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HYPERLINK("http://141.218.60.56/~jnz1568/getInfo.php?workbook=27_11.xlsx&amp;sheet=U0&amp;row=1156&amp;col=6&amp;number=4.2&amp;sourceID=14","4.2")</f>
        <v>4.2</v>
      </c>
      <c r="G1156" s="4" t="str">
        <f>HYPERLINK("http://141.218.60.56/~jnz1568/getInfo.php?workbook=27_11.xlsx&amp;sheet=U0&amp;row=1156&amp;col=7&amp;number=0.797&amp;sourceID=14","0.797")</f>
        <v>0.797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HYPERLINK("http://141.218.60.56/~jnz1568/getInfo.php?workbook=27_11.xlsx&amp;sheet=U0&amp;row=1157&amp;col=6&amp;number=4.3&amp;sourceID=14","4.3")</f>
        <v>4.3</v>
      </c>
      <c r="G1157" s="4" t="str">
        <f>HYPERLINK("http://141.218.60.56/~jnz1568/getInfo.php?workbook=27_11.xlsx&amp;sheet=U0&amp;row=1157&amp;col=7&amp;number=0.797&amp;sourceID=14","0.797")</f>
        <v>0.797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HYPERLINK("http://141.218.60.56/~jnz1568/getInfo.php?workbook=27_11.xlsx&amp;sheet=U0&amp;row=1158&amp;col=6&amp;number=4.4&amp;sourceID=14","4.4")</f>
        <v>4.4</v>
      </c>
      <c r="G1158" s="4" t="str">
        <f>HYPERLINK("http://141.218.60.56/~jnz1568/getInfo.php?workbook=27_11.xlsx&amp;sheet=U0&amp;row=1158&amp;col=7&amp;number=0.798&amp;sourceID=14","0.798")</f>
        <v>0.798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HYPERLINK("http://141.218.60.56/~jnz1568/getInfo.php?workbook=27_11.xlsx&amp;sheet=U0&amp;row=1159&amp;col=6&amp;number=4.5&amp;sourceID=14","4.5")</f>
        <v>4.5</v>
      </c>
      <c r="G1159" s="4" t="str">
        <f>HYPERLINK("http://141.218.60.56/~jnz1568/getInfo.php?workbook=27_11.xlsx&amp;sheet=U0&amp;row=1159&amp;col=7&amp;number=0.799&amp;sourceID=14","0.799")</f>
        <v>0.799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HYPERLINK("http://141.218.60.56/~jnz1568/getInfo.php?workbook=27_11.xlsx&amp;sheet=U0&amp;row=1160&amp;col=6&amp;number=4.6&amp;sourceID=14","4.6")</f>
        <v>4.6</v>
      </c>
      <c r="G1160" s="4" t="str">
        <f>HYPERLINK("http://141.218.60.56/~jnz1568/getInfo.php?workbook=27_11.xlsx&amp;sheet=U0&amp;row=1160&amp;col=7&amp;number=0.799&amp;sourceID=14","0.799")</f>
        <v>0.799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HYPERLINK("http://141.218.60.56/~jnz1568/getInfo.php?workbook=27_11.xlsx&amp;sheet=U0&amp;row=1161&amp;col=6&amp;number=4.7&amp;sourceID=14","4.7")</f>
        <v>4.7</v>
      </c>
      <c r="G1161" s="4" t="str">
        <f>HYPERLINK("http://141.218.60.56/~jnz1568/getInfo.php?workbook=27_11.xlsx&amp;sheet=U0&amp;row=1161&amp;col=7&amp;number=0.8&amp;sourceID=14","0.8")</f>
        <v>0.8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HYPERLINK("http://141.218.60.56/~jnz1568/getInfo.php?workbook=27_11.xlsx&amp;sheet=U0&amp;row=1162&amp;col=6&amp;number=4.8&amp;sourceID=14","4.8")</f>
        <v>4.8</v>
      </c>
      <c r="G1162" s="4" t="str">
        <f>HYPERLINK("http://141.218.60.56/~jnz1568/getInfo.php?workbook=27_11.xlsx&amp;sheet=U0&amp;row=1162&amp;col=7&amp;number=0.802&amp;sourceID=14","0.802")</f>
        <v>0.802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HYPERLINK("http://141.218.60.56/~jnz1568/getInfo.php?workbook=27_11.xlsx&amp;sheet=U0&amp;row=1163&amp;col=6&amp;number=4.9&amp;sourceID=14","4.9")</f>
        <v>4.9</v>
      </c>
      <c r="G1163" s="4" t="str">
        <f>HYPERLINK("http://141.218.60.56/~jnz1568/getInfo.php?workbook=27_11.xlsx&amp;sheet=U0&amp;row=1163&amp;col=7&amp;number=0.804&amp;sourceID=14","0.804")</f>
        <v>0.804</v>
      </c>
    </row>
    <row r="1164" spans="1:7">
      <c r="A1164" s="3">
        <v>27</v>
      </c>
      <c r="B1164" s="3">
        <v>11</v>
      </c>
      <c r="C1164" s="3">
        <v>4</v>
      </c>
      <c r="D1164" s="3">
        <v>12</v>
      </c>
      <c r="E1164" s="3">
        <v>1</v>
      </c>
      <c r="F1164" s="4" t="str">
        <f>HYPERLINK("http://141.218.60.56/~jnz1568/getInfo.php?workbook=27_11.xlsx&amp;sheet=U0&amp;row=1164&amp;col=6&amp;number=3&amp;sourceID=14","3")</f>
        <v>3</v>
      </c>
      <c r="G1164" s="4" t="str">
        <f>HYPERLINK("http://141.218.60.56/~jnz1568/getInfo.php?workbook=27_11.xlsx&amp;sheet=U0&amp;row=1164&amp;col=7&amp;number=0.0672&amp;sourceID=14","0.0672")</f>
        <v>0.0672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HYPERLINK("http://141.218.60.56/~jnz1568/getInfo.php?workbook=27_11.xlsx&amp;sheet=U0&amp;row=1165&amp;col=6&amp;number=3.1&amp;sourceID=14","3.1")</f>
        <v>3.1</v>
      </c>
      <c r="G1165" s="4" t="str">
        <f>HYPERLINK("http://141.218.60.56/~jnz1568/getInfo.php?workbook=27_11.xlsx&amp;sheet=U0&amp;row=1165&amp;col=7&amp;number=0.0672&amp;sourceID=14","0.0672")</f>
        <v>0.0672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HYPERLINK("http://141.218.60.56/~jnz1568/getInfo.php?workbook=27_11.xlsx&amp;sheet=U0&amp;row=1166&amp;col=6&amp;number=3.2&amp;sourceID=14","3.2")</f>
        <v>3.2</v>
      </c>
      <c r="G1166" s="4" t="str">
        <f>HYPERLINK("http://141.218.60.56/~jnz1568/getInfo.php?workbook=27_11.xlsx&amp;sheet=U0&amp;row=1166&amp;col=7&amp;number=0.0672&amp;sourceID=14","0.0672")</f>
        <v>0.0672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HYPERLINK("http://141.218.60.56/~jnz1568/getInfo.php?workbook=27_11.xlsx&amp;sheet=U0&amp;row=1167&amp;col=6&amp;number=3.3&amp;sourceID=14","3.3")</f>
        <v>3.3</v>
      </c>
      <c r="G1167" s="4" t="str">
        <f>HYPERLINK("http://141.218.60.56/~jnz1568/getInfo.php?workbook=27_11.xlsx&amp;sheet=U0&amp;row=1167&amp;col=7&amp;number=0.0672&amp;sourceID=14","0.0672")</f>
        <v>0.0672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HYPERLINK("http://141.218.60.56/~jnz1568/getInfo.php?workbook=27_11.xlsx&amp;sheet=U0&amp;row=1168&amp;col=6&amp;number=3.4&amp;sourceID=14","3.4")</f>
        <v>3.4</v>
      </c>
      <c r="G1168" s="4" t="str">
        <f>HYPERLINK("http://141.218.60.56/~jnz1568/getInfo.php?workbook=27_11.xlsx&amp;sheet=U0&amp;row=1168&amp;col=7&amp;number=0.0672&amp;sourceID=14","0.0672")</f>
        <v>0.0672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HYPERLINK("http://141.218.60.56/~jnz1568/getInfo.php?workbook=27_11.xlsx&amp;sheet=U0&amp;row=1169&amp;col=6&amp;number=3.5&amp;sourceID=14","3.5")</f>
        <v>3.5</v>
      </c>
      <c r="G1169" s="4" t="str">
        <f>HYPERLINK("http://141.218.60.56/~jnz1568/getInfo.php?workbook=27_11.xlsx&amp;sheet=U0&amp;row=1169&amp;col=7&amp;number=0.0672&amp;sourceID=14","0.0672")</f>
        <v>0.0672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HYPERLINK("http://141.218.60.56/~jnz1568/getInfo.php?workbook=27_11.xlsx&amp;sheet=U0&amp;row=1170&amp;col=6&amp;number=3.6&amp;sourceID=14","3.6")</f>
        <v>3.6</v>
      </c>
      <c r="G1170" s="4" t="str">
        <f>HYPERLINK("http://141.218.60.56/~jnz1568/getInfo.php?workbook=27_11.xlsx&amp;sheet=U0&amp;row=1170&amp;col=7&amp;number=0.0672&amp;sourceID=14","0.0672")</f>
        <v>0.0672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HYPERLINK("http://141.218.60.56/~jnz1568/getInfo.php?workbook=27_11.xlsx&amp;sheet=U0&amp;row=1171&amp;col=6&amp;number=3.7&amp;sourceID=14","3.7")</f>
        <v>3.7</v>
      </c>
      <c r="G1171" s="4" t="str">
        <f>HYPERLINK("http://141.218.60.56/~jnz1568/getInfo.php?workbook=27_11.xlsx&amp;sheet=U0&amp;row=1171&amp;col=7&amp;number=0.0672&amp;sourceID=14","0.0672")</f>
        <v>0.0672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HYPERLINK("http://141.218.60.56/~jnz1568/getInfo.php?workbook=27_11.xlsx&amp;sheet=U0&amp;row=1172&amp;col=6&amp;number=3.8&amp;sourceID=14","3.8")</f>
        <v>3.8</v>
      </c>
      <c r="G1172" s="4" t="str">
        <f>HYPERLINK("http://141.218.60.56/~jnz1568/getInfo.php?workbook=27_11.xlsx&amp;sheet=U0&amp;row=1172&amp;col=7&amp;number=0.0671&amp;sourceID=14","0.0671")</f>
        <v>0.0671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HYPERLINK("http://141.218.60.56/~jnz1568/getInfo.php?workbook=27_11.xlsx&amp;sheet=U0&amp;row=1173&amp;col=6&amp;number=3.9&amp;sourceID=14","3.9")</f>
        <v>3.9</v>
      </c>
      <c r="G1173" s="4" t="str">
        <f>HYPERLINK("http://141.218.60.56/~jnz1568/getInfo.php?workbook=27_11.xlsx&amp;sheet=U0&amp;row=1173&amp;col=7&amp;number=0.0671&amp;sourceID=14","0.0671")</f>
        <v>0.0671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HYPERLINK("http://141.218.60.56/~jnz1568/getInfo.php?workbook=27_11.xlsx&amp;sheet=U0&amp;row=1174&amp;col=6&amp;number=4&amp;sourceID=14","4")</f>
        <v>4</v>
      </c>
      <c r="G1174" s="4" t="str">
        <f>HYPERLINK("http://141.218.60.56/~jnz1568/getInfo.php?workbook=27_11.xlsx&amp;sheet=U0&amp;row=1174&amp;col=7&amp;number=0.0671&amp;sourceID=14","0.0671")</f>
        <v>0.0671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HYPERLINK("http://141.218.60.56/~jnz1568/getInfo.php?workbook=27_11.xlsx&amp;sheet=U0&amp;row=1175&amp;col=6&amp;number=4.1&amp;sourceID=14","4.1")</f>
        <v>4.1</v>
      </c>
      <c r="G1175" s="4" t="str">
        <f>HYPERLINK("http://141.218.60.56/~jnz1568/getInfo.php?workbook=27_11.xlsx&amp;sheet=U0&amp;row=1175&amp;col=7&amp;number=0.067&amp;sourceID=14","0.067")</f>
        <v>0.067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HYPERLINK("http://141.218.60.56/~jnz1568/getInfo.php?workbook=27_11.xlsx&amp;sheet=U0&amp;row=1176&amp;col=6&amp;number=4.2&amp;sourceID=14","4.2")</f>
        <v>4.2</v>
      </c>
      <c r="G1176" s="4" t="str">
        <f>HYPERLINK("http://141.218.60.56/~jnz1568/getInfo.php?workbook=27_11.xlsx&amp;sheet=U0&amp;row=1176&amp;col=7&amp;number=0.067&amp;sourceID=14","0.067")</f>
        <v>0.067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HYPERLINK("http://141.218.60.56/~jnz1568/getInfo.php?workbook=27_11.xlsx&amp;sheet=U0&amp;row=1177&amp;col=6&amp;number=4.3&amp;sourceID=14","4.3")</f>
        <v>4.3</v>
      </c>
      <c r="G1177" s="4" t="str">
        <f>HYPERLINK("http://141.218.60.56/~jnz1568/getInfo.php?workbook=27_11.xlsx&amp;sheet=U0&amp;row=1177&amp;col=7&amp;number=0.0669&amp;sourceID=14","0.0669")</f>
        <v>0.0669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HYPERLINK("http://141.218.60.56/~jnz1568/getInfo.php?workbook=27_11.xlsx&amp;sheet=U0&amp;row=1178&amp;col=6&amp;number=4.4&amp;sourceID=14","4.4")</f>
        <v>4.4</v>
      </c>
      <c r="G1178" s="4" t="str">
        <f>HYPERLINK("http://141.218.60.56/~jnz1568/getInfo.php?workbook=27_11.xlsx&amp;sheet=U0&amp;row=1178&amp;col=7&amp;number=0.0668&amp;sourceID=14","0.0668")</f>
        <v>0.0668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HYPERLINK("http://141.218.60.56/~jnz1568/getInfo.php?workbook=27_11.xlsx&amp;sheet=U0&amp;row=1179&amp;col=6&amp;number=4.5&amp;sourceID=14","4.5")</f>
        <v>4.5</v>
      </c>
      <c r="G1179" s="4" t="str">
        <f>HYPERLINK("http://141.218.60.56/~jnz1568/getInfo.php?workbook=27_11.xlsx&amp;sheet=U0&amp;row=1179&amp;col=7&amp;number=0.0666&amp;sourceID=14","0.0666")</f>
        <v>0.0666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HYPERLINK("http://141.218.60.56/~jnz1568/getInfo.php?workbook=27_11.xlsx&amp;sheet=U0&amp;row=1180&amp;col=6&amp;number=4.6&amp;sourceID=14","4.6")</f>
        <v>4.6</v>
      </c>
      <c r="G1180" s="4" t="str">
        <f>HYPERLINK("http://141.218.60.56/~jnz1568/getInfo.php?workbook=27_11.xlsx&amp;sheet=U0&amp;row=1180&amp;col=7&amp;number=0.0665&amp;sourceID=14","0.0665")</f>
        <v>0.0665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HYPERLINK("http://141.218.60.56/~jnz1568/getInfo.php?workbook=27_11.xlsx&amp;sheet=U0&amp;row=1181&amp;col=6&amp;number=4.7&amp;sourceID=14","4.7")</f>
        <v>4.7</v>
      </c>
      <c r="G1181" s="4" t="str">
        <f>HYPERLINK("http://141.218.60.56/~jnz1568/getInfo.php?workbook=27_11.xlsx&amp;sheet=U0&amp;row=1181&amp;col=7&amp;number=0.0663&amp;sourceID=14","0.0663")</f>
        <v>0.0663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HYPERLINK("http://141.218.60.56/~jnz1568/getInfo.php?workbook=27_11.xlsx&amp;sheet=U0&amp;row=1182&amp;col=6&amp;number=4.8&amp;sourceID=14","4.8")</f>
        <v>4.8</v>
      </c>
      <c r="G1182" s="4" t="str">
        <f>HYPERLINK("http://141.218.60.56/~jnz1568/getInfo.php?workbook=27_11.xlsx&amp;sheet=U0&amp;row=1182&amp;col=7&amp;number=0.066&amp;sourceID=14","0.066")</f>
        <v>0.066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HYPERLINK("http://141.218.60.56/~jnz1568/getInfo.php?workbook=27_11.xlsx&amp;sheet=U0&amp;row=1183&amp;col=6&amp;number=4.9&amp;sourceID=14","4.9")</f>
        <v>4.9</v>
      </c>
      <c r="G1183" s="4" t="str">
        <f>HYPERLINK("http://141.218.60.56/~jnz1568/getInfo.php?workbook=27_11.xlsx&amp;sheet=U0&amp;row=1183&amp;col=7&amp;number=0.0657&amp;sourceID=14","0.0657")</f>
        <v>0.0657</v>
      </c>
    </row>
    <row r="1184" spans="1:7">
      <c r="A1184" s="3">
        <v>27</v>
      </c>
      <c r="B1184" s="3">
        <v>11</v>
      </c>
      <c r="C1184" s="3">
        <v>4</v>
      </c>
      <c r="D1184" s="3">
        <v>13</v>
      </c>
      <c r="E1184" s="3">
        <v>1</v>
      </c>
      <c r="F1184" s="4" t="str">
        <f>HYPERLINK("http://141.218.60.56/~jnz1568/getInfo.php?workbook=27_11.xlsx&amp;sheet=U0&amp;row=1184&amp;col=6&amp;number=3&amp;sourceID=14","3")</f>
        <v>3</v>
      </c>
      <c r="G1184" s="4" t="str">
        <f>HYPERLINK("http://141.218.60.56/~jnz1568/getInfo.php?workbook=27_11.xlsx&amp;sheet=U0&amp;row=1184&amp;col=7&amp;number=0.00308&amp;sourceID=14","0.00308")</f>
        <v>0.00308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HYPERLINK("http://141.218.60.56/~jnz1568/getInfo.php?workbook=27_11.xlsx&amp;sheet=U0&amp;row=1185&amp;col=6&amp;number=3.1&amp;sourceID=14","3.1")</f>
        <v>3.1</v>
      </c>
      <c r="G1185" s="4" t="str">
        <f>HYPERLINK("http://141.218.60.56/~jnz1568/getInfo.php?workbook=27_11.xlsx&amp;sheet=U0&amp;row=1185&amp;col=7&amp;number=0.00308&amp;sourceID=14","0.00308")</f>
        <v>0.00308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HYPERLINK("http://141.218.60.56/~jnz1568/getInfo.php?workbook=27_11.xlsx&amp;sheet=U0&amp;row=1186&amp;col=6&amp;number=3.2&amp;sourceID=14","3.2")</f>
        <v>3.2</v>
      </c>
      <c r="G1186" s="4" t="str">
        <f>HYPERLINK("http://141.218.60.56/~jnz1568/getInfo.php?workbook=27_11.xlsx&amp;sheet=U0&amp;row=1186&amp;col=7&amp;number=0.00308&amp;sourceID=14","0.00308")</f>
        <v>0.00308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HYPERLINK("http://141.218.60.56/~jnz1568/getInfo.php?workbook=27_11.xlsx&amp;sheet=U0&amp;row=1187&amp;col=6&amp;number=3.3&amp;sourceID=14","3.3")</f>
        <v>3.3</v>
      </c>
      <c r="G1187" s="4" t="str">
        <f>HYPERLINK("http://141.218.60.56/~jnz1568/getInfo.php?workbook=27_11.xlsx&amp;sheet=U0&amp;row=1187&amp;col=7&amp;number=0.00308&amp;sourceID=14","0.00308")</f>
        <v>0.00308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HYPERLINK("http://141.218.60.56/~jnz1568/getInfo.php?workbook=27_11.xlsx&amp;sheet=U0&amp;row=1188&amp;col=6&amp;number=3.4&amp;sourceID=14","3.4")</f>
        <v>3.4</v>
      </c>
      <c r="G1188" s="4" t="str">
        <f>HYPERLINK("http://141.218.60.56/~jnz1568/getInfo.php?workbook=27_11.xlsx&amp;sheet=U0&amp;row=1188&amp;col=7&amp;number=0.00308&amp;sourceID=14","0.00308")</f>
        <v>0.00308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HYPERLINK("http://141.218.60.56/~jnz1568/getInfo.php?workbook=27_11.xlsx&amp;sheet=U0&amp;row=1189&amp;col=6&amp;number=3.5&amp;sourceID=14","3.5")</f>
        <v>3.5</v>
      </c>
      <c r="G1189" s="4" t="str">
        <f>HYPERLINK("http://141.218.60.56/~jnz1568/getInfo.php?workbook=27_11.xlsx&amp;sheet=U0&amp;row=1189&amp;col=7&amp;number=0.00308&amp;sourceID=14","0.00308")</f>
        <v>0.00308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HYPERLINK("http://141.218.60.56/~jnz1568/getInfo.php?workbook=27_11.xlsx&amp;sheet=U0&amp;row=1190&amp;col=6&amp;number=3.6&amp;sourceID=14","3.6")</f>
        <v>3.6</v>
      </c>
      <c r="G1190" s="4" t="str">
        <f>HYPERLINK("http://141.218.60.56/~jnz1568/getInfo.php?workbook=27_11.xlsx&amp;sheet=U0&amp;row=1190&amp;col=7&amp;number=0.00308&amp;sourceID=14","0.00308")</f>
        <v>0.00308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HYPERLINK("http://141.218.60.56/~jnz1568/getInfo.php?workbook=27_11.xlsx&amp;sheet=U0&amp;row=1191&amp;col=6&amp;number=3.7&amp;sourceID=14","3.7")</f>
        <v>3.7</v>
      </c>
      <c r="G1191" s="4" t="str">
        <f>HYPERLINK("http://141.218.60.56/~jnz1568/getInfo.php?workbook=27_11.xlsx&amp;sheet=U0&amp;row=1191&amp;col=7&amp;number=0.00308&amp;sourceID=14","0.00308")</f>
        <v>0.00308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HYPERLINK("http://141.218.60.56/~jnz1568/getInfo.php?workbook=27_11.xlsx&amp;sheet=U0&amp;row=1192&amp;col=6&amp;number=3.8&amp;sourceID=14","3.8")</f>
        <v>3.8</v>
      </c>
      <c r="G1192" s="4" t="str">
        <f>HYPERLINK("http://141.218.60.56/~jnz1568/getInfo.php?workbook=27_11.xlsx&amp;sheet=U0&amp;row=1192&amp;col=7&amp;number=0.00308&amp;sourceID=14","0.00308")</f>
        <v>0.00308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HYPERLINK("http://141.218.60.56/~jnz1568/getInfo.php?workbook=27_11.xlsx&amp;sheet=U0&amp;row=1193&amp;col=6&amp;number=3.9&amp;sourceID=14","3.9")</f>
        <v>3.9</v>
      </c>
      <c r="G1193" s="4" t="str">
        <f>HYPERLINK("http://141.218.60.56/~jnz1568/getInfo.php?workbook=27_11.xlsx&amp;sheet=U0&amp;row=1193&amp;col=7&amp;number=0.00308&amp;sourceID=14","0.00308")</f>
        <v>0.00308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HYPERLINK("http://141.218.60.56/~jnz1568/getInfo.php?workbook=27_11.xlsx&amp;sheet=U0&amp;row=1194&amp;col=6&amp;number=4&amp;sourceID=14","4")</f>
        <v>4</v>
      </c>
      <c r="G1194" s="4" t="str">
        <f>HYPERLINK("http://141.218.60.56/~jnz1568/getInfo.php?workbook=27_11.xlsx&amp;sheet=U0&amp;row=1194&amp;col=7&amp;number=0.00308&amp;sourceID=14","0.00308")</f>
        <v>0.00308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HYPERLINK("http://141.218.60.56/~jnz1568/getInfo.php?workbook=27_11.xlsx&amp;sheet=U0&amp;row=1195&amp;col=6&amp;number=4.1&amp;sourceID=14","4.1")</f>
        <v>4.1</v>
      </c>
      <c r="G1195" s="4" t="str">
        <f>HYPERLINK("http://141.218.60.56/~jnz1568/getInfo.php?workbook=27_11.xlsx&amp;sheet=U0&amp;row=1195&amp;col=7&amp;number=0.00308&amp;sourceID=14","0.00308")</f>
        <v>0.00308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HYPERLINK("http://141.218.60.56/~jnz1568/getInfo.php?workbook=27_11.xlsx&amp;sheet=U0&amp;row=1196&amp;col=6&amp;number=4.2&amp;sourceID=14","4.2")</f>
        <v>4.2</v>
      </c>
      <c r="G1196" s="4" t="str">
        <f>HYPERLINK("http://141.218.60.56/~jnz1568/getInfo.php?workbook=27_11.xlsx&amp;sheet=U0&amp;row=1196&amp;col=7&amp;number=0.00308&amp;sourceID=14","0.00308")</f>
        <v>0.00308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HYPERLINK("http://141.218.60.56/~jnz1568/getInfo.php?workbook=27_11.xlsx&amp;sheet=U0&amp;row=1197&amp;col=6&amp;number=4.3&amp;sourceID=14","4.3")</f>
        <v>4.3</v>
      </c>
      <c r="G1197" s="4" t="str">
        <f>HYPERLINK("http://141.218.60.56/~jnz1568/getInfo.php?workbook=27_11.xlsx&amp;sheet=U0&amp;row=1197&amp;col=7&amp;number=0.00307&amp;sourceID=14","0.00307")</f>
        <v>0.00307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HYPERLINK("http://141.218.60.56/~jnz1568/getInfo.php?workbook=27_11.xlsx&amp;sheet=U0&amp;row=1198&amp;col=6&amp;number=4.4&amp;sourceID=14","4.4")</f>
        <v>4.4</v>
      </c>
      <c r="G1198" s="4" t="str">
        <f>HYPERLINK("http://141.218.60.56/~jnz1568/getInfo.php?workbook=27_11.xlsx&amp;sheet=U0&amp;row=1198&amp;col=7&amp;number=0.00307&amp;sourceID=14","0.00307")</f>
        <v>0.00307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HYPERLINK("http://141.218.60.56/~jnz1568/getInfo.php?workbook=27_11.xlsx&amp;sheet=U0&amp;row=1199&amp;col=6&amp;number=4.5&amp;sourceID=14","4.5")</f>
        <v>4.5</v>
      </c>
      <c r="G1199" s="4" t="str">
        <f>HYPERLINK("http://141.218.60.56/~jnz1568/getInfo.php?workbook=27_11.xlsx&amp;sheet=U0&amp;row=1199&amp;col=7&amp;number=0.00307&amp;sourceID=14","0.00307")</f>
        <v>0.00307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HYPERLINK("http://141.218.60.56/~jnz1568/getInfo.php?workbook=27_11.xlsx&amp;sheet=U0&amp;row=1200&amp;col=6&amp;number=4.6&amp;sourceID=14","4.6")</f>
        <v>4.6</v>
      </c>
      <c r="G1200" s="4" t="str">
        <f>HYPERLINK("http://141.218.60.56/~jnz1568/getInfo.php?workbook=27_11.xlsx&amp;sheet=U0&amp;row=1200&amp;col=7&amp;number=0.00307&amp;sourceID=14","0.00307")</f>
        <v>0.00307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HYPERLINK("http://141.218.60.56/~jnz1568/getInfo.php?workbook=27_11.xlsx&amp;sheet=U0&amp;row=1201&amp;col=6&amp;number=4.7&amp;sourceID=14","4.7")</f>
        <v>4.7</v>
      </c>
      <c r="G1201" s="4" t="str">
        <f>HYPERLINK("http://141.218.60.56/~jnz1568/getInfo.php?workbook=27_11.xlsx&amp;sheet=U0&amp;row=1201&amp;col=7&amp;number=0.00307&amp;sourceID=14","0.00307")</f>
        <v>0.00307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HYPERLINK("http://141.218.60.56/~jnz1568/getInfo.php?workbook=27_11.xlsx&amp;sheet=U0&amp;row=1202&amp;col=6&amp;number=4.8&amp;sourceID=14","4.8")</f>
        <v>4.8</v>
      </c>
      <c r="G1202" s="4" t="str">
        <f>HYPERLINK("http://141.218.60.56/~jnz1568/getInfo.php?workbook=27_11.xlsx&amp;sheet=U0&amp;row=1202&amp;col=7&amp;number=0.00306&amp;sourceID=14","0.00306")</f>
        <v>0.00306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HYPERLINK("http://141.218.60.56/~jnz1568/getInfo.php?workbook=27_11.xlsx&amp;sheet=U0&amp;row=1203&amp;col=6&amp;number=4.9&amp;sourceID=14","4.9")</f>
        <v>4.9</v>
      </c>
      <c r="G1203" s="4" t="str">
        <f>HYPERLINK("http://141.218.60.56/~jnz1568/getInfo.php?workbook=27_11.xlsx&amp;sheet=U0&amp;row=1203&amp;col=7&amp;number=0.00306&amp;sourceID=14","0.00306")</f>
        <v>0.00306</v>
      </c>
    </row>
    <row r="1204" spans="1:7">
      <c r="A1204" s="3">
        <v>27</v>
      </c>
      <c r="B1204" s="3">
        <v>11</v>
      </c>
      <c r="C1204" s="3">
        <v>4</v>
      </c>
      <c r="D1204" s="3">
        <v>14</v>
      </c>
      <c r="E1204" s="3">
        <v>1</v>
      </c>
      <c r="F1204" s="4" t="str">
        <f>HYPERLINK("http://141.218.60.56/~jnz1568/getInfo.php?workbook=27_11.xlsx&amp;sheet=U0&amp;row=1204&amp;col=6&amp;number=3&amp;sourceID=14","3")</f>
        <v>3</v>
      </c>
      <c r="G1204" s="4" t="str">
        <f>HYPERLINK("http://141.218.60.56/~jnz1568/getInfo.php?workbook=27_11.xlsx&amp;sheet=U0&amp;row=1204&amp;col=7&amp;number=0.00388&amp;sourceID=14","0.00388")</f>
        <v>0.00388</v>
      </c>
    </row>
    <row r="1205" spans="1:7">
      <c r="A1205" s="3"/>
      <c r="B1205" s="3"/>
      <c r="C1205" s="3"/>
      <c r="D1205" s="3"/>
      <c r="E1205" s="3">
        <v>2</v>
      </c>
      <c r="F1205" s="4" t="str">
        <f>HYPERLINK("http://141.218.60.56/~jnz1568/getInfo.php?workbook=27_11.xlsx&amp;sheet=U0&amp;row=1205&amp;col=6&amp;number=3.1&amp;sourceID=14","3.1")</f>
        <v>3.1</v>
      </c>
      <c r="G1205" s="4" t="str">
        <f>HYPERLINK("http://141.218.60.56/~jnz1568/getInfo.php?workbook=27_11.xlsx&amp;sheet=U0&amp;row=1205&amp;col=7&amp;number=0.00388&amp;sourceID=14","0.00388")</f>
        <v>0.00388</v>
      </c>
    </row>
    <row r="1206" spans="1:7">
      <c r="A1206" s="3"/>
      <c r="B1206" s="3"/>
      <c r="C1206" s="3"/>
      <c r="D1206" s="3"/>
      <c r="E1206" s="3">
        <v>3</v>
      </c>
      <c r="F1206" s="4" t="str">
        <f>HYPERLINK("http://141.218.60.56/~jnz1568/getInfo.php?workbook=27_11.xlsx&amp;sheet=U0&amp;row=1206&amp;col=6&amp;number=3.2&amp;sourceID=14","3.2")</f>
        <v>3.2</v>
      </c>
      <c r="G1206" s="4" t="str">
        <f>HYPERLINK("http://141.218.60.56/~jnz1568/getInfo.php?workbook=27_11.xlsx&amp;sheet=U0&amp;row=1206&amp;col=7&amp;number=0.00388&amp;sourceID=14","0.00388")</f>
        <v>0.00388</v>
      </c>
    </row>
    <row r="1207" spans="1:7">
      <c r="A1207" s="3"/>
      <c r="B1207" s="3"/>
      <c r="C1207" s="3"/>
      <c r="D1207" s="3"/>
      <c r="E1207" s="3">
        <v>4</v>
      </c>
      <c r="F1207" s="4" t="str">
        <f>HYPERLINK("http://141.218.60.56/~jnz1568/getInfo.php?workbook=27_11.xlsx&amp;sheet=U0&amp;row=1207&amp;col=6&amp;number=3.3&amp;sourceID=14","3.3")</f>
        <v>3.3</v>
      </c>
      <c r="G1207" s="4" t="str">
        <f>HYPERLINK("http://141.218.60.56/~jnz1568/getInfo.php?workbook=27_11.xlsx&amp;sheet=U0&amp;row=1207&amp;col=7&amp;number=0.00388&amp;sourceID=14","0.00388")</f>
        <v>0.00388</v>
      </c>
    </row>
    <row r="1208" spans="1:7">
      <c r="A1208" s="3"/>
      <c r="B1208" s="3"/>
      <c r="C1208" s="3"/>
      <c r="D1208" s="3"/>
      <c r="E1208" s="3">
        <v>5</v>
      </c>
      <c r="F1208" s="4" t="str">
        <f>HYPERLINK("http://141.218.60.56/~jnz1568/getInfo.php?workbook=27_11.xlsx&amp;sheet=U0&amp;row=1208&amp;col=6&amp;number=3.4&amp;sourceID=14","3.4")</f>
        <v>3.4</v>
      </c>
      <c r="G1208" s="4" t="str">
        <f>HYPERLINK("http://141.218.60.56/~jnz1568/getInfo.php?workbook=27_11.xlsx&amp;sheet=U0&amp;row=1208&amp;col=7&amp;number=0.00388&amp;sourceID=14","0.00388")</f>
        <v>0.00388</v>
      </c>
    </row>
    <row r="1209" spans="1:7">
      <c r="A1209" s="3"/>
      <c r="B1209" s="3"/>
      <c r="C1209" s="3"/>
      <c r="D1209" s="3"/>
      <c r="E1209" s="3">
        <v>6</v>
      </c>
      <c r="F1209" s="4" t="str">
        <f>HYPERLINK("http://141.218.60.56/~jnz1568/getInfo.php?workbook=27_11.xlsx&amp;sheet=U0&amp;row=1209&amp;col=6&amp;number=3.5&amp;sourceID=14","3.5")</f>
        <v>3.5</v>
      </c>
      <c r="G1209" s="4" t="str">
        <f>HYPERLINK("http://141.218.60.56/~jnz1568/getInfo.php?workbook=27_11.xlsx&amp;sheet=U0&amp;row=1209&amp;col=7&amp;number=0.00388&amp;sourceID=14","0.00388")</f>
        <v>0.00388</v>
      </c>
    </row>
    <row r="1210" spans="1:7">
      <c r="A1210" s="3"/>
      <c r="B1210" s="3"/>
      <c r="C1210" s="3"/>
      <c r="D1210" s="3"/>
      <c r="E1210" s="3">
        <v>7</v>
      </c>
      <c r="F1210" s="4" t="str">
        <f>HYPERLINK("http://141.218.60.56/~jnz1568/getInfo.php?workbook=27_11.xlsx&amp;sheet=U0&amp;row=1210&amp;col=6&amp;number=3.6&amp;sourceID=14","3.6")</f>
        <v>3.6</v>
      </c>
      <c r="G1210" s="4" t="str">
        <f>HYPERLINK("http://141.218.60.56/~jnz1568/getInfo.php?workbook=27_11.xlsx&amp;sheet=U0&amp;row=1210&amp;col=7&amp;number=0.00388&amp;sourceID=14","0.00388")</f>
        <v>0.00388</v>
      </c>
    </row>
    <row r="1211" spans="1:7">
      <c r="A1211" s="3"/>
      <c r="B1211" s="3"/>
      <c r="C1211" s="3"/>
      <c r="D1211" s="3"/>
      <c r="E1211" s="3">
        <v>8</v>
      </c>
      <c r="F1211" s="4" t="str">
        <f>HYPERLINK("http://141.218.60.56/~jnz1568/getInfo.php?workbook=27_11.xlsx&amp;sheet=U0&amp;row=1211&amp;col=6&amp;number=3.7&amp;sourceID=14","3.7")</f>
        <v>3.7</v>
      </c>
      <c r="G1211" s="4" t="str">
        <f>HYPERLINK("http://141.218.60.56/~jnz1568/getInfo.php?workbook=27_11.xlsx&amp;sheet=U0&amp;row=1211&amp;col=7&amp;number=0.00388&amp;sourceID=14","0.00388")</f>
        <v>0.00388</v>
      </c>
    </row>
    <row r="1212" spans="1:7">
      <c r="A1212" s="3"/>
      <c r="B1212" s="3"/>
      <c r="C1212" s="3"/>
      <c r="D1212" s="3"/>
      <c r="E1212" s="3">
        <v>9</v>
      </c>
      <c r="F1212" s="4" t="str">
        <f>HYPERLINK("http://141.218.60.56/~jnz1568/getInfo.php?workbook=27_11.xlsx&amp;sheet=U0&amp;row=1212&amp;col=6&amp;number=3.8&amp;sourceID=14","3.8")</f>
        <v>3.8</v>
      </c>
      <c r="G1212" s="4" t="str">
        <f>HYPERLINK("http://141.218.60.56/~jnz1568/getInfo.php?workbook=27_11.xlsx&amp;sheet=U0&amp;row=1212&amp;col=7&amp;number=0.00388&amp;sourceID=14","0.00388")</f>
        <v>0.00388</v>
      </c>
    </row>
    <row r="1213" spans="1:7">
      <c r="A1213" s="3"/>
      <c r="B1213" s="3"/>
      <c r="C1213" s="3"/>
      <c r="D1213" s="3"/>
      <c r="E1213" s="3">
        <v>10</v>
      </c>
      <c r="F1213" s="4" t="str">
        <f>HYPERLINK("http://141.218.60.56/~jnz1568/getInfo.php?workbook=27_11.xlsx&amp;sheet=U0&amp;row=1213&amp;col=6&amp;number=3.9&amp;sourceID=14","3.9")</f>
        <v>3.9</v>
      </c>
      <c r="G1213" s="4" t="str">
        <f>HYPERLINK("http://141.218.60.56/~jnz1568/getInfo.php?workbook=27_11.xlsx&amp;sheet=U0&amp;row=1213&amp;col=7&amp;number=0.00388&amp;sourceID=14","0.00388")</f>
        <v>0.00388</v>
      </c>
    </row>
    <row r="1214" spans="1:7">
      <c r="A1214" s="3"/>
      <c r="B1214" s="3"/>
      <c r="C1214" s="3"/>
      <c r="D1214" s="3"/>
      <c r="E1214" s="3">
        <v>11</v>
      </c>
      <c r="F1214" s="4" t="str">
        <f>HYPERLINK("http://141.218.60.56/~jnz1568/getInfo.php?workbook=27_11.xlsx&amp;sheet=U0&amp;row=1214&amp;col=6&amp;number=4&amp;sourceID=14","4")</f>
        <v>4</v>
      </c>
      <c r="G1214" s="4" t="str">
        <f>HYPERLINK("http://141.218.60.56/~jnz1568/getInfo.php?workbook=27_11.xlsx&amp;sheet=U0&amp;row=1214&amp;col=7&amp;number=0.00388&amp;sourceID=14","0.00388")</f>
        <v>0.00388</v>
      </c>
    </row>
    <row r="1215" spans="1:7">
      <c r="A1215" s="3"/>
      <c r="B1215" s="3"/>
      <c r="C1215" s="3"/>
      <c r="D1215" s="3"/>
      <c r="E1215" s="3">
        <v>12</v>
      </c>
      <c r="F1215" s="4" t="str">
        <f>HYPERLINK("http://141.218.60.56/~jnz1568/getInfo.php?workbook=27_11.xlsx&amp;sheet=U0&amp;row=1215&amp;col=6&amp;number=4.1&amp;sourceID=14","4.1")</f>
        <v>4.1</v>
      </c>
      <c r="G1215" s="4" t="str">
        <f>HYPERLINK("http://141.218.60.56/~jnz1568/getInfo.php?workbook=27_11.xlsx&amp;sheet=U0&amp;row=1215&amp;col=7&amp;number=0.00388&amp;sourceID=14","0.00388")</f>
        <v>0.00388</v>
      </c>
    </row>
    <row r="1216" spans="1:7">
      <c r="A1216" s="3"/>
      <c r="B1216" s="3"/>
      <c r="C1216" s="3"/>
      <c r="D1216" s="3"/>
      <c r="E1216" s="3">
        <v>13</v>
      </c>
      <c r="F1216" s="4" t="str">
        <f>HYPERLINK("http://141.218.60.56/~jnz1568/getInfo.php?workbook=27_11.xlsx&amp;sheet=U0&amp;row=1216&amp;col=6&amp;number=4.2&amp;sourceID=14","4.2")</f>
        <v>4.2</v>
      </c>
      <c r="G1216" s="4" t="str">
        <f>HYPERLINK("http://141.218.60.56/~jnz1568/getInfo.php?workbook=27_11.xlsx&amp;sheet=U0&amp;row=1216&amp;col=7&amp;number=0.00388&amp;sourceID=14","0.00388")</f>
        <v>0.00388</v>
      </c>
    </row>
    <row r="1217" spans="1:7">
      <c r="A1217" s="3"/>
      <c r="B1217" s="3"/>
      <c r="C1217" s="3"/>
      <c r="D1217" s="3"/>
      <c r="E1217" s="3">
        <v>14</v>
      </c>
      <c r="F1217" s="4" t="str">
        <f>HYPERLINK("http://141.218.60.56/~jnz1568/getInfo.php?workbook=27_11.xlsx&amp;sheet=U0&amp;row=1217&amp;col=6&amp;number=4.3&amp;sourceID=14","4.3")</f>
        <v>4.3</v>
      </c>
      <c r="G1217" s="4" t="str">
        <f>HYPERLINK("http://141.218.60.56/~jnz1568/getInfo.php?workbook=27_11.xlsx&amp;sheet=U0&amp;row=1217&amp;col=7&amp;number=0.00388&amp;sourceID=14","0.00388")</f>
        <v>0.00388</v>
      </c>
    </row>
    <row r="1218" spans="1:7">
      <c r="A1218" s="3"/>
      <c r="B1218" s="3"/>
      <c r="C1218" s="3"/>
      <c r="D1218" s="3"/>
      <c r="E1218" s="3">
        <v>15</v>
      </c>
      <c r="F1218" s="4" t="str">
        <f>HYPERLINK("http://141.218.60.56/~jnz1568/getInfo.php?workbook=27_11.xlsx&amp;sheet=U0&amp;row=1218&amp;col=6&amp;number=4.4&amp;sourceID=14","4.4")</f>
        <v>4.4</v>
      </c>
      <c r="G1218" s="4" t="str">
        <f>HYPERLINK("http://141.218.60.56/~jnz1568/getInfo.php?workbook=27_11.xlsx&amp;sheet=U0&amp;row=1218&amp;col=7&amp;number=0.00388&amp;sourceID=14","0.00388")</f>
        <v>0.00388</v>
      </c>
    </row>
    <row r="1219" spans="1:7">
      <c r="A1219" s="3"/>
      <c r="B1219" s="3"/>
      <c r="C1219" s="3"/>
      <c r="D1219" s="3"/>
      <c r="E1219" s="3">
        <v>16</v>
      </c>
      <c r="F1219" s="4" t="str">
        <f>HYPERLINK("http://141.218.60.56/~jnz1568/getInfo.php?workbook=27_11.xlsx&amp;sheet=U0&amp;row=1219&amp;col=6&amp;number=4.5&amp;sourceID=14","4.5")</f>
        <v>4.5</v>
      </c>
      <c r="G1219" s="4" t="str">
        <f>HYPERLINK("http://141.218.60.56/~jnz1568/getInfo.php?workbook=27_11.xlsx&amp;sheet=U0&amp;row=1219&amp;col=7&amp;number=0.00388&amp;sourceID=14","0.00388")</f>
        <v>0.00388</v>
      </c>
    </row>
    <row r="1220" spans="1:7">
      <c r="A1220" s="3"/>
      <c r="B1220" s="3"/>
      <c r="C1220" s="3"/>
      <c r="D1220" s="3"/>
      <c r="E1220" s="3">
        <v>17</v>
      </c>
      <c r="F1220" s="4" t="str">
        <f>HYPERLINK("http://141.218.60.56/~jnz1568/getInfo.php?workbook=27_11.xlsx&amp;sheet=U0&amp;row=1220&amp;col=6&amp;number=4.6&amp;sourceID=14","4.6")</f>
        <v>4.6</v>
      </c>
      <c r="G1220" s="4" t="str">
        <f>HYPERLINK("http://141.218.60.56/~jnz1568/getInfo.php?workbook=27_11.xlsx&amp;sheet=U0&amp;row=1220&amp;col=7&amp;number=0.00388&amp;sourceID=14","0.00388")</f>
        <v>0.00388</v>
      </c>
    </row>
    <row r="1221" spans="1:7">
      <c r="A1221" s="3"/>
      <c r="B1221" s="3"/>
      <c r="C1221" s="3"/>
      <c r="D1221" s="3"/>
      <c r="E1221" s="3">
        <v>18</v>
      </c>
      <c r="F1221" s="4" t="str">
        <f>HYPERLINK("http://141.218.60.56/~jnz1568/getInfo.php?workbook=27_11.xlsx&amp;sheet=U0&amp;row=1221&amp;col=6&amp;number=4.7&amp;sourceID=14","4.7")</f>
        <v>4.7</v>
      </c>
      <c r="G1221" s="4" t="str">
        <f>HYPERLINK("http://141.218.60.56/~jnz1568/getInfo.php?workbook=27_11.xlsx&amp;sheet=U0&amp;row=1221&amp;col=7&amp;number=0.00388&amp;sourceID=14","0.00388")</f>
        <v>0.00388</v>
      </c>
    </row>
    <row r="1222" spans="1:7">
      <c r="A1222" s="3"/>
      <c r="B1222" s="3"/>
      <c r="C1222" s="3"/>
      <c r="D1222" s="3"/>
      <c r="E1222" s="3">
        <v>19</v>
      </c>
      <c r="F1222" s="4" t="str">
        <f>HYPERLINK("http://141.218.60.56/~jnz1568/getInfo.php?workbook=27_11.xlsx&amp;sheet=U0&amp;row=1222&amp;col=6&amp;number=4.8&amp;sourceID=14","4.8")</f>
        <v>4.8</v>
      </c>
      <c r="G1222" s="4" t="str">
        <f>HYPERLINK("http://141.218.60.56/~jnz1568/getInfo.php?workbook=27_11.xlsx&amp;sheet=U0&amp;row=1222&amp;col=7&amp;number=0.00387&amp;sourceID=14","0.00387")</f>
        <v>0.00387</v>
      </c>
    </row>
    <row r="1223" spans="1:7">
      <c r="A1223" s="3"/>
      <c r="B1223" s="3"/>
      <c r="C1223" s="3"/>
      <c r="D1223" s="3"/>
      <c r="E1223" s="3">
        <v>20</v>
      </c>
      <c r="F1223" s="4" t="str">
        <f>HYPERLINK("http://141.218.60.56/~jnz1568/getInfo.php?workbook=27_11.xlsx&amp;sheet=U0&amp;row=1223&amp;col=6&amp;number=4.9&amp;sourceID=14","4.9")</f>
        <v>4.9</v>
      </c>
      <c r="G1223" s="4" t="str">
        <f>HYPERLINK("http://141.218.60.56/~jnz1568/getInfo.php?workbook=27_11.xlsx&amp;sheet=U0&amp;row=1223&amp;col=7&amp;number=0.00387&amp;sourceID=14","0.00387")</f>
        <v>0.00387</v>
      </c>
    </row>
    <row r="1224" spans="1:7">
      <c r="A1224" s="3">
        <v>27</v>
      </c>
      <c r="B1224" s="3">
        <v>11</v>
      </c>
      <c r="C1224" s="3">
        <v>4</v>
      </c>
      <c r="D1224" s="3">
        <v>15</v>
      </c>
      <c r="E1224" s="3">
        <v>1</v>
      </c>
      <c r="F1224" s="4" t="str">
        <f>HYPERLINK("http://141.218.60.56/~jnz1568/getInfo.php?workbook=27_11.xlsx&amp;sheet=U0&amp;row=1224&amp;col=6&amp;number=3&amp;sourceID=14","3")</f>
        <v>3</v>
      </c>
      <c r="G1224" s="4" t="str">
        <f>HYPERLINK("http://141.218.60.56/~jnz1568/getInfo.php?workbook=27_11.xlsx&amp;sheet=U0&amp;row=1224&amp;col=7&amp;number=0.00615&amp;sourceID=14","0.00615")</f>
        <v>0.00615</v>
      </c>
    </row>
    <row r="1225" spans="1:7">
      <c r="A1225" s="3"/>
      <c r="B1225" s="3"/>
      <c r="C1225" s="3"/>
      <c r="D1225" s="3"/>
      <c r="E1225" s="3">
        <v>2</v>
      </c>
      <c r="F1225" s="4" t="str">
        <f>HYPERLINK("http://141.218.60.56/~jnz1568/getInfo.php?workbook=27_11.xlsx&amp;sheet=U0&amp;row=1225&amp;col=6&amp;number=3.1&amp;sourceID=14","3.1")</f>
        <v>3.1</v>
      </c>
      <c r="G1225" s="4" t="str">
        <f>HYPERLINK("http://141.218.60.56/~jnz1568/getInfo.php?workbook=27_11.xlsx&amp;sheet=U0&amp;row=1225&amp;col=7&amp;number=0.00615&amp;sourceID=14","0.00615")</f>
        <v>0.00615</v>
      </c>
    </row>
    <row r="1226" spans="1:7">
      <c r="A1226" s="3"/>
      <c r="B1226" s="3"/>
      <c r="C1226" s="3"/>
      <c r="D1226" s="3"/>
      <c r="E1226" s="3">
        <v>3</v>
      </c>
      <c r="F1226" s="4" t="str">
        <f>HYPERLINK("http://141.218.60.56/~jnz1568/getInfo.php?workbook=27_11.xlsx&amp;sheet=U0&amp;row=1226&amp;col=6&amp;number=3.2&amp;sourceID=14","3.2")</f>
        <v>3.2</v>
      </c>
      <c r="G1226" s="4" t="str">
        <f>HYPERLINK("http://141.218.60.56/~jnz1568/getInfo.php?workbook=27_11.xlsx&amp;sheet=U0&amp;row=1226&amp;col=7&amp;number=0.00615&amp;sourceID=14","0.00615")</f>
        <v>0.00615</v>
      </c>
    </row>
    <row r="1227" spans="1:7">
      <c r="A1227" s="3"/>
      <c r="B1227" s="3"/>
      <c r="C1227" s="3"/>
      <c r="D1227" s="3"/>
      <c r="E1227" s="3">
        <v>4</v>
      </c>
      <c r="F1227" s="4" t="str">
        <f>HYPERLINK("http://141.218.60.56/~jnz1568/getInfo.php?workbook=27_11.xlsx&amp;sheet=U0&amp;row=1227&amp;col=6&amp;number=3.3&amp;sourceID=14","3.3")</f>
        <v>3.3</v>
      </c>
      <c r="G1227" s="4" t="str">
        <f>HYPERLINK("http://141.218.60.56/~jnz1568/getInfo.php?workbook=27_11.xlsx&amp;sheet=U0&amp;row=1227&amp;col=7&amp;number=0.00615&amp;sourceID=14","0.00615")</f>
        <v>0.00615</v>
      </c>
    </row>
    <row r="1228" spans="1:7">
      <c r="A1228" s="3"/>
      <c r="B1228" s="3"/>
      <c r="C1228" s="3"/>
      <c r="D1228" s="3"/>
      <c r="E1228" s="3">
        <v>5</v>
      </c>
      <c r="F1228" s="4" t="str">
        <f>HYPERLINK("http://141.218.60.56/~jnz1568/getInfo.php?workbook=27_11.xlsx&amp;sheet=U0&amp;row=1228&amp;col=6&amp;number=3.4&amp;sourceID=14","3.4")</f>
        <v>3.4</v>
      </c>
      <c r="G1228" s="4" t="str">
        <f>HYPERLINK("http://141.218.60.56/~jnz1568/getInfo.php?workbook=27_11.xlsx&amp;sheet=U0&amp;row=1228&amp;col=7&amp;number=0.00615&amp;sourceID=14","0.00615")</f>
        <v>0.00615</v>
      </c>
    </row>
    <row r="1229" spans="1:7">
      <c r="A1229" s="3"/>
      <c r="B1229" s="3"/>
      <c r="C1229" s="3"/>
      <c r="D1229" s="3"/>
      <c r="E1229" s="3">
        <v>6</v>
      </c>
      <c r="F1229" s="4" t="str">
        <f>HYPERLINK("http://141.218.60.56/~jnz1568/getInfo.php?workbook=27_11.xlsx&amp;sheet=U0&amp;row=1229&amp;col=6&amp;number=3.5&amp;sourceID=14","3.5")</f>
        <v>3.5</v>
      </c>
      <c r="G1229" s="4" t="str">
        <f>HYPERLINK("http://141.218.60.56/~jnz1568/getInfo.php?workbook=27_11.xlsx&amp;sheet=U0&amp;row=1229&amp;col=7&amp;number=0.00615&amp;sourceID=14","0.00615")</f>
        <v>0.00615</v>
      </c>
    </row>
    <row r="1230" spans="1:7">
      <c r="A1230" s="3"/>
      <c r="B1230" s="3"/>
      <c r="C1230" s="3"/>
      <c r="D1230" s="3"/>
      <c r="E1230" s="3">
        <v>7</v>
      </c>
      <c r="F1230" s="4" t="str">
        <f>HYPERLINK("http://141.218.60.56/~jnz1568/getInfo.php?workbook=27_11.xlsx&amp;sheet=U0&amp;row=1230&amp;col=6&amp;number=3.6&amp;sourceID=14","3.6")</f>
        <v>3.6</v>
      </c>
      <c r="G1230" s="4" t="str">
        <f>HYPERLINK("http://141.218.60.56/~jnz1568/getInfo.php?workbook=27_11.xlsx&amp;sheet=U0&amp;row=1230&amp;col=7&amp;number=0.00615&amp;sourceID=14","0.00615")</f>
        <v>0.00615</v>
      </c>
    </row>
    <row r="1231" spans="1:7">
      <c r="A1231" s="3"/>
      <c r="B1231" s="3"/>
      <c r="C1231" s="3"/>
      <c r="D1231" s="3"/>
      <c r="E1231" s="3">
        <v>8</v>
      </c>
      <c r="F1231" s="4" t="str">
        <f>HYPERLINK("http://141.218.60.56/~jnz1568/getInfo.php?workbook=27_11.xlsx&amp;sheet=U0&amp;row=1231&amp;col=6&amp;number=3.7&amp;sourceID=14","3.7")</f>
        <v>3.7</v>
      </c>
      <c r="G1231" s="4" t="str">
        <f>HYPERLINK("http://141.218.60.56/~jnz1568/getInfo.php?workbook=27_11.xlsx&amp;sheet=U0&amp;row=1231&amp;col=7&amp;number=0.00614&amp;sourceID=14","0.00614")</f>
        <v>0.00614</v>
      </c>
    </row>
    <row r="1232" spans="1:7">
      <c r="A1232" s="3"/>
      <c r="B1232" s="3"/>
      <c r="C1232" s="3"/>
      <c r="D1232" s="3"/>
      <c r="E1232" s="3">
        <v>9</v>
      </c>
      <c r="F1232" s="4" t="str">
        <f>HYPERLINK("http://141.218.60.56/~jnz1568/getInfo.php?workbook=27_11.xlsx&amp;sheet=U0&amp;row=1232&amp;col=6&amp;number=3.8&amp;sourceID=14","3.8")</f>
        <v>3.8</v>
      </c>
      <c r="G1232" s="4" t="str">
        <f>HYPERLINK("http://141.218.60.56/~jnz1568/getInfo.php?workbook=27_11.xlsx&amp;sheet=U0&amp;row=1232&amp;col=7&amp;number=0.00614&amp;sourceID=14","0.00614")</f>
        <v>0.00614</v>
      </c>
    </row>
    <row r="1233" spans="1:7">
      <c r="A1233" s="3"/>
      <c r="B1233" s="3"/>
      <c r="C1233" s="3"/>
      <c r="D1233" s="3"/>
      <c r="E1233" s="3">
        <v>10</v>
      </c>
      <c r="F1233" s="4" t="str">
        <f>HYPERLINK("http://141.218.60.56/~jnz1568/getInfo.php?workbook=27_11.xlsx&amp;sheet=U0&amp;row=1233&amp;col=6&amp;number=3.9&amp;sourceID=14","3.9")</f>
        <v>3.9</v>
      </c>
      <c r="G1233" s="4" t="str">
        <f>HYPERLINK("http://141.218.60.56/~jnz1568/getInfo.php?workbook=27_11.xlsx&amp;sheet=U0&amp;row=1233&amp;col=7&amp;number=0.00614&amp;sourceID=14","0.00614")</f>
        <v>0.00614</v>
      </c>
    </row>
    <row r="1234" spans="1:7">
      <c r="A1234" s="3"/>
      <c r="B1234" s="3"/>
      <c r="C1234" s="3"/>
      <c r="D1234" s="3"/>
      <c r="E1234" s="3">
        <v>11</v>
      </c>
      <c r="F1234" s="4" t="str">
        <f>HYPERLINK("http://141.218.60.56/~jnz1568/getInfo.php?workbook=27_11.xlsx&amp;sheet=U0&amp;row=1234&amp;col=6&amp;number=4&amp;sourceID=14","4")</f>
        <v>4</v>
      </c>
      <c r="G1234" s="4" t="str">
        <f>HYPERLINK("http://141.218.60.56/~jnz1568/getInfo.php?workbook=27_11.xlsx&amp;sheet=U0&amp;row=1234&amp;col=7&amp;number=0.00614&amp;sourceID=14","0.00614")</f>
        <v>0.00614</v>
      </c>
    </row>
    <row r="1235" spans="1:7">
      <c r="A1235" s="3"/>
      <c r="B1235" s="3"/>
      <c r="C1235" s="3"/>
      <c r="D1235" s="3"/>
      <c r="E1235" s="3">
        <v>12</v>
      </c>
      <c r="F1235" s="4" t="str">
        <f>HYPERLINK("http://141.218.60.56/~jnz1568/getInfo.php?workbook=27_11.xlsx&amp;sheet=U0&amp;row=1235&amp;col=6&amp;number=4.1&amp;sourceID=14","4.1")</f>
        <v>4.1</v>
      </c>
      <c r="G1235" s="4" t="str">
        <f>HYPERLINK("http://141.218.60.56/~jnz1568/getInfo.php?workbook=27_11.xlsx&amp;sheet=U0&amp;row=1235&amp;col=7&amp;number=0.00614&amp;sourceID=14","0.00614")</f>
        <v>0.00614</v>
      </c>
    </row>
    <row r="1236" spans="1:7">
      <c r="A1236" s="3"/>
      <c r="B1236" s="3"/>
      <c r="C1236" s="3"/>
      <c r="D1236" s="3"/>
      <c r="E1236" s="3">
        <v>13</v>
      </c>
      <c r="F1236" s="4" t="str">
        <f>HYPERLINK("http://141.218.60.56/~jnz1568/getInfo.php?workbook=27_11.xlsx&amp;sheet=U0&amp;row=1236&amp;col=6&amp;number=4.2&amp;sourceID=14","4.2")</f>
        <v>4.2</v>
      </c>
      <c r="G1236" s="4" t="str">
        <f>HYPERLINK("http://141.218.60.56/~jnz1568/getInfo.php?workbook=27_11.xlsx&amp;sheet=U0&amp;row=1236&amp;col=7&amp;number=0.00613&amp;sourceID=14","0.00613")</f>
        <v>0.00613</v>
      </c>
    </row>
    <row r="1237" spans="1:7">
      <c r="A1237" s="3"/>
      <c r="B1237" s="3"/>
      <c r="C1237" s="3"/>
      <c r="D1237" s="3"/>
      <c r="E1237" s="3">
        <v>14</v>
      </c>
      <c r="F1237" s="4" t="str">
        <f>HYPERLINK("http://141.218.60.56/~jnz1568/getInfo.php?workbook=27_11.xlsx&amp;sheet=U0&amp;row=1237&amp;col=6&amp;number=4.3&amp;sourceID=14","4.3")</f>
        <v>4.3</v>
      </c>
      <c r="G1237" s="4" t="str">
        <f>HYPERLINK("http://141.218.60.56/~jnz1568/getInfo.php?workbook=27_11.xlsx&amp;sheet=U0&amp;row=1237&amp;col=7&amp;number=0.00613&amp;sourceID=14","0.00613")</f>
        <v>0.00613</v>
      </c>
    </row>
    <row r="1238" spans="1:7">
      <c r="A1238" s="3"/>
      <c r="B1238" s="3"/>
      <c r="C1238" s="3"/>
      <c r="D1238" s="3"/>
      <c r="E1238" s="3">
        <v>15</v>
      </c>
      <c r="F1238" s="4" t="str">
        <f>HYPERLINK("http://141.218.60.56/~jnz1568/getInfo.php?workbook=27_11.xlsx&amp;sheet=U0&amp;row=1238&amp;col=6&amp;number=4.4&amp;sourceID=14","4.4")</f>
        <v>4.4</v>
      </c>
      <c r="G1238" s="4" t="str">
        <f>HYPERLINK("http://141.218.60.56/~jnz1568/getInfo.php?workbook=27_11.xlsx&amp;sheet=U0&amp;row=1238&amp;col=7&amp;number=0.00612&amp;sourceID=14","0.00612")</f>
        <v>0.00612</v>
      </c>
    </row>
    <row r="1239" spans="1:7">
      <c r="A1239" s="3"/>
      <c r="B1239" s="3"/>
      <c r="C1239" s="3"/>
      <c r="D1239" s="3"/>
      <c r="E1239" s="3">
        <v>16</v>
      </c>
      <c r="F1239" s="4" t="str">
        <f>HYPERLINK("http://141.218.60.56/~jnz1568/getInfo.php?workbook=27_11.xlsx&amp;sheet=U0&amp;row=1239&amp;col=6&amp;number=4.5&amp;sourceID=14","4.5")</f>
        <v>4.5</v>
      </c>
      <c r="G1239" s="4" t="str">
        <f>HYPERLINK("http://141.218.60.56/~jnz1568/getInfo.php?workbook=27_11.xlsx&amp;sheet=U0&amp;row=1239&amp;col=7&amp;number=0.00611&amp;sourceID=14","0.00611")</f>
        <v>0.00611</v>
      </c>
    </row>
    <row r="1240" spans="1:7">
      <c r="A1240" s="3"/>
      <c r="B1240" s="3"/>
      <c r="C1240" s="3"/>
      <c r="D1240" s="3"/>
      <c r="E1240" s="3">
        <v>17</v>
      </c>
      <c r="F1240" s="4" t="str">
        <f>HYPERLINK("http://141.218.60.56/~jnz1568/getInfo.php?workbook=27_11.xlsx&amp;sheet=U0&amp;row=1240&amp;col=6&amp;number=4.6&amp;sourceID=14","4.6")</f>
        <v>4.6</v>
      </c>
      <c r="G1240" s="4" t="str">
        <f>HYPERLINK("http://141.218.60.56/~jnz1568/getInfo.php?workbook=27_11.xlsx&amp;sheet=U0&amp;row=1240&amp;col=7&amp;number=0.0061&amp;sourceID=14","0.0061")</f>
        <v>0.0061</v>
      </c>
    </row>
    <row r="1241" spans="1:7">
      <c r="A1241" s="3"/>
      <c r="B1241" s="3"/>
      <c r="C1241" s="3"/>
      <c r="D1241" s="3"/>
      <c r="E1241" s="3">
        <v>18</v>
      </c>
      <c r="F1241" s="4" t="str">
        <f>HYPERLINK("http://141.218.60.56/~jnz1568/getInfo.php?workbook=27_11.xlsx&amp;sheet=U0&amp;row=1241&amp;col=6&amp;number=4.7&amp;sourceID=14","4.7")</f>
        <v>4.7</v>
      </c>
      <c r="G1241" s="4" t="str">
        <f>HYPERLINK("http://141.218.60.56/~jnz1568/getInfo.php?workbook=27_11.xlsx&amp;sheet=U0&amp;row=1241&amp;col=7&amp;number=0.00609&amp;sourceID=14","0.00609")</f>
        <v>0.00609</v>
      </c>
    </row>
    <row r="1242" spans="1:7">
      <c r="A1242" s="3"/>
      <c r="B1242" s="3"/>
      <c r="C1242" s="3"/>
      <c r="D1242" s="3"/>
      <c r="E1242" s="3">
        <v>19</v>
      </c>
      <c r="F1242" s="4" t="str">
        <f>HYPERLINK("http://141.218.60.56/~jnz1568/getInfo.php?workbook=27_11.xlsx&amp;sheet=U0&amp;row=1242&amp;col=6&amp;number=4.8&amp;sourceID=14","4.8")</f>
        <v>4.8</v>
      </c>
      <c r="G1242" s="4" t="str">
        <f>HYPERLINK("http://141.218.60.56/~jnz1568/getInfo.php?workbook=27_11.xlsx&amp;sheet=U0&amp;row=1242&amp;col=7&amp;number=0.00607&amp;sourceID=14","0.00607")</f>
        <v>0.00607</v>
      </c>
    </row>
    <row r="1243" spans="1:7">
      <c r="A1243" s="3"/>
      <c r="B1243" s="3"/>
      <c r="C1243" s="3"/>
      <c r="D1243" s="3"/>
      <c r="E1243" s="3">
        <v>20</v>
      </c>
      <c r="F1243" s="4" t="str">
        <f>HYPERLINK("http://141.218.60.56/~jnz1568/getInfo.php?workbook=27_11.xlsx&amp;sheet=U0&amp;row=1243&amp;col=6&amp;number=4.9&amp;sourceID=14","4.9")</f>
        <v>4.9</v>
      </c>
      <c r="G1243" s="4" t="str">
        <f>HYPERLINK("http://141.218.60.56/~jnz1568/getInfo.php?workbook=27_11.xlsx&amp;sheet=U0&amp;row=1243&amp;col=7&amp;number=0.00605&amp;sourceID=14","0.00605")</f>
        <v>0.00605</v>
      </c>
    </row>
    <row r="1244" spans="1:7">
      <c r="A1244" s="3">
        <v>27</v>
      </c>
      <c r="B1244" s="3">
        <v>11</v>
      </c>
      <c r="C1244" s="3">
        <v>4</v>
      </c>
      <c r="D1244" s="3">
        <v>16</v>
      </c>
      <c r="E1244" s="3">
        <v>1</v>
      </c>
      <c r="F1244" s="4" t="str">
        <f>HYPERLINK("http://141.218.60.56/~jnz1568/getInfo.php?workbook=27_11.xlsx&amp;sheet=U0&amp;row=1244&amp;col=6&amp;number=3&amp;sourceID=14","3")</f>
        <v>3</v>
      </c>
      <c r="G1244" s="4" t="str">
        <f>HYPERLINK("http://141.218.60.56/~jnz1568/getInfo.php?workbook=27_11.xlsx&amp;sheet=U0&amp;row=1244&amp;col=7&amp;number=0.0521&amp;sourceID=14","0.0521")</f>
        <v>0.0521</v>
      </c>
    </row>
    <row r="1245" spans="1:7">
      <c r="A1245" s="3"/>
      <c r="B1245" s="3"/>
      <c r="C1245" s="3"/>
      <c r="D1245" s="3"/>
      <c r="E1245" s="3">
        <v>2</v>
      </c>
      <c r="F1245" s="4" t="str">
        <f>HYPERLINK("http://141.218.60.56/~jnz1568/getInfo.php?workbook=27_11.xlsx&amp;sheet=U0&amp;row=1245&amp;col=6&amp;number=3.1&amp;sourceID=14","3.1")</f>
        <v>3.1</v>
      </c>
      <c r="G1245" s="4" t="str">
        <f>HYPERLINK("http://141.218.60.56/~jnz1568/getInfo.php?workbook=27_11.xlsx&amp;sheet=U0&amp;row=1245&amp;col=7&amp;number=0.0521&amp;sourceID=14","0.0521")</f>
        <v>0.0521</v>
      </c>
    </row>
    <row r="1246" spans="1:7">
      <c r="A1246" s="3"/>
      <c r="B1246" s="3"/>
      <c r="C1246" s="3"/>
      <c r="D1246" s="3"/>
      <c r="E1246" s="3">
        <v>3</v>
      </c>
      <c r="F1246" s="4" t="str">
        <f>HYPERLINK("http://141.218.60.56/~jnz1568/getInfo.php?workbook=27_11.xlsx&amp;sheet=U0&amp;row=1246&amp;col=6&amp;number=3.2&amp;sourceID=14","3.2")</f>
        <v>3.2</v>
      </c>
      <c r="G1246" s="4" t="str">
        <f>HYPERLINK("http://141.218.60.56/~jnz1568/getInfo.php?workbook=27_11.xlsx&amp;sheet=U0&amp;row=1246&amp;col=7&amp;number=0.0521&amp;sourceID=14","0.0521")</f>
        <v>0.0521</v>
      </c>
    </row>
    <row r="1247" spans="1:7">
      <c r="A1247" s="3"/>
      <c r="B1247" s="3"/>
      <c r="C1247" s="3"/>
      <c r="D1247" s="3"/>
      <c r="E1247" s="3">
        <v>4</v>
      </c>
      <c r="F1247" s="4" t="str">
        <f>HYPERLINK("http://141.218.60.56/~jnz1568/getInfo.php?workbook=27_11.xlsx&amp;sheet=U0&amp;row=1247&amp;col=6&amp;number=3.3&amp;sourceID=14","3.3")</f>
        <v>3.3</v>
      </c>
      <c r="G1247" s="4" t="str">
        <f>HYPERLINK("http://141.218.60.56/~jnz1568/getInfo.php?workbook=27_11.xlsx&amp;sheet=U0&amp;row=1247&amp;col=7&amp;number=0.0521&amp;sourceID=14","0.0521")</f>
        <v>0.0521</v>
      </c>
    </row>
    <row r="1248" spans="1:7">
      <c r="A1248" s="3"/>
      <c r="B1248" s="3"/>
      <c r="C1248" s="3"/>
      <c r="D1248" s="3"/>
      <c r="E1248" s="3">
        <v>5</v>
      </c>
      <c r="F1248" s="4" t="str">
        <f>HYPERLINK("http://141.218.60.56/~jnz1568/getInfo.php?workbook=27_11.xlsx&amp;sheet=U0&amp;row=1248&amp;col=6&amp;number=3.4&amp;sourceID=14","3.4")</f>
        <v>3.4</v>
      </c>
      <c r="G1248" s="4" t="str">
        <f>HYPERLINK("http://141.218.60.56/~jnz1568/getInfo.php?workbook=27_11.xlsx&amp;sheet=U0&amp;row=1248&amp;col=7&amp;number=0.0521&amp;sourceID=14","0.0521")</f>
        <v>0.0521</v>
      </c>
    </row>
    <row r="1249" spans="1:7">
      <c r="A1249" s="3"/>
      <c r="B1249" s="3"/>
      <c r="C1249" s="3"/>
      <c r="D1249" s="3"/>
      <c r="E1249" s="3">
        <v>6</v>
      </c>
      <c r="F1249" s="4" t="str">
        <f>HYPERLINK("http://141.218.60.56/~jnz1568/getInfo.php?workbook=27_11.xlsx&amp;sheet=U0&amp;row=1249&amp;col=6&amp;number=3.5&amp;sourceID=14","3.5")</f>
        <v>3.5</v>
      </c>
      <c r="G1249" s="4" t="str">
        <f>HYPERLINK("http://141.218.60.56/~jnz1568/getInfo.php?workbook=27_11.xlsx&amp;sheet=U0&amp;row=1249&amp;col=7&amp;number=0.0521&amp;sourceID=14","0.0521")</f>
        <v>0.0521</v>
      </c>
    </row>
    <row r="1250" spans="1:7">
      <c r="A1250" s="3"/>
      <c r="B1250" s="3"/>
      <c r="C1250" s="3"/>
      <c r="D1250" s="3"/>
      <c r="E1250" s="3">
        <v>7</v>
      </c>
      <c r="F1250" s="4" t="str">
        <f>HYPERLINK("http://141.218.60.56/~jnz1568/getInfo.php?workbook=27_11.xlsx&amp;sheet=U0&amp;row=1250&amp;col=6&amp;number=3.6&amp;sourceID=14","3.6")</f>
        <v>3.6</v>
      </c>
      <c r="G1250" s="4" t="str">
        <f>HYPERLINK("http://141.218.60.56/~jnz1568/getInfo.php?workbook=27_11.xlsx&amp;sheet=U0&amp;row=1250&amp;col=7&amp;number=0.0521&amp;sourceID=14","0.0521")</f>
        <v>0.0521</v>
      </c>
    </row>
    <row r="1251" spans="1:7">
      <c r="A1251" s="3"/>
      <c r="B1251" s="3"/>
      <c r="C1251" s="3"/>
      <c r="D1251" s="3"/>
      <c r="E1251" s="3">
        <v>8</v>
      </c>
      <c r="F1251" s="4" t="str">
        <f>HYPERLINK("http://141.218.60.56/~jnz1568/getInfo.php?workbook=27_11.xlsx&amp;sheet=U0&amp;row=1251&amp;col=6&amp;number=3.7&amp;sourceID=14","3.7")</f>
        <v>3.7</v>
      </c>
      <c r="G1251" s="4" t="str">
        <f>HYPERLINK("http://141.218.60.56/~jnz1568/getInfo.php?workbook=27_11.xlsx&amp;sheet=U0&amp;row=1251&amp;col=7&amp;number=0.0521&amp;sourceID=14","0.0521")</f>
        <v>0.0521</v>
      </c>
    </row>
    <row r="1252" spans="1:7">
      <c r="A1252" s="3"/>
      <c r="B1252" s="3"/>
      <c r="C1252" s="3"/>
      <c r="D1252" s="3"/>
      <c r="E1252" s="3">
        <v>9</v>
      </c>
      <c r="F1252" s="4" t="str">
        <f>HYPERLINK("http://141.218.60.56/~jnz1568/getInfo.php?workbook=27_11.xlsx&amp;sheet=U0&amp;row=1252&amp;col=6&amp;number=3.8&amp;sourceID=14","3.8")</f>
        <v>3.8</v>
      </c>
      <c r="G1252" s="4" t="str">
        <f>HYPERLINK("http://141.218.60.56/~jnz1568/getInfo.php?workbook=27_11.xlsx&amp;sheet=U0&amp;row=1252&amp;col=7&amp;number=0.0521&amp;sourceID=14","0.0521")</f>
        <v>0.0521</v>
      </c>
    </row>
    <row r="1253" spans="1:7">
      <c r="A1253" s="3"/>
      <c r="B1253" s="3"/>
      <c r="C1253" s="3"/>
      <c r="D1253" s="3"/>
      <c r="E1253" s="3">
        <v>10</v>
      </c>
      <c r="F1253" s="4" t="str">
        <f>HYPERLINK("http://141.218.60.56/~jnz1568/getInfo.php?workbook=27_11.xlsx&amp;sheet=U0&amp;row=1253&amp;col=6&amp;number=3.9&amp;sourceID=14","3.9")</f>
        <v>3.9</v>
      </c>
      <c r="G1253" s="4" t="str">
        <f>HYPERLINK("http://141.218.60.56/~jnz1568/getInfo.php?workbook=27_11.xlsx&amp;sheet=U0&amp;row=1253&amp;col=7&amp;number=0.0521&amp;sourceID=14","0.0521")</f>
        <v>0.0521</v>
      </c>
    </row>
    <row r="1254" spans="1:7">
      <c r="A1254" s="3"/>
      <c r="B1254" s="3"/>
      <c r="C1254" s="3"/>
      <c r="D1254" s="3"/>
      <c r="E1254" s="3">
        <v>11</v>
      </c>
      <c r="F1254" s="4" t="str">
        <f>HYPERLINK("http://141.218.60.56/~jnz1568/getInfo.php?workbook=27_11.xlsx&amp;sheet=U0&amp;row=1254&amp;col=6&amp;number=4&amp;sourceID=14","4")</f>
        <v>4</v>
      </c>
      <c r="G1254" s="4" t="str">
        <f>HYPERLINK("http://141.218.60.56/~jnz1568/getInfo.php?workbook=27_11.xlsx&amp;sheet=U0&amp;row=1254&amp;col=7&amp;number=0.0521&amp;sourceID=14","0.0521")</f>
        <v>0.0521</v>
      </c>
    </row>
    <row r="1255" spans="1:7">
      <c r="A1255" s="3"/>
      <c r="B1255" s="3"/>
      <c r="C1255" s="3"/>
      <c r="D1255" s="3"/>
      <c r="E1255" s="3">
        <v>12</v>
      </c>
      <c r="F1255" s="4" t="str">
        <f>HYPERLINK("http://141.218.60.56/~jnz1568/getInfo.php?workbook=27_11.xlsx&amp;sheet=U0&amp;row=1255&amp;col=6&amp;number=4.1&amp;sourceID=14","4.1")</f>
        <v>4.1</v>
      </c>
      <c r="G1255" s="4" t="str">
        <f>HYPERLINK("http://141.218.60.56/~jnz1568/getInfo.php?workbook=27_11.xlsx&amp;sheet=U0&amp;row=1255&amp;col=7&amp;number=0.0521&amp;sourceID=14","0.0521")</f>
        <v>0.0521</v>
      </c>
    </row>
    <row r="1256" spans="1:7">
      <c r="A1256" s="3"/>
      <c r="B1256" s="3"/>
      <c r="C1256" s="3"/>
      <c r="D1256" s="3"/>
      <c r="E1256" s="3">
        <v>13</v>
      </c>
      <c r="F1256" s="4" t="str">
        <f>HYPERLINK("http://141.218.60.56/~jnz1568/getInfo.php?workbook=27_11.xlsx&amp;sheet=U0&amp;row=1256&amp;col=6&amp;number=4.2&amp;sourceID=14","4.2")</f>
        <v>4.2</v>
      </c>
      <c r="G1256" s="4" t="str">
        <f>HYPERLINK("http://141.218.60.56/~jnz1568/getInfo.php?workbook=27_11.xlsx&amp;sheet=U0&amp;row=1256&amp;col=7&amp;number=0.0521&amp;sourceID=14","0.0521")</f>
        <v>0.0521</v>
      </c>
    </row>
    <row r="1257" spans="1:7">
      <c r="A1257" s="3"/>
      <c r="B1257" s="3"/>
      <c r="C1257" s="3"/>
      <c r="D1257" s="3"/>
      <c r="E1257" s="3">
        <v>14</v>
      </c>
      <c r="F1257" s="4" t="str">
        <f>HYPERLINK("http://141.218.60.56/~jnz1568/getInfo.php?workbook=27_11.xlsx&amp;sheet=U0&amp;row=1257&amp;col=6&amp;number=4.3&amp;sourceID=14","4.3")</f>
        <v>4.3</v>
      </c>
      <c r="G1257" s="4" t="str">
        <f>HYPERLINK("http://141.218.60.56/~jnz1568/getInfo.php?workbook=27_11.xlsx&amp;sheet=U0&amp;row=1257&amp;col=7&amp;number=0.0521&amp;sourceID=14","0.0521")</f>
        <v>0.0521</v>
      </c>
    </row>
    <row r="1258" spans="1:7">
      <c r="A1258" s="3"/>
      <c r="B1258" s="3"/>
      <c r="C1258" s="3"/>
      <c r="D1258" s="3"/>
      <c r="E1258" s="3">
        <v>15</v>
      </c>
      <c r="F1258" s="4" t="str">
        <f>HYPERLINK("http://141.218.60.56/~jnz1568/getInfo.php?workbook=27_11.xlsx&amp;sheet=U0&amp;row=1258&amp;col=6&amp;number=4.4&amp;sourceID=14","4.4")</f>
        <v>4.4</v>
      </c>
      <c r="G1258" s="4" t="str">
        <f>HYPERLINK("http://141.218.60.56/~jnz1568/getInfo.php?workbook=27_11.xlsx&amp;sheet=U0&amp;row=1258&amp;col=7&amp;number=0.0521&amp;sourceID=14","0.0521")</f>
        <v>0.0521</v>
      </c>
    </row>
    <row r="1259" spans="1:7">
      <c r="A1259" s="3"/>
      <c r="B1259" s="3"/>
      <c r="C1259" s="3"/>
      <c r="D1259" s="3"/>
      <c r="E1259" s="3">
        <v>16</v>
      </c>
      <c r="F1259" s="4" t="str">
        <f>HYPERLINK("http://141.218.60.56/~jnz1568/getInfo.php?workbook=27_11.xlsx&amp;sheet=U0&amp;row=1259&amp;col=6&amp;number=4.5&amp;sourceID=14","4.5")</f>
        <v>4.5</v>
      </c>
      <c r="G1259" s="4" t="str">
        <f>HYPERLINK("http://141.218.60.56/~jnz1568/getInfo.php?workbook=27_11.xlsx&amp;sheet=U0&amp;row=1259&amp;col=7&amp;number=0.0521&amp;sourceID=14","0.0521")</f>
        <v>0.0521</v>
      </c>
    </row>
    <row r="1260" spans="1:7">
      <c r="A1260" s="3"/>
      <c r="B1260" s="3"/>
      <c r="C1260" s="3"/>
      <c r="D1260" s="3"/>
      <c r="E1260" s="3">
        <v>17</v>
      </c>
      <c r="F1260" s="4" t="str">
        <f>HYPERLINK("http://141.218.60.56/~jnz1568/getInfo.php?workbook=27_11.xlsx&amp;sheet=U0&amp;row=1260&amp;col=6&amp;number=4.6&amp;sourceID=14","4.6")</f>
        <v>4.6</v>
      </c>
      <c r="G1260" s="4" t="str">
        <f>HYPERLINK("http://141.218.60.56/~jnz1568/getInfo.php?workbook=27_11.xlsx&amp;sheet=U0&amp;row=1260&amp;col=7&amp;number=0.0521&amp;sourceID=14","0.0521")</f>
        <v>0.0521</v>
      </c>
    </row>
    <row r="1261" spans="1:7">
      <c r="A1261" s="3"/>
      <c r="B1261" s="3"/>
      <c r="C1261" s="3"/>
      <c r="D1261" s="3"/>
      <c r="E1261" s="3">
        <v>18</v>
      </c>
      <c r="F1261" s="4" t="str">
        <f>HYPERLINK("http://141.218.60.56/~jnz1568/getInfo.php?workbook=27_11.xlsx&amp;sheet=U0&amp;row=1261&amp;col=6&amp;number=4.7&amp;sourceID=14","4.7")</f>
        <v>4.7</v>
      </c>
      <c r="G1261" s="4" t="str">
        <f>HYPERLINK("http://141.218.60.56/~jnz1568/getInfo.php?workbook=27_11.xlsx&amp;sheet=U0&amp;row=1261&amp;col=7&amp;number=0.0521&amp;sourceID=14","0.0521")</f>
        <v>0.0521</v>
      </c>
    </row>
    <row r="1262" spans="1:7">
      <c r="A1262" s="3"/>
      <c r="B1262" s="3"/>
      <c r="C1262" s="3"/>
      <c r="D1262" s="3"/>
      <c r="E1262" s="3">
        <v>19</v>
      </c>
      <c r="F1262" s="4" t="str">
        <f>HYPERLINK("http://141.218.60.56/~jnz1568/getInfo.php?workbook=27_11.xlsx&amp;sheet=U0&amp;row=1262&amp;col=6&amp;number=4.8&amp;sourceID=14","4.8")</f>
        <v>4.8</v>
      </c>
      <c r="G1262" s="4" t="str">
        <f>HYPERLINK("http://141.218.60.56/~jnz1568/getInfo.php?workbook=27_11.xlsx&amp;sheet=U0&amp;row=1262&amp;col=7&amp;number=0.0521&amp;sourceID=14","0.0521")</f>
        <v>0.0521</v>
      </c>
    </row>
    <row r="1263" spans="1:7">
      <c r="A1263" s="3"/>
      <c r="B1263" s="3"/>
      <c r="C1263" s="3"/>
      <c r="D1263" s="3"/>
      <c r="E1263" s="3">
        <v>20</v>
      </c>
      <c r="F1263" s="4" t="str">
        <f>HYPERLINK("http://141.218.60.56/~jnz1568/getInfo.php?workbook=27_11.xlsx&amp;sheet=U0&amp;row=1263&amp;col=6&amp;number=4.9&amp;sourceID=14","4.9")</f>
        <v>4.9</v>
      </c>
      <c r="G1263" s="4" t="str">
        <f>HYPERLINK("http://141.218.60.56/~jnz1568/getInfo.php?workbook=27_11.xlsx&amp;sheet=U0&amp;row=1263&amp;col=7&amp;number=0.052&amp;sourceID=14","0.052")</f>
        <v>0.052</v>
      </c>
    </row>
    <row r="1264" spans="1:7">
      <c r="A1264" s="3">
        <v>27</v>
      </c>
      <c r="B1264" s="3">
        <v>11</v>
      </c>
      <c r="C1264" s="3">
        <v>4</v>
      </c>
      <c r="D1264" s="3">
        <v>17</v>
      </c>
      <c r="E1264" s="3">
        <v>1</v>
      </c>
      <c r="F1264" s="4" t="str">
        <f>HYPERLINK("http://141.218.60.56/~jnz1568/getInfo.php?workbook=27_11.xlsx&amp;sheet=U0&amp;row=1264&amp;col=6&amp;number=3&amp;sourceID=14","3")</f>
        <v>3</v>
      </c>
      <c r="G1264" s="4" t="str">
        <f>HYPERLINK("http://141.218.60.56/~jnz1568/getInfo.php?workbook=27_11.xlsx&amp;sheet=U0&amp;row=1264&amp;col=7&amp;number=0.0159&amp;sourceID=14","0.0159")</f>
        <v>0.0159</v>
      </c>
    </row>
    <row r="1265" spans="1:7">
      <c r="A1265" s="3"/>
      <c r="B1265" s="3"/>
      <c r="C1265" s="3"/>
      <c r="D1265" s="3"/>
      <c r="E1265" s="3">
        <v>2</v>
      </c>
      <c r="F1265" s="4" t="str">
        <f>HYPERLINK("http://141.218.60.56/~jnz1568/getInfo.php?workbook=27_11.xlsx&amp;sheet=U0&amp;row=1265&amp;col=6&amp;number=3.1&amp;sourceID=14","3.1")</f>
        <v>3.1</v>
      </c>
      <c r="G1265" s="4" t="str">
        <f>HYPERLINK("http://141.218.60.56/~jnz1568/getInfo.php?workbook=27_11.xlsx&amp;sheet=U0&amp;row=1265&amp;col=7&amp;number=0.0159&amp;sourceID=14","0.0159")</f>
        <v>0.0159</v>
      </c>
    </row>
    <row r="1266" spans="1:7">
      <c r="A1266" s="3"/>
      <c r="B1266" s="3"/>
      <c r="C1266" s="3"/>
      <c r="D1266" s="3"/>
      <c r="E1266" s="3">
        <v>3</v>
      </c>
      <c r="F1266" s="4" t="str">
        <f>HYPERLINK("http://141.218.60.56/~jnz1568/getInfo.php?workbook=27_11.xlsx&amp;sheet=U0&amp;row=1266&amp;col=6&amp;number=3.2&amp;sourceID=14","3.2")</f>
        <v>3.2</v>
      </c>
      <c r="G1266" s="4" t="str">
        <f>HYPERLINK("http://141.218.60.56/~jnz1568/getInfo.php?workbook=27_11.xlsx&amp;sheet=U0&amp;row=1266&amp;col=7&amp;number=0.0159&amp;sourceID=14","0.0159")</f>
        <v>0.0159</v>
      </c>
    </row>
    <row r="1267" spans="1:7">
      <c r="A1267" s="3"/>
      <c r="B1267" s="3"/>
      <c r="C1267" s="3"/>
      <c r="D1267" s="3"/>
      <c r="E1267" s="3">
        <v>4</v>
      </c>
      <c r="F1267" s="4" t="str">
        <f>HYPERLINK("http://141.218.60.56/~jnz1568/getInfo.php?workbook=27_11.xlsx&amp;sheet=U0&amp;row=1267&amp;col=6&amp;number=3.3&amp;sourceID=14","3.3")</f>
        <v>3.3</v>
      </c>
      <c r="G1267" s="4" t="str">
        <f>HYPERLINK("http://141.218.60.56/~jnz1568/getInfo.php?workbook=27_11.xlsx&amp;sheet=U0&amp;row=1267&amp;col=7&amp;number=0.0159&amp;sourceID=14","0.0159")</f>
        <v>0.0159</v>
      </c>
    </row>
    <row r="1268" spans="1:7">
      <c r="A1268" s="3"/>
      <c r="B1268" s="3"/>
      <c r="C1268" s="3"/>
      <c r="D1268" s="3"/>
      <c r="E1268" s="3">
        <v>5</v>
      </c>
      <c r="F1268" s="4" t="str">
        <f>HYPERLINK("http://141.218.60.56/~jnz1568/getInfo.php?workbook=27_11.xlsx&amp;sheet=U0&amp;row=1268&amp;col=6&amp;number=3.4&amp;sourceID=14","3.4")</f>
        <v>3.4</v>
      </c>
      <c r="G1268" s="4" t="str">
        <f>HYPERLINK("http://141.218.60.56/~jnz1568/getInfo.php?workbook=27_11.xlsx&amp;sheet=U0&amp;row=1268&amp;col=7&amp;number=0.0158&amp;sourceID=14","0.0158")</f>
        <v>0.0158</v>
      </c>
    </row>
    <row r="1269" spans="1:7">
      <c r="A1269" s="3"/>
      <c r="B1269" s="3"/>
      <c r="C1269" s="3"/>
      <c r="D1269" s="3"/>
      <c r="E1269" s="3">
        <v>6</v>
      </c>
      <c r="F1269" s="4" t="str">
        <f>HYPERLINK("http://141.218.60.56/~jnz1568/getInfo.php?workbook=27_11.xlsx&amp;sheet=U0&amp;row=1269&amp;col=6&amp;number=3.5&amp;sourceID=14","3.5")</f>
        <v>3.5</v>
      </c>
      <c r="G1269" s="4" t="str">
        <f>HYPERLINK("http://141.218.60.56/~jnz1568/getInfo.php?workbook=27_11.xlsx&amp;sheet=U0&amp;row=1269&amp;col=7&amp;number=0.0158&amp;sourceID=14","0.0158")</f>
        <v>0.0158</v>
      </c>
    </row>
    <row r="1270" spans="1:7">
      <c r="A1270" s="3"/>
      <c r="B1270" s="3"/>
      <c r="C1270" s="3"/>
      <c r="D1270" s="3"/>
      <c r="E1270" s="3">
        <v>7</v>
      </c>
      <c r="F1270" s="4" t="str">
        <f>HYPERLINK("http://141.218.60.56/~jnz1568/getInfo.php?workbook=27_11.xlsx&amp;sheet=U0&amp;row=1270&amp;col=6&amp;number=3.6&amp;sourceID=14","3.6")</f>
        <v>3.6</v>
      </c>
      <c r="G1270" s="4" t="str">
        <f>HYPERLINK("http://141.218.60.56/~jnz1568/getInfo.php?workbook=27_11.xlsx&amp;sheet=U0&amp;row=1270&amp;col=7&amp;number=0.0158&amp;sourceID=14","0.0158")</f>
        <v>0.0158</v>
      </c>
    </row>
    <row r="1271" spans="1:7">
      <c r="A1271" s="3"/>
      <c r="B1271" s="3"/>
      <c r="C1271" s="3"/>
      <c r="D1271" s="3"/>
      <c r="E1271" s="3">
        <v>8</v>
      </c>
      <c r="F1271" s="4" t="str">
        <f>HYPERLINK("http://141.218.60.56/~jnz1568/getInfo.php?workbook=27_11.xlsx&amp;sheet=U0&amp;row=1271&amp;col=6&amp;number=3.7&amp;sourceID=14","3.7")</f>
        <v>3.7</v>
      </c>
      <c r="G1271" s="4" t="str">
        <f>HYPERLINK("http://141.218.60.56/~jnz1568/getInfo.php?workbook=27_11.xlsx&amp;sheet=U0&amp;row=1271&amp;col=7&amp;number=0.0158&amp;sourceID=14","0.0158")</f>
        <v>0.0158</v>
      </c>
    </row>
    <row r="1272" spans="1:7">
      <c r="A1272" s="3"/>
      <c r="B1272" s="3"/>
      <c r="C1272" s="3"/>
      <c r="D1272" s="3"/>
      <c r="E1272" s="3">
        <v>9</v>
      </c>
      <c r="F1272" s="4" t="str">
        <f>HYPERLINK("http://141.218.60.56/~jnz1568/getInfo.php?workbook=27_11.xlsx&amp;sheet=U0&amp;row=1272&amp;col=6&amp;number=3.8&amp;sourceID=14","3.8")</f>
        <v>3.8</v>
      </c>
      <c r="G1272" s="4" t="str">
        <f>HYPERLINK("http://141.218.60.56/~jnz1568/getInfo.php?workbook=27_11.xlsx&amp;sheet=U0&amp;row=1272&amp;col=7&amp;number=0.0158&amp;sourceID=14","0.0158")</f>
        <v>0.0158</v>
      </c>
    </row>
    <row r="1273" spans="1:7">
      <c r="A1273" s="3"/>
      <c r="B1273" s="3"/>
      <c r="C1273" s="3"/>
      <c r="D1273" s="3"/>
      <c r="E1273" s="3">
        <v>10</v>
      </c>
      <c r="F1273" s="4" t="str">
        <f>HYPERLINK("http://141.218.60.56/~jnz1568/getInfo.php?workbook=27_11.xlsx&amp;sheet=U0&amp;row=1273&amp;col=6&amp;number=3.9&amp;sourceID=14","3.9")</f>
        <v>3.9</v>
      </c>
      <c r="G1273" s="4" t="str">
        <f>HYPERLINK("http://141.218.60.56/~jnz1568/getInfo.php?workbook=27_11.xlsx&amp;sheet=U0&amp;row=1273&amp;col=7&amp;number=0.0158&amp;sourceID=14","0.0158")</f>
        <v>0.0158</v>
      </c>
    </row>
    <row r="1274" spans="1:7">
      <c r="A1274" s="3"/>
      <c r="B1274" s="3"/>
      <c r="C1274" s="3"/>
      <c r="D1274" s="3"/>
      <c r="E1274" s="3">
        <v>11</v>
      </c>
      <c r="F1274" s="4" t="str">
        <f>HYPERLINK("http://141.218.60.56/~jnz1568/getInfo.php?workbook=27_11.xlsx&amp;sheet=U0&amp;row=1274&amp;col=6&amp;number=4&amp;sourceID=14","4")</f>
        <v>4</v>
      </c>
      <c r="G1274" s="4" t="str">
        <f>HYPERLINK("http://141.218.60.56/~jnz1568/getInfo.php?workbook=27_11.xlsx&amp;sheet=U0&amp;row=1274&amp;col=7&amp;number=0.0158&amp;sourceID=14","0.0158")</f>
        <v>0.0158</v>
      </c>
    </row>
    <row r="1275" spans="1:7">
      <c r="A1275" s="3"/>
      <c r="B1275" s="3"/>
      <c r="C1275" s="3"/>
      <c r="D1275" s="3"/>
      <c r="E1275" s="3">
        <v>12</v>
      </c>
      <c r="F1275" s="4" t="str">
        <f>HYPERLINK("http://141.218.60.56/~jnz1568/getInfo.php?workbook=27_11.xlsx&amp;sheet=U0&amp;row=1275&amp;col=6&amp;number=4.1&amp;sourceID=14","4.1")</f>
        <v>4.1</v>
      </c>
      <c r="G1275" s="4" t="str">
        <f>HYPERLINK("http://141.218.60.56/~jnz1568/getInfo.php?workbook=27_11.xlsx&amp;sheet=U0&amp;row=1275&amp;col=7&amp;number=0.0158&amp;sourceID=14","0.0158")</f>
        <v>0.0158</v>
      </c>
    </row>
    <row r="1276" spans="1:7">
      <c r="A1276" s="3"/>
      <c r="B1276" s="3"/>
      <c r="C1276" s="3"/>
      <c r="D1276" s="3"/>
      <c r="E1276" s="3">
        <v>13</v>
      </c>
      <c r="F1276" s="4" t="str">
        <f>HYPERLINK("http://141.218.60.56/~jnz1568/getInfo.php?workbook=27_11.xlsx&amp;sheet=U0&amp;row=1276&amp;col=6&amp;number=4.2&amp;sourceID=14","4.2")</f>
        <v>4.2</v>
      </c>
      <c r="G1276" s="4" t="str">
        <f>HYPERLINK("http://141.218.60.56/~jnz1568/getInfo.php?workbook=27_11.xlsx&amp;sheet=U0&amp;row=1276&amp;col=7&amp;number=0.0158&amp;sourceID=14","0.0158")</f>
        <v>0.0158</v>
      </c>
    </row>
    <row r="1277" spans="1:7">
      <c r="A1277" s="3"/>
      <c r="B1277" s="3"/>
      <c r="C1277" s="3"/>
      <c r="D1277" s="3"/>
      <c r="E1277" s="3">
        <v>14</v>
      </c>
      <c r="F1277" s="4" t="str">
        <f>HYPERLINK("http://141.218.60.56/~jnz1568/getInfo.php?workbook=27_11.xlsx&amp;sheet=U0&amp;row=1277&amp;col=6&amp;number=4.3&amp;sourceID=14","4.3")</f>
        <v>4.3</v>
      </c>
      <c r="G1277" s="4" t="str">
        <f>HYPERLINK("http://141.218.60.56/~jnz1568/getInfo.php?workbook=27_11.xlsx&amp;sheet=U0&amp;row=1277&amp;col=7&amp;number=0.0158&amp;sourceID=14","0.0158")</f>
        <v>0.0158</v>
      </c>
    </row>
    <row r="1278" spans="1:7">
      <c r="A1278" s="3"/>
      <c r="B1278" s="3"/>
      <c r="C1278" s="3"/>
      <c r="D1278" s="3"/>
      <c r="E1278" s="3">
        <v>15</v>
      </c>
      <c r="F1278" s="4" t="str">
        <f>HYPERLINK("http://141.218.60.56/~jnz1568/getInfo.php?workbook=27_11.xlsx&amp;sheet=U0&amp;row=1278&amp;col=6&amp;number=4.4&amp;sourceID=14","4.4")</f>
        <v>4.4</v>
      </c>
      <c r="G1278" s="4" t="str">
        <f>HYPERLINK("http://141.218.60.56/~jnz1568/getInfo.php?workbook=27_11.xlsx&amp;sheet=U0&amp;row=1278&amp;col=7&amp;number=0.0157&amp;sourceID=14","0.0157")</f>
        <v>0.0157</v>
      </c>
    </row>
    <row r="1279" spans="1:7">
      <c r="A1279" s="3"/>
      <c r="B1279" s="3"/>
      <c r="C1279" s="3"/>
      <c r="D1279" s="3"/>
      <c r="E1279" s="3">
        <v>16</v>
      </c>
      <c r="F1279" s="4" t="str">
        <f>HYPERLINK("http://141.218.60.56/~jnz1568/getInfo.php?workbook=27_11.xlsx&amp;sheet=U0&amp;row=1279&amp;col=6&amp;number=4.5&amp;sourceID=14","4.5")</f>
        <v>4.5</v>
      </c>
      <c r="G1279" s="4" t="str">
        <f>HYPERLINK("http://141.218.60.56/~jnz1568/getInfo.php?workbook=27_11.xlsx&amp;sheet=U0&amp;row=1279&amp;col=7&amp;number=0.0157&amp;sourceID=14","0.0157")</f>
        <v>0.0157</v>
      </c>
    </row>
    <row r="1280" spans="1:7">
      <c r="A1280" s="3"/>
      <c r="B1280" s="3"/>
      <c r="C1280" s="3"/>
      <c r="D1280" s="3"/>
      <c r="E1280" s="3">
        <v>17</v>
      </c>
      <c r="F1280" s="4" t="str">
        <f>HYPERLINK("http://141.218.60.56/~jnz1568/getInfo.php?workbook=27_11.xlsx&amp;sheet=U0&amp;row=1280&amp;col=6&amp;number=4.6&amp;sourceID=14","4.6")</f>
        <v>4.6</v>
      </c>
      <c r="G1280" s="4" t="str">
        <f>HYPERLINK("http://141.218.60.56/~jnz1568/getInfo.php?workbook=27_11.xlsx&amp;sheet=U0&amp;row=1280&amp;col=7&amp;number=0.0157&amp;sourceID=14","0.0157")</f>
        <v>0.0157</v>
      </c>
    </row>
    <row r="1281" spans="1:7">
      <c r="A1281" s="3"/>
      <c r="B1281" s="3"/>
      <c r="C1281" s="3"/>
      <c r="D1281" s="3"/>
      <c r="E1281" s="3">
        <v>18</v>
      </c>
      <c r="F1281" s="4" t="str">
        <f>HYPERLINK("http://141.218.60.56/~jnz1568/getInfo.php?workbook=27_11.xlsx&amp;sheet=U0&amp;row=1281&amp;col=6&amp;number=4.7&amp;sourceID=14","4.7")</f>
        <v>4.7</v>
      </c>
      <c r="G1281" s="4" t="str">
        <f>HYPERLINK("http://141.218.60.56/~jnz1568/getInfo.php?workbook=27_11.xlsx&amp;sheet=U0&amp;row=1281&amp;col=7&amp;number=0.0156&amp;sourceID=14","0.0156")</f>
        <v>0.0156</v>
      </c>
    </row>
    <row r="1282" spans="1:7">
      <c r="A1282" s="3"/>
      <c r="B1282" s="3"/>
      <c r="C1282" s="3"/>
      <c r="D1282" s="3"/>
      <c r="E1282" s="3">
        <v>19</v>
      </c>
      <c r="F1282" s="4" t="str">
        <f>HYPERLINK("http://141.218.60.56/~jnz1568/getInfo.php?workbook=27_11.xlsx&amp;sheet=U0&amp;row=1282&amp;col=6&amp;number=4.8&amp;sourceID=14","4.8")</f>
        <v>4.8</v>
      </c>
      <c r="G1282" s="4" t="str">
        <f>HYPERLINK("http://141.218.60.56/~jnz1568/getInfo.php?workbook=27_11.xlsx&amp;sheet=U0&amp;row=1282&amp;col=7&amp;number=0.0156&amp;sourceID=14","0.0156")</f>
        <v>0.0156</v>
      </c>
    </row>
    <row r="1283" spans="1:7">
      <c r="A1283" s="3"/>
      <c r="B1283" s="3"/>
      <c r="C1283" s="3"/>
      <c r="D1283" s="3"/>
      <c r="E1283" s="3">
        <v>20</v>
      </c>
      <c r="F1283" s="4" t="str">
        <f>HYPERLINK("http://141.218.60.56/~jnz1568/getInfo.php?workbook=27_11.xlsx&amp;sheet=U0&amp;row=1283&amp;col=6&amp;number=4.9&amp;sourceID=14","4.9")</f>
        <v>4.9</v>
      </c>
      <c r="G1283" s="4" t="str">
        <f>HYPERLINK("http://141.218.60.56/~jnz1568/getInfo.php?workbook=27_11.xlsx&amp;sheet=U0&amp;row=1283&amp;col=7&amp;number=0.0155&amp;sourceID=14","0.0155")</f>
        <v>0.0155</v>
      </c>
    </row>
    <row r="1284" spans="1:7">
      <c r="A1284" s="3">
        <v>27</v>
      </c>
      <c r="B1284" s="3">
        <v>11</v>
      </c>
      <c r="C1284" s="3">
        <v>4</v>
      </c>
      <c r="D1284" s="3">
        <v>18</v>
      </c>
      <c r="E1284" s="3">
        <v>1</v>
      </c>
      <c r="F1284" s="4" t="str">
        <f>HYPERLINK("http://141.218.60.56/~jnz1568/getInfo.php?workbook=27_11.xlsx&amp;sheet=U0&amp;row=1284&amp;col=6&amp;number=3&amp;sourceID=14","3")</f>
        <v>3</v>
      </c>
      <c r="G1284" s="4" t="str">
        <f>HYPERLINK("http://141.218.60.56/~jnz1568/getInfo.php?workbook=27_11.xlsx&amp;sheet=U0&amp;row=1284&amp;col=7&amp;number=0.153&amp;sourceID=14","0.153")</f>
        <v>0.153</v>
      </c>
    </row>
    <row r="1285" spans="1:7">
      <c r="A1285" s="3"/>
      <c r="B1285" s="3"/>
      <c r="C1285" s="3"/>
      <c r="D1285" s="3"/>
      <c r="E1285" s="3">
        <v>2</v>
      </c>
      <c r="F1285" s="4" t="str">
        <f>HYPERLINK("http://141.218.60.56/~jnz1568/getInfo.php?workbook=27_11.xlsx&amp;sheet=U0&amp;row=1285&amp;col=6&amp;number=3.1&amp;sourceID=14","3.1")</f>
        <v>3.1</v>
      </c>
      <c r="G1285" s="4" t="str">
        <f>HYPERLINK("http://141.218.60.56/~jnz1568/getInfo.php?workbook=27_11.xlsx&amp;sheet=U0&amp;row=1285&amp;col=7&amp;number=0.153&amp;sourceID=14","0.153")</f>
        <v>0.153</v>
      </c>
    </row>
    <row r="1286" spans="1:7">
      <c r="A1286" s="3"/>
      <c r="B1286" s="3"/>
      <c r="C1286" s="3"/>
      <c r="D1286" s="3"/>
      <c r="E1286" s="3">
        <v>3</v>
      </c>
      <c r="F1286" s="4" t="str">
        <f>HYPERLINK("http://141.218.60.56/~jnz1568/getInfo.php?workbook=27_11.xlsx&amp;sheet=U0&amp;row=1286&amp;col=6&amp;number=3.2&amp;sourceID=14","3.2")</f>
        <v>3.2</v>
      </c>
      <c r="G1286" s="4" t="str">
        <f>HYPERLINK("http://141.218.60.56/~jnz1568/getInfo.php?workbook=27_11.xlsx&amp;sheet=U0&amp;row=1286&amp;col=7&amp;number=0.153&amp;sourceID=14","0.153")</f>
        <v>0.153</v>
      </c>
    </row>
    <row r="1287" spans="1:7">
      <c r="A1287" s="3"/>
      <c r="B1287" s="3"/>
      <c r="C1287" s="3"/>
      <c r="D1287" s="3"/>
      <c r="E1287" s="3">
        <v>4</v>
      </c>
      <c r="F1287" s="4" t="str">
        <f>HYPERLINK("http://141.218.60.56/~jnz1568/getInfo.php?workbook=27_11.xlsx&amp;sheet=U0&amp;row=1287&amp;col=6&amp;number=3.3&amp;sourceID=14","3.3")</f>
        <v>3.3</v>
      </c>
      <c r="G1287" s="4" t="str">
        <f>HYPERLINK("http://141.218.60.56/~jnz1568/getInfo.php?workbook=27_11.xlsx&amp;sheet=U0&amp;row=1287&amp;col=7&amp;number=0.153&amp;sourceID=14","0.153")</f>
        <v>0.153</v>
      </c>
    </row>
    <row r="1288" spans="1:7">
      <c r="A1288" s="3"/>
      <c r="B1288" s="3"/>
      <c r="C1288" s="3"/>
      <c r="D1288" s="3"/>
      <c r="E1288" s="3">
        <v>5</v>
      </c>
      <c r="F1288" s="4" t="str">
        <f>HYPERLINK("http://141.218.60.56/~jnz1568/getInfo.php?workbook=27_11.xlsx&amp;sheet=U0&amp;row=1288&amp;col=6&amp;number=3.4&amp;sourceID=14","3.4")</f>
        <v>3.4</v>
      </c>
      <c r="G1288" s="4" t="str">
        <f>HYPERLINK("http://141.218.60.56/~jnz1568/getInfo.php?workbook=27_11.xlsx&amp;sheet=U0&amp;row=1288&amp;col=7&amp;number=0.153&amp;sourceID=14","0.153")</f>
        <v>0.153</v>
      </c>
    </row>
    <row r="1289" spans="1:7">
      <c r="A1289" s="3"/>
      <c r="B1289" s="3"/>
      <c r="C1289" s="3"/>
      <c r="D1289" s="3"/>
      <c r="E1289" s="3">
        <v>6</v>
      </c>
      <c r="F1289" s="4" t="str">
        <f>HYPERLINK("http://141.218.60.56/~jnz1568/getInfo.php?workbook=27_11.xlsx&amp;sheet=U0&amp;row=1289&amp;col=6&amp;number=3.5&amp;sourceID=14","3.5")</f>
        <v>3.5</v>
      </c>
      <c r="G1289" s="4" t="str">
        <f>HYPERLINK("http://141.218.60.56/~jnz1568/getInfo.php?workbook=27_11.xlsx&amp;sheet=U0&amp;row=1289&amp;col=7&amp;number=0.153&amp;sourceID=14","0.153")</f>
        <v>0.153</v>
      </c>
    </row>
    <row r="1290" spans="1:7">
      <c r="A1290" s="3"/>
      <c r="B1290" s="3"/>
      <c r="C1290" s="3"/>
      <c r="D1290" s="3"/>
      <c r="E1290" s="3">
        <v>7</v>
      </c>
      <c r="F1290" s="4" t="str">
        <f>HYPERLINK("http://141.218.60.56/~jnz1568/getInfo.php?workbook=27_11.xlsx&amp;sheet=U0&amp;row=1290&amp;col=6&amp;number=3.6&amp;sourceID=14","3.6")</f>
        <v>3.6</v>
      </c>
      <c r="G1290" s="4" t="str">
        <f>HYPERLINK("http://141.218.60.56/~jnz1568/getInfo.php?workbook=27_11.xlsx&amp;sheet=U0&amp;row=1290&amp;col=7&amp;number=0.153&amp;sourceID=14","0.153")</f>
        <v>0.153</v>
      </c>
    </row>
    <row r="1291" spans="1:7">
      <c r="A1291" s="3"/>
      <c r="B1291" s="3"/>
      <c r="C1291" s="3"/>
      <c r="D1291" s="3"/>
      <c r="E1291" s="3">
        <v>8</v>
      </c>
      <c r="F1291" s="4" t="str">
        <f>HYPERLINK("http://141.218.60.56/~jnz1568/getInfo.php?workbook=27_11.xlsx&amp;sheet=U0&amp;row=1291&amp;col=6&amp;number=3.7&amp;sourceID=14","3.7")</f>
        <v>3.7</v>
      </c>
      <c r="G1291" s="4" t="str">
        <f>HYPERLINK("http://141.218.60.56/~jnz1568/getInfo.php?workbook=27_11.xlsx&amp;sheet=U0&amp;row=1291&amp;col=7&amp;number=0.153&amp;sourceID=14","0.153")</f>
        <v>0.153</v>
      </c>
    </row>
    <row r="1292" spans="1:7">
      <c r="A1292" s="3"/>
      <c r="B1292" s="3"/>
      <c r="C1292" s="3"/>
      <c r="D1292" s="3"/>
      <c r="E1292" s="3">
        <v>9</v>
      </c>
      <c r="F1292" s="4" t="str">
        <f>HYPERLINK("http://141.218.60.56/~jnz1568/getInfo.php?workbook=27_11.xlsx&amp;sheet=U0&amp;row=1292&amp;col=6&amp;number=3.8&amp;sourceID=14","3.8")</f>
        <v>3.8</v>
      </c>
      <c r="G1292" s="4" t="str">
        <f>HYPERLINK("http://141.218.60.56/~jnz1568/getInfo.php?workbook=27_11.xlsx&amp;sheet=U0&amp;row=1292&amp;col=7&amp;number=0.153&amp;sourceID=14","0.153")</f>
        <v>0.153</v>
      </c>
    </row>
    <row r="1293" spans="1:7">
      <c r="A1293" s="3"/>
      <c r="B1293" s="3"/>
      <c r="C1293" s="3"/>
      <c r="D1293" s="3"/>
      <c r="E1293" s="3">
        <v>10</v>
      </c>
      <c r="F1293" s="4" t="str">
        <f>HYPERLINK("http://141.218.60.56/~jnz1568/getInfo.php?workbook=27_11.xlsx&amp;sheet=U0&amp;row=1293&amp;col=6&amp;number=3.9&amp;sourceID=14","3.9")</f>
        <v>3.9</v>
      </c>
      <c r="G1293" s="4" t="str">
        <f>HYPERLINK("http://141.218.60.56/~jnz1568/getInfo.php?workbook=27_11.xlsx&amp;sheet=U0&amp;row=1293&amp;col=7&amp;number=0.153&amp;sourceID=14","0.153")</f>
        <v>0.153</v>
      </c>
    </row>
    <row r="1294" spans="1:7">
      <c r="A1294" s="3"/>
      <c r="B1294" s="3"/>
      <c r="C1294" s="3"/>
      <c r="D1294" s="3"/>
      <c r="E1294" s="3">
        <v>11</v>
      </c>
      <c r="F1294" s="4" t="str">
        <f>HYPERLINK("http://141.218.60.56/~jnz1568/getInfo.php?workbook=27_11.xlsx&amp;sheet=U0&amp;row=1294&amp;col=6&amp;number=4&amp;sourceID=14","4")</f>
        <v>4</v>
      </c>
      <c r="G1294" s="4" t="str">
        <f>HYPERLINK("http://141.218.60.56/~jnz1568/getInfo.php?workbook=27_11.xlsx&amp;sheet=U0&amp;row=1294&amp;col=7&amp;number=0.153&amp;sourceID=14","0.153")</f>
        <v>0.153</v>
      </c>
    </row>
    <row r="1295" spans="1:7">
      <c r="A1295" s="3"/>
      <c r="B1295" s="3"/>
      <c r="C1295" s="3"/>
      <c r="D1295" s="3"/>
      <c r="E1295" s="3">
        <v>12</v>
      </c>
      <c r="F1295" s="4" t="str">
        <f>HYPERLINK("http://141.218.60.56/~jnz1568/getInfo.php?workbook=27_11.xlsx&amp;sheet=U0&amp;row=1295&amp;col=6&amp;number=4.1&amp;sourceID=14","4.1")</f>
        <v>4.1</v>
      </c>
      <c r="G1295" s="4" t="str">
        <f>HYPERLINK("http://141.218.60.56/~jnz1568/getInfo.php?workbook=27_11.xlsx&amp;sheet=U0&amp;row=1295&amp;col=7&amp;number=0.153&amp;sourceID=14","0.153")</f>
        <v>0.153</v>
      </c>
    </row>
    <row r="1296" spans="1:7">
      <c r="A1296" s="3"/>
      <c r="B1296" s="3"/>
      <c r="C1296" s="3"/>
      <c r="D1296" s="3"/>
      <c r="E1296" s="3">
        <v>13</v>
      </c>
      <c r="F1296" s="4" t="str">
        <f>HYPERLINK("http://141.218.60.56/~jnz1568/getInfo.php?workbook=27_11.xlsx&amp;sheet=U0&amp;row=1296&amp;col=6&amp;number=4.2&amp;sourceID=14","4.2")</f>
        <v>4.2</v>
      </c>
      <c r="G1296" s="4" t="str">
        <f>HYPERLINK("http://141.218.60.56/~jnz1568/getInfo.php?workbook=27_11.xlsx&amp;sheet=U0&amp;row=1296&amp;col=7&amp;number=0.153&amp;sourceID=14","0.153")</f>
        <v>0.153</v>
      </c>
    </row>
    <row r="1297" spans="1:7">
      <c r="A1297" s="3"/>
      <c r="B1297" s="3"/>
      <c r="C1297" s="3"/>
      <c r="D1297" s="3"/>
      <c r="E1297" s="3">
        <v>14</v>
      </c>
      <c r="F1297" s="4" t="str">
        <f>HYPERLINK("http://141.218.60.56/~jnz1568/getInfo.php?workbook=27_11.xlsx&amp;sheet=U0&amp;row=1297&amp;col=6&amp;number=4.3&amp;sourceID=14","4.3")</f>
        <v>4.3</v>
      </c>
      <c r="G1297" s="4" t="str">
        <f>HYPERLINK("http://141.218.60.56/~jnz1568/getInfo.php?workbook=27_11.xlsx&amp;sheet=U0&amp;row=1297&amp;col=7&amp;number=0.153&amp;sourceID=14","0.153")</f>
        <v>0.153</v>
      </c>
    </row>
    <row r="1298" spans="1:7">
      <c r="A1298" s="3"/>
      <c r="B1298" s="3"/>
      <c r="C1298" s="3"/>
      <c r="D1298" s="3"/>
      <c r="E1298" s="3">
        <v>15</v>
      </c>
      <c r="F1298" s="4" t="str">
        <f>HYPERLINK("http://141.218.60.56/~jnz1568/getInfo.php?workbook=27_11.xlsx&amp;sheet=U0&amp;row=1298&amp;col=6&amp;number=4.4&amp;sourceID=14","4.4")</f>
        <v>4.4</v>
      </c>
      <c r="G1298" s="4" t="str">
        <f>HYPERLINK("http://141.218.60.56/~jnz1568/getInfo.php?workbook=27_11.xlsx&amp;sheet=U0&amp;row=1298&amp;col=7&amp;number=0.153&amp;sourceID=14","0.153")</f>
        <v>0.153</v>
      </c>
    </row>
    <row r="1299" spans="1:7">
      <c r="A1299" s="3"/>
      <c r="B1299" s="3"/>
      <c r="C1299" s="3"/>
      <c r="D1299" s="3"/>
      <c r="E1299" s="3">
        <v>16</v>
      </c>
      <c r="F1299" s="4" t="str">
        <f>HYPERLINK("http://141.218.60.56/~jnz1568/getInfo.php?workbook=27_11.xlsx&amp;sheet=U0&amp;row=1299&amp;col=6&amp;number=4.5&amp;sourceID=14","4.5")</f>
        <v>4.5</v>
      </c>
      <c r="G1299" s="4" t="str">
        <f>HYPERLINK("http://141.218.60.56/~jnz1568/getInfo.php?workbook=27_11.xlsx&amp;sheet=U0&amp;row=1299&amp;col=7&amp;number=0.153&amp;sourceID=14","0.153")</f>
        <v>0.153</v>
      </c>
    </row>
    <row r="1300" spans="1:7">
      <c r="A1300" s="3"/>
      <c r="B1300" s="3"/>
      <c r="C1300" s="3"/>
      <c r="D1300" s="3"/>
      <c r="E1300" s="3">
        <v>17</v>
      </c>
      <c r="F1300" s="4" t="str">
        <f>HYPERLINK("http://141.218.60.56/~jnz1568/getInfo.php?workbook=27_11.xlsx&amp;sheet=U0&amp;row=1300&amp;col=6&amp;number=4.6&amp;sourceID=14","4.6")</f>
        <v>4.6</v>
      </c>
      <c r="G1300" s="4" t="str">
        <f>HYPERLINK("http://141.218.60.56/~jnz1568/getInfo.php?workbook=27_11.xlsx&amp;sheet=U0&amp;row=1300&amp;col=7&amp;number=0.153&amp;sourceID=14","0.153")</f>
        <v>0.153</v>
      </c>
    </row>
    <row r="1301" spans="1:7">
      <c r="A1301" s="3"/>
      <c r="B1301" s="3"/>
      <c r="C1301" s="3"/>
      <c r="D1301" s="3"/>
      <c r="E1301" s="3">
        <v>18</v>
      </c>
      <c r="F1301" s="4" t="str">
        <f>HYPERLINK("http://141.218.60.56/~jnz1568/getInfo.php?workbook=27_11.xlsx&amp;sheet=U0&amp;row=1301&amp;col=6&amp;number=4.7&amp;sourceID=14","4.7")</f>
        <v>4.7</v>
      </c>
      <c r="G1301" s="4" t="str">
        <f>HYPERLINK("http://141.218.60.56/~jnz1568/getInfo.php?workbook=27_11.xlsx&amp;sheet=U0&amp;row=1301&amp;col=7&amp;number=0.153&amp;sourceID=14","0.153")</f>
        <v>0.153</v>
      </c>
    </row>
    <row r="1302" spans="1:7">
      <c r="A1302" s="3"/>
      <c r="B1302" s="3"/>
      <c r="C1302" s="3"/>
      <c r="D1302" s="3"/>
      <c r="E1302" s="3">
        <v>19</v>
      </c>
      <c r="F1302" s="4" t="str">
        <f>HYPERLINK("http://141.218.60.56/~jnz1568/getInfo.php?workbook=27_11.xlsx&amp;sheet=U0&amp;row=1302&amp;col=6&amp;number=4.8&amp;sourceID=14","4.8")</f>
        <v>4.8</v>
      </c>
      <c r="G1302" s="4" t="str">
        <f>HYPERLINK("http://141.218.60.56/~jnz1568/getInfo.php?workbook=27_11.xlsx&amp;sheet=U0&amp;row=1302&amp;col=7&amp;number=0.153&amp;sourceID=14","0.153")</f>
        <v>0.153</v>
      </c>
    </row>
    <row r="1303" spans="1:7">
      <c r="A1303" s="3"/>
      <c r="B1303" s="3"/>
      <c r="C1303" s="3"/>
      <c r="D1303" s="3"/>
      <c r="E1303" s="3">
        <v>20</v>
      </c>
      <c r="F1303" s="4" t="str">
        <f>HYPERLINK("http://141.218.60.56/~jnz1568/getInfo.php?workbook=27_11.xlsx&amp;sheet=U0&amp;row=1303&amp;col=6&amp;number=4.9&amp;sourceID=14","4.9")</f>
        <v>4.9</v>
      </c>
      <c r="G1303" s="4" t="str">
        <f>HYPERLINK("http://141.218.60.56/~jnz1568/getInfo.php?workbook=27_11.xlsx&amp;sheet=U0&amp;row=1303&amp;col=7&amp;number=0.154&amp;sourceID=14","0.154")</f>
        <v>0.154</v>
      </c>
    </row>
    <row r="1304" spans="1:7">
      <c r="A1304" s="3">
        <v>27</v>
      </c>
      <c r="B1304" s="3">
        <v>11</v>
      </c>
      <c r="C1304" s="3">
        <v>4</v>
      </c>
      <c r="D1304" s="3">
        <v>19</v>
      </c>
      <c r="E1304" s="3">
        <v>1</v>
      </c>
      <c r="F1304" s="4" t="str">
        <f>HYPERLINK("http://141.218.60.56/~jnz1568/getInfo.php?workbook=27_11.xlsx&amp;sheet=U0&amp;row=1304&amp;col=6&amp;number=3&amp;sourceID=14","3")</f>
        <v>3</v>
      </c>
      <c r="G1304" s="4" t="str">
        <f>HYPERLINK("http://141.218.60.56/~jnz1568/getInfo.php?workbook=27_11.xlsx&amp;sheet=U0&amp;row=1304&amp;col=7&amp;number=0.0256&amp;sourceID=14","0.0256")</f>
        <v>0.0256</v>
      </c>
    </row>
    <row r="1305" spans="1:7">
      <c r="A1305" s="3"/>
      <c r="B1305" s="3"/>
      <c r="C1305" s="3"/>
      <c r="D1305" s="3"/>
      <c r="E1305" s="3">
        <v>2</v>
      </c>
      <c r="F1305" s="4" t="str">
        <f>HYPERLINK("http://141.218.60.56/~jnz1568/getInfo.php?workbook=27_11.xlsx&amp;sheet=U0&amp;row=1305&amp;col=6&amp;number=3.1&amp;sourceID=14","3.1")</f>
        <v>3.1</v>
      </c>
      <c r="G1305" s="4" t="str">
        <f>HYPERLINK("http://141.218.60.56/~jnz1568/getInfo.php?workbook=27_11.xlsx&amp;sheet=U0&amp;row=1305&amp;col=7&amp;number=0.0255&amp;sourceID=14","0.0255")</f>
        <v>0.0255</v>
      </c>
    </row>
    <row r="1306" spans="1:7">
      <c r="A1306" s="3"/>
      <c r="B1306" s="3"/>
      <c r="C1306" s="3"/>
      <c r="D1306" s="3"/>
      <c r="E1306" s="3">
        <v>3</v>
      </c>
      <c r="F1306" s="4" t="str">
        <f>HYPERLINK("http://141.218.60.56/~jnz1568/getInfo.php?workbook=27_11.xlsx&amp;sheet=U0&amp;row=1306&amp;col=6&amp;number=3.2&amp;sourceID=14","3.2")</f>
        <v>3.2</v>
      </c>
      <c r="G1306" s="4" t="str">
        <f>HYPERLINK("http://141.218.60.56/~jnz1568/getInfo.php?workbook=27_11.xlsx&amp;sheet=U0&amp;row=1306&amp;col=7&amp;number=0.0255&amp;sourceID=14","0.0255")</f>
        <v>0.0255</v>
      </c>
    </row>
    <row r="1307" spans="1:7">
      <c r="A1307" s="3"/>
      <c r="B1307" s="3"/>
      <c r="C1307" s="3"/>
      <c r="D1307" s="3"/>
      <c r="E1307" s="3">
        <v>4</v>
      </c>
      <c r="F1307" s="4" t="str">
        <f>HYPERLINK("http://141.218.60.56/~jnz1568/getInfo.php?workbook=27_11.xlsx&amp;sheet=U0&amp;row=1307&amp;col=6&amp;number=3.3&amp;sourceID=14","3.3")</f>
        <v>3.3</v>
      </c>
      <c r="G1307" s="4" t="str">
        <f>HYPERLINK("http://141.218.60.56/~jnz1568/getInfo.php?workbook=27_11.xlsx&amp;sheet=U0&amp;row=1307&amp;col=7&amp;number=0.0255&amp;sourceID=14","0.0255")</f>
        <v>0.0255</v>
      </c>
    </row>
    <row r="1308" spans="1:7">
      <c r="A1308" s="3"/>
      <c r="B1308" s="3"/>
      <c r="C1308" s="3"/>
      <c r="D1308" s="3"/>
      <c r="E1308" s="3">
        <v>5</v>
      </c>
      <c r="F1308" s="4" t="str">
        <f>HYPERLINK("http://141.218.60.56/~jnz1568/getInfo.php?workbook=27_11.xlsx&amp;sheet=U0&amp;row=1308&amp;col=6&amp;number=3.4&amp;sourceID=14","3.4")</f>
        <v>3.4</v>
      </c>
      <c r="G1308" s="4" t="str">
        <f>HYPERLINK("http://141.218.60.56/~jnz1568/getInfo.php?workbook=27_11.xlsx&amp;sheet=U0&amp;row=1308&amp;col=7&amp;number=0.0255&amp;sourceID=14","0.0255")</f>
        <v>0.0255</v>
      </c>
    </row>
    <row r="1309" spans="1:7">
      <c r="A1309" s="3"/>
      <c r="B1309" s="3"/>
      <c r="C1309" s="3"/>
      <c r="D1309" s="3"/>
      <c r="E1309" s="3">
        <v>6</v>
      </c>
      <c r="F1309" s="4" t="str">
        <f>HYPERLINK("http://141.218.60.56/~jnz1568/getInfo.php?workbook=27_11.xlsx&amp;sheet=U0&amp;row=1309&amp;col=6&amp;number=3.5&amp;sourceID=14","3.5")</f>
        <v>3.5</v>
      </c>
      <c r="G1309" s="4" t="str">
        <f>HYPERLINK("http://141.218.60.56/~jnz1568/getInfo.php?workbook=27_11.xlsx&amp;sheet=U0&amp;row=1309&amp;col=7&amp;number=0.0255&amp;sourceID=14","0.0255")</f>
        <v>0.0255</v>
      </c>
    </row>
    <row r="1310" spans="1:7">
      <c r="A1310" s="3"/>
      <c r="B1310" s="3"/>
      <c r="C1310" s="3"/>
      <c r="D1310" s="3"/>
      <c r="E1310" s="3">
        <v>7</v>
      </c>
      <c r="F1310" s="4" t="str">
        <f>HYPERLINK("http://141.218.60.56/~jnz1568/getInfo.php?workbook=27_11.xlsx&amp;sheet=U0&amp;row=1310&amp;col=6&amp;number=3.6&amp;sourceID=14","3.6")</f>
        <v>3.6</v>
      </c>
      <c r="G1310" s="4" t="str">
        <f>HYPERLINK("http://141.218.60.56/~jnz1568/getInfo.php?workbook=27_11.xlsx&amp;sheet=U0&amp;row=1310&amp;col=7&amp;number=0.0255&amp;sourceID=14","0.0255")</f>
        <v>0.0255</v>
      </c>
    </row>
    <row r="1311" spans="1:7">
      <c r="A1311" s="3"/>
      <c r="B1311" s="3"/>
      <c r="C1311" s="3"/>
      <c r="D1311" s="3"/>
      <c r="E1311" s="3">
        <v>8</v>
      </c>
      <c r="F1311" s="4" t="str">
        <f>HYPERLINK("http://141.218.60.56/~jnz1568/getInfo.php?workbook=27_11.xlsx&amp;sheet=U0&amp;row=1311&amp;col=6&amp;number=3.7&amp;sourceID=14","3.7")</f>
        <v>3.7</v>
      </c>
      <c r="G1311" s="4" t="str">
        <f>HYPERLINK("http://141.218.60.56/~jnz1568/getInfo.php?workbook=27_11.xlsx&amp;sheet=U0&amp;row=1311&amp;col=7&amp;number=0.0255&amp;sourceID=14","0.0255")</f>
        <v>0.0255</v>
      </c>
    </row>
    <row r="1312" spans="1:7">
      <c r="A1312" s="3"/>
      <c r="B1312" s="3"/>
      <c r="C1312" s="3"/>
      <c r="D1312" s="3"/>
      <c r="E1312" s="3">
        <v>9</v>
      </c>
      <c r="F1312" s="4" t="str">
        <f>HYPERLINK("http://141.218.60.56/~jnz1568/getInfo.php?workbook=27_11.xlsx&amp;sheet=U0&amp;row=1312&amp;col=6&amp;number=3.8&amp;sourceID=14","3.8")</f>
        <v>3.8</v>
      </c>
      <c r="G1312" s="4" t="str">
        <f>HYPERLINK("http://141.218.60.56/~jnz1568/getInfo.php?workbook=27_11.xlsx&amp;sheet=U0&amp;row=1312&amp;col=7&amp;number=0.0255&amp;sourceID=14","0.0255")</f>
        <v>0.0255</v>
      </c>
    </row>
    <row r="1313" spans="1:7">
      <c r="A1313" s="3"/>
      <c r="B1313" s="3"/>
      <c r="C1313" s="3"/>
      <c r="D1313" s="3"/>
      <c r="E1313" s="3">
        <v>10</v>
      </c>
      <c r="F1313" s="4" t="str">
        <f>HYPERLINK("http://141.218.60.56/~jnz1568/getInfo.php?workbook=27_11.xlsx&amp;sheet=U0&amp;row=1313&amp;col=6&amp;number=3.9&amp;sourceID=14","3.9")</f>
        <v>3.9</v>
      </c>
      <c r="G1313" s="4" t="str">
        <f>HYPERLINK("http://141.218.60.56/~jnz1568/getInfo.php?workbook=27_11.xlsx&amp;sheet=U0&amp;row=1313&amp;col=7&amp;number=0.0255&amp;sourceID=14","0.0255")</f>
        <v>0.0255</v>
      </c>
    </row>
    <row r="1314" spans="1:7">
      <c r="A1314" s="3"/>
      <c r="B1314" s="3"/>
      <c r="C1314" s="3"/>
      <c r="D1314" s="3"/>
      <c r="E1314" s="3">
        <v>11</v>
      </c>
      <c r="F1314" s="4" t="str">
        <f>HYPERLINK("http://141.218.60.56/~jnz1568/getInfo.php?workbook=27_11.xlsx&amp;sheet=U0&amp;row=1314&amp;col=6&amp;number=4&amp;sourceID=14","4")</f>
        <v>4</v>
      </c>
      <c r="G1314" s="4" t="str">
        <f>HYPERLINK("http://141.218.60.56/~jnz1568/getInfo.php?workbook=27_11.xlsx&amp;sheet=U0&amp;row=1314&amp;col=7&amp;number=0.0255&amp;sourceID=14","0.0255")</f>
        <v>0.0255</v>
      </c>
    </row>
    <row r="1315" spans="1:7">
      <c r="A1315" s="3"/>
      <c r="B1315" s="3"/>
      <c r="C1315" s="3"/>
      <c r="D1315" s="3"/>
      <c r="E1315" s="3">
        <v>12</v>
      </c>
      <c r="F1315" s="4" t="str">
        <f>HYPERLINK("http://141.218.60.56/~jnz1568/getInfo.php?workbook=27_11.xlsx&amp;sheet=U0&amp;row=1315&amp;col=6&amp;number=4.1&amp;sourceID=14","4.1")</f>
        <v>4.1</v>
      </c>
      <c r="G1315" s="4" t="str">
        <f>HYPERLINK("http://141.218.60.56/~jnz1568/getInfo.php?workbook=27_11.xlsx&amp;sheet=U0&amp;row=1315&amp;col=7&amp;number=0.0255&amp;sourceID=14","0.0255")</f>
        <v>0.0255</v>
      </c>
    </row>
    <row r="1316" spans="1:7">
      <c r="A1316" s="3"/>
      <c r="B1316" s="3"/>
      <c r="C1316" s="3"/>
      <c r="D1316" s="3"/>
      <c r="E1316" s="3">
        <v>13</v>
      </c>
      <c r="F1316" s="4" t="str">
        <f>HYPERLINK("http://141.218.60.56/~jnz1568/getInfo.php?workbook=27_11.xlsx&amp;sheet=U0&amp;row=1316&amp;col=6&amp;number=4.2&amp;sourceID=14","4.2")</f>
        <v>4.2</v>
      </c>
      <c r="G1316" s="4" t="str">
        <f>HYPERLINK("http://141.218.60.56/~jnz1568/getInfo.php?workbook=27_11.xlsx&amp;sheet=U0&amp;row=1316&amp;col=7&amp;number=0.0254&amp;sourceID=14","0.0254")</f>
        <v>0.0254</v>
      </c>
    </row>
    <row r="1317" spans="1:7">
      <c r="A1317" s="3"/>
      <c r="B1317" s="3"/>
      <c r="C1317" s="3"/>
      <c r="D1317" s="3"/>
      <c r="E1317" s="3">
        <v>14</v>
      </c>
      <c r="F1317" s="4" t="str">
        <f>HYPERLINK("http://141.218.60.56/~jnz1568/getInfo.php?workbook=27_11.xlsx&amp;sheet=U0&amp;row=1317&amp;col=6&amp;number=4.3&amp;sourceID=14","4.3")</f>
        <v>4.3</v>
      </c>
      <c r="G1317" s="4" t="str">
        <f>HYPERLINK("http://141.218.60.56/~jnz1568/getInfo.php?workbook=27_11.xlsx&amp;sheet=U0&amp;row=1317&amp;col=7&amp;number=0.0254&amp;sourceID=14","0.0254")</f>
        <v>0.0254</v>
      </c>
    </row>
    <row r="1318" spans="1:7">
      <c r="A1318" s="3"/>
      <c r="B1318" s="3"/>
      <c r="C1318" s="3"/>
      <c r="D1318" s="3"/>
      <c r="E1318" s="3">
        <v>15</v>
      </c>
      <c r="F1318" s="4" t="str">
        <f>HYPERLINK("http://141.218.60.56/~jnz1568/getInfo.php?workbook=27_11.xlsx&amp;sheet=U0&amp;row=1318&amp;col=6&amp;number=4.4&amp;sourceID=14","4.4")</f>
        <v>4.4</v>
      </c>
      <c r="G1318" s="4" t="str">
        <f>HYPERLINK("http://141.218.60.56/~jnz1568/getInfo.php?workbook=27_11.xlsx&amp;sheet=U0&amp;row=1318&amp;col=7&amp;number=0.0254&amp;sourceID=14","0.0254")</f>
        <v>0.0254</v>
      </c>
    </row>
    <row r="1319" spans="1:7">
      <c r="A1319" s="3"/>
      <c r="B1319" s="3"/>
      <c r="C1319" s="3"/>
      <c r="D1319" s="3"/>
      <c r="E1319" s="3">
        <v>16</v>
      </c>
      <c r="F1319" s="4" t="str">
        <f>HYPERLINK("http://141.218.60.56/~jnz1568/getInfo.php?workbook=27_11.xlsx&amp;sheet=U0&amp;row=1319&amp;col=6&amp;number=4.5&amp;sourceID=14","4.5")</f>
        <v>4.5</v>
      </c>
      <c r="G1319" s="4" t="str">
        <f>HYPERLINK("http://141.218.60.56/~jnz1568/getInfo.php?workbook=27_11.xlsx&amp;sheet=U0&amp;row=1319&amp;col=7&amp;number=0.0253&amp;sourceID=14","0.0253")</f>
        <v>0.0253</v>
      </c>
    </row>
    <row r="1320" spans="1:7">
      <c r="A1320" s="3"/>
      <c r="B1320" s="3"/>
      <c r="C1320" s="3"/>
      <c r="D1320" s="3"/>
      <c r="E1320" s="3">
        <v>17</v>
      </c>
      <c r="F1320" s="4" t="str">
        <f>HYPERLINK("http://141.218.60.56/~jnz1568/getInfo.php?workbook=27_11.xlsx&amp;sheet=U0&amp;row=1320&amp;col=6&amp;number=4.6&amp;sourceID=14","4.6")</f>
        <v>4.6</v>
      </c>
      <c r="G1320" s="4" t="str">
        <f>HYPERLINK("http://141.218.60.56/~jnz1568/getInfo.php?workbook=27_11.xlsx&amp;sheet=U0&amp;row=1320&amp;col=7&amp;number=0.0252&amp;sourceID=14","0.0252")</f>
        <v>0.0252</v>
      </c>
    </row>
    <row r="1321" spans="1:7">
      <c r="A1321" s="3"/>
      <c r="B1321" s="3"/>
      <c r="C1321" s="3"/>
      <c r="D1321" s="3"/>
      <c r="E1321" s="3">
        <v>18</v>
      </c>
      <c r="F1321" s="4" t="str">
        <f>HYPERLINK("http://141.218.60.56/~jnz1568/getInfo.php?workbook=27_11.xlsx&amp;sheet=U0&amp;row=1321&amp;col=6&amp;number=4.7&amp;sourceID=14","4.7")</f>
        <v>4.7</v>
      </c>
      <c r="G1321" s="4" t="str">
        <f>HYPERLINK("http://141.218.60.56/~jnz1568/getInfo.php?workbook=27_11.xlsx&amp;sheet=U0&amp;row=1321&amp;col=7&amp;number=0.0251&amp;sourceID=14","0.0251")</f>
        <v>0.0251</v>
      </c>
    </row>
    <row r="1322" spans="1:7">
      <c r="A1322" s="3"/>
      <c r="B1322" s="3"/>
      <c r="C1322" s="3"/>
      <c r="D1322" s="3"/>
      <c r="E1322" s="3">
        <v>19</v>
      </c>
      <c r="F1322" s="4" t="str">
        <f>HYPERLINK("http://141.218.60.56/~jnz1568/getInfo.php?workbook=27_11.xlsx&amp;sheet=U0&amp;row=1322&amp;col=6&amp;number=4.8&amp;sourceID=14","4.8")</f>
        <v>4.8</v>
      </c>
      <c r="G1322" s="4" t="str">
        <f>HYPERLINK("http://141.218.60.56/~jnz1568/getInfo.php?workbook=27_11.xlsx&amp;sheet=U0&amp;row=1322&amp;col=7&amp;number=0.025&amp;sourceID=14","0.025")</f>
        <v>0.025</v>
      </c>
    </row>
    <row r="1323" spans="1:7">
      <c r="A1323" s="3"/>
      <c r="B1323" s="3"/>
      <c r="C1323" s="3"/>
      <c r="D1323" s="3"/>
      <c r="E1323" s="3">
        <v>20</v>
      </c>
      <c r="F1323" s="4" t="str">
        <f>HYPERLINK("http://141.218.60.56/~jnz1568/getInfo.php?workbook=27_11.xlsx&amp;sheet=U0&amp;row=1323&amp;col=6&amp;number=4.9&amp;sourceID=14","4.9")</f>
        <v>4.9</v>
      </c>
      <c r="G1323" s="4" t="str">
        <f>HYPERLINK("http://141.218.60.56/~jnz1568/getInfo.php?workbook=27_11.xlsx&amp;sheet=U0&amp;row=1323&amp;col=7&amp;number=0.0249&amp;sourceID=14","0.0249")</f>
        <v>0.0249</v>
      </c>
    </row>
    <row r="1324" spans="1:7">
      <c r="A1324" s="3">
        <v>27</v>
      </c>
      <c r="B1324" s="3">
        <v>11</v>
      </c>
      <c r="C1324" s="3">
        <v>5</v>
      </c>
      <c r="D1324" s="3">
        <v>6</v>
      </c>
      <c r="E1324" s="3">
        <v>1</v>
      </c>
      <c r="F1324" s="4" t="str">
        <f>HYPERLINK("http://141.218.60.56/~jnz1568/getInfo.php?workbook=27_11.xlsx&amp;sheet=U0&amp;row=1324&amp;col=6&amp;number=3&amp;sourceID=14","3")</f>
        <v>3</v>
      </c>
      <c r="G1324" s="4" t="str">
        <f>HYPERLINK("http://141.218.60.56/~jnz1568/getInfo.php?workbook=27_11.xlsx&amp;sheet=U0&amp;row=1324&amp;col=7&amp;number=0.0187&amp;sourceID=14","0.0187")</f>
        <v>0.0187</v>
      </c>
    </row>
    <row r="1325" spans="1:7">
      <c r="A1325" s="3"/>
      <c r="B1325" s="3"/>
      <c r="C1325" s="3"/>
      <c r="D1325" s="3"/>
      <c r="E1325" s="3">
        <v>2</v>
      </c>
      <c r="F1325" s="4" t="str">
        <f>HYPERLINK("http://141.218.60.56/~jnz1568/getInfo.php?workbook=27_11.xlsx&amp;sheet=U0&amp;row=1325&amp;col=6&amp;number=3.1&amp;sourceID=14","3.1")</f>
        <v>3.1</v>
      </c>
      <c r="G1325" s="4" t="str">
        <f>HYPERLINK("http://141.218.60.56/~jnz1568/getInfo.php?workbook=27_11.xlsx&amp;sheet=U0&amp;row=1325&amp;col=7&amp;number=0.0187&amp;sourceID=14","0.0187")</f>
        <v>0.0187</v>
      </c>
    </row>
    <row r="1326" spans="1:7">
      <c r="A1326" s="3"/>
      <c r="B1326" s="3"/>
      <c r="C1326" s="3"/>
      <c r="D1326" s="3"/>
      <c r="E1326" s="3">
        <v>3</v>
      </c>
      <c r="F1326" s="4" t="str">
        <f>HYPERLINK("http://141.218.60.56/~jnz1568/getInfo.php?workbook=27_11.xlsx&amp;sheet=U0&amp;row=1326&amp;col=6&amp;number=3.2&amp;sourceID=14","3.2")</f>
        <v>3.2</v>
      </c>
      <c r="G1326" s="4" t="str">
        <f>HYPERLINK("http://141.218.60.56/~jnz1568/getInfo.php?workbook=27_11.xlsx&amp;sheet=U0&amp;row=1326&amp;col=7&amp;number=0.0187&amp;sourceID=14","0.0187")</f>
        <v>0.0187</v>
      </c>
    </row>
    <row r="1327" spans="1:7">
      <c r="A1327" s="3"/>
      <c r="B1327" s="3"/>
      <c r="C1327" s="3"/>
      <c r="D1327" s="3"/>
      <c r="E1327" s="3">
        <v>4</v>
      </c>
      <c r="F1327" s="4" t="str">
        <f>HYPERLINK("http://141.218.60.56/~jnz1568/getInfo.php?workbook=27_11.xlsx&amp;sheet=U0&amp;row=1327&amp;col=6&amp;number=3.3&amp;sourceID=14","3.3")</f>
        <v>3.3</v>
      </c>
      <c r="G1327" s="4" t="str">
        <f>HYPERLINK("http://141.218.60.56/~jnz1568/getInfo.php?workbook=27_11.xlsx&amp;sheet=U0&amp;row=1327&amp;col=7&amp;number=0.0187&amp;sourceID=14","0.0187")</f>
        <v>0.0187</v>
      </c>
    </row>
    <row r="1328" spans="1:7">
      <c r="A1328" s="3"/>
      <c r="B1328" s="3"/>
      <c r="C1328" s="3"/>
      <c r="D1328" s="3"/>
      <c r="E1328" s="3">
        <v>5</v>
      </c>
      <c r="F1328" s="4" t="str">
        <f>HYPERLINK("http://141.218.60.56/~jnz1568/getInfo.php?workbook=27_11.xlsx&amp;sheet=U0&amp;row=1328&amp;col=6&amp;number=3.4&amp;sourceID=14","3.4")</f>
        <v>3.4</v>
      </c>
      <c r="G1328" s="4" t="str">
        <f>HYPERLINK("http://141.218.60.56/~jnz1568/getInfo.php?workbook=27_11.xlsx&amp;sheet=U0&amp;row=1328&amp;col=7&amp;number=0.0187&amp;sourceID=14","0.0187")</f>
        <v>0.0187</v>
      </c>
    </row>
    <row r="1329" spans="1:7">
      <c r="A1329" s="3"/>
      <c r="B1329" s="3"/>
      <c r="C1329" s="3"/>
      <c r="D1329" s="3"/>
      <c r="E1329" s="3">
        <v>6</v>
      </c>
      <c r="F1329" s="4" t="str">
        <f>HYPERLINK("http://141.218.60.56/~jnz1568/getInfo.php?workbook=27_11.xlsx&amp;sheet=U0&amp;row=1329&amp;col=6&amp;number=3.5&amp;sourceID=14","3.5")</f>
        <v>3.5</v>
      </c>
      <c r="G1329" s="4" t="str">
        <f>HYPERLINK("http://141.218.60.56/~jnz1568/getInfo.php?workbook=27_11.xlsx&amp;sheet=U0&amp;row=1329&amp;col=7&amp;number=0.0187&amp;sourceID=14","0.0187")</f>
        <v>0.0187</v>
      </c>
    </row>
    <row r="1330" spans="1:7">
      <c r="A1330" s="3"/>
      <c r="B1330" s="3"/>
      <c r="C1330" s="3"/>
      <c r="D1330" s="3"/>
      <c r="E1330" s="3">
        <v>7</v>
      </c>
      <c r="F1330" s="4" t="str">
        <f>HYPERLINK("http://141.218.60.56/~jnz1568/getInfo.php?workbook=27_11.xlsx&amp;sheet=U0&amp;row=1330&amp;col=6&amp;number=3.6&amp;sourceID=14","3.6")</f>
        <v>3.6</v>
      </c>
      <c r="G1330" s="4" t="str">
        <f>HYPERLINK("http://141.218.60.56/~jnz1568/getInfo.php?workbook=27_11.xlsx&amp;sheet=U0&amp;row=1330&amp;col=7&amp;number=0.0187&amp;sourceID=14","0.0187")</f>
        <v>0.0187</v>
      </c>
    </row>
    <row r="1331" spans="1:7">
      <c r="A1331" s="3"/>
      <c r="B1331" s="3"/>
      <c r="C1331" s="3"/>
      <c r="D1331" s="3"/>
      <c r="E1331" s="3">
        <v>8</v>
      </c>
      <c r="F1331" s="4" t="str">
        <f>HYPERLINK("http://141.218.60.56/~jnz1568/getInfo.php?workbook=27_11.xlsx&amp;sheet=U0&amp;row=1331&amp;col=6&amp;number=3.7&amp;sourceID=14","3.7")</f>
        <v>3.7</v>
      </c>
      <c r="G1331" s="4" t="str">
        <f>HYPERLINK("http://141.218.60.56/~jnz1568/getInfo.php?workbook=27_11.xlsx&amp;sheet=U0&amp;row=1331&amp;col=7&amp;number=0.0187&amp;sourceID=14","0.0187")</f>
        <v>0.0187</v>
      </c>
    </row>
    <row r="1332" spans="1:7">
      <c r="A1332" s="3"/>
      <c r="B1332" s="3"/>
      <c r="C1332" s="3"/>
      <c r="D1332" s="3"/>
      <c r="E1332" s="3">
        <v>9</v>
      </c>
      <c r="F1332" s="4" t="str">
        <f>HYPERLINK("http://141.218.60.56/~jnz1568/getInfo.php?workbook=27_11.xlsx&amp;sheet=U0&amp;row=1332&amp;col=6&amp;number=3.8&amp;sourceID=14","3.8")</f>
        <v>3.8</v>
      </c>
      <c r="G1332" s="4" t="str">
        <f>HYPERLINK("http://141.218.60.56/~jnz1568/getInfo.php?workbook=27_11.xlsx&amp;sheet=U0&amp;row=1332&amp;col=7&amp;number=0.0187&amp;sourceID=14","0.0187")</f>
        <v>0.0187</v>
      </c>
    </row>
    <row r="1333" spans="1:7">
      <c r="A1333" s="3"/>
      <c r="B1333" s="3"/>
      <c r="C1333" s="3"/>
      <c r="D1333" s="3"/>
      <c r="E1333" s="3">
        <v>10</v>
      </c>
      <c r="F1333" s="4" t="str">
        <f>HYPERLINK("http://141.218.60.56/~jnz1568/getInfo.php?workbook=27_11.xlsx&amp;sheet=U0&amp;row=1333&amp;col=6&amp;number=3.9&amp;sourceID=14","3.9")</f>
        <v>3.9</v>
      </c>
      <c r="G1333" s="4" t="str">
        <f>HYPERLINK("http://141.218.60.56/~jnz1568/getInfo.php?workbook=27_11.xlsx&amp;sheet=U0&amp;row=1333&amp;col=7&amp;number=0.0187&amp;sourceID=14","0.0187")</f>
        <v>0.0187</v>
      </c>
    </row>
    <row r="1334" spans="1:7">
      <c r="A1334" s="3"/>
      <c r="B1334" s="3"/>
      <c r="C1334" s="3"/>
      <c r="D1334" s="3"/>
      <c r="E1334" s="3">
        <v>11</v>
      </c>
      <c r="F1334" s="4" t="str">
        <f>HYPERLINK("http://141.218.60.56/~jnz1568/getInfo.php?workbook=27_11.xlsx&amp;sheet=U0&amp;row=1334&amp;col=6&amp;number=4&amp;sourceID=14","4")</f>
        <v>4</v>
      </c>
      <c r="G1334" s="4" t="str">
        <f>HYPERLINK("http://141.218.60.56/~jnz1568/getInfo.php?workbook=27_11.xlsx&amp;sheet=U0&amp;row=1334&amp;col=7&amp;number=0.0187&amp;sourceID=14","0.0187")</f>
        <v>0.0187</v>
      </c>
    </row>
    <row r="1335" spans="1:7">
      <c r="A1335" s="3"/>
      <c r="B1335" s="3"/>
      <c r="C1335" s="3"/>
      <c r="D1335" s="3"/>
      <c r="E1335" s="3">
        <v>12</v>
      </c>
      <c r="F1335" s="4" t="str">
        <f>HYPERLINK("http://141.218.60.56/~jnz1568/getInfo.php?workbook=27_11.xlsx&amp;sheet=U0&amp;row=1335&amp;col=6&amp;number=4.1&amp;sourceID=14","4.1")</f>
        <v>4.1</v>
      </c>
      <c r="G1335" s="4" t="str">
        <f>HYPERLINK("http://141.218.60.56/~jnz1568/getInfo.php?workbook=27_11.xlsx&amp;sheet=U0&amp;row=1335&amp;col=7&amp;number=0.0187&amp;sourceID=14","0.0187")</f>
        <v>0.0187</v>
      </c>
    </row>
    <row r="1336" spans="1:7">
      <c r="A1336" s="3"/>
      <c r="B1336" s="3"/>
      <c r="C1336" s="3"/>
      <c r="D1336" s="3"/>
      <c r="E1336" s="3">
        <v>13</v>
      </c>
      <c r="F1336" s="4" t="str">
        <f>HYPERLINK("http://141.218.60.56/~jnz1568/getInfo.php?workbook=27_11.xlsx&amp;sheet=U0&amp;row=1336&amp;col=6&amp;number=4.2&amp;sourceID=14","4.2")</f>
        <v>4.2</v>
      </c>
      <c r="G1336" s="4" t="str">
        <f>HYPERLINK("http://141.218.60.56/~jnz1568/getInfo.php?workbook=27_11.xlsx&amp;sheet=U0&amp;row=1336&amp;col=7&amp;number=0.0187&amp;sourceID=14","0.0187")</f>
        <v>0.0187</v>
      </c>
    </row>
    <row r="1337" spans="1:7">
      <c r="A1337" s="3"/>
      <c r="B1337" s="3"/>
      <c r="C1337" s="3"/>
      <c r="D1337" s="3"/>
      <c r="E1337" s="3">
        <v>14</v>
      </c>
      <c r="F1337" s="4" t="str">
        <f>HYPERLINK("http://141.218.60.56/~jnz1568/getInfo.php?workbook=27_11.xlsx&amp;sheet=U0&amp;row=1337&amp;col=6&amp;number=4.3&amp;sourceID=14","4.3")</f>
        <v>4.3</v>
      </c>
      <c r="G1337" s="4" t="str">
        <f>HYPERLINK("http://141.218.60.56/~jnz1568/getInfo.php?workbook=27_11.xlsx&amp;sheet=U0&amp;row=1337&amp;col=7&amp;number=0.0187&amp;sourceID=14","0.0187")</f>
        <v>0.0187</v>
      </c>
    </row>
    <row r="1338" spans="1:7">
      <c r="A1338" s="3"/>
      <c r="B1338" s="3"/>
      <c r="C1338" s="3"/>
      <c r="D1338" s="3"/>
      <c r="E1338" s="3">
        <v>15</v>
      </c>
      <c r="F1338" s="4" t="str">
        <f>HYPERLINK("http://141.218.60.56/~jnz1568/getInfo.php?workbook=27_11.xlsx&amp;sheet=U0&amp;row=1338&amp;col=6&amp;number=4.4&amp;sourceID=14","4.4")</f>
        <v>4.4</v>
      </c>
      <c r="G1338" s="4" t="str">
        <f>HYPERLINK("http://141.218.60.56/~jnz1568/getInfo.php?workbook=27_11.xlsx&amp;sheet=U0&amp;row=1338&amp;col=7&amp;number=0.0187&amp;sourceID=14","0.0187")</f>
        <v>0.0187</v>
      </c>
    </row>
    <row r="1339" spans="1:7">
      <c r="A1339" s="3"/>
      <c r="B1339" s="3"/>
      <c r="C1339" s="3"/>
      <c r="D1339" s="3"/>
      <c r="E1339" s="3">
        <v>16</v>
      </c>
      <c r="F1339" s="4" t="str">
        <f>HYPERLINK("http://141.218.60.56/~jnz1568/getInfo.php?workbook=27_11.xlsx&amp;sheet=U0&amp;row=1339&amp;col=6&amp;number=4.5&amp;sourceID=14","4.5")</f>
        <v>4.5</v>
      </c>
      <c r="G1339" s="4" t="str">
        <f>HYPERLINK("http://141.218.60.56/~jnz1568/getInfo.php?workbook=27_11.xlsx&amp;sheet=U0&amp;row=1339&amp;col=7&amp;number=0.0187&amp;sourceID=14","0.0187")</f>
        <v>0.0187</v>
      </c>
    </row>
    <row r="1340" spans="1:7">
      <c r="A1340" s="3"/>
      <c r="B1340" s="3"/>
      <c r="C1340" s="3"/>
      <c r="D1340" s="3"/>
      <c r="E1340" s="3">
        <v>17</v>
      </c>
      <c r="F1340" s="4" t="str">
        <f>HYPERLINK("http://141.218.60.56/~jnz1568/getInfo.php?workbook=27_11.xlsx&amp;sheet=U0&amp;row=1340&amp;col=6&amp;number=4.6&amp;sourceID=14","4.6")</f>
        <v>4.6</v>
      </c>
      <c r="G1340" s="4" t="str">
        <f>HYPERLINK("http://141.218.60.56/~jnz1568/getInfo.php?workbook=27_11.xlsx&amp;sheet=U0&amp;row=1340&amp;col=7&amp;number=0.0187&amp;sourceID=14","0.0187")</f>
        <v>0.0187</v>
      </c>
    </row>
    <row r="1341" spans="1:7">
      <c r="A1341" s="3"/>
      <c r="B1341" s="3"/>
      <c r="C1341" s="3"/>
      <c r="D1341" s="3"/>
      <c r="E1341" s="3">
        <v>18</v>
      </c>
      <c r="F1341" s="4" t="str">
        <f>HYPERLINK("http://141.218.60.56/~jnz1568/getInfo.php?workbook=27_11.xlsx&amp;sheet=U0&amp;row=1341&amp;col=6&amp;number=4.7&amp;sourceID=14","4.7")</f>
        <v>4.7</v>
      </c>
      <c r="G1341" s="4" t="str">
        <f>HYPERLINK("http://141.218.60.56/~jnz1568/getInfo.php?workbook=27_11.xlsx&amp;sheet=U0&amp;row=1341&amp;col=7&amp;number=0.0187&amp;sourceID=14","0.0187")</f>
        <v>0.0187</v>
      </c>
    </row>
    <row r="1342" spans="1:7">
      <c r="A1342" s="3"/>
      <c r="B1342" s="3"/>
      <c r="C1342" s="3"/>
      <c r="D1342" s="3"/>
      <c r="E1342" s="3">
        <v>19</v>
      </c>
      <c r="F1342" s="4" t="str">
        <f>HYPERLINK("http://141.218.60.56/~jnz1568/getInfo.php?workbook=27_11.xlsx&amp;sheet=U0&amp;row=1342&amp;col=6&amp;number=4.8&amp;sourceID=14","4.8")</f>
        <v>4.8</v>
      </c>
      <c r="G1342" s="4" t="str">
        <f>HYPERLINK("http://141.218.60.56/~jnz1568/getInfo.php?workbook=27_11.xlsx&amp;sheet=U0&amp;row=1342&amp;col=7&amp;number=0.0187&amp;sourceID=14","0.0187")</f>
        <v>0.0187</v>
      </c>
    </row>
    <row r="1343" spans="1:7">
      <c r="A1343" s="3"/>
      <c r="B1343" s="3"/>
      <c r="C1343" s="3"/>
      <c r="D1343" s="3"/>
      <c r="E1343" s="3">
        <v>20</v>
      </c>
      <c r="F1343" s="4" t="str">
        <f>HYPERLINK("http://141.218.60.56/~jnz1568/getInfo.php?workbook=27_11.xlsx&amp;sheet=U0&amp;row=1343&amp;col=6&amp;number=4.9&amp;sourceID=14","4.9")</f>
        <v>4.9</v>
      </c>
      <c r="G1343" s="4" t="str">
        <f>HYPERLINK("http://141.218.60.56/~jnz1568/getInfo.php?workbook=27_11.xlsx&amp;sheet=U0&amp;row=1343&amp;col=7&amp;number=0.0187&amp;sourceID=14","0.0187")</f>
        <v>0.0187</v>
      </c>
    </row>
    <row r="1344" spans="1:7">
      <c r="A1344" s="3">
        <v>27</v>
      </c>
      <c r="B1344" s="3">
        <v>11</v>
      </c>
      <c r="C1344" s="3">
        <v>5</v>
      </c>
      <c r="D1344" s="3">
        <v>7</v>
      </c>
      <c r="E1344" s="3">
        <v>1</v>
      </c>
      <c r="F1344" s="4" t="str">
        <f>HYPERLINK("http://141.218.60.56/~jnz1568/getInfo.php?workbook=27_11.xlsx&amp;sheet=U0&amp;row=1344&amp;col=6&amp;number=3&amp;sourceID=14","3")</f>
        <v>3</v>
      </c>
      <c r="G1344" s="4" t="str">
        <f>HYPERLINK("http://141.218.60.56/~jnz1568/getInfo.php?workbook=27_11.xlsx&amp;sheet=U0&amp;row=1344&amp;col=7&amp;number=0.0128&amp;sourceID=14","0.0128")</f>
        <v>0.0128</v>
      </c>
    </row>
    <row r="1345" spans="1:7">
      <c r="A1345" s="3"/>
      <c r="B1345" s="3"/>
      <c r="C1345" s="3"/>
      <c r="D1345" s="3"/>
      <c r="E1345" s="3">
        <v>2</v>
      </c>
      <c r="F1345" s="4" t="str">
        <f>HYPERLINK("http://141.218.60.56/~jnz1568/getInfo.php?workbook=27_11.xlsx&amp;sheet=U0&amp;row=1345&amp;col=6&amp;number=3.1&amp;sourceID=14","3.1")</f>
        <v>3.1</v>
      </c>
      <c r="G1345" s="4" t="str">
        <f>HYPERLINK("http://141.218.60.56/~jnz1568/getInfo.php?workbook=27_11.xlsx&amp;sheet=U0&amp;row=1345&amp;col=7&amp;number=0.0128&amp;sourceID=14","0.0128")</f>
        <v>0.0128</v>
      </c>
    </row>
    <row r="1346" spans="1:7">
      <c r="A1346" s="3"/>
      <c r="B1346" s="3"/>
      <c r="C1346" s="3"/>
      <c r="D1346" s="3"/>
      <c r="E1346" s="3">
        <v>3</v>
      </c>
      <c r="F1346" s="4" t="str">
        <f>HYPERLINK("http://141.218.60.56/~jnz1568/getInfo.php?workbook=27_11.xlsx&amp;sheet=U0&amp;row=1346&amp;col=6&amp;number=3.2&amp;sourceID=14","3.2")</f>
        <v>3.2</v>
      </c>
      <c r="G1346" s="4" t="str">
        <f>HYPERLINK("http://141.218.60.56/~jnz1568/getInfo.php?workbook=27_11.xlsx&amp;sheet=U0&amp;row=1346&amp;col=7&amp;number=0.0128&amp;sourceID=14","0.0128")</f>
        <v>0.0128</v>
      </c>
    </row>
    <row r="1347" spans="1:7">
      <c r="A1347" s="3"/>
      <c r="B1347" s="3"/>
      <c r="C1347" s="3"/>
      <c r="D1347" s="3"/>
      <c r="E1347" s="3">
        <v>4</v>
      </c>
      <c r="F1347" s="4" t="str">
        <f>HYPERLINK("http://141.218.60.56/~jnz1568/getInfo.php?workbook=27_11.xlsx&amp;sheet=U0&amp;row=1347&amp;col=6&amp;number=3.3&amp;sourceID=14","3.3")</f>
        <v>3.3</v>
      </c>
      <c r="G1347" s="4" t="str">
        <f>HYPERLINK("http://141.218.60.56/~jnz1568/getInfo.php?workbook=27_11.xlsx&amp;sheet=U0&amp;row=1347&amp;col=7&amp;number=0.0128&amp;sourceID=14","0.0128")</f>
        <v>0.0128</v>
      </c>
    </row>
    <row r="1348" spans="1:7">
      <c r="A1348" s="3"/>
      <c r="B1348" s="3"/>
      <c r="C1348" s="3"/>
      <c r="D1348" s="3"/>
      <c r="E1348" s="3">
        <v>5</v>
      </c>
      <c r="F1348" s="4" t="str">
        <f>HYPERLINK("http://141.218.60.56/~jnz1568/getInfo.php?workbook=27_11.xlsx&amp;sheet=U0&amp;row=1348&amp;col=6&amp;number=3.4&amp;sourceID=14","3.4")</f>
        <v>3.4</v>
      </c>
      <c r="G1348" s="4" t="str">
        <f>HYPERLINK("http://141.218.60.56/~jnz1568/getInfo.php?workbook=27_11.xlsx&amp;sheet=U0&amp;row=1348&amp;col=7&amp;number=0.0128&amp;sourceID=14","0.0128")</f>
        <v>0.0128</v>
      </c>
    </row>
    <row r="1349" spans="1:7">
      <c r="A1349" s="3"/>
      <c r="B1349" s="3"/>
      <c r="C1349" s="3"/>
      <c r="D1349" s="3"/>
      <c r="E1349" s="3">
        <v>6</v>
      </c>
      <c r="F1349" s="4" t="str">
        <f>HYPERLINK("http://141.218.60.56/~jnz1568/getInfo.php?workbook=27_11.xlsx&amp;sheet=U0&amp;row=1349&amp;col=6&amp;number=3.5&amp;sourceID=14","3.5")</f>
        <v>3.5</v>
      </c>
      <c r="G1349" s="4" t="str">
        <f>HYPERLINK("http://141.218.60.56/~jnz1568/getInfo.php?workbook=27_11.xlsx&amp;sheet=U0&amp;row=1349&amp;col=7&amp;number=0.0128&amp;sourceID=14","0.0128")</f>
        <v>0.0128</v>
      </c>
    </row>
    <row r="1350" spans="1:7">
      <c r="A1350" s="3"/>
      <c r="B1350" s="3"/>
      <c r="C1350" s="3"/>
      <c r="D1350" s="3"/>
      <c r="E1350" s="3">
        <v>7</v>
      </c>
      <c r="F1350" s="4" t="str">
        <f>HYPERLINK("http://141.218.60.56/~jnz1568/getInfo.php?workbook=27_11.xlsx&amp;sheet=U0&amp;row=1350&amp;col=6&amp;number=3.6&amp;sourceID=14","3.6")</f>
        <v>3.6</v>
      </c>
      <c r="G1350" s="4" t="str">
        <f>HYPERLINK("http://141.218.60.56/~jnz1568/getInfo.php?workbook=27_11.xlsx&amp;sheet=U0&amp;row=1350&amp;col=7&amp;number=0.0128&amp;sourceID=14","0.0128")</f>
        <v>0.0128</v>
      </c>
    </row>
    <row r="1351" spans="1:7">
      <c r="A1351" s="3"/>
      <c r="B1351" s="3"/>
      <c r="C1351" s="3"/>
      <c r="D1351" s="3"/>
      <c r="E1351" s="3">
        <v>8</v>
      </c>
      <c r="F1351" s="4" t="str">
        <f>HYPERLINK("http://141.218.60.56/~jnz1568/getInfo.php?workbook=27_11.xlsx&amp;sheet=U0&amp;row=1351&amp;col=6&amp;number=3.7&amp;sourceID=14","3.7")</f>
        <v>3.7</v>
      </c>
      <c r="G1351" s="4" t="str">
        <f>HYPERLINK("http://141.218.60.56/~jnz1568/getInfo.php?workbook=27_11.xlsx&amp;sheet=U0&amp;row=1351&amp;col=7&amp;number=0.0128&amp;sourceID=14","0.0128")</f>
        <v>0.0128</v>
      </c>
    </row>
    <row r="1352" spans="1:7">
      <c r="A1352" s="3"/>
      <c r="B1352" s="3"/>
      <c r="C1352" s="3"/>
      <c r="D1352" s="3"/>
      <c r="E1352" s="3">
        <v>9</v>
      </c>
      <c r="F1352" s="4" t="str">
        <f>HYPERLINK("http://141.218.60.56/~jnz1568/getInfo.php?workbook=27_11.xlsx&amp;sheet=U0&amp;row=1352&amp;col=6&amp;number=3.8&amp;sourceID=14","3.8")</f>
        <v>3.8</v>
      </c>
      <c r="G1352" s="4" t="str">
        <f>HYPERLINK("http://141.218.60.56/~jnz1568/getInfo.php?workbook=27_11.xlsx&amp;sheet=U0&amp;row=1352&amp;col=7&amp;number=0.0128&amp;sourceID=14","0.0128")</f>
        <v>0.0128</v>
      </c>
    </row>
    <row r="1353" spans="1:7">
      <c r="A1353" s="3"/>
      <c r="B1353" s="3"/>
      <c r="C1353" s="3"/>
      <c r="D1353" s="3"/>
      <c r="E1353" s="3">
        <v>10</v>
      </c>
      <c r="F1353" s="4" t="str">
        <f>HYPERLINK("http://141.218.60.56/~jnz1568/getInfo.php?workbook=27_11.xlsx&amp;sheet=U0&amp;row=1353&amp;col=6&amp;number=3.9&amp;sourceID=14","3.9")</f>
        <v>3.9</v>
      </c>
      <c r="G1353" s="4" t="str">
        <f>HYPERLINK("http://141.218.60.56/~jnz1568/getInfo.php?workbook=27_11.xlsx&amp;sheet=U0&amp;row=1353&amp;col=7&amp;number=0.0128&amp;sourceID=14","0.0128")</f>
        <v>0.0128</v>
      </c>
    </row>
    <row r="1354" spans="1:7">
      <c r="A1354" s="3"/>
      <c r="B1354" s="3"/>
      <c r="C1354" s="3"/>
      <c r="D1354" s="3"/>
      <c r="E1354" s="3">
        <v>11</v>
      </c>
      <c r="F1354" s="4" t="str">
        <f>HYPERLINK("http://141.218.60.56/~jnz1568/getInfo.php?workbook=27_11.xlsx&amp;sheet=U0&amp;row=1354&amp;col=6&amp;number=4&amp;sourceID=14","4")</f>
        <v>4</v>
      </c>
      <c r="G1354" s="4" t="str">
        <f>HYPERLINK("http://141.218.60.56/~jnz1568/getInfo.php?workbook=27_11.xlsx&amp;sheet=U0&amp;row=1354&amp;col=7&amp;number=0.0128&amp;sourceID=14","0.0128")</f>
        <v>0.0128</v>
      </c>
    </row>
    <row r="1355" spans="1:7">
      <c r="A1355" s="3"/>
      <c r="B1355" s="3"/>
      <c r="C1355" s="3"/>
      <c r="D1355" s="3"/>
      <c r="E1355" s="3">
        <v>12</v>
      </c>
      <c r="F1355" s="4" t="str">
        <f>HYPERLINK("http://141.218.60.56/~jnz1568/getInfo.php?workbook=27_11.xlsx&amp;sheet=U0&amp;row=1355&amp;col=6&amp;number=4.1&amp;sourceID=14","4.1")</f>
        <v>4.1</v>
      </c>
      <c r="G1355" s="4" t="str">
        <f>HYPERLINK("http://141.218.60.56/~jnz1568/getInfo.php?workbook=27_11.xlsx&amp;sheet=U0&amp;row=1355&amp;col=7&amp;number=0.0128&amp;sourceID=14","0.0128")</f>
        <v>0.0128</v>
      </c>
    </row>
    <row r="1356" spans="1:7">
      <c r="A1356" s="3"/>
      <c r="B1356" s="3"/>
      <c r="C1356" s="3"/>
      <c r="D1356" s="3"/>
      <c r="E1356" s="3">
        <v>13</v>
      </c>
      <c r="F1356" s="4" t="str">
        <f>HYPERLINK("http://141.218.60.56/~jnz1568/getInfo.php?workbook=27_11.xlsx&amp;sheet=U0&amp;row=1356&amp;col=6&amp;number=4.2&amp;sourceID=14","4.2")</f>
        <v>4.2</v>
      </c>
      <c r="G1356" s="4" t="str">
        <f>HYPERLINK("http://141.218.60.56/~jnz1568/getInfo.php?workbook=27_11.xlsx&amp;sheet=U0&amp;row=1356&amp;col=7&amp;number=0.0128&amp;sourceID=14","0.0128")</f>
        <v>0.0128</v>
      </c>
    </row>
    <row r="1357" spans="1:7">
      <c r="A1357" s="3"/>
      <c r="B1357" s="3"/>
      <c r="C1357" s="3"/>
      <c r="D1357" s="3"/>
      <c r="E1357" s="3">
        <v>14</v>
      </c>
      <c r="F1357" s="4" t="str">
        <f>HYPERLINK("http://141.218.60.56/~jnz1568/getInfo.php?workbook=27_11.xlsx&amp;sheet=U0&amp;row=1357&amp;col=6&amp;number=4.3&amp;sourceID=14","4.3")</f>
        <v>4.3</v>
      </c>
      <c r="G1357" s="4" t="str">
        <f>HYPERLINK("http://141.218.60.56/~jnz1568/getInfo.php?workbook=27_11.xlsx&amp;sheet=U0&amp;row=1357&amp;col=7&amp;number=0.0128&amp;sourceID=14","0.0128")</f>
        <v>0.0128</v>
      </c>
    </row>
    <row r="1358" spans="1:7">
      <c r="A1358" s="3"/>
      <c r="B1358" s="3"/>
      <c r="C1358" s="3"/>
      <c r="D1358" s="3"/>
      <c r="E1358" s="3">
        <v>15</v>
      </c>
      <c r="F1358" s="4" t="str">
        <f>HYPERLINK("http://141.218.60.56/~jnz1568/getInfo.php?workbook=27_11.xlsx&amp;sheet=U0&amp;row=1358&amp;col=6&amp;number=4.4&amp;sourceID=14","4.4")</f>
        <v>4.4</v>
      </c>
      <c r="G1358" s="4" t="str">
        <f>HYPERLINK("http://141.218.60.56/~jnz1568/getInfo.php?workbook=27_11.xlsx&amp;sheet=U0&amp;row=1358&amp;col=7&amp;number=0.0128&amp;sourceID=14","0.0128")</f>
        <v>0.0128</v>
      </c>
    </row>
    <row r="1359" spans="1:7">
      <c r="A1359" s="3"/>
      <c r="B1359" s="3"/>
      <c r="C1359" s="3"/>
      <c r="D1359" s="3"/>
      <c r="E1359" s="3">
        <v>16</v>
      </c>
      <c r="F1359" s="4" t="str">
        <f>HYPERLINK("http://141.218.60.56/~jnz1568/getInfo.php?workbook=27_11.xlsx&amp;sheet=U0&amp;row=1359&amp;col=6&amp;number=4.5&amp;sourceID=14","4.5")</f>
        <v>4.5</v>
      </c>
      <c r="G1359" s="4" t="str">
        <f>HYPERLINK("http://141.218.60.56/~jnz1568/getInfo.php?workbook=27_11.xlsx&amp;sheet=U0&amp;row=1359&amp;col=7&amp;number=0.0127&amp;sourceID=14","0.0127")</f>
        <v>0.0127</v>
      </c>
    </row>
    <row r="1360" spans="1:7">
      <c r="A1360" s="3"/>
      <c r="B1360" s="3"/>
      <c r="C1360" s="3"/>
      <c r="D1360" s="3"/>
      <c r="E1360" s="3">
        <v>17</v>
      </c>
      <c r="F1360" s="4" t="str">
        <f>HYPERLINK("http://141.218.60.56/~jnz1568/getInfo.php?workbook=27_11.xlsx&amp;sheet=U0&amp;row=1360&amp;col=6&amp;number=4.6&amp;sourceID=14","4.6")</f>
        <v>4.6</v>
      </c>
      <c r="G1360" s="4" t="str">
        <f>HYPERLINK("http://141.218.60.56/~jnz1568/getInfo.php?workbook=27_11.xlsx&amp;sheet=U0&amp;row=1360&amp;col=7&amp;number=0.0127&amp;sourceID=14","0.0127")</f>
        <v>0.0127</v>
      </c>
    </row>
    <row r="1361" spans="1:7">
      <c r="A1361" s="3"/>
      <c r="B1361" s="3"/>
      <c r="C1361" s="3"/>
      <c r="D1361" s="3"/>
      <c r="E1361" s="3">
        <v>18</v>
      </c>
      <c r="F1361" s="4" t="str">
        <f>HYPERLINK("http://141.218.60.56/~jnz1568/getInfo.php?workbook=27_11.xlsx&amp;sheet=U0&amp;row=1361&amp;col=6&amp;number=4.7&amp;sourceID=14","4.7")</f>
        <v>4.7</v>
      </c>
      <c r="G1361" s="4" t="str">
        <f>HYPERLINK("http://141.218.60.56/~jnz1568/getInfo.php?workbook=27_11.xlsx&amp;sheet=U0&amp;row=1361&amp;col=7&amp;number=0.0127&amp;sourceID=14","0.0127")</f>
        <v>0.0127</v>
      </c>
    </row>
    <row r="1362" spans="1:7">
      <c r="A1362" s="3"/>
      <c r="B1362" s="3"/>
      <c r="C1362" s="3"/>
      <c r="D1362" s="3"/>
      <c r="E1362" s="3">
        <v>19</v>
      </c>
      <c r="F1362" s="4" t="str">
        <f>HYPERLINK("http://141.218.60.56/~jnz1568/getInfo.php?workbook=27_11.xlsx&amp;sheet=U0&amp;row=1362&amp;col=6&amp;number=4.8&amp;sourceID=14","4.8")</f>
        <v>4.8</v>
      </c>
      <c r="G1362" s="4" t="str">
        <f>HYPERLINK("http://141.218.60.56/~jnz1568/getInfo.php?workbook=27_11.xlsx&amp;sheet=U0&amp;row=1362&amp;col=7&amp;number=0.0127&amp;sourceID=14","0.0127")</f>
        <v>0.0127</v>
      </c>
    </row>
    <row r="1363" spans="1:7">
      <c r="A1363" s="3"/>
      <c r="B1363" s="3"/>
      <c r="C1363" s="3"/>
      <c r="D1363" s="3"/>
      <c r="E1363" s="3">
        <v>20</v>
      </c>
      <c r="F1363" s="4" t="str">
        <f>HYPERLINK("http://141.218.60.56/~jnz1568/getInfo.php?workbook=27_11.xlsx&amp;sheet=U0&amp;row=1363&amp;col=6&amp;number=4.9&amp;sourceID=14","4.9")</f>
        <v>4.9</v>
      </c>
      <c r="G1363" s="4" t="str">
        <f>HYPERLINK("http://141.218.60.56/~jnz1568/getInfo.php?workbook=27_11.xlsx&amp;sheet=U0&amp;row=1363&amp;col=7&amp;number=0.0127&amp;sourceID=14","0.0127")</f>
        <v>0.0127</v>
      </c>
    </row>
    <row r="1364" spans="1:7">
      <c r="A1364" s="3">
        <v>27</v>
      </c>
      <c r="B1364" s="3">
        <v>11</v>
      </c>
      <c r="C1364" s="3">
        <v>5</v>
      </c>
      <c r="D1364" s="3">
        <v>8</v>
      </c>
      <c r="E1364" s="3">
        <v>1</v>
      </c>
      <c r="F1364" s="4" t="str">
        <f>HYPERLINK("http://141.218.60.56/~jnz1568/getInfo.php?workbook=27_11.xlsx&amp;sheet=U0&amp;row=1364&amp;col=6&amp;number=3&amp;sourceID=14","3")</f>
        <v>3</v>
      </c>
      <c r="G1364" s="4" t="str">
        <f>HYPERLINK("http://141.218.60.56/~jnz1568/getInfo.php?workbook=27_11.xlsx&amp;sheet=U0&amp;row=1364&amp;col=7&amp;number=0.0381&amp;sourceID=14","0.0381")</f>
        <v>0.0381</v>
      </c>
    </row>
    <row r="1365" spans="1:7">
      <c r="A1365" s="3"/>
      <c r="B1365" s="3"/>
      <c r="C1365" s="3"/>
      <c r="D1365" s="3"/>
      <c r="E1365" s="3">
        <v>2</v>
      </c>
      <c r="F1365" s="4" t="str">
        <f>HYPERLINK("http://141.218.60.56/~jnz1568/getInfo.php?workbook=27_11.xlsx&amp;sheet=U0&amp;row=1365&amp;col=6&amp;number=3.1&amp;sourceID=14","3.1")</f>
        <v>3.1</v>
      </c>
      <c r="G1365" s="4" t="str">
        <f>HYPERLINK("http://141.218.60.56/~jnz1568/getInfo.php?workbook=27_11.xlsx&amp;sheet=U0&amp;row=1365&amp;col=7&amp;number=0.0381&amp;sourceID=14","0.0381")</f>
        <v>0.0381</v>
      </c>
    </row>
    <row r="1366" spans="1:7">
      <c r="A1366" s="3"/>
      <c r="B1366" s="3"/>
      <c r="C1366" s="3"/>
      <c r="D1366" s="3"/>
      <c r="E1366" s="3">
        <v>3</v>
      </c>
      <c r="F1366" s="4" t="str">
        <f>HYPERLINK("http://141.218.60.56/~jnz1568/getInfo.php?workbook=27_11.xlsx&amp;sheet=U0&amp;row=1366&amp;col=6&amp;number=3.2&amp;sourceID=14","3.2")</f>
        <v>3.2</v>
      </c>
      <c r="G1366" s="4" t="str">
        <f>HYPERLINK("http://141.218.60.56/~jnz1568/getInfo.php?workbook=27_11.xlsx&amp;sheet=U0&amp;row=1366&amp;col=7&amp;number=0.0381&amp;sourceID=14","0.0381")</f>
        <v>0.0381</v>
      </c>
    </row>
    <row r="1367" spans="1:7">
      <c r="A1367" s="3"/>
      <c r="B1367" s="3"/>
      <c r="C1367" s="3"/>
      <c r="D1367" s="3"/>
      <c r="E1367" s="3">
        <v>4</v>
      </c>
      <c r="F1367" s="4" t="str">
        <f>HYPERLINK("http://141.218.60.56/~jnz1568/getInfo.php?workbook=27_11.xlsx&amp;sheet=U0&amp;row=1367&amp;col=6&amp;number=3.3&amp;sourceID=14","3.3")</f>
        <v>3.3</v>
      </c>
      <c r="G1367" s="4" t="str">
        <f>HYPERLINK("http://141.218.60.56/~jnz1568/getInfo.php?workbook=27_11.xlsx&amp;sheet=U0&amp;row=1367&amp;col=7&amp;number=0.0381&amp;sourceID=14","0.0381")</f>
        <v>0.0381</v>
      </c>
    </row>
    <row r="1368" spans="1:7">
      <c r="A1368" s="3"/>
      <c r="B1368" s="3"/>
      <c r="C1368" s="3"/>
      <c r="D1368" s="3"/>
      <c r="E1368" s="3">
        <v>5</v>
      </c>
      <c r="F1368" s="4" t="str">
        <f>HYPERLINK("http://141.218.60.56/~jnz1568/getInfo.php?workbook=27_11.xlsx&amp;sheet=U0&amp;row=1368&amp;col=6&amp;number=3.4&amp;sourceID=14","3.4")</f>
        <v>3.4</v>
      </c>
      <c r="G1368" s="4" t="str">
        <f>HYPERLINK("http://141.218.60.56/~jnz1568/getInfo.php?workbook=27_11.xlsx&amp;sheet=U0&amp;row=1368&amp;col=7&amp;number=0.0381&amp;sourceID=14","0.0381")</f>
        <v>0.0381</v>
      </c>
    </row>
    <row r="1369" spans="1:7">
      <c r="A1369" s="3"/>
      <c r="B1369" s="3"/>
      <c r="C1369" s="3"/>
      <c r="D1369" s="3"/>
      <c r="E1369" s="3">
        <v>6</v>
      </c>
      <c r="F1369" s="4" t="str">
        <f>HYPERLINK("http://141.218.60.56/~jnz1568/getInfo.php?workbook=27_11.xlsx&amp;sheet=U0&amp;row=1369&amp;col=6&amp;number=3.5&amp;sourceID=14","3.5")</f>
        <v>3.5</v>
      </c>
      <c r="G1369" s="4" t="str">
        <f>HYPERLINK("http://141.218.60.56/~jnz1568/getInfo.php?workbook=27_11.xlsx&amp;sheet=U0&amp;row=1369&amp;col=7&amp;number=0.0381&amp;sourceID=14","0.0381")</f>
        <v>0.0381</v>
      </c>
    </row>
    <row r="1370" spans="1:7">
      <c r="A1370" s="3"/>
      <c r="B1370" s="3"/>
      <c r="C1370" s="3"/>
      <c r="D1370" s="3"/>
      <c r="E1370" s="3">
        <v>7</v>
      </c>
      <c r="F1370" s="4" t="str">
        <f>HYPERLINK("http://141.218.60.56/~jnz1568/getInfo.php?workbook=27_11.xlsx&amp;sheet=U0&amp;row=1370&amp;col=6&amp;number=3.6&amp;sourceID=14","3.6")</f>
        <v>3.6</v>
      </c>
      <c r="G1370" s="4" t="str">
        <f>HYPERLINK("http://141.218.60.56/~jnz1568/getInfo.php?workbook=27_11.xlsx&amp;sheet=U0&amp;row=1370&amp;col=7&amp;number=0.0381&amp;sourceID=14","0.0381")</f>
        <v>0.0381</v>
      </c>
    </row>
    <row r="1371" spans="1:7">
      <c r="A1371" s="3"/>
      <c r="B1371" s="3"/>
      <c r="C1371" s="3"/>
      <c r="D1371" s="3"/>
      <c r="E1371" s="3">
        <v>8</v>
      </c>
      <c r="F1371" s="4" t="str">
        <f>HYPERLINK("http://141.218.60.56/~jnz1568/getInfo.php?workbook=27_11.xlsx&amp;sheet=U0&amp;row=1371&amp;col=6&amp;number=3.7&amp;sourceID=14","3.7")</f>
        <v>3.7</v>
      </c>
      <c r="G1371" s="4" t="str">
        <f>HYPERLINK("http://141.218.60.56/~jnz1568/getInfo.php?workbook=27_11.xlsx&amp;sheet=U0&amp;row=1371&amp;col=7&amp;number=0.0381&amp;sourceID=14","0.0381")</f>
        <v>0.0381</v>
      </c>
    </row>
    <row r="1372" spans="1:7">
      <c r="A1372" s="3"/>
      <c r="B1372" s="3"/>
      <c r="C1372" s="3"/>
      <c r="D1372" s="3"/>
      <c r="E1372" s="3">
        <v>9</v>
      </c>
      <c r="F1372" s="4" t="str">
        <f>HYPERLINK("http://141.218.60.56/~jnz1568/getInfo.php?workbook=27_11.xlsx&amp;sheet=U0&amp;row=1372&amp;col=6&amp;number=3.8&amp;sourceID=14","3.8")</f>
        <v>3.8</v>
      </c>
      <c r="G1372" s="4" t="str">
        <f>HYPERLINK("http://141.218.60.56/~jnz1568/getInfo.php?workbook=27_11.xlsx&amp;sheet=U0&amp;row=1372&amp;col=7&amp;number=0.0381&amp;sourceID=14","0.0381")</f>
        <v>0.0381</v>
      </c>
    </row>
    <row r="1373" spans="1:7">
      <c r="A1373" s="3"/>
      <c r="B1373" s="3"/>
      <c r="C1373" s="3"/>
      <c r="D1373" s="3"/>
      <c r="E1373" s="3">
        <v>10</v>
      </c>
      <c r="F1373" s="4" t="str">
        <f>HYPERLINK("http://141.218.60.56/~jnz1568/getInfo.php?workbook=27_11.xlsx&amp;sheet=U0&amp;row=1373&amp;col=6&amp;number=3.9&amp;sourceID=14","3.9")</f>
        <v>3.9</v>
      </c>
      <c r="G1373" s="4" t="str">
        <f>HYPERLINK("http://141.218.60.56/~jnz1568/getInfo.php?workbook=27_11.xlsx&amp;sheet=U0&amp;row=1373&amp;col=7&amp;number=0.0382&amp;sourceID=14","0.0382")</f>
        <v>0.0382</v>
      </c>
    </row>
    <row r="1374" spans="1:7">
      <c r="A1374" s="3"/>
      <c r="B1374" s="3"/>
      <c r="C1374" s="3"/>
      <c r="D1374" s="3"/>
      <c r="E1374" s="3">
        <v>11</v>
      </c>
      <c r="F1374" s="4" t="str">
        <f>HYPERLINK("http://141.218.60.56/~jnz1568/getInfo.php?workbook=27_11.xlsx&amp;sheet=U0&amp;row=1374&amp;col=6&amp;number=4&amp;sourceID=14","4")</f>
        <v>4</v>
      </c>
      <c r="G1374" s="4" t="str">
        <f>HYPERLINK("http://141.218.60.56/~jnz1568/getInfo.php?workbook=27_11.xlsx&amp;sheet=U0&amp;row=1374&amp;col=7&amp;number=0.0382&amp;sourceID=14","0.0382")</f>
        <v>0.0382</v>
      </c>
    </row>
    <row r="1375" spans="1:7">
      <c r="A1375" s="3"/>
      <c r="B1375" s="3"/>
      <c r="C1375" s="3"/>
      <c r="D1375" s="3"/>
      <c r="E1375" s="3">
        <v>12</v>
      </c>
      <c r="F1375" s="4" t="str">
        <f>HYPERLINK("http://141.218.60.56/~jnz1568/getInfo.php?workbook=27_11.xlsx&amp;sheet=U0&amp;row=1375&amp;col=6&amp;number=4.1&amp;sourceID=14","4.1")</f>
        <v>4.1</v>
      </c>
      <c r="G1375" s="4" t="str">
        <f>HYPERLINK("http://141.218.60.56/~jnz1568/getInfo.php?workbook=27_11.xlsx&amp;sheet=U0&amp;row=1375&amp;col=7&amp;number=0.0382&amp;sourceID=14","0.0382")</f>
        <v>0.0382</v>
      </c>
    </row>
    <row r="1376" spans="1:7">
      <c r="A1376" s="3"/>
      <c r="B1376" s="3"/>
      <c r="C1376" s="3"/>
      <c r="D1376" s="3"/>
      <c r="E1376" s="3">
        <v>13</v>
      </c>
      <c r="F1376" s="4" t="str">
        <f>HYPERLINK("http://141.218.60.56/~jnz1568/getInfo.php?workbook=27_11.xlsx&amp;sheet=U0&amp;row=1376&amp;col=6&amp;number=4.2&amp;sourceID=14","4.2")</f>
        <v>4.2</v>
      </c>
      <c r="G1376" s="4" t="str">
        <f>HYPERLINK("http://141.218.60.56/~jnz1568/getInfo.php?workbook=27_11.xlsx&amp;sheet=U0&amp;row=1376&amp;col=7&amp;number=0.0382&amp;sourceID=14","0.0382")</f>
        <v>0.0382</v>
      </c>
    </row>
    <row r="1377" spans="1:7">
      <c r="A1377" s="3"/>
      <c r="B1377" s="3"/>
      <c r="C1377" s="3"/>
      <c r="D1377" s="3"/>
      <c r="E1377" s="3">
        <v>14</v>
      </c>
      <c r="F1377" s="4" t="str">
        <f>HYPERLINK("http://141.218.60.56/~jnz1568/getInfo.php?workbook=27_11.xlsx&amp;sheet=U0&amp;row=1377&amp;col=6&amp;number=4.3&amp;sourceID=14","4.3")</f>
        <v>4.3</v>
      </c>
      <c r="G1377" s="4" t="str">
        <f>HYPERLINK("http://141.218.60.56/~jnz1568/getInfo.php?workbook=27_11.xlsx&amp;sheet=U0&amp;row=1377&amp;col=7&amp;number=0.0382&amp;sourceID=14","0.0382")</f>
        <v>0.0382</v>
      </c>
    </row>
    <row r="1378" spans="1:7">
      <c r="A1378" s="3"/>
      <c r="B1378" s="3"/>
      <c r="C1378" s="3"/>
      <c r="D1378" s="3"/>
      <c r="E1378" s="3">
        <v>15</v>
      </c>
      <c r="F1378" s="4" t="str">
        <f>HYPERLINK("http://141.218.60.56/~jnz1568/getInfo.php?workbook=27_11.xlsx&amp;sheet=U0&amp;row=1378&amp;col=6&amp;number=4.4&amp;sourceID=14","4.4")</f>
        <v>4.4</v>
      </c>
      <c r="G1378" s="4" t="str">
        <f>HYPERLINK("http://141.218.60.56/~jnz1568/getInfo.php?workbook=27_11.xlsx&amp;sheet=U0&amp;row=1378&amp;col=7&amp;number=0.0382&amp;sourceID=14","0.0382")</f>
        <v>0.0382</v>
      </c>
    </row>
    <row r="1379" spans="1:7">
      <c r="A1379" s="3"/>
      <c r="B1379" s="3"/>
      <c r="C1379" s="3"/>
      <c r="D1379" s="3"/>
      <c r="E1379" s="3">
        <v>16</v>
      </c>
      <c r="F1379" s="4" t="str">
        <f>HYPERLINK("http://141.218.60.56/~jnz1568/getInfo.php?workbook=27_11.xlsx&amp;sheet=U0&amp;row=1379&amp;col=6&amp;number=4.5&amp;sourceID=14","4.5")</f>
        <v>4.5</v>
      </c>
      <c r="G1379" s="4" t="str">
        <f>HYPERLINK("http://141.218.60.56/~jnz1568/getInfo.php?workbook=27_11.xlsx&amp;sheet=U0&amp;row=1379&amp;col=7&amp;number=0.0383&amp;sourceID=14","0.0383")</f>
        <v>0.0383</v>
      </c>
    </row>
    <row r="1380" spans="1:7">
      <c r="A1380" s="3"/>
      <c r="B1380" s="3"/>
      <c r="C1380" s="3"/>
      <c r="D1380" s="3"/>
      <c r="E1380" s="3">
        <v>17</v>
      </c>
      <c r="F1380" s="4" t="str">
        <f>HYPERLINK("http://141.218.60.56/~jnz1568/getInfo.php?workbook=27_11.xlsx&amp;sheet=U0&amp;row=1380&amp;col=6&amp;number=4.6&amp;sourceID=14","4.6")</f>
        <v>4.6</v>
      </c>
      <c r="G1380" s="4" t="str">
        <f>HYPERLINK("http://141.218.60.56/~jnz1568/getInfo.php?workbook=27_11.xlsx&amp;sheet=U0&amp;row=1380&amp;col=7&amp;number=0.0383&amp;sourceID=14","0.0383")</f>
        <v>0.0383</v>
      </c>
    </row>
    <row r="1381" spans="1:7">
      <c r="A1381" s="3"/>
      <c r="B1381" s="3"/>
      <c r="C1381" s="3"/>
      <c r="D1381" s="3"/>
      <c r="E1381" s="3">
        <v>18</v>
      </c>
      <c r="F1381" s="4" t="str">
        <f>HYPERLINK("http://141.218.60.56/~jnz1568/getInfo.php?workbook=27_11.xlsx&amp;sheet=U0&amp;row=1381&amp;col=6&amp;number=4.7&amp;sourceID=14","4.7")</f>
        <v>4.7</v>
      </c>
      <c r="G1381" s="4" t="str">
        <f>HYPERLINK("http://141.218.60.56/~jnz1568/getInfo.php?workbook=27_11.xlsx&amp;sheet=U0&amp;row=1381&amp;col=7&amp;number=0.0384&amp;sourceID=14","0.0384")</f>
        <v>0.0384</v>
      </c>
    </row>
    <row r="1382" spans="1:7">
      <c r="A1382" s="3"/>
      <c r="B1382" s="3"/>
      <c r="C1382" s="3"/>
      <c r="D1382" s="3"/>
      <c r="E1382" s="3">
        <v>19</v>
      </c>
      <c r="F1382" s="4" t="str">
        <f>HYPERLINK("http://141.218.60.56/~jnz1568/getInfo.php?workbook=27_11.xlsx&amp;sheet=U0&amp;row=1382&amp;col=6&amp;number=4.8&amp;sourceID=14","4.8")</f>
        <v>4.8</v>
      </c>
      <c r="G1382" s="4" t="str">
        <f>HYPERLINK("http://141.218.60.56/~jnz1568/getInfo.php?workbook=27_11.xlsx&amp;sheet=U0&amp;row=1382&amp;col=7&amp;number=0.0384&amp;sourceID=14","0.0384")</f>
        <v>0.0384</v>
      </c>
    </row>
    <row r="1383" spans="1:7">
      <c r="A1383" s="3"/>
      <c r="B1383" s="3"/>
      <c r="C1383" s="3"/>
      <c r="D1383" s="3"/>
      <c r="E1383" s="3">
        <v>20</v>
      </c>
      <c r="F1383" s="4" t="str">
        <f>HYPERLINK("http://141.218.60.56/~jnz1568/getInfo.php?workbook=27_11.xlsx&amp;sheet=U0&amp;row=1383&amp;col=6&amp;number=4.9&amp;sourceID=14","4.9")</f>
        <v>4.9</v>
      </c>
      <c r="G1383" s="4" t="str">
        <f>HYPERLINK("http://141.218.60.56/~jnz1568/getInfo.php?workbook=27_11.xlsx&amp;sheet=U0&amp;row=1383&amp;col=7&amp;number=0.0385&amp;sourceID=14","0.0385")</f>
        <v>0.0385</v>
      </c>
    </row>
    <row r="1384" spans="1:7">
      <c r="A1384" s="3">
        <v>27</v>
      </c>
      <c r="B1384" s="3">
        <v>11</v>
      </c>
      <c r="C1384" s="3">
        <v>5</v>
      </c>
      <c r="D1384" s="3">
        <v>9</v>
      </c>
      <c r="E1384" s="3">
        <v>1</v>
      </c>
      <c r="F1384" s="4" t="str">
        <f>HYPERLINK("http://141.218.60.56/~jnz1568/getInfo.php?workbook=27_11.xlsx&amp;sheet=U0&amp;row=1384&amp;col=6&amp;number=3&amp;sourceID=14","3")</f>
        <v>3</v>
      </c>
      <c r="G1384" s="4" t="str">
        <f>HYPERLINK("http://141.218.60.56/~jnz1568/getInfo.php?workbook=27_11.xlsx&amp;sheet=U0&amp;row=1384&amp;col=7&amp;number=0.0411&amp;sourceID=14","0.0411")</f>
        <v>0.0411</v>
      </c>
    </row>
    <row r="1385" spans="1:7">
      <c r="A1385" s="3"/>
      <c r="B1385" s="3"/>
      <c r="C1385" s="3"/>
      <c r="D1385" s="3"/>
      <c r="E1385" s="3">
        <v>2</v>
      </c>
      <c r="F1385" s="4" t="str">
        <f>HYPERLINK("http://141.218.60.56/~jnz1568/getInfo.php?workbook=27_11.xlsx&amp;sheet=U0&amp;row=1385&amp;col=6&amp;number=3.1&amp;sourceID=14","3.1")</f>
        <v>3.1</v>
      </c>
      <c r="G1385" s="4" t="str">
        <f>HYPERLINK("http://141.218.60.56/~jnz1568/getInfo.php?workbook=27_11.xlsx&amp;sheet=U0&amp;row=1385&amp;col=7&amp;number=0.0411&amp;sourceID=14","0.0411")</f>
        <v>0.0411</v>
      </c>
    </row>
    <row r="1386" spans="1:7">
      <c r="A1386" s="3"/>
      <c r="B1386" s="3"/>
      <c r="C1386" s="3"/>
      <c r="D1386" s="3"/>
      <c r="E1386" s="3">
        <v>3</v>
      </c>
      <c r="F1386" s="4" t="str">
        <f>HYPERLINK("http://141.218.60.56/~jnz1568/getInfo.php?workbook=27_11.xlsx&amp;sheet=U0&amp;row=1386&amp;col=6&amp;number=3.2&amp;sourceID=14","3.2")</f>
        <v>3.2</v>
      </c>
      <c r="G1386" s="4" t="str">
        <f>HYPERLINK("http://141.218.60.56/~jnz1568/getInfo.php?workbook=27_11.xlsx&amp;sheet=U0&amp;row=1386&amp;col=7&amp;number=0.0411&amp;sourceID=14","0.0411")</f>
        <v>0.0411</v>
      </c>
    </row>
    <row r="1387" spans="1:7">
      <c r="A1387" s="3"/>
      <c r="B1387" s="3"/>
      <c r="C1387" s="3"/>
      <c r="D1387" s="3"/>
      <c r="E1387" s="3">
        <v>4</v>
      </c>
      <c r="F1387" s="4" t="str">
        <f>HYPERLINK("http://141.218.60.56/~jnz1568/getInfo.php?workbook=27_11.xlsx&amp;sheet=U0&amp;row=1387&amp;col=6&amp;number=3.3&amp;sourceID=14","3.3")</f>
        <v>3.3</v>
      </c>
      <c r="G1387" s="4" t="str">
        <f>HYPERLINK("http://141.218.60.56/~jnz1568/getInfo.php?workbook=27_11.xlsx&amp;sheet=U0&amp;row=1387&amp;col=7&amp;number=0.0411&amp;sourceID=14","0.0411")</f>
        <v>0.0411</v>
      </c>
    </row>
    <row r="1388" spans="1:7">
      <c r="A1388" s="3"/>
      <c r="B1388" s="3"/>
      <c r="C1388" s="3"/>
      <c r="D1388" s="3"/>
      <c r="E1388" s="3">
        <v>5</v>
      </c>
      <c r="F1388" s="4" t="str">
        <f>HYPERLINK("http://141.218.60.56/~jnz1568/getInfo.php?workbook=27_11.xlsx&amp;sheet=U0&amp;row=1388&amp;col=6&amp;number=3.4&amp;sourceID=14","3.4")</f>
        <v>3.4</v>
      </c>
      <c r="G1388" s="4" t="str">
        <f>HYPERLINK("http://141.218.60.56/~jnz1568/getInfo.php?workbook=27_11.xlsx&amp;sheet=U0&amp;row=1388&amp;col=7&amp;number=0.0411&amp;sourceID=14","0.0411")</f>
        <v>0.0411</v>
      </c>
    </row>
    <row r="1389" spans="1:7">
      <c r="A1389" s="3"/>
      <c r="B1389" s="3"/>
      <c r="C1389" s="3"/>
      <c r="D1389" s="3"/>
      <c r="E1389" s="3">
        <v>6</v>
      </c>
      <c r="F1389" s="4" t="str">
        <f>HYPERLINK("http://141.218.60.56/~jnz1568/getInfo.php?workbook=27_11.xlsx&amp;sheet=U0&amp;row=1389&amp;col=6&amp;number=3.5&amp;sourceID=14","3.5")</f>
        <v>3.5</v>
      </c>
      <c r="G1389" s="4" t="str">
        <f>HYPERLINK("http://141.218.60.56/~jnz1568/getInfo.php?workbook=27_11.xlsx&amp;sheet=U0&amp;row=1389&amp;col=7&amp;number=0.0411&amp;sourceID=14","0.0411")</f>
        <v>0.0411</v>
      </c>
    </row>
    <row r="1390" spans="1:7">
      <c r="A1390" s="3"/>
      <c r="B1390" s="3"/>
      <c r="C1390" s="3"/>
      <c r="D1390" s="3"/>
      <c r="E1390" s="3">
        <v>7</v>
      </c>
      <c r="F1390" s="4" t="str">
        <f>HYPERLINK("http://141.218.60.56/~jnz1568/getInfo.php?workbook=27_11.xlsx&amp;sheet=U0&amp;row=1390&amp;col=6&amp;number=3.6&amp;sourceID=14","3.6")</f>
        <v>3.6</v>
      </c>
      <c r="G1390" s="4" t="str">
        <f>HYPERLINK("http://141.218.60.56/~jnz1568/getInfo.php?workbook=27_11.xlsx&amp;sheet=U0&amp;row=1390&amp;col=7&amp;number=0.0411&amp;sourceID=14","0.0411")</f>
        <v>0.0411</v>
      </c>
    </row>
    <row r="1391" spans="1:7">
      <c r="A1391" s="3"/>
      <c r="B1391" s="3"/>
      <c r="C1391" s="3"/>
      <c r="D1391" s="3"/>
      <c r="E1391" s="3">
        <v>8</v>
      </c>
      <c r="F1391" s="4" t="str">
        <f>HYPERLINK("http://141.218.60.56/~jnz1568/getInfo.php?workbook=27_11.xlsx&amp;sheet=U0&amp;row=1391&amp;col=6&amp;number=3.7&amp;sourceID=14","3.7")</f>
        <v>3.7</v>
      </c>
      <c r="G1391" s="4" t="str">
        <f>HYPERLINK("http://141.218.60.56/~jnz1568/getInfo.php?workbook=27_11.xlsx&amp;sheet=U0&amp;row=1391&amp;col=7&amp;number=0.0411&amp;sourceID=14","0.0411")</f>
        <v>0.0411</v>
      </c>
    </row>
    <row r="1392" spans="1:7">
      <c r="A1392" s="3"/>
      <c r="B1392" s="3"/>
      <c r="C1392" s="3"/>
      <c r="D1392" s="3"/>
      <c r="E1392" s="3">
        <v>9</v>
      </c>
      <c r="F1392" s="4" t="str">
        <f>HYPERLINK("http://141.218.60.56/~jnz1568/getInfo.php?workbook=27_11.xlsx&amp;sheet=U0&amp;row=1392&amp;col=6&amp;number=3.8&amp;sourceID=14","3.8")</f>
        <v>3.8</v>
      </c>
      <c r="G1392" s="4" t="str">
        <f>HYPERLINK("http://141.218.60.56/~jnz1568/getInfo.php?workbook=27_11.xlsx&amp;sheet=U0&amp;row=1392&amp;col=7&amp;number=0.041&amp;sourceID=14","0.041")</f>
        <v>0.041</v>
      </c>
    </row>
    <row r="1393" spans="1:7">
      <c r="A1393" s="3"/>
      <c r="B1393" s="3"/>
      <c r="C1393" s="3"/>
      <c r="D1393" s="3"/>
      <c r="E1393" s="3">
        <v>10</v>
      </c>
      <c r="F1393" s="4" t="str">
        <f>HYPERLINK("http://141.218.60.56/~jnz1568/getInfo.php?workbook=27_11.xlsx&amp;sheet=U0&amp;row=1393&amp;col=6&amp;number=3.9&amp;sourceID=14","3.9")</f>
        <v>3.9</v>
      </c>
      <c r="G1393" s="4" t="str">
        <f>HYPERLINK("http://141.218.60.56/~jnz1568/getInfo.php?workbook=27_11.xlsx&amp;sheet=U0&amp;row=1393&amp;col=7&amp;number=0.041&amp;sourceID=14","0.041")</f>
        <v>0.041</v>
      </c>
    </row>
    <row r="1394" spans="1:7">
      <c r="A1394" s="3"/>
      <c r="B1394" s="3"/>
      <c r="C1394" s="3"/>
      <c r="D1394" s="3"/>
      <c r="E1394" s="3">
        <v>11</v>
      </c>
      <c r="F1394" s="4" t="str">
        <f>HYPERLINK("http://141.218.60.56/~jnz1568/getInfo.php?workbook=27_11.xlsx&amp;sheet=U0&amp;row=1394&amp;col=6&amp;number=4&amp;sourceID=14","4")</f>
        <v>4</v>
      </c>
      <c r="G1394" s="4" t="str">
        <f>HYPERLINK("http://141.218.60.56/~jnz1568/getInfo.php?workbook=27_11.xlsx&amp;sheet=U0&amp;row=1394&amp;col=7&amp;number=0.041&amp;sourceID=14","0.041")</f>
        <v>0.041</v>
      </c>
    </row>
    <row r="1395" spans="1:7">
      <c r="A1395" s="3"/>
      <c r="B1395" s="3"/>
      <c r="C1395" s="3"/>
      <c r="D1395" s="3"/>
      <c r="E1395" s="3">
        <v>12</v>
      </c>
      <c r="F1395" s="4" t="str">
        <f>HYPERLINK("http://141.218.60.56/~jnz1568/getInfo.php?workbook=27_11.xlsx&amp;sheet=U0&amp;row=1395&amp;col=6&amp;number=4.1&amp;sourceID=14","4.1")</f>
        <v>4.1</v>
      </c>
      <c r="G1395" s="4" t="str">
        <f>HYPERLINK("http://141.218.60.56/~jnz1568/getInfo.php?workbook=27_11.xlsx&amp;sheet=U0&amp;row=1395&amp;col=7&amp;number=0.041&amp;sourceID=14","0.041")</f>
        <v>0.041</v>
      </c>
    </row>
    <row r="1396" spans="1:7">
      <c r="A1396" s="3"/>
      <c r="B1396" s="3"/>
      <c r="C1396" s="3"/>
      <c r="D1396" s="3"/>
      <c r="E1396" s="3">
        <v>13</v>
      </c>
      <c r="F1396" s="4" t="str">
        <f>HYPERLINK("http://141.218.60.56/~jnz1568/getInfo.php?workbook=27_11.xlsx&amp;sheet=U0&amp;row=1396&amp;col=6&amp;number=4.2&amp;sourceID=14","4.2")</f>
        <v>4.2</v>
      </c>
      <c r="G1396" s="4" t="str">
        <f>HYPERLINK("http://141.218.60.56/~jnz1568/getInfo.php?workbook=27_11.xlsx&amp;sheet=U0&amp;row=1396&amp;col=7&amp;number=0.0409&amp;sourceID=14","0.0409")</f>
        <v>0.0409</v>
      </c>
    </row>
    <row r="1397" spans="1:7">
      <c r="A1397" s="3"/>
      <c r="B1397" s="3"/>
      <c r="C1397" s="3"/>
      <c r="D1397" s="3"/>
      <c r="E1397" s="3">
        <v>14</v>
      </c>
      <c r="F1397" s="4" t="str">
        <f>HYPERLINK("http://141.218.60.56/~jnz1568/getInfo.php?workbook=27_11.xlsx&amp;sheet=U0&amp;row=1397&amp;col=6&amp;number=4.3&amp;sourceID=14","4.3")</f>
        <v>4.3</v>
      </c>
      <c r="G1397" s="4" t="str">
        <f>HYPERLINK("http://141.218.60.56/~jnz1568/getInfo.php?workbook=27_11.xlsx&amp;sheet=U0&amp;row=1397&amp;col=7&amp;number=0.0409&amp;sourceID=14","0.0409")</f>
        <v>0.0409</v>
      </c>
    </row>
    <row r="1398" spans="1:7">
      <c r="A1398" s="3"/>
      <c r="B1398" s="3"/>
      <c r="C1398" s="3"/>
      <c r="D1398" s="3"/>
      <c r="E1398" s="3">
        <v>15</v>
      </c>
      <c r="F1398" s="4" t="str">
        <f>HYPERLINK("http://141.218.60.56/~jnz1568/getInfo.php?workbook=27_11.xlsx&amp;sheet=U0&amp;row=1398&amp;col=6&amp;number=4.4&amp;sourceID=14","4.4")</f>
        <v>4.4</v>
      </c>
      <c r="G1398" s="4" t="str">
        <f>HYPERLINK("http://141.218.60.56/~jnz1568/getInfo.php?workbook=27_11.xlsx&amp;sheet=U0&amp;row=1398&amp;col=7&amp;number=0.0408&amp;sourceID=14","0.0408")</f>
        <v>0.0408</v>
      </c>
    </row>
    <row r="1399" spans="1:7">
      <c r="A1399" s="3"/>
      <c r="B1399" s="3"/>
      <c r="C1399" s="3"/>
      <c r="D1399" s="3"/>
      <c r="E1399" s="3">
        <v>16</v>
      </c>
      <c r="F1399" s="4" t="str">
        <f>HYPERLINK("http://141.218.60.56/~jnz1568/getInfo.php?workbook=27_11.xlsx&amp;sheet=U0&amp;row=1399&amp;col=6&amp;number=4.5&amp;sourceID=14","4.5")</f>
        <v>4.5</v>
      </c>
      <c r="G1399" s="4" t="str">
        <f>HYPERLINK("http://141.218.60.56/~jnz1568/getInfo.php?workbook=27_11.xlsx&amp;sheet=U0&amp;row=1399&amp;col=7&amp;number=0.0408&amp;sourceID=14","0.0408")</f>
        <v>0.0408</v>
      </c>
    </row>
    <row r="1400" spans="1:7">
      <c r="A1400" s="3"/>
      <c r="B1400" s="3"/>
      <c r="C1400" s="3"/>
      <c r="D1400" s="3"/>
      <c r="E1400" s="3">
        <v>17</v>
      </c>
      <c r="F1400" s="4" t="str">
        <f>HYPERLINK("http://141.218.60.56/~jnz1568/getInfo.php?workbook=27_11.xlsx&amp;sheet=U0&amp;row=1400&amp;col=6&amp;number=4.6&amp;sourceID=14","4.6")</f>
        <v>4.6</v>
      </c>
      <c r="G1400" s="4" t="str">
        <f>HYPERLINK("http://141.218.60.56/~jnz1568/getInfo.php?workbook=27_11.xlsx&amp;sheet=U0&amp;row=1400&amp;col=7&amp;number=0.0407&amp;sourceID=14","0.0407")</f>
        <v>0.0407</v>
      </c>
    </row>
    <row r="1401" spans="1:7">
      <c r="A1401" s="3"/>
      <c r="B1401" s="3"/>
      <c r="C1401" s="3"/>
      <c r="D1401" s="3"/>
      <c r="E1401" s="3">
        <v>18</v>
      </c>
      <c r="F1401" s="4" t="str">
        <f>HYPERLINK("http://141.218.60.56/~jnz1568/getInfo.php?workbook=27_11.xlsx&amp;sheet=U0&amp;row=1401&amp;col=6&amp;number=4.7&amp;sourceID=14","4.7")</f>
        <v>4.7</v>
      </c>
      <c r="G1401" s="4" t="str">
        <f>HYPERLINK("http://141.218.60.56/~jnz1568/getInfo.php?workbook=27_11.xlsx&amp;sheet=U0&amp;row=1401&amp;col=7&amp;number=0.0406&amp;sourceID=14","0.0406")</f>
        <v>0.0406</v>
      </c>
    </row>
    <row r="1402" spans="1:7">
      <c r="A1402" s="3"/>
      <c r="B1402" s="3"/>
      <c r="C1402" s="3"/>
      <c r="D1402" s="3"/>
      <c r="E1402" s="3">
        <v>19</v>
      </c>
      <c r="F1402" s="4" t="str">
        <f>HYPERLINK("http://141.218.60.56/~jnz1568/getInfo.php?workbook=27_11.xlsx&amp;sheet=U0&amp;row=1402&amp;col=6&amp;number=4.8&amp;sourceID=14","4.8")</f>
        <v>4.8</v>
      </c>
      <c r="G1402" s="4" t="str">
        <f>HYPERLINK("http://141.218.60.56/~jnz1568/getInfo.php?workbook=27_11.xlsx&amp;sheet=U0&amp;row=1402&amp;col=7&amp;number=0.0404&amp;sourceID=14","0.0404")</f>
        <v>0.0404</v>
      </c>
    </row>
    <row r="1403" spans="1:7">
      <c r="A1403" s="3"/>
      <c r="B1403" s="3"/>
      <c r="C1403" s="3"/>
      <c r="D1403" s="3"/>
      <c r="E1403" s="3">
        <v>20</v>
      </c>
      <c r="F1403" s="4" t="str">
        <f>HYPERLINK("http://141.218.60.56/~jnz1568/getInfo.php?workbook=27_11.xlsx&amp;sheet=U0&amp;row=1403&amp;col=6&amp;number=4.9&amp;sourceID=14","4.9")</f>
        <v>4.9</v>
      </c>
      <c r="G1403" s="4" t="str">
        <f>HYPERLINK("http://141.218.60.56/~jnz1568/getInfo.php?workbook=27_11.xlsx&amp;sheet=U0&amp;row=1403&amp;col=7&amp;number=0.0403&amp;sourceID=14","0.0403")</f>
        <v>0.0403</v>
      </c>
    </row>
    <row r="1404" spans="1:7">
      <c r="A1404" s="3">
        <v>27</v>
      </c>
      <c r="B1404" s="3">
        <v>11</v>
      </c>
      <c r="C1404" s="3">
        <v>5</v>
      </c>
      <c r="D1404" s="3">
        <v>10</v>
      </c>
      <c r="E1404" s="3">
        <v>1</v>
      </c>
      <c r="F1404" s="4" t="str">
        <f>HYPERLINK("http://141.218.60.56/~jnz1568/getInfo.php?workbook=27_11.xlsx&amp;sheet=U0&amp;row=1404&amp;col=6&amp;number=3&amp;sourceID=14","3")</f>
        <v>3</v>
      </c>
      <c r="G1404" s="4" t="str">
        <f>HYPERLINK("http://141.218.60.56/~jnz1568/getInfo.php?workbook=27_11.xlsx&amp;sheet=U0&amp;row=1404&amp;col=7&amp;number=0.413&amp;sourceID=14","0.413")</f>
        <v>0.413</v>
      </c>
    </row>
    <row r="1405" spans="1:7">
      <c r="A1405" s="3"/>
      <c r="B1405" s="3"/>
      <c r="C1405" s="3"/>
      <c r="D1405" s="3"/>
      <c r="E1405" s="3">
        <v>2</v>
      </c>
      <c r="F1405" s="4" t="str">
        <f>HYPERLINK("http://141.218.60.56/~jnz1568/getInfo.php?workbook=27_11.xlsx&amp;sheet=U0&amp;row=1405&amp;col=6&amp;number=3.1&amp;sourceID=14","3.1")</f>
        <v>3.1</v>
      </c>
      <c r="G1405" s="4" t="str">
        <f>HYPERLINK("http://141.218.60.56/~jnz1568/getInfo.php?workbook=27_11.xlsx&amp;sheet=U0&amp;row=1405&amp;col=7&amp;number=0.413&amp;sourceID=14","0.413")</f>
        <v>0.413</v>
      </c>
    </row>
    <row r="1406" spans="1:7">
      <c r="A1406" s="3"/>
      <c r="B1406" s="3"/>
      <c r="C1406" s="3"/>
      <c r="D1406" s="3"/>
      <c r="E1406" s="3">
        <v>3</v>
      </c>
      <c r="F1406" s="4" t="str">
        <f>HYPERLINK("http://141.218.60.56/~jnz1568/getInfo.php?workbook=27_11.xlsx&amp;sheet=U0&amp;row=1406&amp;col=6&amp;number=3.2&amp;sourceID=14","3.2")</f>
        <v>3.2</v>
      </c>
      <c r="G1406" s="4" t="str">
        <f>HYPERLINK("http://141.218.60.56/~jnz1568/getInfo.php?workbook=27_11.xlsx&amp;sheet=U0&amp;row=1406&amp;col=7&amp;number=0.413&amp;sourceID=14","0.413")</f>
        <v>0.413</v>
      </c>
    </row>
    <row r="1407" spans="1:7">
      <c r="A1407" s="3"/>
      <c r="B1407" s="3"/>
      <c r="C1407" s="3"/>
      <c r="D1407" s="3"/>
      <c r="E1407" s="3">
        <v>4</v>
      </c>
      <c r="F1407" s="4" t="str">
        <f>HYPERLINK("http://141.218.60.56/~jnz1568/getInfo.php?workbook=27_11.xlsx&amp;sheet=U0&amp;row=1407&amp;col=6&amp;number=3.3&amp;sourceID=14","3.3")</f>
        <v>3.3</v>
      </c>
      <c r="G1407" s="4" t="str">
        <f>HYPERLINK("http://141.218.60.56/~jnz1568/getInfo.php?workbook=27_11.xlsx&amp;sheet=U0&amp;row=1407&amp;col=7&amp;number=0.413&amp;sourceID=14","0.413")</f>
        <v>0.413</v>
      </c>
    </row>
    <row r="1408" spans="1:7">
      <c r="A1408" s="3"/>
      <c r="B1408" s="3"/>
      <c r="C1408" s="3"/>
      <c r="D1408" s="3"/>
      <c r="E1408" s="3">
        <v>5</v>
      </c>
      <c r="F1408" s="4" t="str">
        <f>HYPERLINK("http://141.218.60.56/~jnz1568/getInfo.php?workbook=27_11.xlsx&amp;sheet=U0&amp;row=1408&amp;col=6&amp;number=3.4&amp;sourceID=14","3.4")</f>
        <v>3.4</v>
      </c>
      <c r="G1408" s="4" t="str">
        <f>HYPERLINK("http://141.218.60.56/~jnz1568/getInfo.php?workbook=27_11.xlsx&amp;sheet=U0&amp;row=1408&amp;col=7&amp;number=0.413&amp;sourceID=14","0.413")</f>
        <v>0.413</v>
      </c>
    </row>
    <row r="1409" spans="1:7">
      <c r="A1409" s="3"/>
      <c r="B1409" s="3"/>
      <c r="C1409" s="3"/>
      <c r="D1409" s="3"/>
      <c r="E1409" s="3">
        <v>6</v>
      </c>
      <c r="F1409" s="4" t="str">
        <f>HYPERLINK("http://141.218.60.56/~jnz1568/getInfo.php?workbook=27_11.xlsx&amp;sheet=U0&amp;row=1409&amp;col=6&amp;number=3.5&amp;sourceID=14","3.5")</f>
        <v>3.5</v>
      </c>
      <c r="G1409" s="4" t="str">
        <f>HYPERLINK("http://141.218.60.56/~jnz1568/getInfo.php?workbook=27_11.xlsx&amp;sheet=U0&amp;row=1409&amp;col=7&amp;number=0.413&amp;sourceID=14","0.413")</f>
        <v>0.413</v>
      </c>
    </row>
    <row r="1410" spans="1:7">
      <c r="A1410" s="3"/>
      <c r="B1410" s="3"/>
      <c r="C1410" s="3"/>
      <c r="D1410" s="3"/>
      <c r="E1410" s="3">
        <v>7</v>
      </c>
      <c r="F1410" s="4" t="str">
        <f>HYPERLINK("http://141.218.60.56/~jnz1568/getInfo.php?workbook=27_11.xlsx&amp;sheet=U0&amp;row=1410&amp;col=6&amp;number=3.6&amp;sourceID=14","3.6")</f>
        <v>3.6</v>
      </c>
      <c r="G1410" s="4" t="str">
        <f>HYPERLINK("http://141.218.60.56/~jnz1568/getInfo.php?workbook=27_11.xlsx&amp;sheet=U0&amp;row=1410&amp;col=7&amp;number=0.413&amp;sourceID=14","0.413")</f>
        <v>0.413</v>
      </c>
    </row>
    <row r="1411" spans="1:7">
      <c r="A1411" s="3"/>
      <c r="B1411" s="3"/>
      <c r="C1411" s="3"/>
      <c r="D1411" s="3"/>
      <c r="E1411" s="3">
        <v>8</v>
      </c>
      <c r="F1411" s="4" t="str">
        <f>HYPERLINK("http://141.218.60.56/~jnz1568/getInfo.php?workbook=27_11.xlsx&amp;sheet=U0&amp;row=1411&amp;col=6&amp;number=3.7&amp;sourceID=14","3.7")</f>
        <v>3.7</v>
      </c>
      <c r="G1411" s="4" t="str">
        <f>HYPERLINK("http://141.218.60.56/~jnz1568/getInfo.php?workbook=27_11.xlsx&amp;sheet=U0&amp;row=1411&amp;col=7&amp;number=0.413&amp;sourceID=14","0.413")</f>
        <v>0.413</v>
      </c>
    </row>
    <row r="1412" spans="1:7">
      <c r="A1412" s="3"/>
      <c r="B1412" s="3"/>
      <c r="C1412" s="3"/>
      <c r="D1412" s="3"/>
      <c r="E1412" s="3">
        <v>9</v>
      </c>
      <c r="F1412" s="4" t="str">
        <f>HYPERLINK("http://141.218.60.56/~jnz1568/getInfo.php?workbook=27_11.xlsx&amp;sheet=U0&amp;row=1412&amp;col=6&amp;number=3.8&amp;sourceID=14","3.8")</f>
        <v>3.8</v>
      </c>
      <c r="G1412" s="4" t="str">
        <f>HYPERLINK("http://141.218.60.56/~jnz1568/getInfo.php?workbook=27_11.xlsx&amp;sheet=U0&amp;row=1412&amp;col=7&amp;number=0.413&amp;sourceID=14","0.413")</f>
        <v>0.413</v>
      </c>
    </row>
    <row r="1413" spans="1:7">
      <c r="A1413" s="3"/>
      <c r="B1413" s="3"/>
      <c r="C1413" s="3"/>
      <c r="D1413" s="3"/>
      <c r="E1413" s="3">
        <v>10</v>
      </c>
      <c r="F1413" s="4" t="str">
        <f>HYPERLINK("http://141.218.60.56/~jnz1568/getInfo.php?workbook=27_11.xlsx&amp;sheet=U0&amp;row=1413&amp;col=6&amp;number=3.9&amp;sourceID=14","3.9")</f>
        <v>3.9</v>
      </c>
      <c r="G1413" s="4" t="str">
        <f>HYPERLINK("http://141.218.60.56/~jnz1568/getInfo.php?workbook=27_11.xlsx&amp;sheet=U0&amp;row=1413&amp;col=7&amp;number=0.413&amp;sourceID=14","0.413")</f>
        <v>0.413</v>
      </c>
    </row>
    <row r="1414" spans="1:7">
      <c r="A1414" s="3"/>
      <c r="B1414" s="3"/>
      <c r="C1414" s="3"/>
      <c r="D1414" s="3"/>
      <c r="E1414" s="3">
        <v>11</v>
      </c>
      <c r="F1414" s="4" t="str">
        <f>HYPERLINK("http://141.218.60.56/~jnz1568/getInfo.php?workbook=27_11.xlsx&amp;sheet=U0&amp;row=1414&amp;col=6&amp;number=4&amp;sourceID=14","4")</f>
        <v>4</v>
      </c>
      <c r="G1414" s="4" t="str">
        <f>HYPERLINK("http://141.218.60.56/~jnz1568/getInfo.php?workbook=27_11.xlsx&amp;sheet=U0&amp;row=1414&amp;col=7&amp;number=0.413&amp;sourceID=14","0.413")</f>
        <v>0.413</v>
      </c>
    </row>
    <row r="1415" spans="1:7">
      <c r="A1415" s="3"/>
      <c r="B1415" s="3"/>
      <c r="C1415" s="3"/>
      <c r="D1415" s="3"/>
      <c r="E1415" s="3">
        <v>12</v>
      </c>
      <c r="F1415" s="4" t="str">
        <f>HYPERLINK("http://141.218.60.56/~jnz1568/getInfo.php?workbook=27_11.xlsx&amp;sheet=U0&amp;row=1415&amp;col=6&amp;number=4.1&amp;sourceID=14","4.1")</f>
        <v>4.1</v>
      </c>
      <c r="G1415" s="4" t="str">
        <f>HYPERLINK("http://141.218.60.56/~jnz1568/getInfo.php?workbook=27_11.xlsx&amp;sheet=U0&amp;row=1415&amp;col=7&amp;number=0.413&amp;sourceID=14","0.413")</f>
        <v>0.413</v>
      </c>
    </row>
    <row r="1416" spans="1:7">
      <c r="A1416" s="3"/>
      <c r="B1416" s="3"/>
      <c r="C1416" s="3"/>
      <c r="D1416" s="3"/>
      <c r="E1416" s="3">
        <v>13</v>
      </c>
      <c r="F1416" s="4" t="str">
        <f>HYPERLINK("http://141.218.60.56/~jnz1568/getInfo.php?workbook=27_11.xlsx&amp;sheet=U0&amp;row=1416&amp;col=6&amp;number=4.2&amp;sourceID=14","4.2")</f>
        <v>4.2</v>
      </c>
      <c r="G1416" s="4" t="str">
        <f>HYPERLINK("http://141.218.60.56/~jnz1568/getInfo.php?workbook=27_11.xlsx&amp;sheet=U0&amp;row=1416&amp;col=7&amp;number=0.413&amp;sourceID=14","0.413")</f>
        <v>0.413</v>
      </c>
    </row>
    <row r="1417" spans="1:7">
      <c r="A1417" s="3"/>
      <c r="B1417" s="3"/>
      <c r="C1417" s="3"/>
      <c r="D1417" s="3"/>
      <c r="E1417" s="3">
        <v>14</v>
      </c>
      <c r="F1417" s="4" t="str">
        <f>HYPERLINK("http://141.218.60.56/~jnz1568/getInfo.php?workbook=27_11.xlsx&amp;sheet=U0&amp;row=1417&amp;col=6&amp;number=4.3&amp;sourceID=14","4.3")</f>
        <v>4.3</v>
      </c>
      <c r="G1417" s="4" t="str">
        <f>HYPERLINK("http://141.218.60.56/~jnz1568/getInfo.php?workbook=27_11.xlsx&amp;sheet=U0&amp;row=1417&amp;col=7&amp;number=0.413&amp;sourceID=14","0.413")</f>
        <v>0.413</v>
      </c>
    </row>
    <row r="1418" spans="1:7">
      <c r="A1418" s="3"/>
      <c r="B1418" s="3"/>
      <c r="C1418" s="3"/>
      <c r="D1418" s="3"/>
      <c r="E1418" s="3">
        <v>15</v>
      </c>
      <c r="F1418" s="4" t="str">
        <f>HYPERLINK("http://141.218.60.56/~jnz1568/getInfo.php?workbook=27_11.xlsx&amp;sheet=U0&amp;row=1418&amp;col=6&amp;number=4.4&amp;sourceID=14","4.4")</f>
        <v>4.4</v>
      </c>
      <c r="G1418" s="4" t="str">
        <f>HYPERLINK("http://141.218.60.56/~jnz1568/getInfo.php?workbook=27_11.xlsx&amp;sheet=U0&amp;row=1418&amp;col=7&amp;number=0.413&amp;sourceID=14","0.413")</f>
        <v>0.413</v>
      </c>
    </row>
    <row r="1419" spans="1:7">
      <c r="A1419" s="3"/>
      <c r="B1419" s="3"/>
      <c r="C1419" s="3"/>
      <c r="D1419" s="3"/>
      <c r="E1419" s="3">
        <v>16</v>
      </c>
      <c r="F1419" s="4" t="str">
        <f>HYPERLINK("http://141.218.60.56/~jnz1568/getInfo.php?workbook=27_11.xlsx&amp;sheet=U0&amp;row=1419&amp;col=6&amp;number=4.5&amp;sourceID=14","4.5")</f>
        <v>4.5</v>
      </c>
      <c r="G1419" s="4" t="str">
        <f>HYPERLINK("http://141.218.60.56/~jnz1568/getInfo.php?workbook=27_11.xlsx&amp;sheet=U0&amp;row=1419&amp;col=7&amp;number=0.413&amp;sourceID=14","0.413")</f>
        <v>0.413</v>
      </c>
    </row>
    <row r="1420" spans="1:7">
      <c r="A1420" s="3"/>
      <c r="B1420" s="3"/>
      <c r="C1420" s="3"/>
      <c r="D1420" s="3"/>
      <c r="E1420" s="3">
        <v>17</v>
      </c>
      <c r="F1420" s="4" t="str">
        <f>HYPERLINK("http://141.218.60.56/~jnz1568/getInfo.php?workbook=27_11.xlsx&amp;sheet=U0&amp;row=1420&amp;col=6&amp;number=4.6&amp;sourceID=14","4.6")</f>
        <v>4.6</v>
      </c>
      <c r="G1420" s="4" t="str">
        <f>HYPERLINK("http://141.218.60.56/~jnz1568/getInfo.php?workbook=27_11.xlsx&amp;sheet=U0&amp;row=1420&amp;col=7&amp;number=0.413&amp;sourceID=14","0.413")</f>
        <v>0.413</v>
      </c>
    </row>
    <row r="1421" spans="1:7">
      <c r="A1421" s="3"/>
      <c r="B1421" s="3"/>
      <c r="C1421" s="3"/>
      <c r="D1421" s="3"/>
      <c r="E1421" s="3">
        <v>18</v>
      </c>
      <c r="F1421" s="4" t="str">
        <f>HYPERLINK("http://141.218.60.56/~jnz1568/getInfo.php?workbook=27_11.xlsx&amp;sheet=U0&amp;row=1421&amp;col=6&amp;number=4.7&amp;sourceID=14","4.7")</f>
        <v>4.7</v>
      </c>
      <c r="G1421" s="4" t="str">
        <f>HYPERLINK("http://141.218.60.56/~jnz1568/getInfo.php?workbook=27_11.xlsx&amp;sheet=U0&amp;row=1421&amp;col=7&amp;number=0.413&amp;sourceID=14","0.413")</f>
        <v>0.413</v>
      </c>
    </row>
    <row r="1422" spans="1:7">
      <c r="A1422" s="3"/>
      <c r="B1422" s="3"/>
      <c r="C1422" s="3"/>
      <c r="D1422" s="3"/>
      <c r="E1422" s="3">
        <v>19</v>
      </c>
      <c r="F1422" s="4" t="str">
        <f>HYPERLINK("http://141.218.60.56/~jnz1568/getInfo.php?workbook=27_11.xlsx&amp;sheet=U0&amp;row=1422&amp;col=6&amp;number=4.8&amp;sourceID=14","4.8")</f>
        <v>4.8</v>
      </c>
      <c r="G1422" s="4" t="str">
        <f>HYPERLINK("http://141.218.60.56/~jnz1568/getInfo.php?workbook=27_11.xlsx&amp;sheet=U0&amp;row=1422&amp;col=7&amp;number=0.412&amp;sourceID=14","0.412")</f>
        <v>0.412</v>
      </c>
    </row>
    <row r="1423" spans="1:7">
      <c r="A1423" s="3"/>
      <c r="B1423" s="3"/>
      <c r="C1423" s="3"/>
      <c r="D1423" s="3"/>
      <c r="E1423" s="3">
        <v>20</v>
      </c>
      <c r="F1423" s="4" t="str">
        <f>HYPERLINK("http://141.218.60.56/~jnz1568/getInfo.php?workbook=27_11.xlsx&amp;sheet=U0&amp;row=1423&amp;col=6&amp;number=4.9&amp;sourceID=14","4.9")</f>
        <v>4.9</v>
      </c>
      <c r="G1423" s="4" t="str">
        <f>HYPERLINK("http://141.218.60.56/~jnz1568/getInfo.php?workbook=27_11.xlsx&amp;sheet=U0&amp;row=1423&amp;col=7&amp;number=0.412&amp;sourceID=14","0.412")</f>
        <v>0.412</v>
      </c>
    </row>
    <row r="1424" spans="1:7">
      <c r="A1424" s="3">
        <v>27</v>
      </c>
      <c r="B1424" s="3">
        <v>11</v>
      </c>
      <c r="C1424" s="3">
        <v>5</v>
      </c>
      <c r="D1424" s="3">
        <v>11</v>
      </c>
      <c r="E1424" s="3">
        <v>1</v>
      </c>
      <c r="F1424" s="4" t="str">
        <f>HYPERLINK("http://141.218.60.56/~jnz1568/getInfo.php?workbook=27_11.xlsx&amp;sheet=U0&amp;row=1424&amp;col=6&amp;number=3&amp;sourceID=14","3")</f>
        <v>3</v>
      </c>
      <c r="G1424" s="4" t="str">
        <f>HYPERLINK("http://141.218.60.56/~jnz1568/getInfo.php?workbook=27_11.xlsx&amp;sheet=U0&amp;row=1424&amp;col=7&amp;number=0.13&amp;sourceID=14","0.13")</f>
        <v>0.13</v>
      </c>
    </row>
    <row r="1425" spans="1:7">
      <c r="A1425" s="3"/>
      <c r="B1425" s="3"/>
      <c r="C1425" s="3"/>
      <c r="D1425" s="3"/>
      <c r="E1425" s="3">
        <v>2</v>
      </c>
      <c r="F1425" s="4" t="str">
        <f>HYPERLINK("http://141.218.60.56/~jnz1568/getInfo.php?workbook=27_11.xlsx&amp;sheet=U0&amp;row=1425&amp;col=6&amp;number=3.1&amp;sourceID=14","3.1")</f>
        <v>3.1</v>
      </c>
      <c r="G1425" s="4" t="str">
        <f>HYPERLINK("http://141.218.60.56/~jnz1568/getInfo.php?workbook=27_11.xlsx&amp;sheet=U0&amp;row=1425&amp;col=7&amp;number=0.13&amp;sourceID=14","0.13")</f>
        <v>0.13</v>
      </c>
    </row>
    <row r="1426" spans="1:7">
      <c r="A1426" s="3"/>
      <c r="B1426" s="3"/>
      <c r="C1426" s="3"/>
      <c r="D1426" s="3"/>
      <c r="E1426" s="3">
        <v>3</v>
      </c>
      <c r="F1426" s="4" t="str">
        <f>HYPERLINK("http://141.218.60.56/~jnz1568/getInfo.php?workbook=27_11.xlsx&amp;sheet=U0&amp;row=1426&amp;col=6&amp;number=3.2&amp;sourceID=14","3.2")</f>
        <v>3.2</v>
      </c>
      <c r="G1426" s="4" t="str">
        <f>HYPERLINK("http://141.218.60.56/~jnz1568/getInfo.php?workbook=27_11.xlsx&amp;sheet=U0&amp;row=1426&amp;col=7&amp;number=0.13&amp;sourceID=14","0.13")</f>
        <v>0.13</v>
      </c>
    </row>
    <row r="1427" spans="1:7">
      <c r="A1427" s="3"/>
      <c r="B1427" s="3"/>
      <c r="C1427" s="3"/>
      <c r="D1427" s="3"/>
      <c r="E1427" s="3">
        <v>4</v>
      </c>
      <c r="F1427" s="4" t="str">
        <f>HYPERLINK("http://141.218.60.56/~jnz1568/getInfo.php?workbook=27_11.xlsx&amp;sheet=U0&amp;row=1427&amp;col=6&amp;number=3.3&amp;sourceID=14","3.3")</f>
        <v>3.3</v>
      </c>
      <c r="G1427" s="4" t="str">
        <f>HYPERLINK("http://141.218.60.56/~jnz1568/getInfo.php?workbook=27_11.xlsx&amp;sheet=U0&amp;row=1427&amp;col=7&amp;number=0.13&amp;sourceID=14","0.13")</f>
        <v>0.13</v>
      </c>
    </row>
    <row r="1428" spans="1:7">
      <c r="A1428" s="3"/>
      <c r="B1428" s="3"/>
      <c r="C1428" s="3"/>
      <c r="D1428" s="3"/>
      <c r="E1428" s="3">
        <v>5</v>
      </c>
      <c r="F1428" s="4" t="str">
        <f>HYPERLINK("http://141.218.60.56/~jnz1568/getInfo.php?workbook=27_11.xlsx&amp;sheet=U0&amp;row=1428&amp;col=6&amp;number=3.4&amp;sourceID=14","3.4")</f>
        <v>3.4</v>
      </c>
      <c r="G1428" s="4" t="str">
        <f>HYPERLINK("http://141.218.60.56/~jnz1568/getInfo.php?workbook=27_11.xlsx&amp;sheet=U0&amp;row=1428&amp;col=7&amp;number=0.13&amp;sourceID=14","0.13")</f>
        <v>0.13</v>
      </c>
    </row>
    <row r="1429" spans="1:7">
      <c r="A1429" s="3"/>
      <c r="B1429" s="3"/>
      <c r="C1429" s="3"/>
      <c r="D1429" s="3"/>
      <c r="E1429" s="3">
        <v>6</v>
      </c>
      <c r="F1429" s="4" t="str">
        <f>HYPERLINK("http://141.218.60.56/~jnz1568/getInfo.php?workbook=27_11.xlsx&amp;sheet=U0&amp;row=1429&amp;col=6&amp;number=3.5&amp;sourceID=14","3.5")</f>
        <v>3.5</v>
      </c>
      <c r="G1429" s="4" t="str">
        <f>HYPERLINK("http://141.218.60.56/~jnz1568/getInfo.php?workbook=27_11.xlsx&amp;sheet=U0&amp;row=1429&amp;col=7&amp;number=0.13&amp;sourceID=14","0.13")</f>
        <v>0.13</v>
      </c>
    </row>
    <row r="1430" spans="1:7">
      <c r="A1430" s="3"/>
      <c r="B1430" s="3"/>
      <c r="C1430" s="3"/>
      <c r="D1430" s="3"/>
      <c r="E1430" s="3">
        <v>7</v>
      </c>
      <c r="F1430" s="4" t="str">
        <f>HYPERLINK("http://141.218.60.56/~jnz1568/getInfo.php?workbook=27_11.xlsx&amp;sheet=U0&amp;row=1430&amp;col=6&amp;number=3.6&amp;sourceID=14","3.6")</f>
        <v>3.6</v>
      </c>
      <c r="G1430" s="4" t="str">
        <f>HYPERLINK("http://141.218.60.56/~jnz1568/getInfo.php?workbook=27_11.xlsx&amp;sheet=U0&amp;row=1430&amp;col=7&amp;number=0.13&amp;sourceID=14","0.13")</f>
        <v>0.13</v>
      </c>
    </row>
    <row r="1431" spans="1:7">
      <c r="A1431" s="3"/>
      <c r="B1431" s="3"/>
      <c r="C1431" s="3"/>
      <c r="D1431" s="3"/>
      <c r="E1431" s="3">
        <v>8</v>
      </c>
      <c r="F1431" s="4" t="str">
        <f>HYPERLINK("http://141.218.60.56/~jnz1568/getInfo.php?workbook=27_11.xlsx&amp;sheet=U0&amp;row=1431&amp;col=6&amp;number=3.7&amp;sourceID=14","3.7")</f>
        <v>3.7</v>
      </c>
      <c r="G1431" s="4" t="str">
        <f>HYPERLINK("http://141.218.60.56/~jnz1568/getInfo.php?workbook=27_11.xlsx&amp;sheet=U0&amp;row=1431&amp;col=7&amp;number=0.13&amp;sourceID=14","0.13")</f>
        <v>0.13</v>
      </c>
    </row>
    <row r="1432" spans="1:7">
      <c r="A1432" s="3"/>
      <c r="B1432" s="3"/>
      <c r="C1432" s="3"/>
      <c r="D1432" s="3"/>
      <c r="E1432" s="3">
        <v>9</v>
      </c>
      <c r="F1432" s="4" t="str">
        <f>HYPERLINK("http://141.218.60.56/~jnz1568/getInfo.php?workbook=27_11.xlsx&amp;sheet=U0&amp;row=1432&amp;col=6&amp;number=3.8&amp;sourceID=14","3.8")</f>
        <v>3.8</v>
      </c>
      <c r="G1432" s="4" t="str">
        <f>HYPERLINK("http://141.218.60.56/~jnz1568/getInfo.php?workbook=27_11.xlsx&amp;sheet=U0&amp;row=1432&amp;col=7&amp;number=0.13&amp;sourceID=14","0.13")</f>
        <v>0.13</v>
      </c>
    </row>
    <row r="1433" spans="1:7">
      <c r="A1433" s="3"/>
      <c r="B1433" s="3"/>
      <c r="C1433" s="3"/>
      <c r="D1433" s="3"/>
      <c r="E1433" s="3">
        <v>10</v>
      </c>
      <c r="F1433" s="4" t="str">
        <f>HYPERLINK("http://141.218.60.56/~jnz1568/getInfo.php?workbook=27_11.xlsx&amp;sheet=U0&amp;row=1433&amp;col=6&amp;number=3.9&amp;sourceID=14","3.9")</f>
        <v>3.9</v>
      </c>
      <c r="G1433" s="4" t="str">
        <f>HYPERLINK("http://141.218.60.56/~jnz1568/getInfo.php?workbook=27_11.xlsx&amp;sheet=U0&amp;row=1433&amp;col=7&amp;number=0.129&amp;sourceID=14","0.129")</f>
        <v>0.129</v>
      </c>
    </row>
    <row r="1434" spans="1:7">
      <c r="A1434" s="3"/>
      <c r="B1434" s="3"/>
      <c r="C1434" s="3"/>
      <c r="D1434" s="3"/>
      <c r="E1434" s="3">
        <v>11</v>
      </c>
      <c r="F1434" s="4" t="str">
        <f>HYPERLINK("http://141.218.60.56/~jnz1568/getInfo.php?workbook=27_11.xlsx&amp;sheet=U0&amp;row=1434&amp;col=6&amp;number=4&amp;sourceID=14","4")</f>
        <v>4</v>
      </c>
      <c r="G1434" s="4" t="str">
        <f>HYPERLINK("http://141.218.60.56/~jnz1568/getInfo.php?workbook=27_11.xlsx&amp;sheet=U0&amp;row=1434&amp;col=7&amp;number=0.129&amp;sourceID=14","0.129")</f>
        <v>0.129</v>
      </c>
    </row>
    <row r="1435" spans="1:7">
      <c r="A1435" s="3"/>
      <c r="B1435" s="3"/>
      <c r="C1435" s="3"/>
      <c r="D1435" s="3"/>
      <c r="E1435" s="3">
        <v>12</v>
      </c>
      <c r="F1435" s="4" t="str">
        <f>HYPERLINK("http://141.218.60.56/~jnz1568/getInfo.php?workbook=27_11.xlsx&amp;sheet=U0&amp;row=1435&amp;col=6&amp;number=4.1&amp;sourceID=14","4.1")</f>
        <v>4.1</v>
      </c>
      <c r="G1435" s="4" t="str">
        <f>HYPERLINK("http://141.218.60.56/~jnz1568/getInfo.php?workbook=27_11.xlsx&amp;sheet=U0&amp;row=1435&amp;col=7&amp;number=0.129&amp;sourceID=14","0.129")</f>
        <v>0.129</v>
      </c>
    </row>
    <row r="1436" spans="1:7">
      <c r="A1436" s="3"/>
      <c r="B1436" s="3"/>
      <c r="C1436" s="3"/>
      <c r="D1436" s="3"/>
      <c r="E1436" s="3">
        <v>13</v>
      </c>
      <c r="F1436" s="4" t="str">
        <f>HYPERLINK("http://141.218.60.56/~jnz1568/getInfo.php?workbook=27_11.xlsx&amp;sheet=U0&amp;row=1436&amp;col=6&amp;number=4.2&amp;sourceID=14","4.2")</f>
        <v>4.2</v>
      </c>
      <c r="G1436" s="4" t="str">
        <f>HYPERLINK("http://141.218.60.56/~jnz1568/getInfo.php?workbook=27_11.xlsx&amp;sheet=U0&amp;row=1436&amp;col=7&amp;number=0.129&amp;sourceID=14","0.129")</f>
        <v>0.129</v>
      </c>
    </row>
    <row r="1437" spans="1:7">
      <c r="A1437" s="3"/>
      <c r="B1437" s="3"/>
      <c r="C1437" s="3"/>
      <c r="D1437" s="3"/>
      <c r="E1437" s="3">
        <v>14</v>
      </c>
      <c r="F1437" s="4" t="str">
        <f>HYPERLINK("http://141.218.60.56/~jnz1568/getInfo.php?workbook=27_11.xlsx&amp;sheet=U0&amp;row=1437&amp;col=6&amp;number=4.3&amp;sourceID=14","4.3")</f>
        <v>4.3</v>
      </c>
      <c r="G1437" s="4" t="str">
        <f>HYPERLINK("http://141.218.60.56/~jnz1568/getInfo.php?workbook=27_11.xlsx&amp;sheet=U0&amp;row=1437&amp;col=7&amp;number=0.129&amp;sourceID=14","0.129")</f>
        <v>0.129</v>
      </c>
    </row>
    <row r="1438" spans="1:7">
      <c r="A1438" s="3"/>
      <c r="B1438" s="3"/>
      <c r="C1438" s="3"/>
      <c r="D1438" s="3"/>
      <c r="E1438" s="3">
        <v>15</v>
      </c>
      <c r="F1438" s="4" t="str">
        <f>HYPERLINK("http://141.218.60.56/~jnz1568/getInfo.php?workbook=27_11.xlsx&amp;sheet=U0&amp;row=1438&amp;col=6&amp;number=4.4&amp;sourceID=14","4.4")</f>
        <v>4.4</v>
      </c>
      <c r="G1438" s="4" t="str">
        <f>HYPERLINK("http://141.218.60.56/~jnz1568/getInfo.php?workbook=27_11.xlsx&amp;sheet=U0&amp;row=1438&amp;col=7&amp;number=0.129&amp;sourceID=14","0.129")</f>
        <v>0.129</v>
      </c>
    </row>
    <row r="1439" spans="1:7">
      <c r="A1439" s="3"/>
      <c r="B1439" s="3"/>
      <c r="C1439" s="3"/>
      <c r="D1439" s="3"/>
      <c r="E1439" s="3">
        <v>16</v>
      </c>
      <c r="F1439" s="4" t="str">
        <f>HYPERLINK("http://141.218.60.56/~jnz1568/getInfo.php?workbook=27_11.xlsx&amp;sheet=U0&amp;row=1439&amp;col=6&amp;number=4.5&amp;sourceID=14","4.5")</f>
        <v>4.5</v>
      </c>
      <c r="G1439" s="4" t="str">
        <f>HYPERLINK("http://141.218.60.56/~jnz1568/getInfo.php?workbook=27_11.xlsx&amp;sheet=U0&amp;row=1439&amp;col=7&amp;number=0.129&amp;sourceID=14","0.129")</f>
        <v>0.129</v>
      </c>
    </row>
    <row r="1440" spans="1:7">
      <c r="A1440" s="3"/>
      <c r="B1440" s="3"/>
      <c r="C1440" s="3"/>
      <c r="D1440" s="3"/>
      <c r="E1440" s="3">
        <v>17</v>
      </c>
      <c r="F1440" s="4" t="str">
        <f>HYPERLINK("http://141.218.60.56/~jnz1568/getInfo.php?workbook=27_11.xlsx&amp;sheet=U0&amp;row=1440&amp;col=6&amp;number=4.6&amp;sourceID=14","4.6")</f>
        <v>4.6</v>
      </c>
      <c r="G1440" s="4" t="str">
        <f>HYPERLINK("http://141.218.60.56/~jnz1568/getInfo.php?workbook=27_11.xlsx&amp;sheet=U0&amp;row=1440&amp;col=7&amp;number=0.129&amp;sourceID=14","0.129")</f>
        <v>0.129</v>
      </c>
    </row>
    <row r="1441" spans="1:7">
      <c r="A1441" s="3"/>
      <c r="B1441" s="3"/>
      <c r="C1441" s="3"/>
      <c r="D1441" s="3"/>
      <c r="E1441" s="3">
        <v>18</v>
      </c>
      <c r="F1441" s="4" t="str">
        <f>HYPERLINK("http://141.218.60.56/~jnz1568/getInfo.php?workbook=27_11.xlsx&amp;sheet=U0&amp;row=1441&amp;col=6&amp;number=4.7&amp;sourceID=14","4.7")</f>
        <v>4.7</v>
      </c>
      <c r="G1441" s="4" t="str">
        <f>HYPERLINK("http://141.218.60.56/~jnz1568/getInfo.php?workbook=27_11.xlsx&amp;sheet=U0&amp;row=1441&amp;col=7&amp;number=0.129&amp;sourceID=14","0.129")</f>
        <v>0.129</v>
      </c>
    </row>
    <row r="1442" spans="1:7">
      <c r="A1442" s="3"/>
      <c r="B1442" s="3"/>
      <c r="C1442" s="3"/>
      <c r="D1442" s="3"/>
      <c r="E1442" s="3">
        <v>19</v>
      </c>
      <c r="F1442" s="4" t="str">
        <f>HYPERLINK("http://141.218.60.56/~jnz1568/getInfo.php?workbook=27_11.xlsx&amp;sheet=U0&amp;row=1442&amp;col=6&amp;number=4.8&amp;sourceID=14","4.8")</f>
        <v>4.8</v>
      </c>
      <c r="G1442" s="4" t="str">
        <f>HYPERLINK("http://141.218.60.56/~jnz1568/getInfo.php?workbook=27_11.xlsx&amp;sheet=U0&amp;row=1442&amp;col=7&amp;number=0.129&amp;sourceID=14","0.129")</f>
        <v>0.129</v>
      </c>
    </row>
    <row r="1443" spans="1:7">
      <c r="A1443" s="3"/>
      <c r="B1443" s="3"/>
      <c r="C1443" s="3"/>
      <c r="D1443" s="3"/>
      <c r="E1443" s="3">
        <v>20</v>
      </c>
      <c r="F1443" s="4" t="str">
        <f>HYPERLINK("http://141.218.60.56/~jnz1568/getInfo.php?workbook=27_11.xlsx&amp;sheet=U0&amp;row=1443&amp;col=6&amp;number=4.9&amp;sourceID=14","4.9")</f>
        <v>4.9</v>
      </c>
      <c r="G1443" s="4" t="str">
        <f>HYPERLINK("http://141.218.60.56/~jnz1568/getInfo.php?workbook=27_11.xlsx&amp;sheet=U0&amp;row=1443&amp;col=7&amp;number=0.129&amp;sourceID=14","0.129")</f>
        <v>0.129</v>
      </c>
    </row>
    <row r="1444" spans="1:7">
      <c r="A1444" s="3">
        <v>27</v>
      </c>
      <c r="B1444" s="3">
        <v>11</v>
      </c>
      <c r="C1444" s="3">
        <v>5</v>
      </c>
      <c r="D1444" s="3">
        <v>12</v>
      </c>
      <c r="E1444" s="3">
        <v>1</v>
      </c>
      <c r="F1444" s="4" t="str">
        <f>HYPERLINK("http://141.218.60.56/~jnz1568/getInfo.php?workbook=27_11.xlsx&amp;sheet=U0&amp;row=1444&amp;col=6&amp;number=3&amp;sourceID=14","3")</f>
        <v>3</v>
      </c>
      <c r="G1444" s="4" t="str">
        <f>HYPERLINK("http://141.218.60.56/~jnz1568/getInfo.php?workbook=27_11.xlsx&amp;sheet=U0&amp;row=1444&amp;col=7&amp;number=1.17&amp;sourceID=14","1.17")</f>
        <v>1.17</v>
      </c>
    </row>
    <row r="1445" spans="1:7">
      <c r="A1445" s="3"/>
      <c r="B1445" s="3"/>
      <c r="C1445" s="3"/>
      <c r="D1445" s="3"/>
      <c r="E1445" s="3">
        <v>2</v>
      </c>
      <c r="F1445" s="4" t="str">
        <f>HYPERLINK("http://141.218.60.56/~jnz1568/getInfo.php?workbook=27_11.xlsx&amp;sheet=U0&amp;row=1445&amp;col=6&amp;number=3.1&amp;sourceID=14","3.1")</f>
        <v>3.1</v>
      </c>
      <c r="G1445" s="4" t="str">
        <f>HYPERLINK("http://141.218.60.56/~jnz1568/getInfo.php?workbook=27_11.xlsx&amp;sheet=U0&amp;row=1445&amp;col=7&amp;number=1.17&amp;sourceID=14","1.17")</f>
        <v>1.17</v>
      </c>
    </row>
    <row r="1446" spans="1:7">
      <c r="A1446" s="3"/>
      <c r="B1446" s="3"/>
      <c r="C1446" s="3"/>
      <c r="D1446" s="3"/>
      <c r="E1446" s="3">
        <v>3</v>
      </c>
      <c r="F1446" s="4" t="str">
        <f>HYPERLINK("http://141.218.60.56/~jnz1568/getInfo.php?workbook=27_11.xlsx&amp;sheet=U0&amp;row=1446&amp;col=6&amp;number=3.2&amp;sourceID=14","3.2")</f>
        <v>3.2</v>
      </c>
      <c r="G1446" s="4" t="str">
        <f>HYPERLINK("http://141.218.60.56/~jnz1568/getInfo.php?workbook=27_11.xlsx&amp;sheet=U0&amp;row=1446&amp;col=7&amp;number=1.17&amp;sourceID=14","1.17")</f>
        <v>1.17</v>
      </c>
    </row>
    <row r="1447" spans="1:7">
      <c r="A1447" s="3"/>
      <c r="B1447" s="3"/>
      <c r="C1447" s="3"/>
      <c r="D1447" s="3"/>
      <c r="E1447" s="3">
        <v>4</v>
      </c>
      <c r="F1447" s="4" t="str">
        <f>HYPERLINK("http://141.218.60.56/~jnz1568/getInfo.php?workbook=27_11.xlsx&amp;sheet=U0&amp;row=1447&amp;col=6&amp;number=3.3&amp;sourceID=14","3.3")</f>
        <v>3.3</v>
      </c>
      <c r="G1447" s="4" t="str">
        <f>HYPERLINK("http://141.218.60.56/~jnz1568/getInfo.php?workbook=27_11.xlsx&amp;sheet=U0&amp;row=1447&amp;col=7&amp;number=1.17&amp;sourceID=14","1.17")</f>
        <v>1.17</v>
      </c>
    </row>
    <row r="1448" spans="1:7">
      <c r="A1448" s="3"/>
      <c r="B1448" s="3"/>
      <c r="C1448" s="3"/>
      <c r="D1448" s="3"/>
      <c r="E1448" s="3">
        <v>5</v>
      </c>
      <c r="F1448" s="4" t="str">
        <f>HYPERLINK("http://141.218.60.56/~jnz1568/getInfo.php?workbook=27_11.xlsx&amp;sheet=U0&amp;row=1448&amp;col=6&amp;number=3.4&amp;sourceID=14","3.4")</f>
        <v>3.4</v>
      </c>
      <c r="G1448" s="4" t="str">
        <f>HYPERLINK("http://141.218.60.56/~jnz1568/getInfo.php?workbook=27_11.xlsx&amp;sheet=U0&amp;row=1448&amp;col=7&amp;number=1.17&amp;sourceID=14","1.17")</f>
        <v>1.17</v>
      </c>
    </row>
    <row r="1449" spans="1:7">
      <c r="A1449" s="3"/>
      <c r="B1449" s="3"/>
      <c r="C1449" s="3"/>
      <c r="D1449" s="3"/>
      <c r="E1449" s="3">
        <v>6</v>
      </c>
      <c r="F1449" s="4" t="str">
        <f>HYPERLINK("http://141.218.60.56/~jnz1568/getInfo.php?workbook=27_11.xlsx&amp;sheet=U0&amp;row=1449&amp;col=6&amp;number=3.5&amp;sourceID=14","3.5")</f>
        <v>3.5</v>
      </c>
      <c r="G1449" s="4" t="str">
        <f>HYPERLINK("http://141.218.60.56/~jnz1568/getInfo.php?workbook=27_11.xlsx&amp;sheet=U0&amp;row=1449&amp;col=7&amp;number=1.17&amp;sourceID=14","1.17")</f>
        <v>1.17</v>
      </c>
    </row>
    <row r="1450" spans="1:7">
      <c r="A1450" s="3"/>
      <c r="B1450" s="3"/>
      <c r="C1450" s="3"/>
      <c r="D1450" s="3"/>
      <c r="E1450" s="3">
        <v>7</v>
      </c>
      <c r="F1450" s="4" t="str">
        <f>HYPERLINK("http://141.218.60.56/~jnz1568/getInfo.php?workbook=27_11.xlsx&amp;sheet=U0&amp;row=1450&amp;col=6&amp;number=3.6&amp;sourceID=14","3.6")</f>
        <v>3.6</v>
      </c>
      <c r="G1450" s="4" t="str">
        <f>HYPERLINK("http://141.218.60.56/~jnz1568/getInfo.php?workbook=27_11.xlsx&amp;sheet=U0&amp;row=1450&amp;col=7&amp;number=1.17&amp;sourceID=14","1.17")</f>
        <v>1.17</v>
      </c>
    </row>
    <row r="1451" spans="1:7">
      <c r="A1451" s="3"/>
      <c r="B1451" s="3"/>
      <c r="C1451" s="3"/>
      <c r="D1451" s="3"/>
      <c r="E1451" s="3">
        <v>8</v>
      </c>
      <c r="F1451" s="4" t="str">
        <f>HYPERLINK("http://141.218.60.56/~jnz1568/getInfo.php?workbook=27_11.xlsx&amp;sheet=U0&amp;row=1451&amp;col=6&amp;number=3.7&amp;sourceID=14","3.7")</f>
        <v>3.7</v>
      </c>
      <c r="G1451" s="4" t="str">
        <f>HYPERLINK("http://141.218.60.56/~jnz1568/getInfo.php?workbook=27_11.xlsx&amp;sheet=U0&amp;row=1451&amp;col=7&amp;number=1.17&amp;sourceID=14","1.17")</f>
        <v>1.17</v>
      </c>
    </row>
    <row r="1452" spans="1:7">
      <c r="A1452" s="3"/>
      <c r="B1452" s="3"/>
      <c r="C1452" s="3"/>
      <c r="D1452" s="3"/>
      <c r="E1452" s="3">
        <v>9</v>
      </c>
      <c r="F1452" s="4" t="str">
        <f>HYPERLINK("http://141.218.60.56/~jnz1568/getInfo.php?workbook=27_11.xlsx&amp;sheet=U0&amp;row=1452&amp;col=6&amp;number=3.8&amp;sourceID=14","3.8")</f>
        <v>3.8</v>
      </c>
      <c r="G1452" s="4" t="str">
        <f>HYPERLINK("http://141.218.60.56/~jnz1568/getInfo.php?workbook=27_11.xlsx&amp;sheet=U0&amp;row=1452&amp;col=7&amp;number=1.17&amp;sourceID=14","1.17")</f>
        <v>1.17</v>
      </c>
    </row>
    <row r="1453" spans="1:7">
      <c r="A1453" s="3"/>
      <c r="B1453" s="3"/>
      <c r="C1453" s="3"/>
      <c r="D1453" s="3"/>
      <c r="E1453" s="3">
        <v>10</v>
      </c>
      <c r="F1453" s="4" t="str">
        <f>HYPERLINK("http://141.218.60.56/~jnz1568/getInfo.php?workbook=27_11.xlsx&amp;sheet=U0&amp;row=1453&amp;col=6&amp;number=3.9&amp;sourceID=14","3.9")</f>
        <v>3.9</v>
      </c>
      <c r="G1453" s="4" t="str">
        <f>HYPERLINK("http://141.218.60.56/~jnz1568/getInfo.php?workbook=27_11.xlsx&amp;sheet=U0&amp;row=1453&amp;col=7&amp;number=1.17&amp;sourceID=14","1.17")</f>
        <v>1.17</v>
      </c>
    </row>
    <row r="1454" spans="1:7">
      <c r="A1454" s="3"/>
      <c r="B1454" s="3"/>
      <c r="C1454" s="3"/>
      <c r="D1454" s="3"/>
      <c r="E1454" s="3">
        <v>11</v>
      </c>
      <c r="F1454" s="4" t="str">
        <f>HYPERLINK("http://141.218.60.56/~jnz1568/getInfo.php?workbook=27_11.xlsx&amp;sheet=U0&amp;row=1454&amp;col=6&amp;number=4&amp;sourceID=14","4")</f>
        <v>4</v>
      </c>
      <c r="G1454" s="4" t="str">
        <f>HYPERLINK("http://141.218.60.56/~jnz1568/getInfo.php?workbook=27_11.xlsx&amp;sheet=U0&amp;row=1454&amp;col=7&amp;number=1.17&amp;sourceID=14","1.17")</f>
        <v>1.17</v>
      </c>
    </row>
    <row r="1455" spans="1:7">
      <c r="A1455" s="3"/>
      <c r="B1455" s="3"/>
      <c r="C1455" s="3"/>
      <c r="D1455" s="3"/>
      <c r="E1455" s="3">
        <v>12</v>
      </c>
      <c r="F1455" s="4" t="str">
        <f>HYPERLINK("http://141.218.60.56/~jnz1568/getInfo.php?workbook=27_11.xlsx&amp;sheet=U0&amp;row=1455&amp;col=6&amp;number=4.1&amp;sourceID=14","4.1")</f>
        <v>4.1</v>
      </c>
      <c r="G1455" s="4" t="str">
        <f>HYPERLINK("http://141.218.60.56/~jnz1568/getInfo.php?workbook=27_11.xlsx&amp;sheet=U0&amp;row=1455&amp;col=7&amp;number=1.17&amp;sourceID=14","1.17")</f>
        <v>1.17</v>
      </c>
    </row>
    <row r="1456" spans="1:7">
      <c r="A1456" s="3"/>
      <c r="B1456" s="3"/>
      <c r="C1456" s="3"/>
      <c r="D1456" s="3"/>
      <c r="E1456" s="3">
        <v>13</v>
      </c>
      <c r="F1456" s="4" t="str">
        <f>HYPERLINK("http://141.218.60.56/~jnz1568/getInfo.php?workbook=27_11.xlsx&amp;sheet=U0&amp;row=1456&amp;col=6&amp;number=4.2&amp;sourceID=14","4.2")</f>
        <v>4.2</v>
      </c>
      <c r="G1456" s="4" t="str">
        <f>HYPERLINK("http://141.218.60.56/~jnz1568/getInfo.php?workbook=27_11.xlsx&amp;sheet=U0&amp;row=1456&amp;col=7&amp;number=1.17&amp;sourceID=14","1.17")</f>
        <v>1.17</v>
      </c>
    </row>
    <row r="1457" spans="1:7">
      <c r="A1457" s="3"/>
      <c r="B1457" s="3"/>
      <c r="C1457" s="3"/>
      <c r="D1457" s="3"/>
      <c r="E1457" s="3">
        <v>14</v>
      </c>
      <c r="F1457" s="4" t="str">
        <f>HYPERLINK("http://141.218.60.56/~jnz1568/getInfo.php?workbook=27_11.xlsx&amp;sheet=U0&amp;row=1457&amp;col=6&amp;number=4.3&amp;sourceID=14","4.3")</f>
        <v>4.3</v>
      </c>
      <c r="G1457" s="4" t="str">
        <f>HYPERLINK("http://141.218.60.56/~jnz1568/getInfo.php?workbook=27_11.xlsx&amp;sheet=U0&amp;row=1457&amp;col=7&amp;number=1.17&amp;sourceID=14","1.17")</f>
        <v>1.17</v>
      </c>
    </row>
    <row r="1458" spans="1:7">
      <c r="A1458" s="3"/>
      <c r="B1458" s="3"/>
      <c r="C1458" s="3"/>
      <c r="D1458" s="3"/>
      <c r="E1458" s="3">
        <v>15</v>
      </c>
      <c r="F1458" s="4" t="str">
        <f>HYPERLINK("http://141.218.60.56/~jnz1568/getInfo.php?workbook=27_11.xlsx&amp;sheet=U0&amp;row=1458&amp;col=6&amp;number=4.4&amp;sourceID=14","4.4")</f>
        <v>4.4</v>
      </c>
      <c r="G1458" s="4" t="str">
        <f>HYPERLINK("http://141.218.60.56/~jnz1568/getInfo.php?workbook=27_11.xlsx&amp;sheet=U0&amp;row=1458&amp;col=7&amp;number=1.17&amp;sourceID=14","1.17")</f>
        <v>1.17</v>
      </c>
    </row>
    <row r="1459" spans="1:7">
      <c r="A1459" s="3"/>
      <c r="B1459" s="3"/>
      <c r="C1459" s="3"/>
      <c r="D1459" s="3"/>
      <c r="E1459" s="3">
        <v>16</v>
      </c>
      <c r="F1459" s="4" t="str">
        <f>HYPERLINK("http://141.218.60.56/~jnz1568/getInfo.php?workbook=27_11.xlsx&amp;sheet=U0&amp;row=1459&amp;col=6&amp;number=4.5&amp;sourceID=14","4.5")</f>
        <v>4.5</v>
      </c>
      <c r="G1459" s="4" t="str">
        <f>HYPERLINK("http://141.218.60.56/~jnz1568/getInfo.php?workbook=27_11.xlsx&amp;sheet=U0&amp;row=1459&amp;col=7&amp;number=1.18&amp;sourceID=14","1.18")</f>
        <v>1.18</v>
      </c>
    </row>
    <row r="1460" spans="1:7">
      <c r="A1460" s="3"/>
      <c r="B1460" s="3"/>
      <c r="C1460" s="3"/>
      <c r="D1460" s="3"/>
      <c r="E1460" s="3">
        <v>17</v>
      </c>
      <c r="F1460" s="4" t="str">
        <f>HYPERLINK("http://141.218.60.56/~jnz1568/getInfo.php?workbook=27_11.xlsx&amp;sheet=U0&amp;row=1460&amp;col=6&amp;number=4.6&amp;sourceID=14","4.6")</f>
        <v>4.6</v>
      </c>
      <c r="G1460" s="4" t="str">
        <f>HYPERLINK("http://141.218.60.56/~jnz1568/getInfo.php?workbook=27_11.xlsx&amp;sheet=U0&amp;row=1460&amp;col=7&amp;number=1.18&amp;sourceID=14","1.18")</f>
        <v>1.18</v>
      </c>
    </row>
    <row r="1461" spans="1:7">
      <c r="A1461" s="3"/>
      <c r="B1461" s="3"/>
      <c r="C1461" s="3"/>
      <c r="D1461" s="3"/>
      <c r="E1461" s="3">
        <v>18</v>
      </c>
      <c r="F1461" s="4" t="str">
        <f>HYPERLINK("http://141.218.60.56/~jnz1568/getInfo.php?workbook=27_11.xlsx&amp;sheet=U0&amp;row=1461&amp;col=6&amp;number=4.7&amp;sourceID=14","4.7")</f>
        <v>4.7</v>
      </c>
      <c r="G1461" s="4" t="str">
        <f>HYPERLINK("http://141.218.60.56/~jnz1568/getInfo.php?workbook=27_11.xlsx&amp;sheet=U0&amp;row=1461&amp;col=7&amp;number=1.18&amp;sourceID=14","1.18")</f>
        <v>1.18</v>
      </c>
    </row>
    <row r="1462" spans="1:7">
      <c r="A1462" s="3"/>
      <c r="B1462" s="3"/>
      <c r="C1462" s="3"/>
      <c r="D1462" s="3"/>
      <c r="E1462" s="3">
        <v>19</v>
      </c>
      <c r="F1462" s="4" t="str">
        <f>HYPERLINK("http://141.218.60.56/~jnz1568/getInfo.php?workbook=27_11.xlsx&amp;sheet=U0&amp;row=1462&amp;col=6&amp;number=4.8&amp;sourceID=14","4.8")</f>
        <v>4.8</v>
      </c>
      <c r="G1462" s="4" t="str">
        <f>HYPERLINK("http://141.218.60.56/~jnz1568/getInfo.php?workbook=27_11.xlsx&amp;sheet=U0&amp;row=1462&amp;col=7&amp;number=1.18&amp;sourceID=14","1.18")</f>
        <v>1.18</v>
      </c>
    </row>
    <row r="1463" spans="1:7">
      <c r="A1463" s="3"/>
      <c r="B1463" s="3"/>
      <c r="C1463" s="3"/>
      <c r="D1463" s="3"/>
      <c r="E1463" s="3">
        <v>20</v>
      </c>
      <c r="F1463" s="4" t="str">
        <f>HYPERLINK("http://141.218.60.56/~jnz1568/getInfo.php?workbook=27_11.xlsx&amp;sheet=U0&amp;row=1463&amp;col=6&amp;number=4.9&amp;sourceID=14","4.9")</f>
        <v>4.9</v>
      </c>
      <c r="G1463" s="4" t="str">
        <f>HYPERLINK("http://141.218.60.56/~jnz1568/getInfo.php?workbook=27_11.xlsx&amp;sheet=U0&amp;row=1463&amp;col=7&amp;number=1.18&amp;sourceID=14","1.18")</f>
        <v>1.18</v>
      </c>
    </row>
    <row r="1464" spans="1:7">
      <c r="A1464" s="3">
        <v>27</v>
      </c>
      <c r="B1464" s="3">
        <v>11</v>
      </c>
      <c r="C1464" s="3">
        <v>5</v>
      </c>
      <c r="D1464" s="3">
        <v>13</v>
      </c>
      <c r="E1464" s="3">
        <v>1</v>
      </c>
      <c r="F1464" s="4" t="str">
        <f>HYPERLINK("http://141.218.60.56/~jnz1568/getInfo.php?workbook=27_11.xlsx&amp;sheet=U0&amp;row=1464&amp;col=6&amp;number=3&amp;sourceID=14","3")</f>
        <v>3</v>
      </c>
      <c r="G1464" s="4" t="str">
        <f>HYPERLINK("http://141.218.60.56/~jnz1568/getInfo.php?workbook=27_11.xlsx&amp;sheet=U0&amp;row=1464&amp;col=7&amp;number=0.00463&amp;sourceID=14","0.00463")</f>
        <v>0.00463</v>
      </c>
    </row>
    <row r="1465" spans="1:7">
      <c r="A1465" s="3"/>
      <c r="B1465" s="3"/>
      <c r="C1465" s="3"/>
      <c r="D1465" s="3"/>
      <c r="E1465" s="3">
        <v>2</v>
      </c>
      <c r="F1465" s="4" t="str">
        <f>HYPERLINK("http://141.218.60.56/~jnz1568/getInfo.php?workbook=27_11.xlsx&amp;sheet=U0&amp;row=1465&amp;col=6&amp;number=3.1&amp;sourceID=14","3.1")</f>
        <v>3.1</v>
      </c>
      <c r="G1465" s="4" t="str">
        <f>HYPERLINK("http://141.218.60.56/~jnz1568/getInfo.php?workbook=27_11.xlsx&amp;sheet=U0&amp;row=1465&amp;col=7&amp;number=0.00463&amp;sourceID=14","0.00463")</f>
        <v>0.00463</v>
      </c>
    </row>
    <row r="1466" spans="1:7">
      <c r="A1466" s="3"/>
      <c r="B1466" s="3"/>
      <c r="C1466" s="3"/>
      <c r="D1466" s="3"/>
      <c r="E1466" s="3">
        <v>3</v>
      </c>
      <c r="F1466" s="4" t="str">
        <f>HYPERLINK("http://141.218.60.56/~jnz1568/getInfo.php?workbook=27_11.xlsx&amp;sheet=U0&amp;row=1466&amp;col=6&amp;number=3.2&amp;sourceID=14","3.2")</f>
        <v>3.2</v>
      </c>
      <c r="G1466" s="4" t="str">
        <f>HYPERLINK("http://141.218.60.56/~jnz1568/getInfo.php?workbook=27_11.xlsx&amp;sheet=U0&amp;row=1466&amp;col=7&amp;number=0.00463&amp;sourceID=14","0.00463")</f>
        <v>0.00463</v>
      </c>
    </row>
    <row r="1467" spans="1:7">
      <c r="A1467" s="3"/>
      <c r="B1467" s="3"/>
      <c r="C1467" s="3"/>
      <c r="D1467" s="3"/>
      <c r="E1467" s="3">
        <v>4</v>
      </c>
      <c r="F1467" s="4" t="str">
        <f>HYPERLINK("http://141.218.60.56/~jnz1568/getInfo.php?workbook=27_11.xlsx&amp;sheet=U0&amp;row=1467&amp;col=6&amp;number=3.3&amp;sourceID=14","3.3")</f>
        <v>3.3</v>
      </c>
      <c r="G1467" s="4" t="str">
        <f>HYPERLINK("http://141.218.60.56/~jnz1568/getInfo.php?workbook=27_11.xlsx&amp;sheet=U0&amp;row=1467&amp;col=7&amp;number=0.00463&amp;sourceID=14","0.00463")</f>
        <v>0.00463</v>
      </c>
    </row>
    <row r="1468" spans="1:7">
      <c r="A1468" s="3"/>
      <c r="B1468" s="3"/>
      <c r="C1468" s="3"/>
      <c r="D1468" s="3"/>
      <c r="E1468" s="3">
        <v>5</v>
      </c>
      <c r="F1468" s="4" t="str">
        <f>HYPERLINK("http://141.218.60.56/~jnz1568/getInfo.php?workbook=27_11.xlsx&amp;sheet=U0&amp;row=1468&amp;col=6&amp;number=3.4&amp;sourceID=14","3.4")</f>
        <v>3.4</v>
      </c>
      <c r="G1468" s="4" t="str">
        <f>HYPERLINK("http://141.218.60.56/~jnz1568/getInfo.php?workbook=27_11.xlsx&amp;sheet=U0&amp;row=1468&amp;col=7&amp;number=0.00463&amp;sourceID=14","0.00463")</f>
        <v>0.00463</v>
      </c>
    </row>
    <row r="1469" spans="1:7">
      <c r="A1469" s="3"/>
      <c r="B1469" s="3"/>
      <c r="C1469" s="3"/>
      <c r="D1469" s="3"/>
      <c r="E1469" s="3">
        <v>6</v>
      </c>
      <c r="F1469" s="4" t="str">
        <f>HYPERLINK("http://141.218.60.56/~jnz1568/getInfo.php?workbook=27_11.xlsx&amp;sheet=U0&amp;row=1469&amp;col=6&amp;number=3.5&amp;sourceID=14","3.5")</f>
        <v>3.5</v>
      </c>
      <c r="G1469" s="4" t="str">
        <f>HYPERLINK("http://141.218.60.56/~jnz1568/getInfo.php?workbook=27_11.xlsx&amp;sheet=U0&amp;row=1469&amp;col=7&amp;number=0.00463&amp;sourceID=14","0.00463")</f>
        <v>0.00463</v>
      </c>
    </row>
    <row r="1470" spans="1:7">
      <c r="A1470" s="3"/>
      <c r="B1470" s="3"/>
      <c r="C1470" s="3"/>
      <c r="D1470" s="3"/>
      <c r="E1470" s="3">
        <v>7</v>
      </c>
      <c r="F1470" s="4" t="str">
        <f>HYPERLINK("http://141.218.60.56/~jnz1568/getInfo.php?workbook=27_11.xlsx&amp;sheet=U0&amp;row=1470&amp;col=6&amp;number=3.6&amp;sourceID=14","3.6")</f>
        <v>3.6</v>
      </c>
      <c r="G1470" s="4" t="str">
        <f>HYPERLINK("http://141.218.60.56/~jnz1568/getInfo.php?workbook=27_11.xlsx&amp;sheet=U0&amp;row=1470&amp;col=7&amp;number=0.00463&amp;sourceID=14","0.00463")</f>
        <v>0.00463</v>
      </c>
    </row>
    <row r="1471" spans="1:7">
      <c r="A1471" s="3"/>
      <c r="B1471" s="3"/>
      <c r="C1471" s="3"/>
      <c r="D1471" s="3"/>
      <c r="E1471" s="3">
        <v>8</v>
      </c>
      <c r="F1471" s="4" t="str">
        <f>HYPERLINK("http://141.218.60.56/~jnz1568/getInfo.php?workbook=27_11.xlsx&amp;sheet=U0&amp;row=1471&amp;col=6&amp;number=3.7&amp;sourceID=14","3.7")</f>
        <v>3.7</v>
      </c>
      <c r="G1471" s="4" t="str">
        <f>HYPERLINK("http://141.218.60.56/~jnz1568/getInfo.php?workbook=27_11.xlsx&amp;sheet=U0&amp;row=1471&amp;col=7&amp;number=0.00463&amp;sourceID=14","0.00463")</f>
        <v>0.00463</v>
      </c>
    </row>
    <row r="1472" spans="1:7">
      <c r="A1472" s="3"/>
      <c r="B1472" s="3"/>
      <c r="C1472" s="3"/>
      <c r="D1472" s="3"/>
      <c r="E1472" s="3">
        <v>9</v>
      </c>
      <c r="F1472" s="4" t="str">
        <f>HYPERLINK("http://141.218.60.56/~jnz1568/getInfo.php?workbook=27_11.xlsx&amp;sheet=U0&amp;row=1472&amp;col=6&amp;number=3.8&amp;sourceID=14","3.8")</f>
        <v>3.8</v>
      </c>
      <c r="G1472" s="4" t="str">
        <f>HYPERLINK("http://141.218.60.56/~jnz1568/getInfo.php?workbook=27_11.xlsx&amp;sheet=U0&amp;row=1472&amp;col=7&amp;number=0.00463&amp;sourceID=14","0.00463")</f>
        <v>0.00463</v>
      </c>
    </row>
    <row r="1473" spans="1:7">
      <c r="A1473" s="3"/>
      <c r="B1473" s="3"/>
      <c r="C1473" s="3"/>
      <c r="D1473" s="3"/>
      <c r="E1473" s="3">
        <v>10</v>
      </c>
      <c r="F1473" s="4" t="str">
        <f>HYPERLINK("http://141.218.60.56/~jnz1568/getInfo.php?workbook=27_11.xlsx&amp;sheet=U0&amp;row=1473&amp;col=6&amp;number=3.9&amp;sourceID=14","3.9")</f>
        <v>3.9</v>
      </c>
      <c r="G1473" s="4" t="str">
        <f>HYPERLINK("http://141.218.60.56/~jnz1568/getInfo.php?workbook=27_11.xlsx&amp;sheet=U0&amp;row=1473&amp;col=7&amp;number=0.00463&amp;sourceID=14","0.00463")</f>
        <v>0.00463</v>
      </c>
    </row>
    <row r="1474" spans="1:7">
      <c r="A1474" s="3"/>
      <c r="B1474" s="3"/>
      <c r="C1474" s="3"/>
      <c r="D1474" s="3"/>
      <c r="E1474" s="3">
        <v>11</v>
      </c>
      <c r="F1474" s="4" t="str">
        <f>HYPERLINK("http://141.218.60.56/~jnz1568/getInfo.php?workbook=27_11.xlsx&amp;sheet=U0&amp;row=1474&amp;col=6&amp;number=4&amp;sourceID=14","4")</f>
        <v>4</v>
      </c>
      <c r="G1474" s="4" t="str">
        <f>HYPERLINK("http://141.218.60.56/~jnz1568/getInfo.php?workbook=27_11.xlsx&amp;sheet=U0&amp;row=1474&amp;col=7&amp;number=0.00462&amp;sourceID=14","0.00462")</f>
        <v>0.00462</v>
      </c>
    </row>
    <row r="1475" spans="1:7">
      <c r="A1475" s="3"/>
      <c r="B1475" s="3"/>
      <c r="C1475" s="3"/>
      <c r="D1475" s="3"/>
      <c r="E1475" s="3">
        <v>12</v>
      </c>
      <c r="F1475" s="4" t="str">
        <f>HYPERLINK("http://141.218.60.56/~jnz1568/getInfo.php?workbook=27_11.xlsx&amp;sheet=U0&amp;row=1475&amp;col=6&amp;number=4.1&amp;sourceID=14","4.1")</f>
        <v>4.1</v>
      </c>
      <c r="G1475" s="4" t="str">
        <f>HYPERLINK("http://141.218.60.56/~jnz1568/getInfo.php?workbook=27_11.xlsx&amp;sheet=U0&amp;row=1475&amp;col=7&amp;number=0.00462&amp;sourceID=14","0.00462")</f>
        <v>0.00462</v>
      </c>
    </row>
    <row r="1476" spans="1:7">
      <c r="A1476" s="3"/>
      <c r="B1476" s="3"/>
      <c r="C1476" s="3"/>
      <c r="D1476" s="3"/>
      <c r="E1476" s="3">
        <v>13</v>
      </c>
      <c r="F1476" s="4" t="str">
        <f>HYPERLINK("http://141.218.60.56/~jnz1568/getInfo.php?workbook=27_11.xlsx&amp;sheet=U0&amp;row=1476&amp;col=6&amp;number=4.2&amp;sourceID=14","4.2")</f>
        <v>4.2</v>
      </c>
      <c r="G1476" s="4" t="str">
        <f>HYPERLINK("http://141.218.60.56/~jnz1568/getInfo.php?workbook=27_11.xlsx&amp;sheet=U0&amp;row=1476&amp;col=7&amp;number=0.00462&amp;sourceID=14","0.00462")</f>
        <v>0.00462</v>
      </c>
    </row>
    <row r="1477" spans="1:7">
      <c r="A1477" s="3"/>
      <c r="B1477" s="3"/>
      <c r="C1477" s="3"/>
      <c r="D1477" s="3"/>
      <c r="E1477" s="3">
        <v>14</v>
      </c>
      <c r="F1477" s="4" t="str">
        <f>HYPERLINK("http://141.218.60.56/~jnz1568/getInfo.php?workbook=27_11.xlsx&amp;sheet=U0&amp;row=1477&amp;col=6&amp;number=4.3&amp;sourceID=14","4.3")</f>
        <v>4.3</v>
      </c>
      <c r="G1477" s="4" t="str">
        <f>HYPERLINK("http://141.218.60.56/~jnz1568/getInfo.php?workbook=27_11.xlsx&amp;sheet=U0&amp;row=1477&amp;col=7&amp;number=0.00462&amp;sourceID=14","0.00462")</f>
        <v>0.00462</v>
      </c>
    </row>
    <row r="1478" spans="1:7">
      <c r="A1478" s="3"/>
      <c r="B1478" s="3"/>
      <c r="C1478" s="3"/>
      <c r="D1478" s="3"/>
      <c r="E1478" s="3">
        <v>15</v>
      </c>
      <c r="F1478" s="4" t="str">
        <f>HYPERLINK("http://141.218.60.56/~jnz1568/getInfo.php?workbook=27_11.xlsx&amp;sheet=U0&amp;row=1478&amp;col=6&amp;number=4.4&amp;sourceID=14","4.4")</f>
        <v>4.4</v>
      </c>
      <c r="G1478" s="4" t="str">
        <f>HYPERLINK("http://141.218.60.56/~jnz1568/getInfo.php?workbook=27_11.xlsx&amp;sheet=U0&amp;row=1478&amp;col=7&amp;number=0.00462&amp;sourceID=14","0.00462")</f>
        <v>0.00462</v>
      </c>
    </row>
    <row r="1479" spans="1:7">
      <c r="A1479" s="3"/>
      <c r="B1479" s="3"/>
      <c r="C1479" s="3"/>
      <c r="D1479" s="3"/>
      <c r="E1479" s="3">
        <v>16</v>
      </c>
      <c r="F1479" s="4" t="str">
        <f>HYPERLINK("http://141.218.60.56/~jnz1568/getInfo.php?workbook=27_11.xlsx&amp;sheet=U0&amp;row=1479&amp;col=6&amp;number=4.5&amp;sourceID=14","4.5")</f>
        <v>4.5</v>
      </c>
      <c r="G1479" s="4" t="str">
        <f>HYPERLINK("http://141.218.60.56/~jnz1568/getInfo.php?workbook=27_11.xlsx&amp;sheet=U0&amp;row=1479&amp;col=7&amp;number=0.00462&amp;sourceID=14","0.00462")</f>
        <v>0.00462</v>
      </c>
    </row>
    <row r="1480" spans="1:7">
      <c r="A1480" s="3"/>
      <c r="B1480" s="3"/>
      <c r="C1480" s="3"/>
      <c r="D1480" s="3"/>
      <c r="E1480" s="3">
        <v>17</v>
      </c>
      <c r="F1480" s="4" t="str">
        <f>HYPERLINK("http://141.218.60.56/~jnz1568/getInfo.php?workbook=27_11.xlsx&amp;sheet=U0&amp;row=1480&amp;col=6&amp;number=4.6&amp;sourceID=14","4.6")</f>
        <v>4.6</v>
      </c>
      <c r="G1480" s="4" t="str">
        <f>HYPERLINK("http://141.218.60.56/~jnz1568/getInfo.php?workbook=27_11.xlsx&amp;sheet=U0&amp;row=1480&amp;col=7&amp;number=0.00461&amp;sourceID=14","0.00461")</f>
        <v>0.00461</v>
      </c>
    </row>
    <row r="1481" spans="1:7">
      <c r="A1481" s="3"/>
      <c r="B1481" s="3"/>
      <c r="C1481" s="3"/>
      <c r="D1481" s="3"/>
      <c r="E1481" s="3">
        <v>18</v>
      </c>
      <c r="F1481" s="4" t="str">
        <f>HYPERLINK("http://141.218.60.56/~jnz1568/getInfo.php?workbook=27_11.xlsx&amp;sheet=U0&amp;row=1481&amp;col=6&amp;number=4.7&amp;sourceID=14","4.7")</f>
        <v>4.7</v>
      </c>
      <c r="G1481" s="4" t="str">
        <f>HYPERLINK("http://141.218.60.56/~jnz1568/getInfo.php?workbook=27_11.xlsx&amp;sheet=U0&amp;row=1481&amp;col=7&amp;number=0.00461&amp;sourceID=14","0.00461")</f>
        <v>0.00461</v>
      </c>
    </row>
    <row r="1482" spans="1:7">
      <c r="A1482" s="3"/>
      <c r="B1482" s="3"/>
      <c r="C1482" s="3"/>
      <c r="D1482" s="3"/>
      <c r="E1482" s="3">
        <v>19</v>
      </c>
      <c r="F1482" s="4" t="str">
        <f>HYPERLINK("http://141.218.60.56/~jnz1568/getInfo.php?workbook=27_11.xlsx&amp;sheet=U0&amp;row=1482&amp;col=6&amp;number=4.8&amp;sourceID=14","4.8")</f>
        <v>4.8</v>
      </c>
      <c r="G1482" s="4" t="str">
        <f>HYPERLINK("http://141.218.60.56/~jnz1568/getInfo.php?workbook=27_11.xlsx&amp;sheet=U0&amp;row=1482&amp;col=7&amp;number=0.0046&amp;sourceID=14","0.0046")</f>
        <v>0.0046</v>
      </c>
    </row>
    <row r="1483" spans="1:7">
      <c r="A1483" s="3"/>
      <c r="B1483" s="3"/>
      <c r="C1483" s="3"/>
      <c r="D1483" s="3"/>
      <c r="E1483" s="3">
        <v>20</v>
      </c>
      <c r="F1483" s="4" t="str">
        <f>HYPERLINK("http://141.218.60.56/~jnz1568/getInfo.php?workbook=27_11.xlsx&amp;sheet=U0&amp;row=1483&amp;col=6&amp;number=4.9&amp;sourceID=14","4.9")</f>
        <v>4.9</v>
      </c>
      <c r="G1483" s="4" t="str">
        <f>HYPERLINK("http://141.218.60.56/~jnz1568/getInfo.php?workbook=27_11.xlsx&amp;sheet=U0&amp;row=1483&amp;col=7&amp;number=0.00459&amp;sourceID=14","0.00459")</f>
        <v>0.00459</v>
      </c>
    </row>
    <row r="1484" spans="1:7">
      <c r="A1484" s="3">
        <v>27</v>
      </c>
      <c r="B1484" s="3">
        <v>11</v>
      </c>
      <c r="C1484" s="3">
        <v>5</v>
      </c>
      <c r="D1484" s="3">
        <v>14</v>
      </c>
      <c r="E1484" s="3">
        <v>1</v>
      </c>
      <c r="F1484" s="4" t="str">
        <f>HYPERLINK("http://141.218.60.56/~jnz1568/getInfo.php?workbook=27_11.xlsx&amp;sheet=U0&amp;row=1484&amp;col=6&amp;number=3&amp;sourceID=14","3")</f>
        <v>3</v>
      </c>
      <c r="G1484" s="4" t="str">
        <f>HYPERLINK("http://141.218.60.56/~jnz1568/getInfo.php?workbook=27_11.xlsx&amp;sheet=U0&amp;row=1484&amp;col=7&amp;number=0.00453&amp;sourceID=14","0.00453")</f>
        <v>0.00453</v>
      </c>
    </row>
    <row r="1485" spans="1:7">
      <c r="A1485" s="3"/>
      <c r="B1485" s="3"/>
      <c r="C1485" s="3"/>
      <c r="D1485" s="3"/>
      <c r="E1485" s="3">
        <v>2</v>
      </c>
      <c r="F1485" s="4" t="str">
        <f>HYPERLINK("http://141.218.60.56/~jnz1568/getInfo.php?workbook=27_11.xlsx&amp;sheet=U0&amp;row=1485&amp;col=6&amp;number=3.1&amp;sourceID=14","3.1")</f>
        <v>3.1</v>
      </c>
      <c r="G1485" s="4" t="str">
        <f>HYPERLINK("http://141.218.60.56/~jnz1568/getInfo.php?workbook=27_11.xlsx&amp;sheet=U0&amp;row=1485&amp;col=7&amp;number=0.00453&amp;sourceID=14","0.00453")</f>
        <v>0.00453</v>
      </c>
    </row>
    <row r="1486" spans="1:7">
      <c r="A1486" s="3"/>
      <c r="B1486" s="3"/>
      <c r="C1486" s="3"/>
      <c r="D1486" s="3"/>
      <c r="E1486" s="3">
        <v>3</v>
      </c>
      <c r="F1486" s="4" t="str">
        <f>HYPERLINK("http://141.218.60.56/~jnz1568/getInfo.php?workbook=27_11.xlsx&amp;sheet=U0&amp;row=1486&amp;col=6&amp;number=3.2&amp;sourceID=14","3.2")</f>
        <v>3.2</v>
      </c>
      <c r="G1486" s="4" t="str">
        <f>HYPERLINK("http://141.218.60.56/~jnz1568/getInfo.php?workbook=27_11.xlsx&amp;sheet=U0&amp;row=1486&amp;col=7&amp;number=0.00453&amp;sourceID=14","0.00453")</f>
        <v>0.00453</v>
      </c>
    </row>
    <row r="1487" spans="1:7">
      <c r="A1487" s="3"/>
      <c r="B1487" s="3"/>
      <c r="C1487" s="3"/>
      <c r="D1487" s="3"/>
      <c r="E1487" s="3">
        <v>4</v>
      </c>
      <c r="F1487" s="4" t="str">
        <f>HYPERLINK("http://141.218.60.56/~jnz1568/getInfo.php?workbook=27_11.xlsx&amp;sheet=U0&amp;row=1487&amp;col=6&amp;number=3.3&amp;sourceID=14","3.3")</f>
        <v>3.3</v>
      </c>
      <c r="G1487" s="4" t="str">
        <f>HYPERLINK("http://141.218.60.56/~jnz1568/getInfo.php?workbook=27_11.xlsx&amp;sheet=U0&amp;row=1487&amp;col=7&amp;number=0.00453&amp;sourceID=14","0.00453")</f>
        <v>0.00453</v>
      </c>
    </row>
    <row r="1488" spans="1:7">
      <c r="A1488" s="3"/>
      <c r="B1488" s="3"/>
      <c r="C1488" s="3"/>
      <c r="D1488" s="3"/>
      <c r="E1488" s="3">
        <v>5</v>
      </c>
      <c r="F1488" s="4" t="str">
        <f>HYPERLINK("http://141.218.60.56/~jnz1568/getInfo.php?workbook=27_11.xlsx&amp;sheet=U0&amp;row=1488&amp;col=6&amp;number=3.4&amp;sourceID=14","3.4")</f>
        <v>3.4</v>
      </c>
      <c r="G1488" s="4" t="str">
        <f>HYPERLINK("http://141.218.60.56/~jnz1568/getInfo.php?workbook=27_11.xlsx&amp;sheet=U0&amp;row=1488&amp;col=7&amp;number=0.00453&amp;sourceID=14","0.00453")</f>
        <v>0.00453</v>
      </c>
    </row>
    <row r="1489" spans="1:7">
      <c r="A1489" s="3"/>
      <c r="B1489" s="3"/>
      <c r="C1489" s="3"/>
      <c r="D1489" s="3"/>
      <c r="E1489" s="3">
        <v>6</v>
      </c>
      <c r="F1489" s="4" t="str">
        <f>HYPERLINK("http://141.218.60.56/~jnz1568/getInfo.php?workbook=27_11.xlsx&amp;sheet=U0&amp;row=1489&amp;col=6&amp;number=3.5&amp;sourceID=14","3.5")</f>
        <v>3.5</v>
      </c>
      <c r="G1489" s="4" t="str">
        <f>HYPERLINK("http://141.218.60.56/~jnz1568/getInfo.php?workbook=27_11.xlsx&amp;sheet=U0&amp;row=1489&amp;col=7&amp;number=0.00453&amp;sourceID=14","0.00453")</f>
        <v>0.00453</v>
      </c>
    </row>
    <row r="1490" spans="1:7">
      <c r="A1490" s="3"/>
      <c r="B1490" s="3"/>
      <c r="C1490" s="3"/>
      <c r="D1490" s="3"/>
      <c r="E1490" s="3">
        <v>7</v>
      </c>
      <c r="F1490" s="4" t="str">
        <f>HYPERLINK("http://141.218.60.56/~jnz1568/getInfo.php?workbook=27_11.xlsx&amp;sheet=U0&amp;row=1490&amp;col=6&amp;number=3.6&amp;sourceID=14","3.6")</f>
        <v>3.6</v>
      </c>
      <c r="G1490" s="4" t="str">
        <f>HYPERLINK("http://141.218.60.56/~jnz1568/getInfo.php?workbook=27_11.xlsx&amp;sheet=U0&amp;row=1490&amp;col=7&amp;number=0.00453&amp;sourceID=14","0.00453")</f>
        <v>0.00453</v>
      </c>
    </row>
    <row r="1491" spans="1:7">
      <c r="A1491" s="3"/>
      <c r="B1491" s="3"/>
      <c r="C1491" s="3"/>
      <c r="D1491" s="3"/>
      <c r="E1491" s="3">
        <v>8</v>
      </c>
      <c r="F1491" s="4" t="str">
        <f>HYPERLINK("http://141.218.60.56/~jnz1568/getInfo.php?workbook=27_11.xlsx&amp;sheet=U0&amp;row=1491&amp;col=6&amp;number=3.7&amp;sourceID=14","3.7")</f>
        <v>3.7</v>
      </c>
      <c r="G1491" s="4" t="str">
        <f>HYPERLINK("http://141.218.60.56/~jnz1568/getInfo.php?workbook=27_11.xlsx&amp;sheet=U0&amp;row=1491&amp;col=7&amp;number=0.00453&amp;sourceID=14","0.00453")</f>
        <v>0.00453</v>
      </c>
    </row>
    <row r="1492" spans="1:7">
      <c r="A1492" s="3"/>
      <c r="B1492" s="3"/>
      <c r="C1492" s="3"/>
      <c r="D1492" s="3"/>
      <c r="E1492" s="3">
        <v>9</v>
      </c>
      <c r="F1492" s="4" t="str">
        <f>HYPERLINK("http://141.218.60.56/~jnz1568/getInfo.php?workbook=27_11.xlsx&amp;sheet=U0&amp;row=1492&amp;col=6&amp;number=3.8&amp;sourceID=14","3.8")</f>
        <v>3.8</v>
      </c>
      <c r="G1492" s="4" t="str">
        <f>HYPERLINK("http://141.218.60.56/~jnz1568/getInfo.php?workbook=27_11.xlsx&amp;sheet=U0&amp;row=1492&amp;col=7&amp;number=0.00453&amp;sourceID=14","0.00453")</f>
        <v>0.00453</v>
      </c>
    </row>
    <row r="1493" spans="1:7">
      <c r="A1493" s="3"/>
      <c r="B1493" s="3"/>
      <c r="C1493" s="3"/>
      <c r="D1493" s="3"/>
      <c r="E1493" s="3">
        <v>10</v>
      </c>
      <c r="F1493" s="4" t="str">
        <f>HYPERLINK("http://141.218.60.56/~jnz1568/getInfo.php?workbook=27_11.xlsx&amp;sheet=U0&amp;row=1493&amp;col=6&amp;number=3.9&amp;sourceID=14","3.9")</f>
        <v>3.9</v>
      </c>
      <c r="G1493" s="4" t="str">
        <f>HYPERLINK("http://141.218.60.56/~jnz1568/getInfo.php?workbook=27_11.xlsx&amp;sheet=U0&amp;row=1493&amp;col=7&amp;number=0.00453&amp;sourceID=14","0.00453")</f>
        <v>0.00453</v>
      </c>
    </row>
    <row r="1494" spans="1:7">
      <c r="A1494" s="3"/>
      <c r="B1494" s="3"/>
      <c r="C1494" s="3"/>
      <c r="D1494" s="3"/>
      <c r="E1494" s="3">
        <v>11</v>
      </c>
      <c r="F1494" s="4" t="str">
        <f>HYPERLINK("http://141.218.60.56/~jnz1568/getInfo.php?workbook=27_11.xlsx&amp;sheet=U0&amp;row=1494&amp;col=6&amp;number=4&amp;sourceID=14","4")</f>
        <v>4</v>
      </c>
      <c r="G1494" s="4" t="str">
        <f>HYPERLINK("http://141.218.60.56/~jnz1568/getInfo.php?workbook=27_11.xlsx&amp;sheet=U0&amp;row=1494&amp;col=7&amp;number=0.00452&amp;sourceID=14","0.00452")</f>
        <v>0.00452</v>
      </c>
    </row>
    <row r="1495" spans="1:7">
      <c r="A1495" s="3"/>
      <c r="B1495" s="3"/>
      <c r="C1495" s="3"/>
      <c r="D1495" s="3"/>
      <c r="E1495" s="3">
        <v>12</v>
      </c>
      <c r="F1495" s="4" t="str">
        <f>HYPERLINK("http://141.218.60.56/~jnz1568/getInfo.php?workbook=27_11.xlsx&amp;sheet=U0&amp;row=1495&amp;col=6&amp;number=4.1&amp;sourceID=14","4.1")</f>
        <v>4.1</v>
      </c>
      <c r="G1495" s="4" t="str">
        <f>HYPERLINK("http://141.218.60.56/~jnz1568/getInfo.php?workbook=27_11.xlsx&amp;sheet=U0&amp;row=1495&amp;col=7&amp;number=0.00452&amp;sourceID=14","0.00452")</f>
        <v>0.00452</v>
      </c>
    </row>
    <row r="1496" spans="1:7">
      <c r="A1496" s="3"/>
      <c r="B1496" s="3"/>
      <c r="C1496" s="3"/>
      <c r="D1496" s="3"/>
      <c r="E1496" s="3">
        <v>13</v>
      </c>
      <c r="F1496" s="4" t="str">
        <f>HYPERLINK("http://141.218.60.56/~jnz1568/getInfo.php?workbook=27_11.xlsx&amp;sheet=U0&amp;row=1496&amp;col=6&amp;number=4.2&amp;sourceID=14","4.2")</f>
        <v>4.2</v>
      </c>
      <c r="G1496" s="4" t="str">
        <f>HYPERLINK("http://141.218.60.56/~jnz1568/getInfo.php?workbook=27_11.xlsx&amp;sheet=U0&amp;row=1496&amp;col=7&amp;number=0.00452&amp;sourceID=14","0.00452")</f>
        <v>0.00452</v>
      </c>
    </row>
    <row r="1497" spans="1:7">
      <c r="A1497" s="3"/>
      <c r="B1497" s="3"/>
      <c r="C1497" s="3"/>
      <c r="D1497" s="3"/>
      <c r="E1497" s="3">
        <v>14</v>
      </c>
      <c r="F1497" s="4" t="str">
        <f>HYPERLINK("http://141.218.60.56/~jnz1568/getInfo.php?workbook=27_11.xlsx&amp;sheet=U0&amp;row=1497&amp;col=6&amp;number=4.3&amp;sourceID=14","4.3")</f>
        <v>4.3</v>
      </c>
      <c r="G1497" s="4" t="str">
        <f>HYPERLINK("http://141.218.60.56/~jnz1568/getInfo.php?workbook=27_11.xlsx&amp;sheet=U0&amp;row=1497&amp;col=7&amp;number=0.00451&amp;sourceID=14","0.00451")</f>
        <v>0.00451</v>
      </c>
    </row>
    <row r="1498" spans="1:7">
      <c r="A1498" s="3"/>
      <c r="B1498" s="3"/>
      <c r="C1498" s="3"/>
      <c r="D1498" s="3"/>
      <c r="E1498" s="3">
        <v>15</v>
      </c>
      <c r="F1498" s="4" t="str">
        <f>HYPERLINK("http://141.218.60.56/~jnz1568/getInfo.php?workbook=27_11.xlsx&amp;sheet=U0&amp;row=1498&amp;col=6&amp;number=4.4&amp;sourceID=14","4.4")</f>
        <v>4.4</v>
      </c>
      <c r="G1498" s="4" t="str">
        <f>HYPERLINK("http://141.218.60.56/~jnz1568/getInfo.php?workbook=27_11.xlsx&amp;sheet=U0&amp;row=1498&amp;col=7&amp;number=0.00451&amp;sourceID=14","0.00451")</f>
        <v>0.00451</v>
      </c>
    </row>
    <row r="1499" spans="1:7">
      <c r="A1499" s="3"/>
      <c r="B1499" s="3"/>
      <c r="C1499" s="3"/>
      <c r="D1499" s="3"/>
      <c r="E1499" s="3">
        <v>16</v>
      </c>
      <c r="F1499" s="4" t="str">
        <f>HYPERLINK("http://141.218.60.56/~jnz1568/getInfo.php?workbook=27_11.xlsx&amp;sheet=U0&amp;row=1499&amp;col=6&amp;number=4.5&amp;sourceID=14","4.5")</f>
        <v>4.5</v>
      </c>
      <c r="G1499" s="4" t="str">
        <f>HYPERLINK("http://141.218.60.56/~jnz1568/getInfo.php?workbook=27_11.xlsx&amp;sheet=U0&amp;row=1499&amp;col=7&amp;number=0.0045&amp;sourceID=14","0.0045")</f>
        <v>0.0045</v>
      </c>
    </row>
    <row r="1500" spans="1:7">
      <c r="A1500" s="3"/>
      <c r="B1500" s="3"/>
      <c r="C1500" s="3"/>
      <c r="D1500" s="3"/>
      <c r="E1500" s="3">
        <v>17</v>
      </c>
      <c r="F1500" s="4" t="str">
        <f>HYPERLINK("http://141.218.60.56/~jnz1568/getInfo.php?workbook=27_11.xlsx&amp;sheet=U0&amp;row=1500&amp;col=6&amp;number=4.6&amp;sourceID=14","4.6")</f>
        <v>4.6</v>
      </c>
      <c r="G1500" s="4" t="str">
        <f>HYPERLINK("http://141.218.60.56/~jnz1568/getInfo.php?workbook=27_11.xlsx&amp;sheet=U0&amp;row=1500&amp;col=7&amp;number=0.00449&amp;sourceID=14","0.00449")</f>
        <v>0.00449</v>
      </c>
    </row>
    <row r="1501" spans="1:7">
      <c r="A1501" s="3"/>
      <c r="B1501" s="3"/>
      <c r="C1501" s="3"/>
      <c r="D1501" s="3"/>
      <c r="E1501" s="3">
        <v>18</v>
      </c>
      <c r="F1501" s="4" t="str">
        <f>HYPERLINK("http://141.218.60.56/~jnz1568/getInfo.php?workbook=27_11.xlsx&amp;sheet=U0&amp;row=1501&amp;col=6&amp;number=4.7&amp;sourceID=14","4.7")</f>
        <v>4.7</v>
      </c>
      <c r="G1501" s="4" t="str">
        <f>HYPERLINK("http://141.218.60.56/~jnz1568/getInfo.php?workbook=27_11.xlsx&amp;sheet=U0&amp;row=1501&amp;col=7&amp;number=0.00448&amp;sourceID=14","0.00448")</f>
        <v>0.00448</v>
      </c>
    </row>
    <row r="1502" spans="1:7">
      <c r="A1502" s="3"/>
      <c r="B1502" s="3"/>
      <c r="C1502" s="3"/>
      <c r="D1502" s="3"/>
      <c r="E1502" s="3">
        <v>19</v>
      </c>
      <c r="F1502" s="4" t="str">
        <f>HYPERLINK("http://141.218.60.56/~jnz1568/getInfo.php?workbook=27_11.xlsx&amp;sheet=U0&amp;row=1502&amp;col=6&amp;number=4.8&amp;sourceID=14","4.8")</f>
        <v>4.8</v>
      </c>
      <c r="G1502" s="4" t="str">
        <f>HYPERLINK("http://141.218.60.56/~jnz1568/getInfo.php?workbook=27_11.xlsx&amp;sheet=U0&amp;row=1502&amp;col=7&amp;number=0.00447&amp;sourceID=14","0.00447")</f>
        <v>0.00447</v>
      </c>
    </row>
    <row r="1503" spans="1:7">
      <c r="A1503" s="3"/>
      <c r="B1503" s="3"/>
      <c r="C1503" s="3"/>
      <c r="D1503" s="3"/>
      <c r="E1503" s="3">
        <v>20</v>
      </c>
      <c r="F1503" s="4" t="str">
        <f>HYPERLINK("http://141.218.60.56/~jnz1568/getInfo.php?workbook=27_11.xlsx&amp;sheet=U0&amp;row=1503&amp;col=6&amp;number=4.9&amp;sourceID=14","4.9")</f>
        <v>4.9</v>
      </c>
      <c r="G1503" s="4" t="str">
        <f>HYPERLINK("http://141.218.60.56/~jnz1568/getInfo.php?workbook=27_11.xlsx&amp;sheet=U0&amp;row=1503&amp;col=7&amp;number=0.00445&amp;sourceID=14","0.00445")</f>
        <v>0.00445</v>
      </c>
    </row>
    <row r="1504" spans="1:7">
      <c r="A1504" s="3">
        <v>27</v>
      </c>
      <c r="B1504" s="3">
        <v>11</v>
      </c>
      <c r="C1504" s="3">
        <v>5</v>
      </c>
      <c r="D1504" s="3">
        <v>15</v>
      </c>
      <c r="E1504" s="3">
        <v>1</v>
      </c>
      <c r="F1504" s="4" t="str">
        <f>HYPERLINK("http://141.218.60.56/~jnz1568/getInfo.php?workbook=27_11.xlsx&amp;sheet=U0&amp;row=1504&amp;col=6&amp;number=3&amp;sourceID=14","3")</f>
        <v>3</v>
      </c>
      <c r="G1504" s="4" t="str">
        <f>HYPERLINK("http://141.218.60.56/~jnz1568/getInfo.php?workbook=27_11.xlsx&amp;sheet=U0&amp;row=1504&amp;col=7&amp;number=0.0105&amp;sourceID=14","0.0105")</f>
        <v>0.0105</v>
      </c>
    </row>
    <row r="1505" spans="1:7">
      <c r="A1505" s="3"/>
      <c r="B1505" s="3"/>
      <c r="C1505" s="3"/>
      <c r="D1505" s="3"/>
      <c r="E1505" s="3">
        <v>2</v>
      </c>
      <c r="F1505" s="4" t="str">
        <f>HYPERLINK("http://141.218.60.56/~jnz1568/getInfo.php?workbook=27_11.xlsx&amp;sheet=U0&amp;row=1505&amp;col=6&amp;number=3.1&amp;sourceID=14","3.1")</f>
        <v>3.1</v>
      </c>
      <c r="G1505" s="4" t="str">
        <f>HYPERLINK("http://141.218.60.56/~jnz1568/getInfo.php?workbook=27_11.xlsx&amp;sheet=U0&amp;row=1505&amp;col=7&amp;number=0.0105&amp;sourceID=14","0.0105")</f>
        <v>0.0105</v>
      </c>
    </row>
    <row r="1506" spans="1:7">
      <c r="A1506" s="3"/>
      <c r="B1506" s="3"/>
      <c r="C1506" s="3"/>
      <c r="D1506" s="3"/>
      <c r="E1506" s="3">
        <v>3</v>
      </c>
      <c r="F1506" s="4" t="str">
        <f>HYPERLINK("http://141.218.60.56/~jnz1568/getInfo.php?workbook=27_11.xlsx&amp;sheet=U0&amp;row=1506&amp;col=6&amp;number=3.2&amp;sourceID=14","3.2")</f>
        <v>3.2</v>
      </c>
      <c r="G1506" s="4" t="str">
        <f>HYPERLINK("http://141.218.60.56/~jnz1568/getInfo.php?workbook=27_11.xlsx&amp;sheet=U0&amp;row=1506&amp;col=7&amp;number=0.0105&amp;sourceID=14","0.0105")</f>
        <v>0.0105</v>
      </c>
    </row>
    <row r="1507" spans="1:7">
      <c r="A1507" s="3"/>
      <c r="B1507" s="3"/>
      <c r="C1507" s="3"/>
      <c r="D1507" s="3"/>
      <c r="E1507" s="3">
        <v>4</v>
      </c>
      <c r="F1507" s="4" t="str">
        <f>HYPERLINK("http://141.218.60.56/~jnz1568/getInfo.php?workbook=27_11.xlsx&amp;sheet=U0&amp;row=1507&amp;col=6&amp;number=3.3&amp;sourceID=14","3.3")</f>
        <v>3.3</v>
      </c>
      <c r="G1507" s="4" t="str">
        <f>HYPERLINK("http://141.218.60.56/~jnz1568/getInfo.php?workbook=27_11.xlsx&amp;sheet=U0&amp;row=1507&amp;col=7&amp;number=0.0105&amp;sourceID=14","0.0105")</f>
        <v>0.0105</v>
      </c>
    </row>
    <row r="1508" spans="1:7">
      <c r="A1508" s="3"/>
      <c r="B1508" s="3"/>
      <c r="C1508" s="3"/>
      <c r="D1508" s="3"/>
      <c r="E1508" s="3">
        <v>5</v>
      </c>
      <c r="F1508" s="4" t="str">
        <f>HYPERLINK("http://141.218.60.56/~jnz1568/getInfo.php?workbook=27_11.xlsx&amp;sheet=U0&amp;row=1508&amp;col=6&amp;number=3.4&amp;sourceID=14","3.4")</f>
        <v>3.4</v>
      </c>
      <c r="G1508" s="4" t="str">
        <f>HYPERLINK("http://141.218.60.56/~jnz1568/getInfo.php?workbook=27_11.xlsx&amp;sheet=U0&amp;row=1508&amp;col=7&amp;number=0.0105&amp;sourceID=14","0.0105")</f>
        <v>0.0105</v>
      </c>
    </row>
    <row r="1509" spans="1:7">
      <c r="A1509" s="3"/>
      <c r="B1509" s="3"/>
      <c r="C1509" s="3"/>
      <c r="D1509" s="3"/>
      <c r="E1509" s="3">
        <v>6</v>
      </c>
      <c r="F1509" s="4" t="str">
        <f>HYPERLINK("http://141.218.60.56/~jnz1568/getInfo.php?workbook=27_11.xlsx&amp;sheet=U0&amp;row=1509&amp;col=6&amp;number=3.5&amp;sourceID=14","3.5")</f>
        <v>3.5</v>
      </c>
      <c r="G1509" s="4" t="str">
        <f>HYPERLINK("http://141.218.60.56/~jnz1568/getInfo.php?workbook=27_11.xlsx&amp;sheet=U0&amp;row=1509&amp;col=7&amp;number=0.0105&amp;sourceID=14","0.0105")</f>
        <v>0.0105</v>
      </c>
    </row>
    <row r="1510" spans="1:7">
      <c r="A1510" s="3"/>
      <c r="B1510" s="3"/>
      <c r="C1510" s="3"/>
      <c r="D1510" s="3"/>
      <c r="E1510" s="3">
        <v>7</v>
      </c>
      <c r="F1510" s="4" t="str">
        <f>HYPERLINK("http://141.218.60.56/~jnz1568/getInfo.php?workbook=27_11.xlsx&amp;sheet=U0&amp;row=1510&amp;col=6&amp;number=3.6&amp;sourceID=14","3.6")</f>
        <v>3.6</v>
      </c>
      <c r="G1510" s="4" t="str">
        <f>HYPERLINK("http://141.218.60.56/~jnz1568/getInfo.php?workbook=27_11.xlsx&amp;sheet=U0&amp;row=1510&amp;col=7&amp;number=0.0105&amp;sourceID=14","0.0105")</f>
        <v>0.0105</v>
      </c>
    </row>
    <row r="1511" spans="1:7">
      <c r="A1511" s="3"/>
      <c r="B1511" s="3"/>
      <c r="C1511" s="3"/>
      <c r="D1511" s="3"/>
      <c r="E1511" s="3">
        <v>8</v>
      </c>
      <c r="F1511" s="4" t="str">
        <f>HYPERLINK("http://141.218.60.56/~jnz1568/getInfo.php?workbook=27_11.xlsx&amp;sheet=U0&amp;row=1511&amp;col=6&amp;number=3.7&amp;sourceID=14","3.7")</f>
        <v>3.7</v>
      </c>
      <c r="G1511" s="4" t="str">
        <f>HYPERLINK("http://141.218.60.56/~jnz1568/getInfo.php?workbook=27_11.xlsx&amp;sheet=U0&amp;row=1511&amp;col=7&amp;number=0.0105&amp;sourceID=14","0.0105")</f>
        <v>0.0105</v>
      </c>
    </row>
    <row r="1512" spans="1:7">
      <c r="A1512" s="3"/>
      <c r="B1512" s="3"/>
      <c r="C1512" s="3"/>
      <c r="D1512" s="3"/>
      <c r="E1512" s="3">
        <v>9</v>
      </c>
      <c r="F1512" s="4" t="str">
        <f>HYPERLINK("http://141.218.60.56/~jnz1568/getInfo.php?workbook=27_11.xlsx&amp;sheet=U0&amp;row=1512&amp;col=6&amp;number=3.8&amp;sourceID=14","3.8")</f>
        <v>3.8</v>
      </c>
      <c r="G1512" s="4" t="str">
        <f>HYPERLINK("http://141.218.60.56/~jnz1568/getInfo.php?workbook=27_11.xlsx&amp;sheet=U0&amp;row=1512&amp;col=7&amp;number=0.0105&amp;sourceID=14","0.0105")</f>
        <v>0.0105</v>
      </c>
    </row>
    <row r="1513" spans="1:7">
      <c r="A1513" s="3"/>
      <c r="B1513" s="3"/>
      <c r="C1513" s="3"/>
      <c r="D1513" s="3"/>
      <c r="E1513" s="3">
        <v>10</v>
      </c>
      <c r="F1513" s="4" t="str">
        <f>HYPERLINK("http://141.218.60.56/~jnz1568/getInfo.php?workbook=27_11.xlsx&amp;sheet=U0&amp;row=1513&amp;col=6&amp;number=3.9&amp;sourceID=14","3.9")</f>
        <v>3.9</v>
      </c>
      <c r="G1513" s="4" t="str">
        <f>HYPERLINK("http://141.218.60.56/~jnz1568/getInfo.php?workbook=27_11.xlsx&amp;sheet=U0&amp;row=1513&amp;col=7&amp;number=0.0105&amp;sourceID=14","0.0105")</f>
        <v>0.0105</v>
      </c>
    </row>
    <row r="1514" spans="1:7">
      <c r="A1514" s="3"/>
      <c r="B1514" s="3"/>
      <c r="C1514" s="3"/>
      <c r="D1514" s="3"/>
      <c r="E1514" s="3">
        <v>11</v>
      </c>
      <c r="F1514" s="4" t="str">
        <f>HYPERLINK("http://141.218.60.56/~jnz1568/getInfo.php?workbook=27_11.xlsx&amp;sheet=U0&amp;row=1514&amp;col=6&amp;number=4&amp;sourceID=14","4")</f>
        <v>4</v>
      </c>
      <c r="G1514" s="4" t="str">
        <f>HYPERLINK("http://141.218.60.56/~jnz1568/getInfo.php?workbook=27_11.xlsx&amp;sheet=U0&amp;row=1514&amp;col=7&amp;number=0.0105&amp;sourceID=14","0.0105")</f>
        <v>0.0105</v>
      </c>
    </row>
    <row r="1515" spans="1:7">
      <c r="A1515" s="3"/>
      <c r="B1515" s="3"/>
      <c r="C1515" s="3"/>
      <c r="D1515" s="3"/>
      <c r="E1515" s="3">
        <v>12</v>
      </c>
      <c r="F1515" s="4" t="str">
        <f>HYPERLINK("http://141.218.60.56/~jnz1568/getInfo.php?workbook=27_11.xlsx&amp;sheet=U0&amp;row=1515&amp;col=6&amp;number=4.1&amp;sourceID=14","4.1")</f>
        <v>4.1</v>
      </c>
      <c r="G1515" s="4" t="str">
        <f>HYPERLINK("http://141.218.60.56/~jnz1568/getInfo.php?workbook=27_11.xlsx&amp;sheet=U0&amp;row=1515&amp;col=7&amp;number=0.0105&amp;sourceID=14","0.0105")</f>
        <v>0.0105</v>
      </c>
    </row>
    <row r="1516" spans="1:7">
      <c r="A1516" s="3"/>
      <c r="B1516" s="3"/>
      <c r="C1516" s="3"/>
      <c r="D1516" s="3"/>
      <c r="E1516" s="3">
        <v>13</v>
      </c>
      <c r="F1516" s="4" t="str">
        <f>HYPERLINK("http://141.218.60.56/~jnz1568/getInfo.php?workbook=27_11.xlsx&amp;sheet=U0&amp;row=1516&amp;col=6&amp;number=4.2&amp;sourceID=14","4.2")</f>
        <v>4.2</v>
      </c>
      <c r="G1516" s="4" t="str">
        <f>HYPERLINK("http://141.218.60.56/~jnz1568/getInfo.php?workbook=27_11.xlsx&amp;sheet=U0&amp;row=1516&amp;col=7&amp;number=0.0105&amp;sourceID=14","0.0105")</f>
        <v>0.0105</v>
      </c>
    </row>
    <row r="1517" spans="1:7">
      <c r="A1517" s="3"/>
      <c r="B1517" s="3"/>
      <c r="C1517" s="3"/>
      <c r="D1517" s="3"/>
      <c r="E1517" s="3">
        <v>14</v>
      </c>
      <c r="F1517" s="4" t="str">
        <f>HYPERLINK("http://141.218.60.56/~jnz1568/getInfo.php?workbook=27_11.xlsx&amp;sheet=U0&amp;row=1517&amp;col=6&amp;number=4.3&amp;sourceID=14","4.3")</f>
        <v>4.3</v>
      </c>
      <c r="G1517" s="4" t="str">
        <f>HYPERLINK("http://141.218.60.56/~jnz1568/getInfo.php?workbook=27_11.xlsx&amp;sheet=U0&amp;row=1517&amp;col=7&amp;number=0.0105&amp;sourceID=14","0.0105")</f>
        <v>0.0105</v>
      </c>
    </row>
    <row r="1518" spans="1:7">
      <c r="A1518" s="3"/>
      <c r="B1518" s="3"/>
      <c r="C1518" s="3"/>
      <c r="D1518" s="3"/>
      <c r="E1518" s="3">
        <v>15</v>
      </c>
      <c r="F1518" s="4" t="str">
        <f>HYPERLINK("http://141.218.60.56/~jnz1568/getInfo.php?workbook=27_11.xlsx&amp;sheet=U0&amp;row=1518&amp;col=6&amp;number=4.4&amp;sourceID=14","4.4")</f>
        <v>4.4</v>
      </c>
      <c r="G1518" s="4" t="str">
        <f>HYPERLINK("http://141.218.60.56/~jnz1568/getInfo.php?workbook=27_11.xlsx&amp;sheet=U0&amp;row=1518&amp;col=7&amp;number=0.0105&amp;sourceID=14","0.0105")</f>
        <v>0.0105</v>
      </c>
    </row>
    <row r="1519" spans="1:7">
      <c r="A1519" s="3"/>
      <c r="B1519" s="3"/>
      <c r="C1519" s="3"/>
      <c r="D1519" s="3"/>
      <c r="E1519" s="3">
        <v>16</v>
      </c>
      <c r="F1519" s="4" t="str">
        <f>HYPERLINK("http://141.218.60.56/~jnz1568/getInfo.php?workbook=27_11.xlsx&amp;sheet=U0&amp;row=1519&amp;col=6&amp;number=4.5&amp;sourceID=14","4.5")</f>
        <v>4.5</v>
      </c>
      <c r="G1519" s="4" t="str">
        <f>HYPERLINK("http://141.218.60.56/~jnz1568/getInfo.php?workbook=27_11.xlsx&amp;sheet=U0&amp;row=1519&amp;col=7&amp;number=0.0105&amp;sourceID=14","0.0105")</f>
        <v>0.0105</v>
      </c>
    </row>
    <row r="1520" spans="1:7">
      <c r="A1520" s="3"/>
      <c r="B1520" s="3"/>
      <c r="C1520" s="3"/>
      <c r="D1520" s="3"/>
      <c r="E1520" s="3">
        <v>17</v>
      </c>
      <c r="F1520" s="4" t="str">
        <f>HYPERLINK("http://141.218.60.56/~jnz1568/getInfo.php?workbook=27_11.xlsx&amp;sheet=U0&amp;row=1520&amp;col=6&amp;number=4.6&amp;sourceID=14","4.6")</f>
        <v>4.6</v>
      </c>
      <c r="G1520" s="4" t="str">
        <f>HYPERLINK("http://141.218.60.56/~jnz1568/getInfo.php?workbook=27_11.xlsx&amp;sheet=U0&amp;row=1520&amp;col=7&amp;number=0.0105&amp;sourceID=14","0.0105")</f>
        <v>0.0105</v>
      </c>
    </row>
    <row r="1521" spans="1:7">
      <c r="A1521" s="3"/>
      <c r="B1521" s="3"/>
      <c r="C1521" s="3"/>
      <c r="D1521" s="3"/>
      <c r="E1521" s="3">
        <v>18</v>
      </c>
      <c r="F1521" s="4" t="str">
        <f>HYPERLINK("http://141.218.60.56/~jnz1568/getInfo.php?workbook=27_11.xlsx&amp;sheet=U0&amp;row=1521&amp;col=6&amp;number=4.7&amp;sourceID=14","4.7")</f>
        <v>4.7</v>
      </c>
      <c r="G1521" s="4" t="str">
        <f>HYPERLINK("http://141.218.60.56/~jnz1568/getInfo.php?workbook=27_11.xlsx&amp;sheet=U0&amp;row=1521&amp;col=7&amp;number=0.0104&amp;sourceID=14","0.0104")</f>
        <v>0.0104</v>
      </c>
    </row>
    <row r="1522" spans="1:7">
      <c r="A1522" s="3"/>
      <c r="B1522" s="3"/>
      <c r="C1522" s="3"/>
      <c r="D1522" s="3"/>
      <c r="E1522" s="3">
        <v>19</v>
      </c>
      <c r="F1522" s="4" t="str">
        <f>HYPERLINK("http://141.218.60.56/~jnz1568/getInfo.php?workbook=27_11.xlsx&amp;sheet=U0&amp;row=1522&amp;col=6&amp;number=4.8&amp;sourceID=14","4.8")</f>
        <v>4.8</v>
      </c>
      <c r="G1522" s="4" t="str">
        <f>HYPERLINK("http://141.218.60.56/~jnz1568/getInfo.php?workbook=27_11.xlsx&amp;sheet=U0&amp;row=1522&amp;col=7&amp;number=0.0104&amp;sourceID=14","0.0104")</f>
        <v>0.0104</v>
      </c>
    </row>
    <row r="1523" spans="1:7">
      <c r="A1523" s="3"/>
      <c r="B1523" s="3"/>
      <c r="C1523" s="3"/>
      <c r="D1523" s="3"/>
      <c r="E1523" s="3">
        <v>20</v>
      </c>
      <c r="F1523" s="4" t="str">
        <f>HYPERLINK("http://141.218.60.56/~jnz1568/getInfo.php?workbook=27_11.xlsx&amp;sheet=U0&amp;row=1523&amp;col=6&amp;number=4.9&amp;sourceID=14","4.9")</f>
        <v>4.9</v>
      </c>
      <c r="G1523" s="4" t="str">
        <f>HYPERLINK("http://141.218.60.56/~jnz1568/getInfo.php?workbook=27_11.xlsx&amp;sheet=U0&amp;row=1523&amp;col=7&amp;number=0.0104&amp;sourceID=14","0.0104")</f>
        <v>0.0104</v>
      </c>
    </row>
    <row r="1524" spans="1:7">
      <c r="A1524" s="3">
        <v>27</v>
      </c>
      <c r="B1524" s="3">
        <v>11</v>
      </c>
      <c r="C1524" s="3">
        <v>5</v>
      </c>
      <c r="D1524" s="3">
        <v>16</v>
      </c>
      <c r="E1524" s="3">
        <v>1</v>
      </c>
      <c r="F1524" s="4" t="str">
        <f>HYPERLINK("http://141.218.60.56/~jnz1568/getInfo.php?workbook=27_11.xlsx&amp;sheet=U0&amp;row=1524&amp;col=6&amp;number=3&amp;sourceID=14","3")</f>
        <v>3</v>
      </c>
      <c r="G1524" s="4" t="str">
        <f>HYPERLINK("http://141.218.60.56/~jnz1568/getInfo.php?workbook=27_11.xlsx&amp;sheet=U0&amp;row=1524&amp;col=7&amp;number=0.0158&amp;sourceID=14","0.0158")</f>
        <v>0.0158</v>
      </c>
    </row>
    <row r="1525" spans="1:7">
      <c r="A1525" s="3"/>
      <c r="B1525" s="3"/>
      <c r="C1525" s="3"/>
      <c r="D1525" s="3"/>
      <c r="E1525" s="3">
        <v>2</v>
      </c>
      <c r="F1525" s="4" t="str">
        <f>HYPERLINK("http://141.218.60.56/~jnz1568/getInfo.php?workbook=27_11.xlsx&amp;sheet=U0&amp;row=1525&amp;col=6&amp;number=3.1&amp;sourceID=14","3.1")</f>
        <v>3.1</v>
      </c>
      <c r="G1525" s="4" t="str">
        <f>HYPERLINK("http://141.218.60.56/~jnz1568/getInfo.php?workbook=27_11.xlsx&amp;sheet=U0&amp;row=1525&amp;col=7&amp;number=0.0158&amp;sourceID=14","0.0158")</f>
        <v>0.0158</v>
      </c>
    </row>
    <row r="1526" spans="1:7">
      <c r="A1526" s="3"/>
      <c r="B1526" s="3"/>
      <c r="C1526" s="3"/>
      <c r="D1526" s="3"/>
      <c r="E1526" s="3">
        <v>3</v>
      </c>
      <c r="F1526" s="4" t="str">
        <f>HYPERLINK("http://141.218.60.56/~jnz1568/getInfo.php?workbook=27_11.xlsx&amp;sheet=U0&amp;row=1526&amp;col=6&amp;number=3.2&amp;sourceID=14","3.2")</f>
        <v>3.2</v>
      </c>
      <c r="G1526" s="4" t="str">
        <f>HYPERLINK("http://141.218.60.56/~jnz1568/getInfo.php?workbook=27_11.xlsx&amp;sheet=U0&amp;row=1526&amp;col=7&amp;number=0.0158&amp;sourceID=14","0.0158")</f>
        <v>0.0158</v>
      </c>
    </row>
    <row r="1527" spans="1:7">
      <c r="A1527" s="3"/>
      <c r="B1527" s="3"/>
      <c r="C1527" s="3"/>
      <c r="D1527" s="3"/>
      <c r="E1527" s="3">
        <v>4</v>
      </c>
      <c r="F1527" s="4" t="str">
        <f>HYPERLINK("http://141.218.60.56/~jnz1568/getInfo.php?workbook=27_11.xlsx&amp;sheet=U0&amp;row=1527&amp;col=6&amp;number=3.3&amp;sourceID=14","3.3")</f>
        <v>3.3</v>
      </c>
      <c r="G1527" s="4" t="str">
        <f>HYPERLINK("http://141.218.60.56/~jnz1568/getInfo.php?workbook=27_11.xlsx&amp;sheet=U0&amp;row=1527&amp;col=7&amp;number=0.0158&amp;sourceID=14","0.0158")</f>
        <v>0.0158</v>
      </c>
    </row>
    <row r="1528" spans="1:7">
      <c r="A1528" s="3"/>
      <c r="B1528" s="3"/>
      <c r="C1528" s="3"/>
      <c r="D1528" s="3"/>
      <c r="E1528" s="3">
        <v>5</v>
      </c>
      <c r="F1528" s="4" t="str">
        <f>HYPERLINK("http://141.218.60.56/~jnz1568/getInfo.php?workbook=27_11.xlsx&amp;sheet=U0&amp;row=1528&amp;col=6&amp;number=3.4&amp;sourceID=14","3.4")</f>
        <v>3.4</v>
      </c>
      <c r="G1528" s="4" t="str">
        <f>HYPERLINK("http://141.218.60.56/~jnz1568/getInfo.php?workbook=27_11.xlsx&amp;sheet=U0&amp;row=1528&amp;col=7&amp;number=0.0158&amp;sourceID=14","0.0158")</f>
        <v>0.0158</v>
      </c>
    </row>
    <row r="1529" spans="1:7">
      <c r="A1529" s="3"/>
      <c r="B1529" s="3"/>
      <c r="C1529" s="3"/>
      <c r="D1529" s="3"/>
      <c r="E1529" s="3">
        <v>6</v>
      </c>
      <c r="F1529" s="4" t="str">
        <f>HYPERLINK("http://141.218.60.56/~jnz1568/getInfo.php?workbook=27_11.xlsx&amp;sheet=U0&amp;row=1529&amp;col=6&amp;number=3.5&amp;sourceID=14","3.5")</f>
        <v>3.5</v>
      </c>
      <c r="G1529" s="4" t="str">
        <f>HYPERLINK("http://141.218.60.56/~jnz1568/getInfo.php?workbook=27_11.xlsx&amp;sheet=U0&amp;row=1529&amp;col=7&amp;number=0.0158&amp;sourceID=14","0.0158")</f>
        <v>0.0158</v>
      </c>
    </row>
    <row r="1530" spans="1:7">
      <c r="A1530" s="3"/>
      <c r="B1530" s="3"/>
      <c r="C1530" s="3"/>
      <c r="D1530" s="3"/>
      <c r="E1530" s="3">
        <v>7</v>
      </c>
      <c r="F1530" s="4" t="str">
        <f>HYPERLINK("http://141.218.60.56/~jnz1568/getInfo.php?workbook=27_11.xlsx&amp;sheet=U0&amp;row=1530&amp;col=6&amp;number=3.6&amp;sourceID=14","3.6")</f>
        <v>3.6</v>
      </c>
      <c r="G1530" s="4" t="str">
        <f>HYPERLINK("http://141.218.60.56/~jnz1568/getInfo.php?workbook=27_11.xlsx&amp;sheet=U0&amp;row=1530&amp;col=7&amp;number=0.0158&amp;sourceID=14","0.0158")</f>
        <v>0.0158</v>
      </c>
    </row>
    <row r="1531" spans="1:7">
      <c r="A1531" s="3"/>
      <c r="B1531" s="3"/>
      <c r="C1531" s="3"/>
      <c r="D1531" s="3"/>
      <c r="E1531" s="3">
        <v>8</v>
      </c>
      <c r="F1531" s="4" t="str">
        <f>HYPERLINK("http://141.218.60.56/~jnz1568/getInfo.php?workbook=27_11.xlsx&amp;sheet=U0&amp;row=1531&amp;col=6&amp;number=3.7&amp;sourceID=14","3.7")</f>
        <v>3.7</v>
      </c>
      <c r="G1531" s="4" t="str">
        <f>HYPERLINK("http://141.218.60.56/~jnz1568/getInfo.php?workbook=27_11.xlsx&amp;sheet=U0&amp;row=1531&amp;col=7&amp;number=0.0158&amp;sourceID=14","0.0158")</f>
        <v>0.0158</v>
      </c>
    </row>
    <row r="1532" spans="1:7">
      <c r="A1532" s="3"/>
      <c r="B1532" s="3"/>
      <c r="C1532" s="3"/>
      <c r="D1532" s="3"/>
      <c r="E1532" s="3">
        <v>9</v>
      </c>
      <c r="F1532" s="4" t="str">
        <f>HYPERLINK("http://141.218.60.56/~jnz1568/getInfo.php?workbook=27_11.xlsx&amp;sheet=U0&amp;row=1532&amp;col=6&amp;number=3.8&amp;sourceID=14","3.8")</f>
        <v>3.8</v>
      </c>
      <c r="G1532" s="4" t="str">
        <f>HYPERLINK("http://141.218.60.56/~jnz1568/getInfo.php?workbook=27_11.xlsx&amp;sheet=U0&amp;row=1532&amp;col=7&amp;number=0.0158&amp;sourceID=14","0.0158")</f>
        <v>0.0158</v>
      </c>
    </row>
    <row r="1533" spans="1:7">
      <c r="A1533" s="3"/>
      <c r="B1533" s="3"/>
      <c r="C1533" s="3"/>
      <c r="D1533" s="3"/>
      <c r="E1533" s="3">
        <v>10</v>
      </c>
      <c r="F1533" s="4" t="str">
        <f>HYPERLINK("http://141.218.60.56/~jnz1568/getInfo.php?workbook=27_11.xlsx&amp;sheet=U0&amp;row=1533&amp;col=6&amp;number=3.9&amp;sourceID=14","3.9")</f>
        <v>3.9</v>
      </c>
      <c r="G1533" s="4" t="str">
        <f>HYPERLINK("http://141.218.60.56/~jnz1568/getInfo.php?workbook=27_11.xlsx&amp;sheet=U0&amp;row=1533&amp;col=7&amp;number=0.0158&amp;sourceID=14","0.0158")</f>
        <v>0.0158</v>
      </c>
    </row>
    <row r="1534" spans="1:7">
      <c r="A1534" s="3"/>
      <c r="B1534" s="3"/>
      <c r="C1534" s="3"/>
      <c r="D1534" s="3"/>
      <c r="E1534" s="3">
        <v>11</v>
      </c>
      <c r="F1534" s="4" t="str">
        <f>HYPERLINK("http://141.218.60.56/~jnz1568/getInfo.php?workbook=27_11.xlsx&amp;sheet=U0&amp;row=1534&amp;col=6&amp;number=4&amp;sourceID=14","4")</f>
        <v>4</v>
      </c>
      <c r="G1534" s="4" t="str">
        <f>HYPERLINK("http://141.218.60.56/~jnz1568/getInfo.php?workbook=27_11.xlsx&amp;sheet=U0&amp;row=1534&amp;col=7&amp;number=0.0158&amp;sourceID=14","0.0158")</f>
        <v>0.0158</v>
      </c>
    </row>
    <row r="1535" spans="1:7">
      <c r="A1535" s="3"/>
      <c r="B1535" s="3"/>
      <c r="C1535" s="3"/>
      <c r="D1535" s="3"/>
      <c r="E1535" s="3">
        <v>12</v>
      </c>
      <c r="F1535" s="4" t="str">
        <f>HYPERLINK("http://141.218.60.56/~jnz1568/getInfo.php?workbook=27_11.xlsx&amp;sheet=U0&amp;row=1535&amp;col=6&amp;number=4.1&amp;sourceID=14","4.1")</f>
        <v>4.1</v>
      </c>
      <c r="G1535" s="4" t="str">
        <f>HYPERLINK("http://141.218.60.56/~jnz1568/getInfo.php?workbook=27_11.xlsx&amp;sheet=U0&amp;row=1535&amp;col=7&amp;number=0.0158&amp;sourceID=14","0.0158")</f>
        <v>0.0158</v>
      </c>
    </row>
    <row r="1536" spans="1:7">
      <c r="A1536" s="3"/>
      <c r="B1536" s="3"/>
      <c r="C1536" s="3"/>
      <c r="D1536" s="3"/>
      <c r="E1536" s="3">
        <v>13</v>
      </c>
      <c r="F1536" s="4" t="str">
        <f>HYPERLINK("http://141.218.60.56/~jnz1568/getInfo.php?workbook=27_11.xlsx&amp;sheet=U0&amp;row=1536&amp;col=6&amp;number=4.2&amp;sourceID=14","4.2")</f>
        <v>4.2</v>
      </c>
      <c r="G1536" s="4" t="str">
        <f>HYPERLINK("http://141.218.60.56/~jnz1568/getInfo.php?workbook=27_11.xlsx&amp;sheet=U0&amp;row=1536&amp;col=7&amp;number=0.0158&amp;sourceID=14","0.0158")</f>
        <v>0.0158</v>
      </c>
    </row>
    <row r="1537" spans="1:7">
      <c r="A1537" s="3"/>
      <c r="B1537" s="3"/>
      <c r="C1537" s="3"/>
      <c r="D1537" s="3"/>
      <c r="E1537" s="3">
        <v>14</v>
      </c>
      <c r="F1537" s="4" t="str">
        <f>HYPERLINK("http://141.218.60.56/~jnz1568/getInfo.php?workbook=27_11.xlsx&amp;sheet=U0&amp;row=1537&amp;col=6&amp;number=4.3&amp;sourceID=14","4.3")</f>
        <v>4.3</v>
      </c>
      <c r="G1537" s="4" t="str">
        <f>HYPERLINK("http://141.218.60.56/~jnz1568/getInfo.php?workbook=27_11.xlsx&amp;sheet=U0&amp;row=1537&amp;col=7&amp;number=0.0158&amp;sourceID=14","0.0158")</f>
        <v>0.0158</v>
      </c>
    </row>
    <row r="1538" spans="1:7">
      <c r="A1538" s="3"/>
      <c r="B1538" s="3"/>
      <c r="C1538" s="3"/>
      <c r="D1538" s="3"/>
      <c r="E1538" s="3">
        <v>15</v>
      </c>
      <c r="F1538" s="4" t="str">
        <f>HYPERLINK("http://141.218.60.56/~jnz1568/getInfo.php?workbook=27_11.xlsx&amp;sheet=U0&amp;row=1538&amp;col=6&amp;number=4.4&amp;sourceID=14","4.4")</f>
        <v>4.4</v>
      </c>
      <c r="G1538" s="4" t="str">
        <f>HYPERLINK("http://141.218.60.56/~jnz1568/getInfo.php?workbook=27_11.xlsx&amp;sheet=U0&amp;row=1538&amp;col=7&amp;number=0.0157&amp;sourceID=14","0.0157")</f>
        <v>0.0157</v>
      </c>
    </row>
    <row r="1539" spans="1:7">
      <c r="A1539" s="3"/>
      <c r="B1539" s="3"/>
      <c r="C1539" s="3"/>
      <c r="D1539" s="3"/>
      <c r="E1539" s="3">
        <v>16</v>
      </c>
      <c r="F1539" s="4" t="str">
        <f>HYPERLINK("http://141.218.60.56/~jnz1568/getInfo.php?workbook=27_11.xlsx&amp;sheet=U0&amp;row=1539&amp;col=6&amp;number=4.5&amp;sourceID=14","4.5")</f>
        <v>4.5</v>
      </c>
      <c r="G1539" s="4" t="str">
        <f>HYPERLINK("http://141.218.60.56/~jnz1568/getInfo.php?workbook=27_11.xlsx&amp;sheet=U0&amp;row=1539&amp;col=7&amp;number=0.0157&amp;sourceID=14","0.0157")</f>
        <v>0.0157</v>
      </c>
    </row>
    <row r="1540" spans="1:7">
      <c r="A1540" s="3"/>
      <c r="B1540" s="3"/>
      <c r="C1540" s="3"/>
      <c r="D1540" s="3"/>
      <c r="E1540" s="3">
        <v>17</v>
      </c>
      <c r="F1540" s="4" t="str">
        <f>HYPERLINK("http://141.218.60.56/~jnz1568/getInfo.php?workbook=27_11.xlsx&amp;sheet=U0&amp;row=1540&amp;col=6&amp;number=4.6&amp;sourceID=14","4.6")</f>
        <v>4.6</v>
      </c>
      <c r="G1540" s="4" t="str">
        <f>HYPERLINK("http://141.218.60.56/~jnz1568/getInfo.php?workbook=27_11.xlsx&amp;sheet=U0&amp;row=1540&amp;col=7&amp;number=0.0157&amp;sourceID=14","0.0157")</f>
        <v>0.0157</v>
      </c>
    </row>
    <row r="1541" spans="1:7">
      <c r="A1541" s="3"/>
      <c r="B1541" s="3"/>
      <c r="C1541" s="3"/>
      <c r="D1541" s="3"/>
      <c r="E1541" s="3">
        <v>18</v>
      </c>
      <c r="F1541" s="4" t="str">
        <f>HYPERLINK("http://141.218.60.56/~jnz1568/getInfo.php?workbook=27_11.xlsx&amp;sheet=U0&amp;row=1541&amp;col=6&amp;number=4.7&amp;sourceID=14","4.7")</f>
        <v>4.7</v>
      </c>
      <c r="G1541" s="4" t="str">
        <f>HYPERLINK("http://141.218.60.56/~jnz1568/getInfo.php?workbook=27_11.xlsx&amp;sheet=U0&amp;row=1541&amp;col=7&amp;number=0.0156&amp;sourceID=14","0.0156")</f>
        <v>0.0156</v>
      </c>
    </row>
    <row r="1542" spans="1:7">
      <c r="A1542" s="3"/>
      <c r="B1542" s="3"/>
      <c r="C1542" s="3"/>
      <c r="D1542" s="3"/>
      <c r="E1542" s="3">
        <v>19</v>
      </c>
      <c r="F1542" s="4" t="str">
        <f>HYPERLINK("http://141.218.60.56/~jnz1568/getInfo.php?workbook=27_11.xlsx&amp;sheet=U0&amp;row=1542&amp;col=6&amp;number=4.8&amp;sourceID=14","4.8")</f>
        <v>4.8</v>
      </c>
      <c r="G1542" s="4" t="str">
        <f>HYPERLINK("http://141.218.60.56/~jnz1568/getInfo.php?workbook=27_11.xlsx&amp;sheet=U0&amp;row=1542&amp;col=7&amp;number=0.0156&amp;sourceID=14","0.0156")</f>
        <v>0.0156</v>
      </c>
    </row>
    <row r="1543" spans="1:7">
      <c r="A1543" s="3"/>
      <c r="B1543" s="3"/>
      <c r="C1543" s="3"/>
      <c r="D1543" s="3"/>
      <c r="E1543" s="3">
        <v>20</v>
      </c>
      <c r="F1543" s="4" t="str">
        <f>HYPERLINK("http://141.218.60.56/~jnz1568/getInfo.php?workbook=27_11.xlsx&amp;sheet=U0&amp;row=1543&amp;col=6&amp;number=4.9&amp;sourceID=14","4.9")</f>
        <v>4.9</v>
      </c>
      <c r="G1543" s="4" t="str">
        <f>HYPERLINK("http://141.218.60.56/~jnz1568/getInfo.php?workbook=27_11.xlsx&amp;sheet=U0&amp;row=1543&amp;col=7&amp;number=0.0155&amp;sourceID=14","0.0155")</f>
        <v>0.0155</v>
      </c>
    </row>
    <row r="1544" spans="1:7">
      <c r="A1544" s="3">
        <v>27</v>
      </c>
      <c r="B1544" s="3">
        <v>11</v>
      </c>
      <c r="C1544" s="3">
        <v>5</v>
      </c>
      <c r="D1544" s="3">
        <v>17</v>
      </c>
      <c r="E1544" s="3">
        <v>1</v>
      </c>
      <c r="F1544" s="4" t="str">
        <f>HYPERLINK("http://141.218.60.56/~jnz1568/getInfo.php?workbook=27_11.xlsx&amp;sheet=U0&amp;row=1544&amp;col=6&amp;number=3&amp;sourceID=14","3")</f>
        <v>3</v>
      </c>
      <c r="G1544" s="4" t="str">
        <f>HYPERLINK("http://141.218.60.56/~jnz1568/getInfo.php?workbook=27_11.xlsx&amp;sheet=U0&amp;row=1544&amp;col=7&amp;number=0.0862&amp;sourceID=14","0.0862")</f>
        <v>0.0862</v>
      </c>
    </row>
    <row r="1545" spans="1:7">
      <c r="A1545" s="3"/>
      <c r="B1545" s="3"/>
      <c r="C1545" s="3"/>
      <c r="D1545" s="3"/>
      <c r="E1545" s="3">
        <v>2</v>
      </c>
      <c r="F1545" s="4" t="str">
        <f>HYPERLINK("http://141.218.60.56/~jnz1568/getInfo.php?workbook=27_11.xlsx&amp;sheet=U0&amp;row=1545&amp;col=6&amp;number=3.1&amp;sourceID=14","3.1")</f>
        <v>3.1</v>
      </c>
      <c r="G1545" s="4" t="str">
        <f>HYPERLINK("http://141.218.60.56/~jnz1568/getInfo.php?workbook=27_11.xlsx&amp;sheet=U0&amp;row=1545&amp;col=7&amp;number=0.0862&amp;sourceID=14","0.0862")</f>
        <v>0.0862</v>
      </c>
    </row>
    <row r="1546" spans="1:7">
      <c r="A1546" s="3"/>
      <c r="B1546" s="3"/>
      <c r="C1546" s="3"/>
      <c r="D1546" s="3"/>
      <c r="E1546" s="3">
        <v>3</v>
      </c>
      <c r="F1546" s="4" t="str">
        <f>HYPERLINK("http://141.218.60.56/~jnz1568/getInfo.php?workbook=27_11.xlsx&amp;sheet=U0&amp;row=1546&amp;col=6&amp;number=3.2&amp;sourceID=14","3.2")</f>
        <v>3.2</v>
      </c>
      <c r="G1546" s="4" t="str">
        <f>HYPERLINK("http://141.218.60.56/~jnz1568/getInfo.php?workbook=27_11.xlsx&amp;sheet=U0&amp;row=1546&amp;col=7&amp;number=0.0862&amp;sourceID=14","0.0862")</f>
        <v>0.0862</v>
      </c>
    </row>
    <row r="1547" spans="1:7">
      <c r="A1547" s="3"/>
      <c r="B1547" s="3"/>
      <c r="C1547" s="3"/>
      <c r="D1547" s="3"/>
      <c r="E1547" s="3">
        <v>4</v>
      </c>
      <c r="F1547" s="4" t="str">
        <f>HYPERLINK("http://141.218.60.56/~jnz1568/getInfo.php?workbook=27_11.xlsx&amp;sheet=U0&amp;row=1547&amp;col=6&amp;number=3.3&amp;sourceID=14","3.3")</f>
        <v>3.3</v>
      </c>
      <c r="G1547" s="4" t="str">
        <f>HYPERLINK("http://141.218.60.56/~jnz1568/getInfo.php?workbook=27_11.xlsx&amp;sheet=U0&amp;row=1547&amp;col=7&amp;number=0.0862&amp;sourceID=14","0.0862")</f>
        <v>0.0862</v>
      </c>
    </row>
    <row r="1548" spans="1:7">
      <c r="A1548" s="3"/>
      <c r="B1548" s="3"/>
      <c r="C1548" s="3"/>
      <c r="D1548" s="3"/>
      <c r="E1548" s="3">
        <v>5</v>
      </c>
      <c r="F1548" s="4" t="str">
        <f>HYPERLINK("http://141.218.60.56/~jnz1568/getInfo.php?workbook=27_11.xlsx&amp;sheet=U0&amp;row=1548&amp;col=6&amp;number=3.4&amp;sourceID=14","3.4")</f>
        <v>3.4</v>
      </c>
      <c r="G1548" s="4" t="str">
        <f>HYPERLINK("http://141.218.60.56/~jnz1568/getInfo.php?workbook=27_11.xlsx&amp;sheet=U0&amp;row=1548&amp;col=7&amp;number=0.0862&amp;sourceID=14","0.0862")</f>
        <v>0.0862</v>
      </c>
    </row>
    <row r="1549" spans="1:7">
      <c r="A1549" s="3"/>
      <c r="B1549" s="3"/>
      <c r="C1549" s="3"/>
      <c r="D1549" s="3"/>
      <c r="E1549" s="3">
        <v>6</v>
      </c>
      <c r="F1549" s="4" t="str">
        <f>HYPERLINK("http://141.218.60.56/~jnz1568/getInfo.php?workbook=27_11.xlsx&amp;sheet=U0&amp;row=1549&amp;col=6&amp;number=3.5&amp;sourceID=14","3.5")</f>
        <v>3.5</v>
      </c>
      <c r="G1549" s="4" t="str">
        <f>HYPERLINK("http://141.218.60.56/~jnz1568/getInfo.php?workbook=27_11.xlsx&amp;sheet=U0&amp;row=1549&amp;col=7&amp;number=0.0862&amp;sourceID=14","0.0862")</f>
        <v>0.0862</v>
      </c>
    </row>
    <row r="1550" spans="1:7">
      <c r="A1550" s="3"/>
      <c r="B1550" s="3"/>
      <c r="C1550" s="3"/>
      <c r="D1550" s="3"/>
      <c r="E1550" s="3">
        <v>7</v>
      </c>
      <c r="F1550" s="4" t="str">
        <f>HYPERLINK("http://141.218.60.56/~jnz1568/getInfo.php?workbook=27_11.xlsx&amp;sheet=U0&amp;row=1550&amp;col=6&amp;number=3.6&amp;sourceID=14","3.6")</f>
        <v>3.6</v>
      </c>
      <c r="G1550" s="4" t="str">
        <f>HYPERLINK("http://141.218.60.56/~jnz1568/getInfo.php?workbook=27_11.xlsx&amp;sheet=U0&amp;row=1550&amp;col=7&amp;number=0.0862&amp;sourceID=14","0.0862")</f>
        <v>0.0862</v>
      </c>
    </row>
    <row r="1551" spans="1:7">
      <c r="A1551" s="3"/>
      <c r="B1551" s="3"/>
      <c r="C1551" s="3"/>
      <c r="D1551" s="3"/>
      <c r="E1551" s="3">
        <v>8</v>
      </c>
      <c r="F1551" s="4" t="str">
        <f>HYPERLINK("http://141.218.60.56/~jnz1568/getInfo.php?workbook=27_11.xlsx&amp;sheet=U0&amp;row=1551&amp;col=6&amp;number=3.7&amp;sourceID=14","3.7")</f>
        <v>3.7</v>
      </c>
      <c r="G1551" s="4" t="str">
        <f>HYPERLINK("http://141.218.60.56/~jnz1568/getInfo.php?workbook=27_11.xlsx&amp;sheet=U0&amp;row=1551&amp;col=7&amp;number=0.0862&amp;sourceID=14","0.0862")</f>
        <v>0.0862</v>
      </c>
    </row>
    <row r="1552" spans="1:7">
      <c r="A1552" s="3"/>
      <c r="B1552" s="3"/>
      <c r="C1552" s="3"/>
      <c r="D1552" s="3"/>
      <c r="E1552" s="3">
        <v>9</v>
      </c>
      <c r="F1552" s="4" t="str">
        <f>HYPERLINK("http://141.218.60.56/~jnz1568/getInfo.php?workbook=27_11.xlsx&amp;sheet=U0&amp;row=1552&amp;col=6&amp;number=3.8&amp;sourceID=14","3.8")</f>
        <v>3.8</v>
      </c>
      <c r="G1552" s="4" t="str">
        <f>HYPERLINK("http://141.218.60.56/~jnz1568/getInfo.php?workbook=27_11.xlsx&amp;sheet=U0&amp;row=1552&amp;col=7&amp;number=0.0862&amp;sourceID=14","0.0862")</f>
        <v>0.0862</v>
      </c>
    </row>
    <row r="1553" spans="1:7">
      <c r="A1553" s="3"/>
      <c r="B1553" s="3"/>
      <c r="C1553" s="3"/>
      <c r="D1553" s="3"/>
      <c r="E1553" s="3">
        <v>10</v>
      </c>
      <c r="F1553" s="4" t="str">
        <f>HYPERLINK("http://141.218.60.56/~jnz1568/getInfo.php?workbook=27_11.xlsx&amp;sheet=U0&amp;row=1553&amp;col=6&amp;number=3.9&amp;sourceID=14","3.9")</f>
        <v>3.9</v>
      </c>
      <c r="G1553" s="4" t="str">
        <f>HYPERLINK("http://141.218.60.56/~jnz1568/getInfo.php?workbook=27_11.xlsx&amp;sheet=U0&amp;row=1553&amp;col=7&amp;number=0.0862&amp;sourceID=14","0.0862")</f>
        <v>0.0862</v>
      </c>
    </row>
    <row r="1554" spans="1:7">
      <c r="A1554" s="3"/>
      <c r="B1554" s="3"/>
      <c r="C1554" s="3"/>
      <c r="D1554" s="3"/>
      <c r="E1554" s="3">
        <v>11</v>
      </c>
      <c r="F1554" s="4" t="str">
        <f>HYPERLINK("http://141.218.60.56/~jnz1568/getInfo.php?workbook=27_11.xlsx&amp;sheet=U0&amp;row=1554&amp;col=6&amp;number=4&amp;sourceID=14","4")</f>
        <v>4</v>
      </c>
      <c r="G1554" s="4" t="str">
        <f>HYPERLINK("http://141.218.60.56/~jnz1568/getInfo.php?workbook=27_11.xlsx&amp;sheet=U0&amp;row=1554&amp;col=7&amp;number=0.0862&amp;sourceID=14","0.0862")</f>
        <v>0.0862</v>
      </c>
    </row>
    <row r="1555" spans="1:7">
      <c r="A1555" s="3"/>
      <c r="B1555" s="3"/>
      <c r="C1555" s="3"/>
      <c r="D1555" s="3"/>
      <c r="E1555" s="3">
        <v>12</v>
      </c>
      <c r="F1555" s="4" t="str">
        <f>HYPERLINK("http://141.218.60.56/~jnz1568/getInfo.php?workbook=27_11.xlsx&amp;sheet=U0&amp;row=1555&amp;col=6&amp;number=4.1&amp;sourceID=14","4.1")</f>
        <v>4.1</v>
      </c>
      <c r="G1555" s="4" t="str">
        <f>HYPERLINK("http://141.218.60.56/~jnz1568/getInfo.php?workbook=27_11.xlsx&amp;sheet=U0&amp;row=1555&amp;col=7&amp;number=0.0862&amp;sourceID=14","0.0862")</f>
        <v>0.0862</v>
      </c>
    </row>
    <row r="1556" spans="1:7">
      <c r="A1556" s="3"/>
      <c r="B1556" s="3"/>
      <c r="C1556" s="3"/>
      <c r="D1556" s="3"/>
      <c r="E1556" s="3">
        <v>13</v>
      </c>
      <c r="F1556" s="4" t="str">
        <f>HYPERLINK("http://141.218.60.56/~jnz1568/getInfo.php?workbook=27_11.xlsx&amp;sheet=U0&amp;row=1556&amp;col=6&amp;number=4.2&amp;sourceID=14","4.2")</f>
        <v>4.2</v>
      </c>
      <c r="G1556" s="4" t="str">
        <f>HYPERLINK("http://141.218.60.56/~jnz1568/getInfo.php?workbook=27_11.xlsx&amp;sheet=U0&amp;row=1556&amp;col=7&amp;number=0.0862&amp;sourceID=14","0.0862")</f>
        <v>0.0862</v>
      </c>
    </row>
    <row r="1557" spans="1:7">
      <c r="A1557" s="3"/>
      <c r="B1557" s="3"/>
      <c r="C1557" s="3"/>
      <c r="D1557" s="3"/>
      <c r="E1557" s="3">
        <v>14</v>
      </c>
      <c r="F1557" s="4" t="str">
        <f>HYPERLINK("http://141.218.60.56/~jnz1568/getInfo.php?workbook=27_11.xlsx&amp;sheet=U0&amp;row=1557&amp;col=6&amp;number=4.3&amp;sourceID=14","4.3")</f>
        <v>4.3</v>
      </c>
      <c r="G1557" s="4" t="str">
        <f>HYPERLINK("http://141.218.60.56/~jnz1568/getInfo.php?workbook=27_11.xlsx&amp;sheet=U0&amp;row=1557&amp;col=7&amp;number=0.0862&amp;sourceID=14","0.0862")</f>
        <v>0.0862</v>
      </c>
    </row>
    <row r="1558" spans="1:7">
      <c r="A1558" s="3"/>
      <c r="B1558" s="3"/>
      <c r="C1558" s="3"/>
      <c r="D1558" s="3"/>
      <c r="E1558" s="3">
        <v>15</v>
      </c>
      <c r="F1558" s="4" t="str">
        <f>HYPERLINK("http://141.218.60.56/~jnz1568/getInfo.php?workbook=27_11.xlsx&amp;sheet=U0&amp;row=1558&amp;col=6&amp;number=4.4&amp;sourceID=14","4.4")</f>
        <v>4.4</v>
      </c>
      <c r="G1558" s="4" t="str">
        <f>HYPERLINK("http://141.218.60.56/~jnz1568/getInfo.php?workbook=27_11.xlsx&amp;sheet=U0&amp;row=1558&amp;col=7&amp;number=0.0861&amp;sourceID=14","0.0861")</f>
        <v>0.0861</v>
      </c>
    </row>
    <row r="1559" spans="1:7">
      <c r="A1559" s="3"/>
      <c r="B1559" s="3"/>
      <c r="C1559" s="3"/>
      <c r="D1559" s="3"/>
      <c r="E1559" s="3">
        <v>16</v>
      </c>
      <c r="F1559" s="4" t="str">
        <f>HYPERLINK("http://141.218.60.56/~jnz1568/getInfo.php?workbook=27_11.xlsx&amp;sheet=U0&amp;row=1559&amp;col=6&amp;number=4.5&amp;sourceID=14","4.5")</f>
        <v>4.5</v>
      </c>
      <c r="G1559" s="4" t="str">
        <f>HYPERLINK("http://141.218.60.56/~jnz1568/getInfo.php?workbook=27_11.xlsx&amp;sheet=U0&amp;row=1559&amp;col=7&amp;number=0.0861&amp;sourceID=14","0.0861")</f>
        <v>0.0861</v>
      </c>
    </row>
    <row r="1560" spans="1:7">
      <c r="A1560" s="3"/>
      <c r="B1560" s="3"/>
      <c r="C1560" s="3"/>
      <c r="D1560" s="3"/>
      <c r="E1560" s="3">
        <v>17</v>
      </c>
      <c r="F1560" s="4" t="str">
        <f>HYPERLINK("http://141.218.60.56/~jnz1568/getInfo.php?workbook=27_11.xlsx&amp;sheet=U0&amp;row=1560&amp;col=6&amp;number=4.6&amp;sourceID=14","4.6")</f>
        <v>4.6</v>
      </c>
      <c r="G1560" s="4" t="str">
        <f>HYPERLINK("http://141.218.60.56/~jnz1568/getInfo.php?workbook=27_11.xlsx&amp;sheet=U0&amp;row=1560&amp;col=7&amp;number=0.0861&amp;sourceID=14","0.0861")</f>
        <v>0.0861</v>
      </c>
    </row>
    <row r="1561" spans="1:7">
      <c r="A1561" s="3"/>
      <c r="B1561" s="3"/>
      <c r="C1561" s="3"/>
      <c r="D1561" s="3"/>
      <c r="E1561" s="3">
        <v>18</v>
      </c>
      <c r="F1561" s="4" t="str">
        <f>HYPERLINK("http://141.218.60.56/~jnz1568/getInfo.php?workbook=27_11.xlsx&amp;sheet=U0&amp;row=1561&amp;col=6&amp;number=4.7&amp;sourceID=14","4.7")</f>
        <v>4.7</v>
      </c>
      <c r="G1561" s="4" t="str">
        <f>HYPERLINK("http://141.218.60.56/~jnz1568/getInfo.php?workbook=27_11.xlsx&amp;sheet=U0&amp;row=1561&amp;col=7&amp;number=0.086&amp;sourceID=14","0.086")</f>
        <v>0.086</v>
      </c>
    </row>
    <row r="1562" spans="1:7">
      <c r="A1562" s="3"/>
      <c r="B1562" s="3"/>
      <c r="C1562" s="3"/>
      <c r="D1562" s="3"/>
      <c r="E1562" s="3">
        <v>19</v>
      </c>
      <c r="F1562" s="4" t="str">
        <f>HYPERLINK("http://141.218.60.56/~jnz1568/getInfo.php?workbook=27_11.xlsx&amp;sheet=U0&amp;row=1562&amp;col=6&amp;number=4.8&amp;sourceID=14","4.8")</f>
        <v>4.8</v>
      </c>
      <c r="G1562" s="4" t="str">
        <f>HYPERLINK("http://141.218.60.56/~jnz1568/getInfo.php?workbook=27_11.xlsx&amp;sheet=U0&amp;row=1562&amp;col=7&amp;number=0.086&amp;sourceID=14","0.086")</f>
        <v>0.086</v>
      </c>
    </row>
    <row r="1563" spans="1:7">
      <c r="A1563" s="3"/>
      <c r="B1563" s="3"/>
      <c r="C1563" s="3"/>
      <c r="D1563" s="3"/>
      <c r="E1563" s="3">
        <v>20</v>
      </c>
      <c r="F1563" s="4" t="str">
        <f>HYPERLINK("http://141.218.60.56/~jnz1568/getInfo.php?workbook=27_11.xlsx&amp;sheet=U0&amp;row=1563&amp;col=6&amp;number=4.9&amp;sourceID=14","4.9")</f>
        <v>4.9</v>
      </c>
      <c r="G1563" s="4" t="str">
        <f>HYPERLINK("http://141.218.60.56/~jnz1568/getInfo.php?workbook=27_11.xlsx&amp;sheet=U0&amp;row=1563&amp;col=7&amp;number=0.0859&amp;sourceID=14","0.0859")</f>
        <v>0.0859</v>
      </c>
    </row>
    <row r="1564" spans="1:7">
      <c r="A1564" s="3">
        <v>27</v>
      </c>
      <c r="B1564" s="3">
        <v>11</v>
      </c>
      <c r="C1564" s="3">
        <v>5</v>
      </c>
      <c r="D1564" s="3">
        <v>18</v>
      </c>
      <c r="E1564" s="3">
        <v>1</v>
      </c>
      <c r="F1564" s="4" t="str">
        <f>HYPERLINK("http://141.218.60.56/~jnz1568/getInfo.php?workbook=27_11.xlsx&amp;sheet=U0&amp;row=1564&amp;col=6&amp;number=3&amp;sourceID=14","3")</f>
        <v>3</v>
      </c>
      <c r="G1564" s="4" t="str">
        <f>HYPERLINK("http://141.218.60.56/~jnz1568/getInfo.php?workbook=27_11.xlsx&amp;sheet=U0&amp;row=1564&amp;col=7&amp;number=0.0384&amp;sourceID=14","0.0384")</f>
        <v>0.0384</v>
      </c>
    </row>
    <row r="1565" spans="1:7">
      <c r="A1565" s="3"/>
      <c r="B1565" s="3"/>
      <c r="C1565" s="3"/>
      <c r="D1565" s="3"/>
      <c r="E1565" s="3">
        <v>2</v>
      </c>
      <c r="F1565" s="4" t="str">
        <f>HYPERLINK("http://141.218.60.56/~jnz1568/getInfo.php?workbook=27_11.xlsx&amp;sheet=U0&amp;row=1565&amp;col=6&amp;number=3.1&amp;sourceID=14","3.1")</f>
        <v>3.1</v>
      </c>
      <c r="G1565" s="4" t="str">
        <f>HYPERLINK("http://141.218.60.56/~jnz1568/getInfo.php?workbook=27_11.xlsx&amp;sheet=U0&amp;row=1565&amp;col=7&amp;number=0.0384&amp;sourceID=14","0.0384")</f>
        <v>0.0384</v>
      </c>
    </row>
    <row r="1566" spans="1:7">
      <c r="A1566" s="3"/>
      <c r="B1566" s="3"/>
      <c r="C1566" s="3"/>
      <c r="D1566" s="3"/>
      <c r="E1566" s="3">
        <v>3</v>
      </c>
      <c r="F1566" s="4" t="str">
        <f>HYPERLINK("http://141.218.60.56/~jnz1568/getInfo.php?workbook=27_11.xlsx&amp;sheet=U0&amp;row=1566&amp;col=6&amp;number=3.2&amp;sourceID=14","3.2")</f>
        <v>3.2</v>
      </c>
      <c r="G1566" s="4" t="str">
        <f>HYPERLINK("http://141.218.60.56/~jnz1568/getInfo.php?workbook=27_11.xlsx&amp;sheet=U0&amp;row=1566&amp;col=7&amp;number=0.0384&amp;sourceID=14","0.0384")</f>
        <v>0.0384</v>
      </c>
    </row>
    <row r="1567" spans="1:7">
      <c r="A1567" s="3"/>
      <c r="B1567" s="3"/>
      <c r="C1567" s="3"/>
      <c r="D1567" s="3"/>
      <c r="E1567" s="3">
        <v>4</v>
      </c>
      <c r="F1567" s="4" t="str">
        <f>HYPERLINK("http://141.218.60.56/~jnz1568/getInfo.php?workbook=27_11.xlsx&amp;sheet=U0&amp;row=1567&amp;col=6&amp;number=3.3&amp;sourceID=14","3.3")</f>
        <v>3.3</v>
      </c>
      <c r="G1567" s="4" t="str">
        <f>HYPERLINK("http://141.218.60.56/~jnz1568/getInfo.php?workbook=27_11.xlsx&amp;sheet=U0&amp;row=1567&amp;col=7&amp;number=0.0384&amp;sourceID=14","0.0384")</f>
        <v>0.0384</v>
      </c>
    </row>
    <row r="1568" spans="1:7">
      <c r="A1568" s="3"/>
      <c r="B1568" s="3"/>
      <c r="C1568" s="3"/>
      <c r="D1568" s="3"/>
      <c r="E1568" s="3">
        <v>5</v>
      </c>
      <c r="F1568" s="4" t="str">
        <f>HYPERLINK("http://141.218.60.56/~jnz1568/getInfo.php?workbook=27_11.xlsx&amp;sheet=U0&amp;row=1568&amp;col=6&amp;number=3.4&amp;sourceID=14","3.4")</f>
        <v>3.4</v>
      </c>
      <c r="G1568" s="4" t="str">
        <f>HYPERLINK("http://141.218.60.56/~jnz1568/getInfo.php?workbook=27_11.xlsx&amp;sheet=U0&amp;row=1568&amp;col=7&amp;number=0.0384&amp;sourceID=14","0.0384")</f>
        <v>0.0384</v>
      </c>
    </row>
    <row r="1569" spans="1:7">
      <c r="A1569" s="3"/>
      <c r="B1569" s="3"/>
      <c r="C1569" s="3"/>
      <c r="D1569" s="3"/>
      <c r="E1569" s="3">
        <v>6</v>
      </c>
      <c r="F1569" s="4" t="str">
        <f>HYPERLINK("http://141.218.60.56/~jnz1568/getInfo.php?workbook=27_11.xlsx&amp;sheet=U0&amp;row=1569&amp;col=6&amp;number=3.5&amp;sourceID=14","3.5")</f>
        <v>3.5</v>
      </c>
      <c r="G1569" s="4" t="str">
        <f>HYPERLINK("http://141.218.60.56/~jnz1568/getInfo.php?workbook=27_11.xlsx&amp;sheet=U0&amp;row=1569&amp;col=7&amp;number=0.0384&amp;sourceID=14","0.0384")</f>
        <v>0.0384</v>
      </c>
    </row>
    <row r="1570" spans="1:7">
      <c r="A1570" s="3"/>
      <c r="B1570" s="3"/>
      <c r="C1570" s="3"/>
      <c r="D1570" s="3"/>
      <c r="E1570" s="3">
        <v>7</v>
      </c>
      <c r="F1570" s="4" t="str">
        <f>HYPERLINK("http://141.218.60.56/~jnz1568/getInfo.php?workbook=27_11.xlsx&amp;sheet=U0&amp;row=1570&amp;col=6&amp;number=3.6&amp;sourceID=14","3.6")</f>
        <v>3.6</v>
      </c>
      <c r="G1570" s="4" t="str">
        <f>HYPERLINK("http://141.218.60.56/~jnz1568/getInfo.php?workbook=27_11.xlsx&amp;sheet=U0&amp;row=1570&amp;col=7&amp;number=0.0384&amp;sourceID=14","0.0384")</f>
        <v>0.0384</v>
      </c>
    </row>
    <row r="1571" spans="1:7">
      <c r="A1571" s="3"/>
      <c r="B1571" s="3"/>
      <c r="C1571" s="3"/>
      <c r="D1571" s="3"/>
      <c r="E1571" s="3">
        <v>8</v>
      </c>
      <c r="F1571" s="4" t="str">
        <f>HYPERLINK("http://141.218.60.56/~jnz1568/getInfo.php?workbook=27_11.xlsx&amp;sheet=U0&amp;row=1571&amp;col=6&amp;number=3.7&amp;sourceID=14","3.7")</f>
        <v>3.7</v>
      </c>
      <c r="G1571" s="4" t="str">
        <f>HYPERLINK("http://141.218.60.56/~jnz1568/getInfo.php?workbook=27_11.xlsx&amp;sheet=U0&amp;row=1571&amp;col=7&amp;number=0.0384&amp;sourceID=14","0.0384")</f>
        <v>0.0384</v>
      </c>
    </row>
    <row r="1572" spans="1:7">
      <c r="A1572" s="3"/>
      <c r="B1572" s="3"/>
      <c r="C1572" s="3"/>
      <c r="D1572" s="3"/>
      <c r="E1572" s="3">
        <v>9</v>
      </c>
      <c r="F1572" s="4" t="str">
        <f>HYPERLINK("http://141.218.60.56/~jnz1568/getInfo.php?workbook=27_11.xlsx&amp;sheet=U0&amp;row=1572&amp;col=6&amp;number=3.8&amp;sourceID=14","3.8")</f>
        <v>3.8</v>
      </c>
      <c r="G1572" s="4" t="str">
        <f>HYPERLINK("http://141.218.60.56/~jnz1568/getInfo.php?workbook=27_11.xlsx&amp;sheet=U0&amp;row=1572&amp;col=7&amp;number=0.0384&amp;sourceID=14","0.0384")</f>
        <v>0.0384</v>
      </c>
    </row>
    <row r="1573" spans="1:7">
      <c r="A1573" s="3"/>
      <c r="B1573" s="3"/>
      <c r="C1573" s="3"/>
      <c r="D1573" s="3"/>
      <c r="E1573" s="3">
        <v>10</v>
      </c>
      <c r="F1573" s="4" t="str">
        <f>HYPERLINK("http://141.218.60.56/~jnz1568/getInfo.php?workbook=27_11.xlsx&amp;sheet=U0&amp;row=1573&amp;col=6&amp;number=3.9&amp;sourceID=14","3.9")</f>
        <v>3.9</v>
      </c>
      <c r="G1573" s="4" t="str">
        <f>HYPERLINK("http://141.218.60.56/~jnz1568/getInfo.php?workbook=27_11.xlsx&amp;sheet=U0&amp;row=1573&amp;col=7&amp;number=0.0383&amp;sourceID=14","0.0383")</f>
        <v>0.0383</v>
      </c>
    </row>
    <row r="1574" spans="1:7">
      <c r="A1574" s="3"/>
      <c r="B1574" s="3"/>
      <c r="C1574" s="3"/>
      <c r="D1574" s="3"/>
      <c r="E1574" s="3">
        <v>11</v>
      </c>
      <c r="F1574" s="4" t="str">
        <f>HYPERLINK("http://141.218.60.56/~jnz1568/getInfo.php?workbook=27_11.xlsx&amp;sheet=U0&amp;row=1574&amp;col=6&amp;number=4&amp;sourceID=14","4")</f>
        <v>4</v>
      </c>
      <c r="G1574" s="4" t="str">
        <f>HYPERLINK("http://141.218.60.56/~jnz1568/getInfo.php?workbook=27_11.xlsx&amp;sheet=U0&amp;row=1574&amp;col=7&amp;number=0.0383&amp;sourceID=14","0.0383")</f>
        <v>0.0383</v>
      </c>
    </row>
    <row r="1575" spans="1:7">
      <c r="A1575" s="3"/>
      <c r="B1575" s="3"/>
      <c r="C1575" s="3"/>
      <c r="D1575" s="3"/>
      <c r="E1575" s="3">
        <v>12</v>
      </c>
      <c r="F1575" s="4" t="str">
        <f>HYPERLINK("http://141.218.60.56/~jnz1568/getInfo.php?workbook=27_11.xlsx&amp;sheet=U0&amp;row=1575&amp;col=6&amp;number=4.1&amp;sourceID=14","4.1")</f>
        <v>4.1</v>
      </c>
      <c r="G1575" s="4" t="str">
        <f>HYPERLINK("http://141.218.60.56/~jnz1568/getInfo.php?workbook=27_11.xlsx&amp;sheet=U0&amp;row=1575&amp;col=7&amp;number=0.0383&amp;sourceID=14","0.0383")</f>
        <v>0.0383</v>
      </c>
    </row>
    <row r="1576" spans="1:7">
      <c r="A1576" s="3"/>
      <c r="B1576" s="3"/>
      <c r="C1576" s="3"/>
      <c r="D1576" s="3"/>
      <c r="E1576" s="3">
        <v>13</v>
      </c>
      <c r="F1576" s="4" t="str">
        <f>HYPERLINK("http://141.218.60.56/~jnz1568/getInfo.php?workbook=27_11.xlsx&amp;sheet=U0&amp;row=1576&amp;col=6&amp;number=4.2&amp;sourceID=14","4.2")</f>
        <v>4.2</v>
      </c>
      <c r="G1576" s="4" t="str">
        <f>HYPERLINK("http://141.218.60.56/~jnz1568/getInfo.php?workbook=27_11.xlsx&amp;sheet=U0&amp;row=1576&amp;col=7&amp;number=0.0383&amp;sourceID=14","0.0383")</f>
        <v>0.0383</v>
      </c>
    </row>
    <row r="1577" spans="1:7">
      <c r="A1577" s="3"/>
      <c r="B1577" s="3"/>
      <c r="C1577" s="3"/>
      <c r="D1577" s="3"/>
      <c r="E1577" s="3">
        <v>14</v>
      </c>
      <c r="F1577" s="4" t="str">
        <f>HYPERLINK("http://141.218.60.56/~jnz1568/getInfo.php?workbook=27_11.xlsx&amp;sheet=U0&amp;row=1577&amp;col=6&amp;number=4.3&amp;sourceID=14","4.3")</f>
        <v>4.3</v>
      </c>
      <c r="G1577" s="4" t="str">
        <f>HYPERLINK("http://141.218.60.56/~jnz1568/getInfo.php?workbook=27_11.xlsx&amp;sheet=U0&amp;row=1577&amp;col=7&amp;number=0.0383&amp;sourceID=14","0.0383")</f>
        <v>0.0383</v>
      </c>
    </row>
    <row r="1578" spans="1:7">
      <c r="A1578" s="3"/>
      <c r="B1578" s="3"/>
      <c r="C1578" s="3"/>
      <c r="D1578" s="3"/>
      <c r="E1578" s="3">
        <v>15</v>
      </c>
      <c r="F1578" s="4" t="str">
        <f>HYPERLINK("http://141.218.60.56/~jnz1568/getInfo.php?workbook=27_11.xlsx&amp;sheet=U0&amp;row=1578&amp;col=6&amp;number=4.4&amp;sourceID=14","4.4")</f>
        <v>4.4</v>
      </c>
      <c r="G1578" s="4" t="str">
        <f>HYPERLINK("http://141.218.60.56/~jnz1568/getInfo.php?workbook=27_11.xlsx&amp;sheet=U0&amp;row=1578&amp;col=7&amp;number=0.0382&amp;sourceID=14","0.0382")</f>
        <v>0.0382</v>
      </c>
    </row>
    <row r="1579" spans="1:7">
      <c r="A1579" s="3"/>
      <c r="B1579" s="3"/>
      <c r="C1579" s="3"/>
      <c r="D1579" s="3"/>
      <c r="E1579" s="3">
        <v>16</v>
      </c>
      <c r="F1579" s="4" t="str">
        <f>HYPERLINK("http://141.218.60.56/~jnz1568/getInfo.php?workbook=27_11.xlsx&amp;sheet=U0&amp;row=1579&amp;col=6&amp;number=4.5&amp;sourceID=14","4.5")</f>
        <v>4.5</v>
      </c>
      <c r="G1579" s="4" t="str">
        <f>HYPERLINK("http://141.218.60.56/~jnz1568/getInfo.php?workbook=27_11.xlsx&amp;sheet=U0&amp;row=1579&amp;col=7&amp;number=0.0382&amp;sourceID=14","0.0382")</f>
        <v>0.0382</v>
      </c>
    </row>
    <row r="1580" spans="1:7">
      <c r="A1580" s="3"/>
      <c r="B1580" s="3"/>
      <c r="C1580" s="3"/>
      <c r="D1580" s="3"/>
      <c r="E1580" s="3">
        <v>17</v>
      </c>
      <c r="F1580" s="4" t="str">
        <f>HYPERLINK("http://141.218.60.56/~jnz1568/getInfo.php?workbook=27_11.xlsx&amp;sheet=U0&amp;row=1580&amp;col=6&amp;number=4.6&amp;sourceID=14","4.6")</f>
        <v>4.6</v>
      </c>
      <c r="G1580" s="4" t="str">
        <f>HYPERLINK("http://141.218.60.56/~jnz1568/getInfo.php?workbook=27_11.xlsx&amp;sheet=U0&amp;row=1580&amp;col=7&amp;number=0.0381&amp;sourceID=14","0.0381")</f>
        <v>0.0381</v>
      </c>
    </row>
    <row r="1581" spans="1:7">
      <c r="A1581" s="3"/>
      <c r="B1581" s="3"/>
      <c r="C1581" s="3"/>
      <c r="D1581" s="3"/>
      <c r="E1581" s="3">
        <v>18</v>
      </c>
      <c r="F1581" s="4" t="str">
        <f>HYPERLINK("http://141.218.60.56/~jnz1568/getInfo.php?workbook=27_11.xlsx&amp;sheet=U0&amp;row=1581&amp;col=6&amp;number=4.7&amp;sourceID=14","4.7")</f>
        <v>4.7</v>
      </c>
      <c r="G1581" s="4" t="str">
        <f>HYPERLINK("http://141.218.60.56/~jnz1568/getInfo.php?workbook=27_11.xlsx&amp;sheet=U0&amp;row=1581&amp;col=7&amp;number=0.038&amp;sourceID=14","0.038")</f>
        <v>0.038</v>
      </c>
    </row>
    <row r="1582" spans="1:7">
      <c r="A1582" s="3"/>
      <c r="B1582" s="3"/>
      <c r="C1582" s="3"/>
      <c r="D1582" s="3"/>
      <c r="E1582" s="3">
        <v>19</v>
      </c>
      <c r="F1582" s="4" t="str">
        <f>HYPERLINK("http://141.218.60.56/~jnz1568/getInfo.php?workbook=27_11.xlsx&amp;sheet=U0&amp;row=1582&amp;col=6&amp;number=4.8&amp;sourceID=14","4.8")</f>
        <v>4.8</v>
      </c>
      <c r="G1582" s="4" t="str">
        <f>HYPERLINK("http://141.218.60.56/~jnz1568/getInfo.php?workbook=27_11.xlsx&amp;sheet=U0&amp;row=1582&amp;col=7&amp;number=0.0379&amp;sourceID=14","0.0379")</f>
        <v>0.0379</v>
      </c>
    </row>
    <row r="1583" spans="1:7">
      <c r="A1583" s="3"/>
      <c r="B1583" s="3"/>
      <c r="C1583" s="3"/>
      <c r="D1583" s="3"/>
      <c r="E1583" s="3">
        <v>20</v>
      </c>
      <c r="F1583" s="4" t="str">
        <f>HYPERLINK("http://141.218.60.56/~jnz1568/getInfo.php?workbook=27_11.xlsx&amp;sheet=U0&amp;row=1583&amp;col=6&amp;number=4.9&amp;sourceID=14","4.9")</f>
        <v>4.9</v>
      </c>
      <c r="G1583" s="4" t="str">
        <f>HYPERLINK("http://141.218.60.56/~jnz1568/getInfo.php?workbook=27_11.xlsx&amp;sheet=U0&amp;row=1583&amp;col=7&amp;number=0.0378&amp;sourceID=14","0.0378")</f>
        <v>0.0378</v>
      </c>
    </row>
    <row r="1584" spans="1:7">
      <c r="A1584" s="3">
        <v>27</v>
      </c>
      <c r="B1584" s="3">
        <v>11</v>
      </c>
      <c r="C1584" s="3">
        <v>5</v>
      </c>
      <c r="D1584" s="3">
        <v>19</v>
      </c>
      <c r="E1584" s="3">
        <v>1</v>
      </c>
      <c r="F1584" s="4" t="str">
        <f>HYPERLINK("http://141.218.60.56/~jnz1568/getInfo.php?workbook=27_11.xlsx&amp;sheet=U0&amp;row=1584&amp;col=6&amp;number=3&amp;sourceID=14","3")</f>
        <v>3</v>
      </c>
      <c r="G1584" s="4" t="str">
        <f>HYPERLINK("http://141.218.60.56/~jnz1568/getInfo.php?workbook=27_11.xlsx&amp;sheet=U0&amp;row=1584&amp;col=7&amp;number=0.229&amp;sourceID=14","0.229")</f>
        <v>0.229</v>
      </c>
    </row>
    <row r="1585" spans="1:7">
      <c r="A1585" s="3"/>
      <c r="B1585" s="3"/>
      <c r="C1585" s="3"/>
      <c r="D1585" s="3"/>
      <c r="E1585" s="3">
        <v>2</v>
      </c>
      <c r="F1585" s="4" t="str">
        <f>HYPERLINK("http://141.218.60.56/~jnz1568/getInfo.php?workbook=27_11.xlsx&amp;sheet=U0&amp;row=1585&amp;col=6&amp;number=3.1&amp;sourceID=14","3.1")</f>
        <v>3.1</v>
      </c>
      <c r="G1585" s="4" t="str">
        <f>HYPERLINK("http://141.218.60.56/~jnz1568/getInfo.php?workbook=27_11.xlsx&amp;sheet=U0&amp;row=1585&amp;col=7&amp;number=0.229&amp;sourceID=14","0.229")</f>
        <v>0.229</v>
      </c>
    </row>
    <row r="1586" spans="1:7">
      <c r="A1586" s="3"/>
      <c r="B1586" s="3"/>
      <c r="C1586" s="3"/>
      <c r="D1586" s="3"/>
      <c r="E1586" s="3">
        <v>3</v>
      </c>
      <c r="F1586" s="4" t="str">
        <f>HYPERLINK("http://141.218.60.56/~jnz1568/getInfo.php?workbook=27_11.xlsx&amp;sheet=U0&amp;row=1586&amp;col=6&amp;number=3.2&amp;sourceID=14","3.2")</f>
        <v>3.2</v>
      </c>
      <c r="G1586" s="4" t="str">
        <f>HYPERLINK("http://141.218.60.56/~jnz1568/getInfo.php?workbook=27_11.xlsx&amp;sheet=U0&amp;row=1586&amp;col=7&amp;number=0.229&amp;sourceID=14","0.229")</f>
        <v>0.229</v>
      </c>
    </row>
    <row r="1587" spans="1:7">
      <c r="A1587" s="3"/>
      <c r="B1587" s="3"/>
      <c r="C1587" s="3"/>
      <c r="D1587" s="3"/>
      <c r="E1587" s="3">
        <v>4</v>
      </c>
      <c r="F1587" s="4" t="str">
        <f>HYPERLINK("http://141.218.60.56/~jnz1568/getInfo.php?workbook=27_11.xlsx&amp;sheet=U0&amp;row=1587&amp;col=6&amp;number=3.3&amp;sourceID=14","3.3")</f>
        <v>3.3</v>
      </c>
      <c r="G1587" s="4" t="str">
        <f>HYPERLINK("http://141.218.60.56/~jnz1568/getInfo.php?workbook=27_11.xlsx&amp;sheet=U0&amp;row=1587&amp;col=7&amp;number=0.229&amp;sourceID=14","0.229")</f>
        <v>0.229</v>
      </c>
    </row>
    <row r="1588" spans="1:7">
      <c r="A1588" s="3"/>
      <c r="B1588" s="3"/>
      <c r="C1588" s="3"/>
      <c r="D1588" s="3"/>
      <c r="E1588" s="3">
        <v>5</v>
      </c>
      <c r="F1588" s="4" t="str">
        <f>HYPERLINK("http://141.218.60.56/~jnz1568/getInfo.php?workbook=27_11.xlsx&amp;sheet=U0&amp;row=1588&amp;col=6&amp;number=3.4&amp;sourceID=14","3.4")</f>
        <v>3.4</v>
      </c>
      <c r="G1588" s="4" t="str">
        <f>HYPERLINK("http://141.218.60.56/~jnz1568/getInfo.php?workbook=27_11.xlsx&amp;sheet=U0&amp;row=1588&amp;col=7&amp;number=0.229&amp;sourceID=14","0.229")</f>
        <v>0.229</v>
      </c>
    </row>
    <row r="1589" spans="1:7">
      <c r="A1589" s="3"/>
      <c r="B1589" s="3"/>
      <c r="C1589" s="3"/>
      <c r="D1589" s="3"/>
      <c r="E1589" s="3">
        <v>6</v>
      </c>
      <c r="F1589" s="4" t="str">
        <f>HYPERLINK("http://141.218.60.56/~jnz1568/getInfo.php?workbook=27_11.xlsx&amp;sheet=U0&amp;row=1589&amp;col=6&amp;number=3.5&amp;sourceID=14","3.5")</f>
        <v>3.5</v>
      </c>
      <c r="G1589" s="4" t="str">
        <f>HYPERLINK("http://141.218.60.56/~jnz1568/getInfo.php?workbook=27_11.xlsx&amp;sheet=U0&amp;row=1589&amp;col=7&amp;number=0.229&amp;sourceID=14","0.229")</f>
        <v>0.229</v>
      </c>
    </row>
    <row r="1590" spans="1:7">
      <c r="A1590" s="3"/>
      <c r="B1590" s="3"/>
      <c r="C1590" s="3"/>
      <c r="D1590" s="3"/>
      <c r="E1590" s="3">
        <v>7</v>
      </c>
      <c r="F1590" s="4" t="str">
        <f>HYPERLINK("http://141.218.60.56/~jnz1568/getInfo.php?workbook=27_11.xlsx&amp;sheet=U0&amp;row=1590&amp;col=6&amp;number=3.6&amp;sourceID=14","3.6")</f>
        <v>3.6</v>
      </c>
      <c r="G1590" s="4" t="str">
        <f>HYPERLINK("http://141.218.60.56/~jnz1568/getInfo.php?workbook=27_11.xlsx&amp;sheet=U0&amp;row=1590&amp;col=7&amp;number=0.229&amp;sourceID=14","0.229")</f>
        <v>0.229</v>
      </c>
    </row>
    <row r="1591" spans="1:7">
      <c r="A1591" s="3"/>
      <c r="B1591" s="3"/>
      <c r="C1591" s="3"/>
      <c r="D1591" s="3"/>
      <c r="E1591" s="3">
        <v>8</v>
      </c>
      <c r="F1591" s="4" t="str">
        <f>HYPERLINK("http://141.218.60.56/~jnz1568/getInfo.php?workbook=27_11.xlsx&amp;sheet=U0&amp;row=1591&amp;col=6&amp;number=3.7&amp;sourceID=14","3.7")</f>
        <v>3.7</v>
      </c>
      <c r="G1591" s="4" t="str">
        <f>HYPERLINK("http://141.218.60.56/~jnz1568/getInfo.php?workbook=27_11.xlsx&amp;sheet=U0&amp;row=1591&amp;col=7&amp;number=0.229&amp;sourceID=14","0.229")</f>
        <v>0.229</v>
      </c>
    </row>
    <row r="1592" spans="1:7">
      <c r="A1592" s="3"/>
      <c r="B1592" s="3"/>
      <c r="C1592" s="3"/>
      <c r="D1592" s="3"/>
      <c r="E1592" s="3">
        <v>9</v>
      </c>
      <c r="F1592" s="4" t="str">
        <f>HYPERLINK("http://141.218.60.56/~jnz1568/getInfo.php?workbook=27_11.xlsx&amp;sheet=U0&amp;row=1592&amp;col=6&amp;number=3.8&amp;sourceID=14","3.8")</f>
        <v>3.8</v>
      </c>
      <c r="G1592" s="4" t="str">
        <f>HYPERLINK("http://141.218.60.56/~jnz1568/getInfo.php?workbook=27_11.xlsx&amp;sheet=U0&amp;row=1592&amp;col=7&amp;number=0.229&amp;sourceID=14","0.229")</f>
        <v>0.229</v>
      </c>
    </row>
    <row r="1593" spans="1:7">
      <c r="A1593" s="3"/>
      <c r="B1593" s="3"/>
      <c r="C1593" s="3"/>
      <c r="D1593" s="3"/>
      <c r="E1593" s="3">
        <v>10</v>
      </c>
      <c r="F1593" s="4" t="str">
        <f>HYPERLINK("http://141.218.60.56/~jnz1568/getInfo.php?workbook=27_11.xlsx&amp;sheet=U0&amp;row=1593&amp;col=6&amp;number=3.9&amp;sourceID=14","3.9")</f>
        <v>3.9</v>
      </c>
      <c r="G1593" s="4" t="str">
        <f>HYPERLINK("http://141.218.60.56/~jnz1568/getInfo.php?workbook=27_11.xlsx&amp;sheet=U0&amp;row=1593&amp;col=7&amp;number=0.229&amp;sourceID=14","0.229")</f>
        <v>0.229</v>
      </c>
    </row>
    <row r="1594" spans="1:7">
      <c r="A1594" s="3"/>
      <c r="B1594" s="3"/>
      <c r="C1594" s="3"/>
      <c r="D1594" s="3"/>
      <c r="E1594" s="3">
        <v>11</v>
      </c>
      <c r="F1594" s="4" t="str">
        <f>HYPERLINK("http://141.218.60.56/~jnz1568/getInfo.php?workbook=27_11.xlsx&amp;sheet=U0&amp;row=1594&amp;col=6&amp;number=4&amp;sourceID=14","4")</f>
        <v>4</v>
      </c>
      <c r="G1594" s="4" t="str">
        <f>HYPERLINK("http://141.218.60.56/~jnz1568/getInfo.php?workbook=27_11.xlsx&amp;sheet=U0&amp;row=1594&amp;col=7&amp;number=0.229&amp;sourceID=14","0.229")</f>
        <v>0.229</v>
      </c>
    </row>
    <row r="1595" spans="1:7">
      <c r="A1595" s="3"/>
      <c r="B1595" s="3"/>
      <c r="C1595" s="3"/>
      <c r="D1595" s="3"/>
      <c r="E1595" s="3">
        <v>12</v>
      </c>
      <c r="F1595" s="4" t="str">
        <f>HYPERLINK("http://141.218.60.56/~jnz1568/getInfo.php?workbook=27_11.xlsx&amp;sheet=U0&amp;row=1595&amp;col=6&amp;number=4.1&amp;sourceID=14","4.1")</f>
        <v>4.1</v>
      </c>
      <c r="G1595" s="4" t="str">
        <f>HYPERLINK("http://141.218.60.56/~jnz1568/getInfo.php?workbook=27_11.xlsx&amp;sheet=U0&amp;row=1595&amp;col=7&amp;number=0.229&amp;sourceID=14","0.229")</f>
        <v>0.229</v>
      </c>
    </row>
    <row r="1596" spans="1:7">
      <c r="A1596" s="3"/>
      <c r="B1596" s="3"/>
      <c r="C1596" s="3"/>
      <c r="D1596" s="3"/>
      <c r="E1596" s="3">
        <v>13</v>
      </c>
      <c r="F1596" s="4" t="str">
        <f>HYPERLINK("http://141.218.60.56/~jnz1568/getInfo.php?workbook=27_11.xlsx&amp;sheet=U0&amp;row=1596&amp;col=6&amp;number=4.2&amp;sourceID=14","4.2")</f>
        <v>4.2</v>
      </c>
      <c r="G1596" s="4" t="str">
        <f>HYPERLINK("http://141.218.60.56/~jnz1568/getInfo.php?workbook=27_11.xlsx&amp;sheet=U0&amp;row=1596&amp;col=7&amp;number=0.229&amp;sourceID=14","0.229")</f>
        <v>0.229</v>
      </c>
    </row>
    <row r="1597" spans="1:7">
      <c r="A1597" s="3"/>
      <c r="B1597" s="3"/>
      <c r="C1597" s="3"/>
      <c r="D1597" s="3"/>
      <c r="E1597" s="3">
        <v>14</v>
      </c>
      <c r="F1597" s="4" t="str">
        <f>HYPERLINK("http://141.218.60.56/~jnz1568/getInfo.php?workbook=27_11.xlsx&amp;sheet=U0&amp;row=1597&amp;col=6&amp;number=4.3&amp;sourceID=14","4.3")</f>
        <v>4.3</v>
      </c>
      <c r="G1597" s="4" t="str">
        <f>HYPERLINK("http://141.218.60.56/~jnz1568/getInfo.php?workbook=27_11.xlsx&amp;sheet=U0&amp;row=1597&amp;col=7&amp;number=0.229&amp;sourceID=14","0.229")</f>
        <v>0.229</v>
      </c>
    </row>
    <row r="1598" spans="1:7">
      <c r="A1598" s="3"/>
      <c r="B1598" s="3"/>
      <c r="C1598" s="3"/>
      <c r="D1598" s="3"/>
      <c r="E1598" s="3">
        <v>15</v>
      </c>
      <c r="F1598" s="4" t="str">
        <f>HYPERLINK("http://141.218.60.56/~jnz1568/getInfo.php?workbook=27_11.xlsx&amp;sheet=U0&amp;row=1598&amp;col=6&amp;number=4.4&amp;sourceID=14","4.4")</f>
        <v>4.4</v>
      </c>
      <c r="G1598" s="4" t="str">
        <f>HYPERLINK("http://141.218.60.56/~jnz1568/getInfo.php?workbook=27_11.xlsx&amp;sheet=U0&amp;row=1598&amp;col=7&amp;number=0.229&amp;sourceID=14","0.229")</f>
        <v>0.229</v>
      </c>
    </row>
    <row r="1599" spans="1:7">
      <c r="A1599" s="3"/>
      <c r="B1599" s="3"/>
      <c r="C1599" s="3"/>
      <c r="D1599" s="3"/>
      <c r="E1599" s="3">
        <v>16</v>
      </c>
      <c r="F1599" s="4" t="str">
        <f>HYPERLINK("http://141.218.60.56/~jnz1568/getInfo.php?workbook=27_11.xlsx&amp;sheet=U0&amp;row=1599&amp;col=6&amp;number=4.5&amp;sourceID=14","4.5")</f>
        <v>4.5</v>
      </c>
      <c r="G1599" s="4" t="str">
        <f>HYPERLINK("http://141.218.60.56/~jnz1568/getInfo.php?workbook=27_11.xlsx&amp;sheet=U0&amp;row=1599&amp;col=7&amp;number=0.229&amp;sourceID=14","0.229")</f>
        <v>0.229</v>
      </c>
    </row>
    <row r="1600" spans="1:7">
      <c r="A1600" s="3"/>
      <c r="B1600" s="3"/>
      <c r="C1600" s="3"/>
      <c r="D1600" s="3"/>
      <c r="E1600" s="3">
        <v>17</v>
      </c>
      <c r="F1600" s="4" t="str">
        <f>HYPERLINK("http://141.218.60.56/~jnz1568/getInfo.php?workbook=27_11.xlsx&amp;sheet=U0&amp;row=1600&amp;col=6&amp;number=4.6&amp;sourceID=14","4.6")</f>
        <v>4.6</v>
      </c>
      <c r="G1600" s="4" t="str">
        <f>HYPERLINK("http://141.218.60.56/~jnz1568/getInfo.php?workbook=27_11.xlsx&amp;sheet=U0&amp;row=1600&amp;col=7&amp;number=0.23&amp;sourceID=14","0.23")</f>
        <v>0.23</v>
      </c>
    </row>
    <row r="1601" spans="1:7">
      <c r="A1601" s="3"/>
      <c r="B1601" s="3"/>
      <c r="C1601" s="3"/>
      <c r="D1601" s="3"/>
      <c r="E1601" s="3">
        <v>18</v>
      </c>
      <c r="F1601" s="4" t="str">
        <f>HYPERLINK("http://141.218.60.56/~jnz1568/getInfo.php?workbook=27_11.xlsx&amp;sheet=U0&amp;row=1601&amp;col=6&amp;number=4.7&amp;sourceID=14","4.7")</f>
        <v>4.7</v>
      </c>
      <c r="G1601" s="4" t="str">
        <f>HYPERLINK("http://141.218.60.56/~jnz1568/getInfo.php?workbook=27_11.xlsx&amp;sheet=U0&amp;row=1601&amp;col=7&amp;number=0.23&amp;sourceID=14","0.23")</f>
        <v>0.23</v>
      </c>
    </row>
    <row r="1602" spans="1:7">
      <c r="A1602" s="3"/>
      <c r="B1602" s="3"/>
      <c r="C1602" s="3"/>
      <c r="D1602" s="3"/>
      <c r="E1602" s="3">
        <v>19</v>
      </c>
      <c r="F1602" s="4" t="str">
        <f>HYPERLINK("http://141.218.60.56/~jnz1568/getInfo.php?workbook=27_11.xlsx&amp;sheet=U0&amp;row=1602&amp;col=6&amp;number=4.8&amp;sourceID=14","4.8")</f>
        <v>4.8</v>
      </c>
      <c r="G1602" s="4" t="str">
        <f>HYPERLINK("http://141.218.60.56/~jnz1568/getInfo.php?workbook=27_11.xlsx&amp;sheet=U0&amp;row=1602&amp;col=7&amp;number=0.23&amp;sourceID=14","0.23")</f>
        <v>0.23</v>
      </c>
    </row>
    <row r="1603" spans="1:7">
      <c r="A1603" s="3"/>
      <c r="B1603" s="3"/>
      <c r="C1603" s="3"/>
      <c r="D1603" s="3"/>
      <c r="E1603" s="3">
        <v>20</v>
      </c>
      <c r="F1603" s="4" t="str">
        <f>HYPERLINK("http://141.218.60.56/~jnz1568/getInfo.php?workbook=27_11.xlsx&amp;sheet=U0&amp;row=1603&amp;col=6&amp;number=4.9&amp;sourceID=14","4.9")</f>
        <v>4.9</v>
      </c>
      <c r="G1603" s="4" t="str">
        <f>HYPERLINK("http://141.218.60.56/~jnz1568/getInfo.php?workbook=27_11.xlsx&amp;sheet=U0&amp;row=1603&amp;col=7&amp;number=0.23&amp;sourceID=14","0.23")</f>
        <v>0.23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2015-04-21T01:20:20Z</dcterms:created>
  <dcterms:modified xsi:type="dcterms:W3CDTF">2015-04-21T01:20:20Z</dcterms:modified>
</cp:coreProperties>
</file>