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<sst xmlns="http://schemas.openxmlformats.org/spreadsheetml/2006/main" count="249" uniqueCount="92">
  <si>
    <t>Fine Structure Energy Levels for Al XII</t>
  </si>
  <si>
    <t>S14</t>
  </si>
  <si>
    <t>Z</t>
  </si>
  <si>
    <t>N</t>
  </si>
  <si>
    <t>i            Conf</t>
  </si>
  <si>
    <t>Term</t>
  </si>
  <si>
    <t>2S+1</t>
  </si>
  <si>
    <t>L</t>
  </si>
  <si>
    <t>Pi</t>
  </si>
  <si>
    <t>J</t>
  </si>
  <si>
    <t>E (cm-1)</t>
  </si>
  <si>
    <t>1             1s2</t>
  </si>
  <si>
    <t>1S</t>
  </si>
  <si>
    <t>2           1s.2s</t>
  </si>
  <si>
    <t>3S</t>
  </si>
  <si>
    <t>3           1s.2s</t>
  </si>
  <si>
    <t>4           1s.2p</t>
  </si>
  <si>
    <t>3P</t>
  </si>
  <si>
    <t>5           1s.2p</t>
  </si>
  <si>
    <t>6           1s.2p</t>
  </si>
  <si>
    <t>7           1s.2p</t>
  </si>
  <si>
    <t>1P</t>
  </si>
  <si>
    <t>8           1s.3s</t>
  </si>
  <si>
    <t>9           1s.3s</t>
  </si>
  <si>
    <t>10           1s.3p</t>
  </si>
  <si>
    <t>11           1s.3p</t>
  </si>
  <si>
    <t>12           1s.3p</t>
  </si>
  <si>
    <t>13           1s.3p</t>
  </si>
  <si>
    <t>14           1s.3d</t>
  </si>
  <si>
    <t>3D</t>
  </si>
  <si>
    <t>15           1s.3d</t>
  </si>
  <si>
    <t>16           1s.3d</t>
  </si>
  <si>
    <t>17           1s.3d</t>
  </si>
  <si>
    <t>1D</t>
  </si>
  <si>
    <t>18           1s.4s</t>
  </si>
  <si>
    <t>19           1s.4s</t>
  </si>
  <si>
    <t>20           1s.4p</t>
  </si>
  <si>
    <t>21           1s.4p</t>
  </si>
  <si>
    <t>22           1s.4p</t>
  </si>
  <si>
    <t>23           1s.4p</t>
  </si>
  <si>
    <t>24           1s.4d</t>
  </si>
  <si>
    <t>25           1s.4d</t>
  </si>
  <si>
    <t>26           1s.4d</t>
  </si>
  <si>
    <t>27           1s.4d</t>
  </si>
  <si>
    <t>28           1s.4f</t>
  </si>
  <si>
    <t>3F</t>
  </si>
  <si>
    <t>29           1s.4f</t>
  </si>
  <si>
    <t>30           1s.4f</t>
  </si>
  <si>
    <t>31           1s.4f</t>
  </si>
  <si>
    <t>1F</t>
  </si>
  <si>
    <t>32           1s.5s</t>
  </si>
  <si>
    <t>33           1s.5s</t>
  </si>
  <si>
    <t>34           1s.5p</t>
  </si>
  <si>
    <t>35           1s.5p</t>
  </si>
  <si>
    <t>36           1s.5p</t>
  </si>
  <si>
    <t>37           1s.5p</t>
  </si>
  <si>
    <t>38           1s.5d</t>
  </si>
  <si>
    <t>39           1s.5d</t>
  </si>
  <si>
    <t>40           1s.5d</t>
  </si>
  <si>
    <t>41           1s.5d</t>
  </si>
  <si>
    <t>42           1s.5f</t>
  </si>
  <si>
    <t>43           1s.5f</t>
  </si>
  <si>
    <t>44           1s.5f</t>
  </si>
  <si>
    <t>45           1s.5f</t>
  </si>
  <si>
    <t>46           1s.5g</t>
  </si>
  <si>
    <t>3G</t>
  </si>
  <si>
    <t>47           1s.5g</t>
  </si>
  <si>
    <t>48           1s.5g</t>
  </si>
  <si>
    <t>49           1s.5g</t>
  </si>
  <si>
    <t>1G</t>
  </si>
  <si>
    <t>A-values for fine-structure transitions in Al XII</t>
  </si>
  <si>
    <t>k</t>
  </si>
  <si>
    <t>i</t>
  </si>
  <si>
    <t>WL Vac (A)</t>
  </si>
  <si>
    <t>A (s-1)</t>
  </si>
  <si>
    <t>A2E1(s-1)</t>
  </si>
  <si>
    <t>Effective Collision Strengths for Al XII</t>
  </si>
  <si>
    <t>np</t>
  </si>
  <si>
    <t>Log_T(K)</t>
  </si>
  <si>
    <t>EColSt</t>
  </si>
  <si>
    <t>1   1</t>
  </si>
  <si>
    <t>1   2</t>
  </si>
  <si>
    <t>1   3</t>
  </si>
  <si>
    <t>1   4</t>
  </si>
  <si>
    <t>2   1</t>
  </si>
  <si>
    <t>2   2</t>
  </si>
  <si>
    <t>2   3</t>
  </si>
  <si>
    <t>2   4</t>
  </si>
  <si>
    <t>3   1</t>
  </si>
  <si>
    <t>3   2</t>
  </si>
  <si>
    <t>3   3</t>
  </si>
  <si>
    <t>3   4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</si>
</sst>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52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19.7109375" customWidth="1"/>
    <col min="4" max="4" width="5.7109375" customWidth="1"/>
    <col min="5" max="5" width="5.7109375" customWidth="1"/>
    <col min="6" max="6" width="2.7109375" customWidth="1"/>
    <col min="7" max="7" width="3.7109375" customWidth="1"/>
    <col min="8" max="8" width="2.7109375" customWidth="1"/>
    <col min="9" max="9" width="9.7109375" customWidth="1"/>
  </cols>
  <sheetData>
    <row r="1" spans="1:9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>
      <c r="A2" s="2"/>
      <c r="B2" s="2"/>
      <c r="C2" s="2"/>
      <c r="D2" s="2"/>
      <c r="E2" s="2"/>
      <c r="F2" s="2"/>
      <c r="G2" s="2"/>
      <c r="H2" s="2"/>
      <c r="I2" s="2" t="s">
        <v>1</v>
      </c>
    </row>
    <row r="3" spans="1:9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</row>
    <row r="4" spans="1:9">
      <c r="A4" s="3">
        <v>13</v>
      </c>
      <c r="B4" s="3">
        <v>2</v>
      </c>
      <c r="C4" s="3" t="s">
        <v>11</v>
      </c>
      <c r="D4" s="3" t="s">
        <v>12</v>
      </c>
      <c r="E4" s="3">
        <v>1</v>
      </c>
      <c r="F4" s="3">
        <v>0</v>
      </c>
      <c r="G4" s="3">
        <v>0</v>
      </c>
      <c r="H4" s="3">
        <v>0</v>
      </c>
      <c r="I4" s="4" t="str">
        <f>HYPERLINK("http://141.218.60.56/~jnz1568/getInfo.php?workbook=13_02.xlsx&amp;sheet=E0&amp;row=4&amp;col=9&amp;number=0&amp;sourceID=14","0")</f>
        <v>0</v>
      </c>
    </row>
    <row r="5" spans="1:9">
      <c r="A5" s="3">
        <v>13</v>
      </c>
      <c r="B5" s="3">
        <v>2</v>
      </c>
      <c r="C5" s="3" t="s">
        <v>13</v>
      </c>
      <c r="D5" s="3" t="s">
        <v>14</v>
      </c>
      <c r="E5" s="3">
        <v>3</v>
      </c>
      <c r="F5" s="3">
        <v>0</v>
      </c>
      <c r="G5" s="3">
        <v>0</v>
      </c>
      <c r="H5" s="3">
        <v>1</v>
      </c>
      <c r="I5" s="4" t="str">
        <f>HYPERLINK("http://141.218.60.56/~jnz1568/getInfo.php?workbook=13_02.xlsx&amp;sheet=E0&amp;row=5&amp;col=9&amp;number=12703061&amp;sourceID=14","12703061")</f>
        <v>12703061</v>
      </c>
    </row>
    <row r="6" spans="1:9">
      <c r="A6" s="3">
        <v>13</v>
      </c>
      <c r="B6" s="3">
        <v>2</v>
      </c>
      <c r="C6" s="3" t="s">
        <v>15</v>
      </c>
      <c r="D6" s="3" t="s">
        <v>12</v>
      </c>
      <c r="E6" s="3">
        <v>1</v>
      </c>
      <c r="F6" s="3">
        <v>0</v>
      </c>
      <c r="G6" s="3">
        <v>0</v>
      </c>
      <c r="H6" s="3">
        <v>0</v>
      </c>
      <c r="I6" s="4" t="str">
        <f>HYPERLINK("http://141.218.60.56/~jnz1568/getInfo.php?workbook=13_02.xlsx&amp;sheet=E0&amp;row=6&amp;col=9&amp;number=12815760&amp;sourceID=14","12815760")</f>
        <v>12815760</v>
      </c>
    </row>
    <row r="7" spans="1:9">
      <c r="A7" s="3">
        <v>13</v>
      </c>
      <c r="B7" s="3">
        <v>2</v>
      </c>
      <c r="C7" s="3" t="s">
        <v>16</v>
      </c>
      <c r="D7" s="3" t="s">
        <v>17</v>
      </c>
      <c r="E7" s="3">
        <v>3</v>
      </c>
      <c r="F7" s="3">
        <v>1</v>
      </c>
      <c r="G7" s="3">
        <v>1</v>
      </c>
      <c r="H7" s="3">
        <v>0</v>
      </c>
      <c r="I7" s="4" t="str">
        <f>HYPERLINK("http://141.218.60.56/~jnz1568/getInfo.php?workbook=13_02.xlsx&amp;sheet=E0&amp;row=7&amp;col=9&amp;number=12807847&amp;sourceID=14","12807847")</f>
        <v>12807847</v>
      </c>
    </row>
    <row r="8" spans="1:9">
      <c r="A8" s="3">
        <v>13</v>
      </c>
      <c r="B8" s="3">
        <v>2</v>
      </c>
      <c r="C8" s="3" t="s">
        <v>18</v>
      </c>
      <c r="D8" s="3" t="s">
        <v>17</v>
      </c>
      <c r="E8" s="3">
        <v>3</v>
      </c>
      <c r="F8" s="3">
        <v>1</v>
      </c>
      <c r="G8" s="3">
        <v>1</v>
      </c>
      <c r="H8" s="3">
        <v>1</v>
      </c>
      <c r="I8" s="4" t="str">
        <f>HYPERLINK("http://141.218.60.56/~jnz1568/getInfo.php?workbook=13_02.xlsx&amp;sheet=E0&amp;row=8&amp;col=9&amp;number=12809088&amp;sourceID=14","12809088")</f>
        <v>12809088</v>
      </c>
    </row>
    <row r="9" spans="1:9">
      <c r="A9" s="3">
        <v>13</v>
      </c>
      <c r="B9" s="3">
        <v>2</v>
      </c>
      <c r="C9" s="3" t="s">
        <v>19</v>
      </c>
      <c r="D9" s="3" t="s">
        <v>17</v>
      </c>
      <c r="E9" s="3">
        <v>3</v>
      </c>
      <c r="F9" s="3">
        <v>1</v>
      </c>
      <c r="G9" s="3">
        <v>1</v>
      </c>
      <c r="H9" s="3">
        <v>2</v>
      </c>
      <c r="I9" s="4" t="str">
        <f>HYPERLINK("http://141.218.60.56/~jnz1568/getInfo.php?workbook=13_02.xlsx&amp;sheet=E0&amp;row=9&amp;col=9&amp;number=12814213&amp;sourceID=14","12814213")</f>
        <v>12814213</v>
      </c>
    </row>
    <row r="10" spans="1:9">
      <c r="A10" s="3">
        <v>13</v>
      </c>
      <c r="B10" s="3">
        <v>2</v>
      </c>
      <c r="C10" s="3" t="s">
        <v>20</v>
      </c>
      <c r="D10" s="3" t="s">
        <v>21</v>
      </c>
      <c r="E10" s="3">
        <v>1</v>
      </c>
      <c r="F10" s="3">
        <v>1</v>
      </c>
      <c r="G10" s="3">
        <v>1</v>
      </c>
      <c r="H10" s="3">
        <v>1</v>
      </c>
      <c r="I10" s="4" t="str">
        <f>HYPERLINK("http://141.218.60.56/~jnz1568/getInfo.php?workbook=13_02.xlsx&amp;sheet=E0&amp;row=10&amp;col=9&amp;number=12891081&amp;sourceID=14","12891081")</f>
        <v>12891081</v>
      </c>
    </row>
    <row r="11" spans="1:9">
      <c r="A11" s="3">
        <v>13</v>
      </c>
      <c r="B11" s="3">
        <v>2</v>
      </c>
      <c r="C11" s="3" t="s">
        <v>22</v>
      </c>
      <c r="D11" s="3" t="s">
        <v>14</v>
      </c>
      <c r="E11" s="3">
        <v>3</v>
      </c>
      <c r="F11" s="3">
        <v>0</v>
      </c>
      <c r="G11" s="3">
        <v>0</v>
      </c>
      <c r="H11" s="3">
        <v>1</v>
      </c>
      <c r="I11" s="4" t="str">
        <f>HYPERLINK("http://141.218.60.56/~jnz1568/getInfo.php?workbook=13_02.xlsx&amp;sheet=E0&amp;row=11&amp;col=9&amp;number=15020463&amp;sourceID=14","15020463")</f>
        <v>15020463</v>
      </c>
    </row>
    <row r="12" spans="1:9">
      <c r="A12" s="3">
        <v>13</v>
      </c>
      <c r="B12" s="3">
        <v>2</v>
      </c>
      <c r="C12" s="3" t="s">
        <v>23</v>
      </c>
      <c r="D12" s="3" t="s">
        <v>12</v>
      </c>
      <c r="E12" s="3">
        <v>1</v>
      </c>
      <c r="F12" s="3">
        <v>0</v>
      </c>
      <c r="G12" s="3">
        <v>0</v>
      </c>
      <c r="H12" s="3">
        <v>0</v>
      </c>
      <c r="I12" s="4" t="str">
        <f>HYPERLINK("http://141.218.60.56/~jnz1568/getInfo.php?workbook=13_02.xlsx&amp;sheet=E0&amp;row=12&amp;col=9&amp;number=15050257&amp;sourceID=14","15050257")</f>
        <v>15050257</v>
      </c>
    </row>
    <row r="13" spans="1:9">
      <c r="A13" s="3">
        <v>13</v>
      </c>
      <c r="B13" s="3">
        <v>2</v>
      </c>
      <c r="C13" s="3" t="s">
        <v>24</v>
      </c>
      <c r="D13" s="3" t="s">
        <v>17</v>
      </c>
      <c r="E13" s="3">
        <v>3</v>
      </c>
      <c r="F13" s="3">
        <v>1</v>
      </c>
      <c r="G13" s="3">
        <v>1</v>
      </c>
      <c r="H13" s="3">
        <v>0</v>
      </c>
      <c r="I13" s="4" t="str">
        <f>HYPERLINK("http://141.218.60.56/~jnz1568/getInfo.php?workbook=13_02.xlsx&amp;sheet=E0&amp;row=13&amp;col=9&amp;number=15049244&amp;sourceID=14","15049244")</f>
        <v>15049244</v>
      </c>
    </row>
    <row r="14" spans="1:9">
      <c r="A14" s="3">
        <v>13</v>
      </c>
      <c r="B14" s="3">
        <v>2</v>
      </c>
      <c r="C14" s="3" t="s">
        <v>25</v>
      </c>
      <c r="D14" s="3" t="s">
        <v>17</v>
      </c>
      <c r="E14" s="3">
        <v>3</v>
      </c>
      <c r="F14" s="3">
        <v>1</v>
      </c>
      <c r="G14" s="3">
        <v>1</v>
      </c>
      <c r="H14" s="3">
        <v>1</v>
      </c>
      <c r="I14" s="4" t="str">
        <f>HYPERLINK("http://141.218.60.56/~jnz1568/getInfo.php?workbook=13_02.xlsx&amp;sheet=E0&amp;row=14&amp;col=9&amp;number=15049634&amp;sourceID=14","15049634")</f>
        <v>15049634</v>
      </c>
    </row>
    <row r="15" spans="1:9">
      <c r="A15" s="3">
        <v>13</v>
      </c>
      <c r="B15" s="3">
        <v>2</v>
      </c>
      <c r="C15" s="3" t="s">
        <v>26</v>
      </c>
      <c r="D15" s="3" t="s">
        <v>17</v>
      </c>
      <c r="E15" s="3">
        <v>3</v>
      </c>
      <c r="F15" s="3">
        <v>1</v>
      </c>
      <c r="G15" s="3">
        <v>1</v>
      </c>
      <c r="H15" s="3">
        <v>2</v>
      </c>
      <c r="I15" s="4" t="str">
        <f>HYPERLINK("http://141.218.60.56/~jnz1568/getInfo.php?workbook=13_02.xlsx&amp;sheet=E0&amp;row=15&amp;col=9&amp;number=15051152&amp;sourceID=14","15051152")</f>
        <v>15051152</v>
      </c>
    </row>
    <row r="16" spans="1:9">
      <c r="A16" s="3">
        <v>13</v>
      </c>
      <c r="B16" s="3">
        <v>2</v>
      </c>
      <c r="C16" s="3" t="s">
        <v>27</v>
      </c>
      <c r="D16" s="3" t="s">
        <v>21</v>
      </c>
      <c r="E16" s="3">
        <v>1</v>
      </c>
      <c r="F16" s="3">
        <v>1</v>
      </c>
      <c r="G16" s="3">
        <v>1</v>
      </c>
      <c r="H16" s="3">
        <v>1</v>
      </c>
      <c r="I16" s="4" t="str">
        <f>HYPERLINK("http://141.218.60.56/~jnz1568/getInfo.php?workbook=13_02.xlsx&amp;sheet=E0&amp;row=16&amp;col=9&amp;number=15072141&amp;sourceID=14","15072141")</f>
        <v>15072141</v>
      </c>
    </row>
    <row r="17" spans="1:9">
      <c r="A17" s="3">
        <v>13</v>
      </c>
      <c r="B17" s="3">
        <v>2</v>
      </c>
      <c r="C17" s="3" t="s">
        <v>28</v>
      </c>
      <c r="D17" s="3" t="s">
        <v>29</v>
      </c>
      <c r="E17" s="3">
        <v>3</v>
      </c>
      <c r="F17" s="3">
        <v>2</v>
      </c>
      <c r="G17" s="3">
        <v>0</v>
      </c>
      <c r="H17" s="3">
        <v>1</v>
      </c>
      <c r="I17" s="4" t="str">
        <f>HYPERLINK("http://141.218.60.56/~jnz1568/getInfo.php?workbook=13_02.xlsx&amp;sheet=E0&amp;row=17&amp;col=9&amp;number=15066988&amp;sourceID=14","15066988")</f>
        <v>15066988</v>
      </c>
    </row>
    <row r="18" spans="1:9">
      <c r="A18" s="3">
        <v>13</v>
      </c>
      <c r="B18" s="3">
        <v>2</v>
      </c>
      <c r="C18" s="3" t="s">
        <v>30</v>
      </c>
      <c r="D18" s="3" t="s">
        <v>29</v>
      </c>
      <c r="E18" s="3">
        <v>3</v>
      </c>
      <c r="F18" s="3">
        <v>2</v>
      </c>
      <c r="G18" s="3">
        <v>0</v>
      </c>
      <c r="H18" s="3">
        <v>2</v>
      </c>
      <c r="I18" s="4" t="str">
        <f>HYPERLINK("http://141.218.60.56/~jnz1568/getInfo.php?workbook=13_02.xlsx&amp;sheet=E0&amp;row=18&amp;col=9&amp;number=15067034&amp;sourceID=14","15067034")</f>
        <v>15067034</v>
      </c>
    </row>
    <row r="19" spans="1:9">
      <c r="A19" s="3">
        <v>13</v>
      </c>
      <c r="B19" s="3">
        <v>2</v>
      </c>
      <c r="C19" s="3" t="s">
        <v>31</v>
      </c>
      <c r="D19" s="3" t="s">
        <v>29</v>
      </c>
      <c r="E19" s="3">
        <v>3</v>
      </c>
      <c r="F19" s="3">
        <v>2</v>
      </c>
      <c r="G19" s="3">
        <v>0</v>
      </c>
      <c r="H19" s="3">
        <v>3</v>
      </c>
      <c r="I19" s="4" t="str">
        <f>HYPERLINK("http://141.218.60.56/~jnz1568/getInfo.php?workbook=13_02.xlsx&amp;sheet=E0&amp;row=19&amp;col=9&amp;number=15067596&amp;sourceID=14","15067596")</f>
        <v>15067596</v>
      </c>
    </row>
    <row r="20" spans="1:9">
      <c r="A20" s="3">
        <v>13</v>
      </c>
      <c r="B20" s="3">
        <v>2</v>
      </c>
      <c r="C20" s="3" t="s">
        <v>32</v>
      </c>
      <c r="D20" s="3" t="s">
        <v>33</v>
      </c>
      <c r="E20" s="3">
        <v>1</v>
      </c>
      <c r="F20" s="3">
        <v>2</v>
      </c>
      <c r="G20" s="3">
        <v>0</v>
      </c>
      <c r="H20" s="3">
        <v>2</v>
      </c>
      <c r="I20" s="4" t="str">
        <f>HYPERLINK("http://141.218.60.56/~jnz1568/getInfo.php?workbook=13_02.xlsx&amp;sheet=E0&amp;row=20&amp;col=9&amp;number=15068371&amp;sourceID=14","15068371")</f>
        <v>15068371</v>
      </c>
    </row>
    <row r="21" spans="1:9">
      <c r="A21" s="3">
        <v>13</v>
      </c>
      <c r="B21" s="3">
        <v>2</v>
      </c>
      <c r="C21" s="3" t="s">
        <v>34</v>
      </c>
      <c r="D21" s="3" t="s">
        <v>14</v>
      </c>
      <c r="E21" s="3">
        <v>3</v>
      </c>
      <c r="F21" s="3">
        <v>0</v>
      </c>
      <c r="G21" s="3">
        <v>0</v>
      </c>
      <c r="H21" s="3">
        <v>1</v>
      </c>
      <c r="I21" s="4" t="str">
        <f>HYPERLINK("http://141.218.60.56/~jnz1568/getInfo.php?workbook=13_02.xlsx&amp;sheet=E0&amp;row=21&amp;col=9&amp;number=15816791&amp;sourceID=14","15816791")</f>
        <v>15816791</v>
      </c>
    </row>
    <row r="22" spans="1:9">
      <c r="A22" s="3">
        <v>13</v>
      </c>
      <c r="B22" s="3">
        <v>2</v>
      </c>
      <c r="C22" s="3" t="s">
        <v>35</v>
      </c>
      <c r="D22" s="3" t="s">
        <v>12</v>
      </c>
      <c r="E22" s="3">
        <v>1</v>
      </c>
      <c r="F22" s="3">
        <v>0</v>
      </c>
      <c r="G22" s="3">
        <v>0</v>
      </c>
      <c r="H22" s="3">
        <v>0</v>
      </c>
      <c r="I22" s="4" t="str">
        <f>HYPERLINK("http://141.218.60.56/~jnz1568/getInfo.php?workbook=13_02.xlsx&amp;sheet=E0&amp;row=22&amp;col=9&amp;number=15828851&amp;sourceID=14","15828851")</f>
        <v>15828851</v>
      </c>
    </row>
    <row r="23" spans="1:9">
      <c r="A23" s="3">
        <v>13</v>
      </c>
      <c r="B23" s="3">
        <v>2</v>
      </c>
      <c r="C23" s="3" t="s">
        <v>36</v>
      </c>
      <c r="D23" s="3" t="s">
        <v>17</v>
      </c>
      <c r="E23" s="3">
        <v>3</v>
      </c>
      <c r="F23" s="3">
        <v>1</v>
      </c>
      <c r="G23" s="3">
        <v>1</v>
      </c>
      <c r="H23" s="3">
        <v>0</v>
      </c>
      <c r="I23" s="4" t="str">
        <f>HYPERLINK("http://141.218.60.56/~jnz1568/getInfo.php?workbook=13_02.xlsx&amp;sheet=E0&amp;row=23&amp;col=9&amp;number=15828659&amp;sourceID=14","15828659")</f>
        <v>15828659</v>
      </c>
    </row>
    <row r="24" spans="1:9">
      <c r="A24" s="3">
        <v>13</v>
      </c>
      <c r="B24" s="3">
        <v>2</v>
      </c>
      <c r="C24" s="3" t="s">
        <v>37</v>
      </c>
      <c r="D24" s="3" t="s">
        <v>17</v>
      </c>
      <c r="E24" s="3">
        <v>3</v>
      </c>
      <c r="F24" s="3">
        <v>1</v>
      </c>
      <c r="G24" s="3">
        <v>1</v>
      </c>
      <c r="H24" s="3">
        <v>1</v>
      </c>
      <c r="I24" s="4" t="str">
        <f>HYPERLINK("http://141.218.60.56/~jnz1568/getInfo.php?workbook=13_02.xlsx&amp;sheet=E0&amp;row=24&amp;col=9&amp;number=15828823&amp;sourceID=14","15828823")</f>
        <v>15828823</v>
      </c>
    </row>
    <row r="25" spans="1:9">
      <c r="A25" s="3">
        <v>13</v>
      </c>
      <c r="B25" s="3">
        <v>2</v>
      </c>
      <c r="C25" s="3" t="s">
        <v>38</v>
      </c>
      <c r="D25" s="3" t="s">
        <v>17</v>
      </c>
      <c r="E25" s="3">
        <v>3</v>
      </c>
      <c r="F25" s="3">
        <v>1</v>
      </c>
      <c r="G25" s="3">
        <v>1</v>
      </c>
      <c r="H25" s="3">
        <v>2</v>
      </c>
      <c r="I25" s="4" t="str">
        <f>HYPERLINK("http://141.218.60.56/~jnz1568/getInfo.php?workbook=13_02.xlsx&amp;sheet=E0&amp;row=25&amp;col=9&amp;number=15829460&amp;sourceID=14","15829460")</f>
        <v>15829460</v>
      </c>
    </row>
    <row r="26" spans="1:9">
      <c r="A26" s="3">
        <v>13</v>
      </c>
      <c r="B26" s="3">
        <v>2</v>
      </c>
      <c r="C26" s="3" t="s">
        <v>39</v>
      </c>
      <c r="D26" s="3" t="s">
        <v>21</v>
      </c>
      <c r="E26" s="3">
        <v>1</v>
      </c>
      <c r="F26" s="3">
        <v>1</v>
      </c>
      <c r="G26" s="3">
        <v>1</v>
      </c>
      <c r="H26" s="3">
        <v>1</v>
      </c>
      <c r="I26" s="4" t="str">
        <f>HYPERLINK("http://141.218.60.56/~jnz1568/getInfo.php?workbook=13_02.xlsx&amp;sheet=E0&amp;row=26&amp;col=9&amp;number=15838068&amp;sourceID=14","15838068")</f>
        <v>15838068</v>
      </c>
    </row>
    <row r="27" spans="1:9">
      <c r="A27" s="3">
        <v>13</v>
      </c>
      <c r="B27" s="3">
        <v>2</v>
      </c>
      <c r="C27" s="3" t="s">
        <v>40</v>
      </c>
      <c r="D27" s="3" t="s">
        <v>29</v>
      </c>
      <c r="E27" s="3">
        <v>3</v>
      </c>
      <c r="F27" s="3">
        <v>2</v>
      </c>
      <c r="G27" s="3">
        <v>0</v>
      </c>
      <c r="H27" s="3">
        <v>1</v>
      </c>
      <c r="I27" s="4" t="str">
        <f>HYPERLINK("http://141.218.60.56/~jnz1568/getInfo.php?workbook=13_02.xlsx&amp;sheet=E0&amp;row=27&amp;col=9&amp;number=15836000&amp;sourceID=14","15836000")</f>
        <v>15836000</v>
      </c>
    </row>
    <row r="28" spans="1:9">
      <c r="A28" s="3">
        <v>13</v>
      </c>
      <c r="B28" s="3">
        <v>2</v>
      </c>
      <c r="C28" s="3" t="s">
        <v>41</v>
      </c>
      <c r="D28" s="3" t="s">
        <v>29</v>
      </c>
      <c r="E28" s="3">
        <v>3</v>
      </c>
      <c r="F28" s="3">
        <v>2</v>
      </c>
      <c r="G28" s="3">
        <v>0</v>
      </c>
      <c r="H28" s="3">
        <v>2</v>
      </c>
      <c r="I28" s="4" t="str">
        <f>HYPERLINK("http://141.218.60.56/~jnz1568/getInfo.php?workbook=13_02.xlsx&amp;sheet=E0&amp;row=28&amp;col=9&amp;number=15836017&amp;sourceID=14","15836017")</f>
        <v>15836017</v>
      </c>
    </row>
    <row r="29" spans="1:9">
      <c r="A29" s="3">
        <v>13</v>
      </c>
      <c r="B29" s="3">
        <v>2</v>
      </c>
      <c r="C29" s="3" t="s">
        <v>42</v>
      </c>
      <c r="D29" s="3" t="s">
        <v>29</v>
      </c>
      <c r="E29" s="3">
        <v>3</v>
      </c>
      <c r="F29" s="3">
        <v>2</v>
      </c>
      <c r="G29" s="3">
        <v>0</v>
      </c>
      <c r="H29" s="3">
        <v>3</v>
      </c>
      <c r="I29" s="4" t="str">
        <f>HYPERLINK("http://141.218.60.56/~jnz1568/getInfo.php?workbook=13_02.xlsx&amp;sheet=E0&amp;row=29&amp;col=9&amp;number=15836256&amp;sourceID=14","15836256")</f>
        <v>15836256</v>
      </c>
    </row>
    <row r="30" spans="1:9">
      <c r="A30" s="3">
        <v>13</v>
      </c>
      <c r="B30" s="3">
        <v>2</v>
      </c>
      <c r="C30" s="3" t="s">
        <v>43</v>
      </c>
      <c r="D30" s="3" t="s">
        <v>33</v>
      </c>
      <c r="E30" s="3">
        <v>1</v>
      </c>
      <c r="F30" s="3">
        <v>2</v>
      </c>
      <c r="G30" s="3">
        <v>0</v>
      </c>
      <c r="H30" s="3">
        <v>2</v>
      </c>
      <c r="I30" s="4" t="str">
        <f>HYPERLINK("http://141.218.60.56/~jnz1568/getInfo.php?workbook=13_02.xlsx&amp;sheet=E0&amp;row=30&amp;col=9&amp;number=15836581&amp;sourceID=14","15836581")</f>
        <v>15836581</v>
      </c>
    </row>
    <row r="31" spans="1:9">
      <c r="A31" s="3">
        <v>13</v>
      </c>
      <c r="B31" s="3">
        <v>2</v>
      </c>
      <c r="C31" s="3" t="s">
        <v>44</v>
      </c>
      <c r="D31" s="3" t="s">
        <v>45</v>
      </c>
      <c r="E31" s="3">
        <v>3</v>
      </c>
      <c r="F31" s="3">
        <v>3</v>
      </c>
      <c r="G31" s="3">
        <v>1</v>
      </c>
      <c r="H31" s="3">
        <v>2</v>
      </c>
      <c r="I31" s="4" t="str">
        <f>HYPERLINK("http://141.218.60.56/~jnz1568/getInfo.php?workbook=13_02.xlsx&amp;sheet=E0&amp;row=31&amp;col=9&amp;number=0&amp;sourceID=14","0")</f>
        <v>0</v>
      </c>
    </row>
    <row r="32" spans="1:9">
      <c r="A32" s="3">
        <v>13</v>
      </c>
      <c r="B32" s="3">
        <v>2</v>
      </c>
      <c r="C32" s="3" t="s">
        <v>46</v>
      </c>
      <c r="D32" s="3" t="s">
        <v>45</v>
      </c>
      <c r="E32" s="3">
        <v>3</v>
      </c>
      <c r="F32" s="3">
        <v>3</v>
      </c>
      <c r="G32" s="3">
        <v>1</v>
      </c>
      <c r="H32" s="3">
        <v>3</v>
      </c>
      <c r="I32" s="4" t="str">
        <f>HYPERLINK("http://141.218.60.56/~jnz1568/getInfo.php?workbook=13_02.xlsx&amp;sheet=E0&amp;row=32&amp;col=9&amp;number=0&amp;sourceID=14","0")</f>
        <v>0</v>
      </c>
    </row>
    <row r="33" spans="1:9">
      <c r="A33" s="3">
        <v>13</v>
      </c>
      <c r="B33" s="3">
        <v>2</v>
      </c>
      <c r="C33" s="3" t="s">
        <v>47</v>
      </c>
      <c r="D33" s="3" t="s">
        <v>45</v>
      </c>
      <c r="E33" s="3">
        <v>3</v>
      </c>
      <c r="F33" s="3">
        <v>3</v>
      </c>
      <c r="G33" s="3">
        <v>1</v>
      </c>
      <c r="H33" s="3">
        <v>4</v>
      </c>
      <c r="I33" s="4" t="str">
        <f>HYPERLINK("http://141.218.60.56/~jnz1568/getInfo.php?workbook=13_02.xlsx&amp;sheet=E0&amp;row=33&amp;col=9&amp;number=0&amp;sourceID=14","0")</f>
        <v>0</v>
      </c>
    </row>
    <row r="34" spans="1:9">
      <c r="A34" s="3">
        <v>13</v>
      </c>
      <c r="B34" s="3">
        <v>2</v>
      </c>
      <c r="C34" s="3" t="s">
        <v>48</v>
      </c>
      <c r="D34" s="3" t="s">
        <v>49</v>
      </c>
      <c r="E34" s="3">
        <v>1</v>
      </c>
      <c r="F34" s="3">
        <v>3</v>
      </c>
      <c r="G34" s="3">
        <v>1</v>
      </c>
      <c r="H34" s="3">
        <v>3</v>
      </c>
      <c r="I34" s="4" t="str">
        <f>HYPERLINK("http://141.218.60.56/~jnz1568/getInfo.php?workbook=13_02.xlsx&amp;sheet=E0&amp;row=34&amp;col=9&amp;number=0&amp;sourceID=14","0")</f>
        <v>0</v>
      </c>
    </row>
    <row r="35" spans="1:9">
      <c r="A35" s="3">
        <v>13</v>
      </c>
      <c r="B35" s="3">
        <v>2</v>
      </c>
      <c r="C35" s="3" t="s">
        <v>50</v>
      </c>
      <c r="D35" s="3" t="s">
        <v>14</v>
      </c>
      <c r="E35" s="3">
        <v>3</v>
      </c>
      <c r="F35" s="3">
        <v>0</v>
      </c>
      <c r="G35" s="3">
        <v>0</v>
      </c>
      <c r="H35" s="3">
        <v>1</v>
      </c>
      <c r="I35" s="4" t="str">
        <f>HYPERLINK("http://141.218.60.56/~jnz1568/getInfo.php?workbook=13_02.xlsx&amp;sheet=E0&amp;row=35&amp;col=9&amp;number=16182216&amp;sourceID=14","16182216")</f>
        <v>16182216</v>
      </c>
    </row>
    <row r="36" spans="1:9">
      <c r="A36" s="3">
        <v>13</v>
      </c>
      <c r="B36" s="3">
        <v>2</v>
      </c>
      <c r="C36" s="3" t="s">
        <v>51</v>
      </c>
      <c r="D36" s="3" t="s">
        <v>12</v>
      </c>
      <c r="E36" s="3">
        <v>1</v>
      </c>
      <c r="F36" s="3">
        <v>0</v>
      </c>
      <c r="G36" s="3">
        <v>0</v>
      </c>
      <c r="H36" s="3">
        <v>0</v>
      </c>
      <c r="I36" s="4" t="str">
        <f>HYPERLINK("http://141.218.60.56/~jnz1568/getInfo.php?workbook=13_02.xlsx&amp;sheet=E0&amp;row=36&amp;col=9&amp;number=16188281&amp;sourceID=14","16188281")</f>
        <v>16188281</v>
      </c>
    </row>
    <row r="37" spans="1:9">
      <c r="A37" s="3">
        <v>13</v>
      </c>
      <c r="B37" s="3">
        <v>2</v>
      </c>
      <c r="C37" s="3" t="s">
        <v>52</v>
      </c>
      <c r="D37" s="3" t="s">
        <v>17</v>
      </c>
      <c r="E37" s="3">
        <v>3</v>
      </c>
      <c r="F37" s="3">
        <v>1</v>
      </c>
      <c r="G37" s="3">
        <v>1</v>
      </c>
      <c r="H37" s="3">
        <v>0</v>
      </c>
      <c r="I37" s="4" t="str">
        <f>HYPERLINK("http://141.218.60.56/~jnz1568/getInfo.php?workbook=13_02.xlsx&amp;sheet=E0&amp;row=37&amp;col=9&amp;number=16188215&amp;sourceID=14","16188215")</f>
        <v>16188215</v>
      </c>
    </row>
    <row r="38" spans="1:9">
      <c r="A38" s="3">
        <v>13</v>
      </c>
      <c r="B38" s="3">
        <v>2</v>
      </c>
      <c r="C38" s="3" t="s">
        <v>53</v>
      </c>
      <c r="D38" s="3" t="s">
        <v>17</v>
      </c>
      <c r="E38" s="3">
        <v>3</v>
      </c>
      <c r="F38" s="3">
        <v>1</v>
      </c>
      <c r="G38" s="3">
        <v>1</v>
      </c>
      <c r="H38" s="3">
        <v>1</v>
      </c>
      <c r="I38" s="4" t="str">
        <f>HYPERLINK("http://141.218.60.56/~jnz1568/getInfo.php?workbook=13_02.xlsx&amp;sheet=E0&amp;row=38&amp;col=9&amp;number=16188299&amp;sourceID=14","16188299")</f>
        <v>16188299</v>
      </c>
    </row>
    <row r="39" spans="1:9">
      <c r="A39" s="3">
        <v>13</v>
      </c>
      <c r="B39" s="3">
        <v>2</v>
      </c>
      <c r="C39" s="3" t="s">
        <v>54</v>
      </c>
      <c r="D39" s="3" t="s">
        <v>17</v>
      </c>
      <c r="E39" s="3">
        <v>3</v>
      </c>
      <c r="F39" s="3">
        <v>1</v>
      </c>
      <c r="G39" s="3">
        <v>1</v>
      </c>
      <c r="H39" s="3">
        <v>2</v>
      </c>
      <c r="I39" s="4" t="str">
        <f>HYPERLINK("http://141.218.60.56/~jnz1568/getInfo.php?workbook=13_02.xlsx&amp;sheet=E0&amp;row=39&amp;col=9&amp;number=16188626&amp;sourceID=14","16188626")</f>
        <v>16188626</v>
      </c>
    </row>
    <row r="40" spans="1:9">
      <c r="A40" s="3">
        <v>13</v>
      </c>
      <c r="B40" s="3">
        <v>2</v>
      </c>
      <c r="C40" s="3" t="s">
        <v>55</v>
      </c>
      <c r="D40" s="3" t="s">
        <v>21</v>
      </c>
      <c r="E40" s="3">
        <v>1</v>
      </c>
      <c r="F40" s="3">
        <v>1</v>
      </c>
      <c r="G40" s="3">
        <v>1</v>
      </c>
      <c r="H40" s="3">
        <v>1</v>
      </c>
      <c r="I40" s="4" t="str">
        <f>HYPERLINK("http://141.218.60.56/~jnz1568/getInfo.php?workbook=13_02.xlsx&amp;sheet=E0&amp;row=40&amp;col=9&amp;number=16192975&amp;sourceID=14","16192975")</f>
        <v>16192975</v>
      </c>
    </row>
    <row r="41" spans="1:9">
      <c r="A41" s="3">
        <v>13</v>
      </c>
      <c r="B41" s="3">
        <v>2</v>
      </c>
      <c r="C41" s="3" t="s">
        <v>56</v>
      </c>
      <c r="D41" s="3" t="s">
        <v>29</v>
      </c>
      <c r="E41" s="3">
        <v>3</v>
      </c>
      <c r="F41" s="3">
        <v>2</v>
      </c>
      <c r="G41" s="3">
        <v>0</v>
      </c>
      <c r="H41" s="3">
        <v>1</v>
      </c>
      <c r="I41" s="4" t="str">
        <f>HYPERLINK("http://141.218.60.56/~jnz1568/getInfo.php?workbook=13_02.xlsx&amp;sheet=E0&amp;row=41&amp;col=9&amp;number=16191946&amp;sourceID=14","16191946")</f>
        <v>16191946</v>
      </c>
    </row>
    <row r="42" spans="1:9">
      <c r="A42" s="3">
        <v>13</v>
      </c>
      <c r="B42" s="3">
        <v>2</v>
      </c>
      <c r="C42" s="3" t="s">
        <v>57</v>
      </c>
      <c r="D42" s="3" t="s">
        <v>29</v>
      </c>
      <c r="E42" s="3">
        <v>3</v>
      </c>
      <c r="F42" s="3">
        <v>2</v>
      </c>
      <c r="G42" s="3">
        <v>0</v>
      </c>
      <c r="H42" s="3">
        <v>2</v>
      </c>
      <c r="I42" s="4" t="str">
        <f>HYPERLINK("http://141.218.60.56/~jnz1568/getInfo.php?workbook=13_02.xlsx&amp;sheet=E0&amp;row=42&amp;col=9&amp;number=16191955&amp;sourceID=14","16191955")</f>
        <v>16191955</v>
      </c>
    </row>
    <row r="43" spans="1:9">
      <c r="A43" s="3">
        <v>13</v>
      </c>
      <c r="B43" s="3">
        <v>2</v>
      </c>
      <c r="C43" s="3" t="s">
        <v>58</v>
      </c>
      <c r="D43" s="3" t="s">
        <v>29</v>
      </c>
      <c r="E43" s="3">
        <v>3</v>
      </c>
      <c r="F43" s="3">
        <v>2</v>
      </c>
      <c r="G43" s="3">
        <v>0</v>
      </c>
      <c r="H43" s="3">
        <v>3</v>
      </c>
      <c r="I43" s="4" t="str">
        <f>HYPERLINK("http://141.218.60.56/~jnz1568/getInfo.php?workbook=13_02.xlsx&amp;sheet=E0&amp;row=43&amp;col=9&amp;number=16192077&amp;sourceID=14","16192077")</f>
        <v>16192077</v>
      </c>
    </row>
    <row r="44" spans="1:9">
      <c r="A44" s="3">
        <v>13</v>
      </c>
      <c r="B44" s="3">
        <v>2</v>
      </c>
      <c r="C44" s="3" t="s">
        <v>59</v>
      </c>
      <c r="D44" s="3" t="s">
        <v>33</v>
      </c>
      <c r="E44" s="3">
        <v>1</v>
      </c>
      <c r="F44" s="3">
        <v>2</v>
      </c>
      <c r="G44" s="3">
        <v>0</v>
      </c>
      <c r="H44" s="3">
        <v>2</v>
      </c>
      <c r="I44" s="4" t="str">
        <f>HYPERLINK("http://141.218.60.56/~jnz1568/getInfo.php?workbook=13_02.xlsx&amp;sheet=E0&amp;row=44&amp;col=9&amp;number=16192244&amp;sourceID=14","16192244")</f>
        <v>16192244</v>
      </c>
    </row>
    <row r="45" spans="1:9">
      <c r="A45" s="3">
        <v>13</v>
      </c>
      <c r="B45" s="3">
        <v>2</v>
      </c>
      <c r="C45" s="3" t="s">
        <v>60</v>
      </c>
      <c r="D45" s="3" t="s">
        <v>45</v>
      </c>
      <c r="E45" s="3">
        <v>3</v>
      </c>
      <c r="F45" s="3">
        <v>3</v>
      </c>
      <c r="G45" s="3">
        <v>1</v>
      </c>
      <c r="H45" s="3">
        <v>2</v>
      </c>
      <c r="I45" s="4" t="str">
        <f>HYPERLINK("http://141.218.60.56/~jnz1568/getInfo.php?workbook=13_02.xlsx&amp;sheet=E0&amp;row=45&amp;col=9&amp;number=0&amp;sourceID=14","0")</f>
        <v>0</v>
      </c>
    </row>
    <row r="46" spans="1:9">
      <c r="A46" s="3">
        <v>13</v>
      </c>
      <c r="B46" s="3">
        <v>2</v>
      </c>
      <c r="C46" s="3" t="s">
        <v>61</v>
      </c>
      <c r="D46" s="3" t="s">
        <v>45</v>
      </c>
      <c r="E46" s="3">
        <v>3</v>
      </c>
      <c r="F46" s="3">
        <v>3</v>
      </c>
      <c r="G46" s="3">
        <v>1</v>
      </c>
      <c r="H46" s="3">
        <v>3</v>
      </c>
      <c r="I46" s="4" t="str">
        <f>HYPERLINK("http://141.218.60.56/~jnz1568/getInfo.php?workbook=13_02.xlsx&amp;sheet=E0&amp;row=46&amp;col=9&amp;number=0&amp;sourceID=14","0")</f>
        <v>0</v>
      </c>
    </row>
    <row r="47" spans="1:9">
      <c r="A47" s="3">
        <v>13</v>
      </c>
      <c r="B47" s="3">
        <v>2</v>
      </c>
      <c r="C47" s="3" t="s">
        <v>62</v>
      </c>
      <c r="D47" s="3" t="s">
        <v>45</v>
      </c>
      <c r="E47" s="3">
        <v>3</v>
      </c>
      <c r="F47" s="3">
        <v>3</v>
      </c>
      <c r="G47" s="3">
        <v>1</v>
      </c>
      <c r="H47" s="3">
        <v>4</v>
      </c>
      <c r="I47" s="4" t="str">
        <f>HYPERLINK("http://141.218.60.56/~jnz1568/getInfo.php?workbook=13_02.xlsx&amp;sheet=E0&amp;row=47&amp;col=9&amp;number=0&amp;sourceID=14","0")</f>
        <v>0</v>
      </c>
    </row>
    <row r="48" spans="1:9">
      <c r="A48" s="3">
        <v>13</v>
      </c>
      <c r="B48" s="3">
        <v>2</v>
      </c>
      <c r="C48" s="3" t="s">
        <v>63</v>
      </c>
      <c r="D48" s="3" t="s">
        <v>49</v>
      </c>
      <c r="E48" s="3">
        <v>1</v>
      </c>
      <c r="F48" s="3">
        <v>3</v>
      </c>
      <c r="G48" s="3">
        <v>1</v>
      </c>
      <c r="H48" s="3">
        <v>3</v>
      </c>
      <c r="I48" s="4" t="str">
        <f>HYPERLINK("http://141.218.60.56/~jnz1568/getInfo.php?workbook=13_02.xlsx&amp;sheet=E0&amp;row=48&amp;col=9&amp;number=0&amp;sourceID=14","0")</f>
        <v>0</v>
      </c>
    </row>
    <row r="49" spans="1:9">
      <c r="A49" s="3">
        <v>13</v>
      </c>
      <c r="B49" s="3">
        <v>2</v>
      </c>
      <c r="C49" s="3" t="s">
        <v>64</v>
      </c>
      <c r="D49" s="3" t="s">
        <v>65</v>
      </c>
      <c r="E49" s="3">
        <v>3</v>
      </c>
      <c r="F49" s="3">
        <v>4</v>
      </c>
      <c r="G49" s="3">
        <v>0</v>
      </c>
      <c r="H49" s="3">
        <v>3</v>
      </c>
      <c r="I49" s="4" t="str">
        <f>HYPERLINK("http://141.218.60.56/~jnz1568/getInfo.php?workbook=13_02.xlsx&amp;sheet=E0&amp;row=49&amp;col=9&amp;number=0&amp;sourceID=14","0")</f>
        <v>0</v>
      </c>
    </row>
    <row r="50" spans="1:9">
      <c r="A50" s="3">
        <v>13</v>
      </c>
      <c r="B50" s="3">
        <v>2</v>
      </c>
      <c r="C50" s="3" t="s">
        <v>66</v>
      </c>
      <c r="D50" s="3" t="s">
        <v>65</v>
      </c>
      <c r="E50" s="3">
        <v>3</v>
      </c>
      <c r="F50" s="3">
        <v>4</v>
      </c>
      <c r="G50" s="3">
        <v>0</v>
      </c>
      <c r="H50" s="3">
        <v>4</v>
      </c>
      <c r="I50" s="4" t="str">
        <f>HYPERLINK("http://141.218.60.56/~jnz1568/getInfo.php?workbook=13_02.xlsx&amp;sheet=E0&amp;row=50&amp;col=9&amp;number=0&amp;sourceID=14","0")</f>
        <v>0</v>
      </c>
    </row>
    <row r="51" spans="1:9">
      <c r="A51" s="3">
        <v>13</v>
      </c>
      <c r="B51" s="3">
        <v>2</v>
      </c>
      <c r="C51" s="3" t="s">
        <v>67</v>
      </c>
      <c r="D51" s="3" t="s">
        <v>65</v>
      </c>
      <c r="E51" s="3">
        <v>3</v>
      </c>
      <c r="F51" s="3">
        <v>4</v>
      </c>
      <c r="G51" s="3">
        <v>0</v>
      </c>
      <c r="H51" s="3">
        <v>5</v>
      </c>
      <c r="I51" s="4" t="str">
        <f>HYPERLINK("http://141.218.60.56/~jnz1568/getInfo.php?workbook=13_02.xlsx&amp;sheet=E0&amp;row=51&amp;col=9&amp;number=0&amp;sourceID=14","0")</f>
        <v>0</v>
      </c>
    </row>
    <row r="52" spans="1:9">
      <c r="A52" s="3">
        <v>13</v>
      </c>
      <c r="B52" s="3">
        <v>2</v>
      </c>
      <c r="C52" s="3" t="s">
        <v>68</v>
      </c>
      <c r="D52" s="3" t="s">
        <v>69</v>
      </c>
      <c r="E52" s="3">
        <v>1</v>
      </c>
      <c r="F52" s="3">
        <v>4</v>
      </c>
      <c r="G52" s="3">
        <v>0</v>
      </c>
      <c r="H52" s="3">
        <v>4</v>
      </c>
      <c r="I52" s="4" t="str">
        <f>HYPERLINK("http://141.218.60.56/~jnz1568/getInfo.php?workbook=13_02.xlsx&amp;sheet=E0&amp;row=52&amp;col=9&amp;number=0&amp;sourceID=14","0")</f>
        <v>0</v>
      </c>
    </row>
  </sheetData>
  <mergeCells count="1">
    <mergeCell ref="A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69"/>
  <sheetViews>
    <sheetView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3.7109375" customWidth="1"/>
    <col min="5" max="5" width="11.7109375" customWidth="1"/>
    <col min="6" max="6" width="15.7109375" customWidth="1"/>
    <col min="7" max="7" width="10.7109375" customWidth="1"/>
  </cols>
  <sheetData>
    <row r="1" spans="1:7">
      <c r="A1" s="1" t="s">
        <v>70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71</v>
      </c>
      <c r="D3" s="2" t="s">
        <v>72</v>
      </c>
      <c r="E3" s="2" t="s">
        <v>73</v>
      </c>
      <c r="F3" s="2" t="s">
        <v>74</v>
      </c>
      <c r="G3" s="2" t="s">
        <v>75</v>
      </c>
    </row>
    <row r="4" spans="1:7">
      <c r="A4" s="3">
        <v>13</v>
      </c>
      <c r="B4" s="3">
        <v>2</v>
      </c>
      <c r="C4" s="3">
        <v>2</v>
      </c>
      <c r="D4" s="3">
        <v>1</v>
      </c>
      <c r="E4" s="3">
        <v>7.872</v>
      </c>
      <c r="F4" s="4" t="str">
        <f>HYPERLINK("http://141.218.60.56/~jnz1568/getInfo.php?workbook=13_02.xlsx&amp;sheet=A0&amp;row=4&amp;col=6&amp;number=168000&amp;sourceID=14","168000")</f>
        <v>168000</v>
      </c>
      <c r="G4" s="4" t="str">
        <f>HYPERLINK("http://141.218.60.56/~jnz1568/getInfo.php?workbook=13_02.xlsx&amp;sheet=A0&amp;row=4&amp;col=7&amp;number=0&amp;sourceID=14","0")</f>
        <v>0</v>
      </c>
    </row>
    <row r="5" spans="1:7">
      <c r="A5" s="3">
        <v>13</v>
      </c>
      <c r="B5" s="3">
        <v>2</v>
      </c>
      <c r="C5" s="3">
        <v>3</v>
      </c>
      <c r="D5" s="3">
        <v>1</v>
      </c>
      <c r="E5" s="3">
        <v>0</v>
      </c>
      <c r="F5" s="4" t="str">
        <f>HYPERLINK("http://141.218.60.56/~jnz1568/getInfo.php?workbook=13_02.xlsx&amp;sheet=A0&amp;row=5&amp;col=6&amp;number=0&amp;sourceID=14","0")</f>
        <v>0</v>
      </c>
      <c r="G5" s="4" t="str">
        <f>HYPERLINK("http://141.218.60.56/~jnz1568/getInfo.php?workbook=13_02.xlsx&amp;sheet=A0&amp;row=5&amp;col=7&amp;number=54070000&amp;sourceID=14","54070000")</f>
        <v>54070000</v>
      </c>
    </row>
    <row r="6" spans="1:7">
      <c r="A6" s="3">
        <v>13</v>
      </c>
      <c r="B6" s="3">
        <v>2</v>
      </c>
      <c r="C6" s="3">
        <v>5</v>
      </c>
      <c r="D6" s="3">
        <v>1</v>
      </c>
      <c r="E6" s="3">
        <v>7.807</v>
      </c>
      <c r="F6" s="4" t="str">
        <f>HYPERLINK("http://141.218.60.56/~jnz1568/getInfo.php?workbook=13_02.xlsx&amp;sheet=A0&amp;row=6&amp;col=6&amp;number=76200000000&amp;sourceID=14","76200000000")</f>
        <v>76200000000</v>
      </c>
      <c r="G6" s="4" t="str">
        <f>HYPERLINK("http://141.218.60.56/~jnz1568/getInfo.php?workbook=13_02.xlsx&amp;sheet=A0&amp;row=6&amp;col=7&amp;number=0&amp;sourceID=14","0")</f>
        <v>0</v>
      </c>
    </row>
    <row r="7" spans="1:7">
      <c r="A7" s="3">
        <v>13</v>
      </c>
      <c r="B7" s="3">
        <v>2</v>
      </c>
      <c r="C7" s="3">
        <v>6</v>
      </c>
      <c r="D7" s="3">
        <v>1</v>
      </c>
      <c r="E7" s="3">
        <v>7.804</v>
      </c>
      <c r="F7" s="4" t="str">
        <f>HYPERLINK("http://141.218.60.56/~jnz1568/getInfo.php?workbook=13_02.xlsx&amp;sheet=A0&amp;row=7&amp;col=6&amp;number=20900000&amp;sourceID=14","20900000")</f>
        <v>20900000</v>
      </c>
      <c r="G7" s="4" t="str">
        <f>HYPERLINK("http://141.218.60.56/~jnz1568/getInfo.php?workbook=13_02.xlsx&amp;sheet=A0&amp;row=7&amp;col=7&amp;number=0&amp;sourceID=14","0")</f>
        <v>0</v>
      </c>
    </row>
    <row r="8" spans="1:7">
      <c r="A8" s="3">
        <v>13</v>
      </c>
      <c r="B8" s="3">
        <v>2</v>
      </c>
      <c r="C8" s="3">
        <v>7</v>
      </c>
      <c r="D8" s="3">
        <v>1</v>
      </c>
      <c r="E8" s="3">
        <v>7.757</v>
      </c>
      <c r="F8" s="4" t="str">
        <f>HYPERLINK("http://141.218.60.56/~jnz1568/getInfo.php?workbook=13_02.xlsx&amp;sheet=A0&amp;row=8&amp;col=6&amp;number=27180000000000&amp;sourceID=14","27180000000000")</f>
        <v>27180000000000</v>
      </c>
      <c r="G8" s="4" t="str">
        <f>HYPERLINK("http://141.218.60.56/~jnz1568/getInfo.php?workbook=13_02.xlsx&amp;sheet=A0&amp;row=8&amp;col=7&amp;number=0&amp;sourceID=14","0")</f>
        <v>0</v>
      </c>
    </row>
    <row r="9" spans="1:7">
      <c r="A9" s="3">
        <v>13</v>
      </c>
      <c r="B9" s="3">
        <v>2</v>
      </c>
      <c r="C9" s="3">
        <v>11</v>
      </c>
      <c r="D9" s="3">
        <v>1</v>
      </c>
      <c r="E9" s="3">
        <v>6.645</v>
      </c>
      <c r="F9" s="4" t="str">
        <f>HYPERLINK("http://141.218.60.56/~jnz1568/getInfo.php?workbook=13_02.xlsx&amp;sheet=A0&amp;row=9&amp;col=6&amp;number=20820000000&amp;sourceID=14","20820000000")</f>
        <v>20820000000</v>
      </c>
      <c r="G9" s="4" t="str">
        <f>HYPERLINK("http://141.218.60.56/~jnz1568/getInfo.php?workbook=13_02.xlsx&amp;sheet=A0&amp;row=9&amp;col=7&amp;number=0&amp;sourceID=14","0")</f>
        <v>0</v>
      </c>
    </row>
    <row r="10" spans="1:7">
      <c r="A10" s="3">
        <v>13</v>
      </c>
      <c r="B10" s="3">
        <v>2</v>
      </c>
      <c r="C10" s="3">
        <v>13</v>
      </c>
      <c r="D10" s="3">
        <v>1</v>
      </c>
      <c r="E10" s="3">
        <v>6.635</v>
      </c>
      <c r="F10" s="4" t="str">
        <f>HYPERLINK("http://141.218.60.56/~jnz1568/getInfo.php?workbook=13_02.xlsx&amp;sheet=A0&amp;row=10&amp;col=6&amp;number=7724000000000&amp;sourceID=14","7724000000000")</f>
        <v>7724000000000</v>
      </c>
      <c r="G10" s="4" t="str">
        <f>HYPERLINK("http://141.218.60.56/~jnz1568/getInfo.php?workbook=13_02.xlsx&amp;sheet=A0&amp;row=10&amp;col=7&amp;number=0&amp;sourceID=14","0")</f>
        <v>0</v>
      </c>
    </row>
    <row r="11" spans="1:7">
      <c r="A11" s="3">
        <v>13</v>
      </c>
      <c r="B11" s="3">
        <v>2</v>
      </c>
      <c r="C11" s="3">
        <v>21</v>
      </c>
      <c r="D11" s="3">
        <v>1</v>
      </c>
      <c r="E11" s="3">
        <v>6.318</v>
      </c>
      <c r="F11" s="4" t="str">
        <f>HYPERLINK("http://141.218.60.56/~jnz1568/getInfo.php?workbook=13_02.xlsx&amp;sheet=A0&amp;row=11&amp;col=6&amp;number=9014000000&amp;sourceID=14","9014000000")</f>
        <v>9014000000</v>
      </c>
      <c r="G11" s="4" t="str">
        <f>HYPERLINK("http://141.218.60.56/~jnz1568/getInfo.php?workbook=13_02.xlsx&amp;sheet=A0&amp;row=11&amp;col=7&amp;number=0&amp;sourceID=14","0")</f>
        <v>0</v>
      </c>
    </row>
    <row r="12" spans="1:7">
      <c r="A12" s="3">
        <v>13</v>
      </c>
      <c r="B12" s="3">
        <v>2</v>
      </c>
      <c r="C12" s="3">
        <v>23</v>
      </c>
      <c r="D12" s="3">
        <v>1</v>
      </c>
      <c r="E12" s="3">
        <v>6.314</v>
      </c>
      <c r="F12" s="4" t="str">
        <f>HYPERLINK("http://141.218.60.56/~jnz1568/getInfo.php?workbook=13_02.xlsx&amp;sheet=A0&amp;row=12&amp;col=6&amp;number=3189000000000&amp;sourceID=14","3189000000000")</f>
        <v>3189000000000</v>
      </c>
      <c r="G12" s="4" t="str">
        <f>HYPERLINK("http://141.218.60.56/~jnz1568/getInfo.php?workbook=13_02.xlsx&amp;sheet=A0&amp;row=12&amp;col=7&amp;number=0&amp;sourceID=14","0")</f>
        <v>0</v>
      </c>
    </row>
    <row r="13" spans="1:7">
      <c r="A13" s="3">
        <v>13</v>
      </c>
      <c r="B13" s="3">
        <v>2</v>
      </c>
      <c r="C13" s="3">
        <v>35</v>
      </c>
      <c r="D13" s="3">
        <v>1</v>
      </c>
      <c r="E13" s="3">
        <v>6.177</v>
      </c>
      <c r="F13" s="4" t="str">
        <f>HYPERLINK("http://141.218.60.56/~jnz1568/getInfo.php?workbook=13_02.xlsx&amp;sheet=A0&amp;row=13&amp;col=6&amp;number=4670000000&amp;sourceID=14","4670000000")</f>
        <v>4670000000</v>
      </c>
      <c r="G13" s="4" t="str">
        <f>HYPERLINK("http://141.218.60.56/~jnz1568/getInfo.php?workbook=13_02.xlsx&amp;sheet=A0&amp;row=13&amp;col=7&amp;number=0&amp;sourceID=14","0")</f>
        <v>0</v>
      </c>
    </row>
    <row r="14" spans="1:7">
      <c r="A14" s="3">
        <v>13</v>
      </c>
      <c r="B14" s="3">
        <v>2</v>
      </c>
      <c r="C14" s="3">
        <v>37</v>
      </c>
      <c r="D14" s="3">
        <v>1</v>
      </c>
      <c r="E14" s="3">
        <v>6.176</v>
      </c>
      <c r="F14" s="4" t="str">
        <f>HYPERLINK("http://141.218.60.56/~jnz1568/getInfo.php?workbook=13_02.xlsx&amp;sheet=A0&amp;row=14&amp;col=6&amp;number=1449000000000&amp;sourceID=14","1449000000000")</f>
        <v>1449000000000</v>
      </c>
      <c r="G14" s="4" t="str">
        <f>HYPERLINK("http://141.218.60.56/~jnz1568/getInfo.php?workbook=13_02.xlsx&amp;sheet=A0&amp;row=14&amp;col=7&amp;number=0&amp;sourceID=14","0")</f>
        <v>0</v>
      </c>
    </row>
    <row r="15" spans="1:7">
      <c r="A15" s="3">
        <v>13</v>
      </c>
      <c r="B15" s="3">
        <v>2</v>
      </c>
      <c r="C15" s="3">
        <v>4</v>
      </c>
      <c r="D15" s="3">
        <v>2</v>
      </c>
      <c r="E15" s="3">
        <v>954.326</v>
      </c>
      <c r="F15" s="4" t="str">
        <f>HYPERLINK("http://141.218.60.56/~jnz1568/getInfo.php?workbook=13_02.xlsx&amp;sheet=A0&amp;row=15&amp;col=6&amp;number=147000000&amp;sourceID=14","147000000")</f>
        <v>147000000</v>
      </c>
      <c r="G15" s="4" t="str">
        <f>HYPERLINK("http://141.218.60.56/~jnz1568/getInfo.php?workbook=13_02.xlsx&amp;sheet=A0&amp;row=15&amp;col=7&amp;number=0&amp;sourceID=14","0")</f>
        <v>0</v>
      </c>
    </row>
    <row r="16" spans="1:7">
      <c r="A16" s="3">
        <v>13</v>
      </c>
      <c r="B16" s="3">
        <v>2</v>
      </c>
      <c r="C16" s="3">
        <v>5</v>
      </c>
      <c r="D16" s="3">
        <v>2</v>
      </c>
      <c r="E16" s="3">
        <v>943.156</v>
      </c>
      <c r="F16" s="4" t="str">
        <f>HYPERLINK("http://141.218.60.56/~jnz1568/getInfo.php?workbook=13_02.xlsx&amp;sheet=A0&amp;row=16&amp;col=6&amp;number=152000000&amp;sourceID=14","152000000")</f>
        <v>152000000</v>
      </c>
      <c r="G16" s="4" t="str">
        <f>HYPERLINK("http://141.218.60.56/~jnz1568/getInfo.php?workbook=13_02.xlsx&amp;sheet=A0&amp;row=16&amp;col=7&amp;number=0&amp;sourceID=14","0")</f>
        <v>0</v>
      </c>
    </row>
    <row r="17" spans="1:7">
      <c r="A17" s="3">
        <v>13</v>
      </c>
      <c r="B17" s="3">
        <v>2</v>
      </c>
      <c r="C17" s="3">
        <v>6</v>
      </c>
      <c r="D17" s="3">
        <v>2</v>
      </c>
      <c r="E17" s="3">
        <v>899.669</v>
      </c>
      <c r="F17" s="4" t="str">
        <f>HYPERLINK("http://141.218.60.56/~jnz1568/getInfo.php?workbook=13_02.xlsx&amp;sheet=A0&amp;row=17&amp;col=6&amp;number=175000000&amp;sourceID=14","175000000")</f>
        <v>175000000</v>
      </c>
      <c r="G17" s="4" t="str">
        <f>HYPERLINK("http://141.218.60.56/~jnz1568/getInfo.php?workbook=13_02.xlsx&amp;sheet=A0&amp;row=17&amp;col=7&amp;number=0&amp;sourceID=14","0")</f>
        <v>0</v>
      </c>
    </row>
    <row r="18" spans="1:7">
      <c r="A18" s="3">
        <v>13</v>
      </c>
      <c r="B18" s="3">
        <v>2</v>
      </c>
      <c r="C18" s="3">
        <v>10</v>
      </c>
      <c r="D18" s="3">
        <v>2</v>
      </c>
      <c r="E18" s="3">
        <v>42.623</v>
      </c>
      <c r="F18" s="4" t="str">
        <f>HYPERLINK("http://141.218.60.56/~jnz1568/getInfo.php?workbook=13_02.xlsx&amp;sheet=A0&amp;row=18&amp;col=6&amp;number=423500000000&amp;sourceID=14","423500000000")</f>
        <v>423500000000</v>
      </c>
      <c r="G18" s="4" t="str">
        <f>HYPERLINK("http://141.218.60.56/~jnz1568/getInfo.php?workbook=13_02.xlsx&amp;sheet=A0&amp;row=18&amp;col=7&amp;number=0&amp;sourceID=14","0")</f>
        <v>0</v>
      </c>
    </row>
    <row r="19" spans="1:7">
      <c r="A19" s="3">
        <v>13</v>
      </c>
      <c r="B19" s="3">
        <v>2</v>
      </c>
      <c r="C19" s="3">
        <v>11</v>
      </c>
      <c r="D19" s="3">
        <v>2</v>
      </c>
      <c r="E19" s="3">
        <v>42.615</v>
      </c>
      <c r="F19" s="4" t="str">
        <f>HYPERLINK("http://141.218.60.56/~jnz1568/getInfo.php?workbook=13_02.xlsx&amp;sheet=A0&amp;row=19&amp;col=6&amp;number=422800000000&amp;sourceID=14","422800000000")</f>
        <v>422800000000</v>
      </c>
      <c r="G19" s="4" t="str">
        <f>HYPERLINK("http://141.218.60.56/~jnz1568/getInfo.php?workbook=13_02.xlsx&amp;sheet=A0&amp;row=19&amp;col=7&amp;number=0&amp;sourceID=14","0")</f>
        <v>0</v>
      </c>
    </row>
    <row r="20" spans="1:7">
      <c r="A20" s="3">
        <v>13</v>
      </c>
      <c r="B20" s="3">
        <v>2</v>
      </c>
      <c r="C20" s="3">
        <v>12</v>
      </c>
      <c r="D20" s="3">
        <v>2</v>
      </c>
      <c r="E20" s="3">
        <v>42.588</v>
      </c>
      <c r="F20" s="4" t="str">
        <f>HYPERLINK("http://141.218.60.56/~jnz1568/getInfo.php?workbook=13_02.xlsx&amp;sheet=A0&amp;row=20&amp;col=6&amp;number=425000000000&amp;sourceID=14","425000000000")</f>
        <v>425000000000</v>
      </c>
      <c r="G20" s="4" t="str">
        <f>HYPERLINK("http://141.218.60.56/~jnz1568/getInfo.php?workbook=13_02.xlsx&amp;sheet=A0&amp;row=20&amp;col=7&amp;number=0&amp;sourceID=14","0")</f>
        <v>0</v>
      </c>
    </row>
    <row r="21" spans="1:7">
      <c r="A21" s="3">
        <v>13</v>
      </c>
      <c r="B21" s="3">
        <v>2</v>
      </c>
      <c r="C21" s="3">
        <v>13</v>
      </c>
      <c r="D21" s="3">
        <v>2</v>
      </c>
      <c r="E21" s="3">
        <v>42.211</v>
      </c>
      <c r="F21" s="4" t="str">
        <f>HYPERLINK("http://141.218.60.56/~jnz1568/getInfo.php?workbook=13_02.xlsx&amp;sheet=A0&amp;row=21&amp;col=6&amp;number=1272000000&amp;sourceID=14","1272000000")</f>
        <v>1272000000</v>
      </c>
      <c r="G21" s="4" t="str">
        <f>HYPERLINK("http://141.218.60.56/~jnz1568/getInfo.php?workbook=13_02.xlsx&amp;sheet=A0&amp;row=21&amp;col=7&amp;number=0&amp;sourceID=14","0")</f>
        <v>0</v>
      </c>
    </row>
    <row r="22" spans="1:7">
      <c r="A22" s="3">
        <v>13</v>
      </c>
      <c r="B22" s="3">
        <v>2</v>
      </c>
      <c r="C22" s="3">
        <v>20</v>
      </c>
      <c r="D22" s="3">
        <v>2</v>
      </c>
      <c r="E22" s="3">
        <v>31.994</v>
      </c>
      <c r="F22" s="4" t="str">
        <f>HYPERLINK("http://141.218.60.56/~jnz1568/getInfo.php?workbook=13_02.xlsx&amp;sheet=A0&amp;row=22&amp;col=6&amp;number=191300000000&amp;sourceID=14","191300000000")</f>
        <v>191300000000</v>
      </c>
      <c r="G22" s="4" t="str">
        <f>HYPERLINK("http://141.218.60.56/~jnz1568/getInfo.php?workbook=13_02.xlsx&amp;sheet=A0&amp;row=22&amp;col=7&amp;number=0&amp;sourceID=14","0")</f>
        <v>0</v>
      </c>
    </row>
    <row r="23" spans="1:7">
      <c r="A23" s="3">
        <v>13</v>
      </c>
      <c r="B23" s="3">
        <v>2</v>
      </c>
      <c r="C23" s="3">
        <v>21</v>
      </c>
      <c r="D23" s="3">
        <v>2</v>
      </c>
      <c r="E23" s="3">
        <v>31.992</v>
      </c>
      <c r="F23" s="4" t="str">
        <f>HYPERLINK("http://141.218.60.56/~jnz1568/getInfo.php?workbook=13_02.xlsx&amp;sheet=A0&amp;row=23&amp;col=6&amp;number=190700000000&amp;sourceID=14","190700000000")</f>
        <v>190700000000</v>
      </c>
      <c r="G23" s="4" t="str">
        <f>HYPERLINK("http://141.218.60.56/~jnz1568/getInfo.php?workbook=13_02.xlsx&amp;sheet=A0&amp;row=23&amp;col=7&amp;number=0&amp;sourceID=14","0")</f>
        <v>0</v>
      </c>
    </row>
    <row r="24" spans="1:7">
      <c r="A24" s="3">
        <v>13</v>
      </c>
      <c r="B24" s="3">
        <v>2</v>
      </c>
      <c r="C24" s="3">
        <v>22</v>
      </c>
      <c r="D24" s="3">
        <v>2</v>
      </c>
      <c r="E24" s="3">
        <v>31.986</v>
      </c>
      <c r="F24" s="4" t="str">
        <f>HYPERLINK("http://141.218.60.56/~jnz1568/getInfo.php?workbook=13_02.xlsx&amp;sheet=A0&amp;row=24&amp;col=6&amp;number=191600000000&amp;sourceID=14","191600000000")</f>
        <v>191600000000</v>
      </c>
      <c r="G24" s="4" t="str">
        <f>HYPERLINK("http://141.218.60.56/~jnz1568/getInfo.php?workbook=13_02.xlsx&amp;sheet=A0&amp;row=24&amp;col=7&amp;number=0&amp;sourceID=14","0")</f>
        <v>0</v>
      </c>
    </row>
    <row r="25" spans="1:7">
      <c r="A25" s="3">
        <v>13</v>
      </c>
      <c r="B25" s="3">
        <v>2</v>
      </c>
      <c r="C25" s="3">
        <v>23</v>
      </c>
      <c r="D25" s="3">
        <v>2</v>
      </c>
      <c r="E25" s="3">
        <v>31.898</v>
      </c>
      <c r="F25" s="4" t="str">
        <f>HYPERLINK("http://141.218.60.56/~jnz1568/getInfo.php?workbook=13_02.xlsx&amp;sheet=A0&amp;row=25&amp;col=6&amp;number=602400000&amp;sourceID=14","602400000")</f>
        <v>602400000</v>
      </c>
      <c r="G25" s="4" t="str">
        <f>HYPERLINK("http://141.218.60.56/~jnz1568/getInfo.php?workbook=13_02.xlsx&amp;sheet=A0&amp;row=25&amp;col=7&amp;number=0&amp;sourceID=14","0")</f>
        <v>0</v>
      </c>
    </row>
    <row r="26" spans="1:7">
      <c r="A26" s="3">
        <v>13</v>
      </c>
      <c r="B26" s="3">
        <v>2</v>
      </c>
      <c r="C26" s="3">
        <v>34</v>
      </c>
      <c r="D26" s="3">
        <v>2</v>
      </c>
      <c r="E26" s="3">
        <v>28.693</v>
      </c>
      <c r="F26" s="4" t="str">
        <f>HYPERLINK("http://141.218.60.56/~jnz1568/getInfo.php?workbook=13_02.xlsx&amp;sheet=A0&amp;row=26&amp;col=6&amp;number=96600000000&amp;sourceID=14","96600000000")</f>
        <v>96600000000</v>
      </c>
      <c r="G26" s="4" t="str">
        <f>HYPERLINK("http://141.218.60.56/~jnz1568/getInfo.php?workbook=13_02.xlsx&amp;sheet=A0&amp;row=26&amp;col=7&amp;number=0&amp;sourceID=14","0")</f>
        <v>0</v>
      </c>
    </row>
    <row r="27" spans="1:7">
      <c r="A27" s="3">
        <v>13</v>
      </c>
      <c r="B27" s="3">
        <v>2</v>
      </c>
      <c r="C27" s="3">
        <v>35</v>
      </c>
      <c r="D27" s="3">
        <v>2</v>
      </c>
      <c r="E27" s="3">
        <v>28.692</v>
      </c>
      <c r="F27" s="4" t="str">
        <f>HYPERLINK("http://141.218.60.56/~jnz1568/getInfo.php?workbook=13_02.xlsx&amp;sheet=A0&amp;row=27&amp;col=6&amp;number=96310000000&amp;sourceID=14","96310000000")</f>
        <v>96310000000</v>
      </c>
      <c r="G27" s="4" t="str">
        <f>HYPERLINK("http://141.218.60.56/~jnz1568/getInfo.php?workbook=13_02.xlsx&amp;sheet=A0&amp;row=27&amp;col=7&amp;number=0&amp;sourceID=14","0")</f>
        <v>0</v>
      </c>
    </row>
    <row r="28" spans="1:7">
      <c r="A28" s="3">
        <v>13</v>
      </c>
      <c r="B28" s="3">
        <v>2</v>
      </c>
      <c r="C28" s="3">
        <v>36</v>
      </c>
      <c r="D28" s="3">
        <v>2</v>
      </c>
      <c r="E28" s="3">
        <v>28.69</v>
      </c>
      <c r="F28" s="4" t="str">
        <f>HYPERLINK("http://141.218.60.56/~jnz1568/getInfo.php?workbook=13_02.xlsx&amp;sheet=A0&amp;row=28&amp;col=6&amp;number=96660000000&amp;sourceID=14","96660000000")</f>
        <v>96660000000</v>
      </c>
      <c r="G28" s="4" t="str">
        <f>HYPERLINK("http://141.218.60.56/~jnz1568/getInfo.php?workbook=13_02.xlsx&amp;sheet=A0&amp;row=28&amp;col=7&amp;number=0&amp;sourceID=14","0")</f>
        <v>0</v>
      </c>
    </row>
    <row r="29" spans="1:7">
      <c r="A29" s="3">
        <v>13</v>
      </c>
      <c r="B29" s="3">
        <v>2</v>
      </c>
      <c r="C29" s="3">
        <v>37</v>
      </c>
      <c r="D29" s="3">
        <v>2</v>
      </c>
      <c r="E29" s="3">
        <v>28.654</v>
      </c>
      <c r="F29" s="4" t="str">
        <f>HYPERLINK("http://141.218.60.56/~jnz1568/getInfo.php?workbook=13_02.xlsx&amp;sheet=A0&amp;row=29&amp;col=6&amp;number=312100000&amp;sourceID=14","312100000")</f>
        <v>312100000</v>
      </c>
      <c r="G29" s="4" t="str">
        <f>HYPERLINK("http://141.218.60.56/~jnz1568/getInfo.php?workbook=13_02.xlsx&amp;sheet=A0&amp;row=29&amp;col=7&amp;number=0&amp;sourceID=14","0")</f>
        <v>0</v>
      </c>
    </row>
    <row r="30" spans="1:7">
      <c r="A30" s="3">
        <v>13</v>
      </c>
      <c r="B30" s="3">
        <v>2</v>
      </c>
      <c r="C30" s="3">
        <v>11</v>
      </c>
      <c r="D30" s="3">
        <v>3</v>
      </c>
      <c r="E30" s="3">
        <v>44.765</v>
      </c>
      <c r="F30" s="4" t="str">
        <f>HYPERLINK("http://141.218.60.56/~jnz1568/getInfo.php?workbook=13_02.xlsx&amp;sheet=A0&amp;row=30&amp;col=6&amp;number=1059000000&amp;sourceID=14","1059000000")</f>
        <v>1059000000</v>
      </c>
      <c r="G30" s="4" t="str">
        <f>HYPERLINK("http://141.218.60.56/~jnz1568/getInfo.php?workbook=13_02.xlsx&amp;sheet=A0&amp;row=30&amp;col=7&amp;number=0&amp;sourceID=14","0")</f>
        <v>0</v>
      </c>
    </row>
    <row r="31" spans="1:7">
      <c r="A31" s="3">
        <v>13</v>
      </c>
      <c r="B31" s="3">
        <v>2</v>
      </c>
      <c r="C31" s="3">
        <v>13</v>
      </c>
      <c r="D31" s="3">
        <v>3</v>
      </c>
      <c r="E31" s="3">
        <v>44.319</v>
      </c>
      <c r="F31" s="4" t="str">
        <f>HYPERLINK("http://141.218.60.56/~jnz1568/getInfo.php?workbook=13_02.xlsx&amp;sheet=A0&amp;row=31&amp;col=6&amp;number=374600000000&amp;sourceID=14","374600000000")</f>
        <v>374600000000</v>
      </c>
      <c r="G31" s="4" t="str">
        <f>HYPERLINK("http://141.218.60.56/~jnz1568/getInfo.php?workbook=13_02.xlsx&amp;sheet=A0&amp;row=31&amp;col=7&amp;number=0&amp;sourceID=14","0")</f>
        <v>0</v>
      </c>
    </row>
    <row r="32" spans="1:7">
      <c r="A32" s="3">
        <v>13</v>
      </c>
      <c r="B32" s="3">
        <v>2</v>
      </c>
      <c r="C32" s="3">
        <v>21</v>
      </c>
      <c r="D32" s="3">
        <v>3</v>
      </c>
      <c r="E32" s="3">
        <v>33.189</v>
      </c>
      <c r="F32" s="4" t="str">
        <f>HYPERLINK("http://141.218.60.56/~jnz1568/getInfo.php?workbook=13_02.xlsx&amp;sheet=A0&amp;row=32&amp;col=6&amp;number=532200000&amp;sourceID=14","532200000")</f>
        <v>532200000</v>
      </c>
      <c r="G32" s="4" t="str">
        <f>HYPERLINK("http://141.218.60.56/~jnz1568/getInfo.php?workbook=13_02.xlsx&amp;sheet=A0&amp;row=32&amp;col=7&amp;number=0&amp;sourceID=14","0")</f>
        <v>0</v>
      </c>
    </row>
    <row r="33" spans="1:7">
      <c r="A33" s="3">
        <v>13</v>
      </c>
      <c r="B33" s="3">
        <v>2</v>
      </c>
      <c r="C33" s="3">
        <v>23</v>
      </c>
      <c r="D33" s="3">
        <v>3</v>
      </c>
      <c r="E33" s="3">
        <v>33.087</v>
      </c>
      <c r="F33" s="4" t="str">
        <f>HYPERLINK("http://141.218.60.56/~jnz1568/getInfo.php?workbook=13_02.xlsx&amp;sheet=A0&amp;row=33&amp;col=6&amp;number=171900000000&amp;sourceID=14","171900000000")</f>
        <v>171900000000</v>
      </c>
      <c r="G33" s="4" t="str">
        <f>HYPERLINK("http://141.218.60.56/~jnz1568/getInfo.php?workbook=13_02.xlsx&amp;sheet=A0&amp;row=33&amp;col=7&amp;number=0&amp;sourceID=14","0")</f>
        <v>0</v>
      </c>
    </row>
    <row r="34" spans="1:7">
      <c r="A34" s="3">
        <v>13</v>
      </c>
      <c r="B34" s="3">
        <v>2</v>
      </c>
      <c r="C34" s="3">
        <v>35</v>
      </c>
      <c r="D34" s="3">
        <v>3</v>
      </c>
      <c r="E34" s="3">
        <v>29.651</v>
      </c>
      <c r="F34" s="4" t="str">
        <f>HYPERLINK("http://141.218.60.56/~jnz1568/getInfo.php?workbook=13_02.xlsx&amp;sheet=A0&amp;row=34&amp;col=6&amp;number=285400000&amp;sourceID=14","285400000")</f>
        <v>285400000</v>
      </c>
      <c r="G34" s="4" t="str">
        <f>HYPERLINK("http://141.218.60.56/~jnz1568/getInfo.php?workbook=13_02.xlsx&amp;sheet=A0&amp;row=34&amp;col=7&amp;number=0&amp;sourceID=14","0")</f>
        <v>0</v>
      </c>
    </row>
    <row r="35" spans="1:7">
      <c r="A35" s="3">
        <v>13</v>
      </c>
      <c r="B35" s="3">
        <v>2</v>
      </c>
      <c r="C35" s="3">
        <v>37</v>
      </c>
      <c r="D35" s="3">
        <v>3</v>
      </c>
      <c r="E35" s="3">
        <v>29.61</v>
      </c>
      <c r="F35" s="4" t="str">
        <f>HYPERLINK("http://141.218.60.56/~jnz1568/getInfo.php?workbook=13_02.xlsx&amp;sheet=A0&amp;row=35&amp;col=6&amp;number=87370000000&amp;sourceID=14","87370000000")</f>
        <v>87370000000</v>
      </c>
      <c r="G35" s="4" t="str">
        <f>HYPERLINK("http://141.218.60.56/~jnz1568/getInfo.php?workbook=13_02.xlsx&amp;sheet=A0&amp;row=35&amp;col=7&amp;number=0&amp;sourceID=14","0")</f>
        <v>0</v>
      </c>
    </row>
    <row r="36" spans="1:7">
      <c r="A36" s="3">
        <v>13</v>
      </c>
      <c r="B36" s="3">
        <v>2</v>
      </c>
      <c r="C36" s="3">
        <v>8</v>
      </c>
      <c r="D36" s="3">
        <v>4</v>
      </c>
      <c r="E36" s="3">
        <v>45.196</v>
      </c>
      <c r="F36" s="4" t="str">
        <f>HYPERLINK("http://141.218.60.56/~jnz1568/getInfo.php?workbook=13_02.xlsx&amp;sheet=A0&amp;row=36&amp;col=6&amp;number=1641000000&amp;sourceID=14","1641000000")</f>
        <v>1641000000</v>
      </c>
      <c r="G36" s="4" t="str">
        <f>HYPERLINK("http://141.218.60.56/~jnz1568/getInfo.php?workbook=13_02.xlsx&amp;sheet=A0&amp;row=36&amp;col=7&amp;number=0&amp;sourceID=14","0")</f>
        <v>0</v>
      </c>
    </row>
    <row r="37" spans="1:7">
      <c r="A37" s="3">
        <v>13</v>
      </c>
      <c r="B37" s="3">
        <v>2</v>
      </c>
      <c r="C37" s="3">
        <v>14</v>
      </c>
      <c r="D37" s="3">
        <v>4</v>
      </c>
      <c r="E37" s="3">
        <v>44.265</v>
      </c>
      <c r="F37" s="4" t="str">
        <f>HYPERLINK("http://141.218.60.56/~jnz1568/getInfo.php?workbook=13_02.xlsx&amp;sheet=A0&amp;row=37&amp;col=6&amp;number=87590000000&amp;sourceID=14","87590000000")</f>
        <v>87590000000</v>
      </c>
      <c r="G37" s="4" t="str">
        <f>HYPERLINK("http://141.218.60.56/~jnz1568/getInfo.php?workbook=13_02.xlsx&amp;sheet=A0&amp;row=37&amp;col=7&amp;number=0&amp;sourceID=14","0")</f>
        <v>0</v>
      </c>
    </row>
    <row r="38" spans="1:7">
      <c r="A38" s="3">
        <v>13</v>
      </c>
      <c r="B38" s="3">
        <v>2</v>
      </c>
      <c r="C38" s="3">
        <v>18</v>
      </c>
      <c r="D38" s="3">
        <v>4</v>
      </c>
      <c r="E38" s="3">
        <v>33.234</v>
      </c>
      <c r="F38" s="4" t="str">
        <f>HYPERLINK("http://141.218.60.56/~jnz1568/getInfo.php?workbook=13_02.xlsx&amp;sheet=A0&amp;row=38&amp;col=6&amp;number=680000000&amp;sourceID=14","680000000")</f>
        <v>680000000</v>
      </c>
      <c r="G38" s="4" t="str">
        <f>HYPERLINK("http://141.218.60.56/~jnz1568/getInfo.php?workbook=13_02.xlsx&amp;sheet=A0&amp;row=38&amp;col=7&amp;number=0&amp;sourceID=14","0")</f>
        <v>0</v>
      </c>
    </row>
    <row r="39" spans="1:7">
      <c r="A39" s="3">
        <v>13</v>
      </c>
      <c r="B39" s="3">
        <v>2</v>
      </c>
      <c r="C39" s="3">
        <v>24</v>
      </c>
      <c r="D39" s="3">
        <v>4</v>
      </c>
      <c r="E39" s="3">
        <v>33.023</v>
      </c>
      <c r="F39" s="4" t="str">
        <f>HYPERLINK("http://141.218.60.56/~jnz1568/getInfo.php?workbook=13_02.xlsx&amp;sheet=A0&amp;row=39&amp;col=6&amp;number=27550000000&amp;sourceID=14","27550000000")</f>
        <v>27550000000</v>
      </c>
      <c r="G39" s="4" t="str">
        <f>HYPERLINK("http://141.218.60.56/~jnz1568/getInfo.php?workbook=13_02.xlsx&amp;sheet=A0&amp;row=39&amp;col=7&amp;number=0&amp;sourceID=14","0")</f>
        <v>0</v>
      </c>
    </row>
    <row r="40" spans="1:7">
      <c r="A40" s="3">
        <v>13</v>
      </c>
      <c r="B40" s="3">
        <v>2</v>
      </c>
      <c r="C40" s="3">
        <v>32</v>
      </c>
      <c r="D40" s="3">
        <v>4</v>
      </c>
      <c r="E40" s="3">
        <v>29.635</v>
      </c>
      <c r="F40" s="4" t="str">
        <f>HYPERLINK("http://141.218.60.56/~jnz1568/getInfo.php?workbook=13_02.xlsx&amp;sheet=A0&amp;row=40&amp;col=6&amp;number=340600000&amp;sourceID=14","340600000")</f>
        <v>340600000</v>
      </c>
      <c r="G40" s="4" t="str">
        <f>HYPERLINK("http://141.218.60.56/~jnz1568/getInfo.php?workbook=13_02.xlsx&amp;sheet=A0&amp;row=40&amp;col=7&amp;number=0&amp;sourceID=14","0")</f>
        <v>0</v>
      </c>
    </row>
    <row r="41" spans="1:7">
      <c r="A41" s="3">
        <v>13</v>
      </c>
      <c r="B41" s="3">
        <v>2</v>
      </c>
      <c r="C41" s="3">
        <v>38</v>
      </c>
      <c r="D41" s="3">
        <v>4</v>
      </c>
      <c r="E41" s="3">
        <v>29.55</v>
      </c>
      <c r="F41" s="4" t="str">
        <f>HYPERLINK("http://141.218.60.56/~jnz1568/getInfo.php?workbook=13_02.xlsx&amp;sheet=A0&amp;row=41&amp;col=6&amp;number=12530000000&amp;sourceID=14","12530000000")</f>
        <v>12530000000</v>
      </c>
      <c r="G41" s="4" t="str">
        <f>HYPERLINK("http://141.218.60.56/~jnz1568/getInfo.php?workbook=13_02.xlsx&amp;sheet=A0&amp;row=41&amp;col=7&amp;number=0&amp;sourceID=14","0")</f>
        <v>0</v>
      </c>
    </row>
    <row r="42" spans="1:7">
      <c r="A42" s="3">
        <v>13</v>
      </c>
      <c r="B42" s="3">
        <v>2</v>
      </c>
      <c r="C42" s="3">
        <v>8</v>
      </c>
      <c r="D42" s="3">
        <v>5</v>
      </c>
      <c r="E42" s="3">
        <v>45.221</v>
      </c>
      <c r="F42" s="4" t="str">
        <f>HYPERLINK("http://141.218.60.56/~jnz1568/getInfo.php?workbook=13_02.xlsx&amp;sheet=A0&amp;row=42&amp;col=6&amp;number=14760000000&amp;sourceID=14","14760000000")</f>
        <v>14760000000</v>
      </c>
      <c r="G42" s="4" t="str">
        <f>HYPERLINK("http://141.218.60.56/~jnz1568/getInfo.php?workbook=13_02.xlsx&amp;sheet=A0&amp;row=42&amp;col=7&amp;number=0&amp;sourceID=14","0")</f>
        <v>0</v>
      </c>
    </row>
    <row r="43" spans="1:7">
      <c r="A43" s="3">
        <v>13</v>
      </c>
      <c r="B43" s="3">
        <v>2</v>
      </c>
      <c r="C43" s="3">
        <v>14</v>
      </c>
      <c r="D43" s="3">
        <v>5</v>
      </c>
      <c r="E43" s="3">
        <v>44.289</v>
      </c>
      <c r="F43" s="4" t="str">
        <f>HYPERLINK("http://141.218.60.56/~jnz1568/getInfo.php?workbook=13_02.xlsx&amp;sheet=A0&amp;row=43&amp;col=6&amp;number=197000000000&amp;sourceID=14","197000000000")</f>
        <v>197000000000</v>
      </c>
      <c r="G43" s="4" t="str">
        <f>HYPERLINK("http://141.218.60.56/~jnz1568/getInfo.php?workbook=13_02.xlsx&amp;sheet=A0&amp;row=43&amp;col=7&amp;number=0&amp;sourceID=14","0")</f>
        <v>0</v>
      </c>
    </row>
    <row r="44" spans="1:7">
      <c r="A44" s="3">
        <v>13</v>
      </c>
      <c r="B44" s="3">
        <v>2</v>
      </c>
      <c r="C44" s="3">
        <v>15</v>
      </c>
      <c r="D44" s="3">
        <v>5</v>
      </c>
      <c r="E44" s="3">
        <v>44.288</v>
      </c>
      <c r="F44" s="4" t="str">
        <f>HYPERLINK("http://141.218.60.56/~jnz1568/getInfo.php?workbook=13_02.xlsx&amp;sheet=A0&amp;row=44&amp;col=6&amp;number=354700000000&amp;sourceID=14","354700000000")</f>
        <v>354700000000</v>
      </c>
      <c r="G44" s="4" t="str">
        <f>HYPERLINK("http://141.218.60.56/~jnz1568/getInfo.php?workbook=13_02.xlsx&amp;sheet=A0&amp;row=44&amp;col=7&amp;number=0&amp;sourceID=14","0")</f>
        <v>0</v>
      </c>
    </row>
    <row r="45" spans="1:7">
      <c r="A45" s="3">
        <v>13</v>
      </c>
      <c r="B45" s="3">
        <v>2</v>
      </c>
      <c r="C45" s="3">
        <v>18</v>
      </c>
      <c r="D45" s="3">
        <v>5</v>
      </c>
      <c r="E45" s="3">
        <v>33.248</v>
      </c>
      <c r="F45" s="4" t="str">
        <f>HYPERLINK("http://141.218.60.56/~jnz1568/getInfo.php?workbook=13_02.xlsx&amp;sheet=A0&amp;row=45&amp;col=6&amp;number=6115000000&amp;sourceID=14","6115000000")</f>
        <v>6115000000</v>
      </c>
      <c r="G45" s="4" t="str">
        <f>HYPERLINK("http://141.218.60.56/~jnz1568/getInfo.php?workbook=13_02.xlsx&amp;sheet=A0&amp;row=45&amp;col=7&amp;number=0&amp;sourceID=14","0")</f>
        <v>0</v>
      </c>
    </row>
    <row r="46" spans="1:7">
      <c r="A46" s="3">
        <v>13</v>
      </c>
      <c r="B46" s="3">
        <v>2</v>
      </c>
      <c r="C46" s="3">
        <v>24</v>
      </c>
      <c r="D46" s="3">
        <v>5</v>
      </c>
      <c r="E46" s="3">
        <v>33.037</v>
      </c>
      <c r="F46" s="4" t="str">
        <f>HYPERLINK("http://141.218.60.56/~jnz1568/getInfo.php?workbook=13_02.xlsx&amp;sheet=A0&amp;row=46&amp;col=6&amp;number=61980000000&amp;sourceID=14","61980000000")</f>
        <v>61980000000</v>
      </c>
      <c r="G46" s="4" t="str">
        <f>HYPERLINK("http://141.218.60.56/~jnz1568/getInfo.php?workbook=13_02.xlsx&amp;sheet=A0&amp;row=46&amp;col=7&amp;number=0&amp;sourceID=14","0")</f>
        <v>0</v>
      </c>
    </row>
    <row r="47" spans="1:7">
      <c r="A47" s="3">
        <v>13</v>
      </c>
      <c r="B47" s="3">
        <v>2</v>
      </c>
      <c r="C47" s="3">
        <v>25</v>
      </c>
      <c r="D47" s="3">
        <v>5</v>
      </c>
      <c r="E47" s="3">
        <v>33.037</v>
      </c>
      <c r="F47" s="4" t="str">
        <f>HYPERLINK("http://141.218.60.56/~jnz1568/getInfo.php?workbook=13_02.xlsx&amp;sheet=A0&amp;row=47&amp;col=6&amp;number=111600000000&amp;sourceID=14","111600000000")</f>
        <v>111600000000</v>
      </c>
      <c r="G47" s="4" t="str">
        <f>HYPERLINK("http://141.218.60.56/~jnz1568/getInfo.php?workbook=13_02.xlsx&amp;sheet=A0&amp;row=47&amp;col=7&amp;number=0&amp;sourceID=14","0")</f>
        <v>0</v>
      </c>
    </row>
    <row r="48" spans="1:7">
      <c r="A48" s="3">
        <v>13</v>
      </c>
      <c r="B48" s="3">
        <v>2</v>
      </c>
      <c r="C48" s="3">
        <v>32</v>
      </c>
      <c r="D48" s="3">
        <v>5</v>
      </c>
      <c r="E48" s="3">
        <v>29.646</v>
      </c>
      <c r="F48" s="4" t="str">
        <f>HYPERLINK("http://141.218.60.56/~jnz1568/getInfo.php?workbook=13_02.xlsx&amp;sheet=A0&amp;row=48&amp;col=6&amp;number=3064000000&amp;sourceID=14","3064000000")</f>
        <v>3064000000</v>
      </c>
      <c r="G48" s="4" t="str">
        <f>HYPERLINK("http://141.218.60.56/~jnz1568/getInfo.php?workbook=13_02.xlsx&amp;sheet=A0&amp;row=48&amp;col=7&amp;number=0&amp;sourceID=14","0")</f>
        <v>0</v>
      </c>
    </row>
    <row r="49" spans="1:7">
      <c r="A49" s="3">
        <v>13</v>
      </c>
      <c r="B49" s="3">
        <v>2</v>
      </c>
      <c r="C49" s="3">
        <v>38</v>
      </c>
      <c r="D49" s="3">
        <v>5</v>
      </c>
      <c r="E49" s="3">
        <v>29.561</v>
      </c>
      <c r="F49" s="4" t="str">
        <f>HYPERLINK("http://141.218.60.56/~jnz1568/getInfo.php?workbook=13_02.xlsx&amp;sheet=A0&amp;row=49&amp;col=6&amp;number=28200000000&amp;sourceID=14","28200000000")</f>
        <v>28200000000</v>
      </c>
      <c r="G49" s="4" t="str">
        <f>HYPERLINK("http://141.218.60.56/~jnz1568/getInfo.php?workbook=13_02.xlsx&amp;sheet=A0&amp;row=49&amp;col=7&amp;number=0&amp;sourceID=14","0")</f>
        <v>0</v>
      </c>
    </row>
    <row r="50" spans="1:7">
      <c r="A50" s="3">
        <v>13</v>
      </c>
      <c r="B50" s="3">
        <v>2</v>
      </c>
      <c r="C50" s="3">
        <v>39</v>
      </c>
      <c r="D50" s="3">
        <v>5</v>
      </c>
      <c r="E50" s="3">
        <v>29.561</v>
      </c>
      <c r="F50" s="4" t="str">
        <f>HYPERLINK("http://141.218.60.56/~jnz1568/getInfo.php?workbook=13_02.xlsx&amp;sheet=A0&amp;row=50&amp;col=6&amp;number=50780000000&amp;sourceID=14","50780000000")</f>
        <v>50780000000</v>
      </c>
      <c r="G50" s="4" t="str">
        <f>HYPERLINK("http://141.218.60.56/~jnz1568/getInfo.php?workbook=13_02.xlsx&amp;sheet=A0&amp;row=50&amp;col=7&amp;number=0&amp;sourceID=14","0")</f>
        <v>0</v>
      </c>
    </row>
    <row r="51" spans="1:7">
      <c r="A51" s="3">
        <v>13</v>
      </c>
      <c r="B51" s="3">
        <v>2</v>
      </c>
      <c r="C51" s="3">
        <v>8</v>
      </c>
      <c r="D51" s="3">
        <v>6</v>
      </c>
      <c r="E51" s="3">
        <v>45.326</v>
      </c>
      <c r="F51" s="4" t="str">
        <f>HYPERLINK("http://141.218.60.56/~jnz1568/getInfo.php?workbook=13_02.xlsx&amp;sheet=A0&amp;row=51&amp;col=6&amp;number=40870000000&amp;sourceID=14","40870000000")</f>
        <v>40870000000</v>
      </c>
      <c r="G51" s="4" t="str">
        <f>HYPERLINK("http://141.218.60.56/~jnz1568/getInfo.php?workbook=13_02.xlsx&amp;sheet=A0&amp;row=51&amp;col=7&amp;number=0&amp;sourceID=14","0")</f>
        <v>0</v>
      </c>
    </row>
    <row r="52" spans="1:7">
      <c r="A52" s="3">
        <v>13</v>
      </c>
      <c r="B52" s="3">
        <v>2</v>
      </c>
      <c r="C52" s="3">
        <v>14</v>
      </c>
      <c r="D52" s="3">
        <v>6</v>
      </c>
      <c r="E52" s="3">
        <v>44.39</v>
      </c>
      <c r="F52" s="4" t="str">
        <f>HYPERLINK("http://141.218.60.56/~jnz1568/getInfo.php?workbook=13_02.xlsx&amp;sheet=A0&amp;row=52&amp;col=6&amp;number=980900000000&amp;sourceID=14","980900000000")</f>
        <v>980900000000</v>
      </c>
      <c r="G52" s="4" t="str">
        <f>HYPERLINK("http://141.218.60.56/~jnz1568/getInfo.php?workbook=13_02.xlsx&amp;sheet=A0&amp;row=52&amp;col=7&amp;number=0&amp;sourceID=14","0")</f>
        <v>0</v>
      </c>
    </row>
    <row r="53" spans="1:7">
      <c r="A53" s="3">
        <v>13</v>
      </c>
      <c r="B53" s="3">
        <v>2</v>
      </c>
      <c r="C53" s="3">
        <v>15</v>
      </c>
      <c r="D53" s="3">
        <v>6</v>
      </c>
      <c r="E53" s="3">
        <v>44.389</v>
      </c>
      <c r="F53" s="4" t="str">
        <f>HYPERLINK("http://141.218.60.56/~jnz1568/getInfo.php?workbook=13_02.xlsx&amp;sheet=A0&amp;row=53&amp;col=6&amp;number=196100000000&amp;sourceID=14","196100000000")</f>
        <v>196100000000</v>
      </c>
      <c r="G53" s="4" t="str">
        <f>HYPERLINK("http://141.218.60.56/~jnz1568/getInfo.php?workbook=13_02.xlsx&amp;sheet=A0&amp;row=53&amp;col=7&amp;number=0&amp;sourceID=14","0")</f>
        <v>0</v>
      </c>
    </row>
    <row r="54" spans="1:7">
      <c r="A54" s="3">
        <v>13</v>
      </c>
      <c r="B54" s="3">
        <v>2</v>
      </c>
      <c r="C54" s="3">
        <v>16</v>
      </c>
      <c r="D54" s="3">
        <v>6</v>
      </c>
      <c r="E54" s="3">
        <v>44.378</v>
      </c>
      <c r="F54" s="4" t="str">
        <f>HYPERLINK("http://141.218.60.56/~jnz1568/getInfo.php?workbook=13_02.xlsx&amp;sheet=A0&amp;row=54&amp;col=6&amp;number=785800000000&amp;sourceID=14","785800000000")</f>
        <v>785800000000</v>
      </c>
      <c r="G54" s="4" t="str">
        <f>HYPERLINK("http://141.218.60.56/~jnz1568/getInfo.php?workbook=13_02.xlsx&amp;sheet=A0&amp;row=54&amp;col=7&amp;number=0&amp;sourceID=14","0")</f>
        <v>0</v>
      </c>
    </row>
    <row r="55" spans="1:7">
      <c r="A55" s="3">
        <v>13</v>
      </c>
      <c r="B55" s="3">
        <v>2</v>
      </c>
      <c r="C55" s="3">
        <v>18</v>
      </c>
      <c r="D55" s="3">
        <v>6</v>
      </c>
      <c r="E55" s="3">
        <v>33.305</v>
      </c>
      <c r="F55" s="4" t="str">
        <f>HYPERLINK("http://141.218.60.56/~jnz1568/getInfo.php?workbook=13_02.xlsx&amp;sheet=A0&amp;row=55&amp;col=6&amp;number=16960000000&amp;sourceID=14","16960000000")</f>
        <v>16960000000</v>
      </c>
      <c r="G55" s="4" t="str">
        <f>HYPERLINK("http://141.218.60.56/~jnz1568/getInfo.php?workbook=13_02.xlsx&amp;sheet=A0&amp;row=55&amp;col=7&amp;number=0&amp;sourceID=14","0")</f>
        <v>0</v>
      </c>
    </row>
    <row r="56" spans="1:7">
      <c r="A56" s="3">
        <v>13</v>
      </c>
      <c r="B56" s="3">
        <v>2</v>
      </c>
      <c r="C56" s="3">
        <v>24</v>
      </c>
      <c r="D56" s="3">
        <v>6</v>
      </c>
      <c r="E56" s="3">
        <v>33.093</v>
      </c>
      <c r="F56" s="4" t="str">
        <f>HYPERLINK("http://141.218.60.56/~jnz1568/getInfo.php?workbook=13_02.xlsx&amp;sheet=A0&amp;row=56&amp;col=6&amp;number=308800000000&amp;sourceID=14","308800000000")</f>
        <v>308800000000</v>
      </c>
      <c r="G56" s="4" t="str">
        <f>HYPERLINK("http://141.218.60.56/~jnz1568/getInfo.php?workbook=13_02.xlsx&amp;sheet=A0&amp;row=56&amp;col=7&amp;number=0&amp;sourceID=14","0")</f>
        <v>0</v>
      </c>
    </row>
    <row r="57" spans="1:7">
      <c r="A57" s="3">
        <v>13</v>
      </c>
      <c r="B57" s="3">
        <v>2</v>
      </c>
      <c r="C57" s="3">
        <v>25</v>
      </c>
      <c r="D57" s="3">
        <v>6</v>
      </c>
      <c r="E57" s="3">
        <v>33.093</v>
      </c>
      <c r="F57" s="4" t="str">
        <f>HYPERLINK("http://141.218.60.56/~jnz1568/getInfo.php?workbook=13_02.xlsx&amp;sheet=A0&amp;row=57&amp;col=6&amp;number=61760000000&amp;sourceID=14","61760000000")</f>
        <v>61760000000</v>
      </c>
      <c r="G57" s="4" t="str">
        <f>HYPERLINK("http://141.218.60.56/~jnz1568/getInfo.php?workbook=13_02.xlsx&amp;sheet=A0&amp;row=57&amp;col=7&amp;number=0&amp;sourceID=14","0")</f>
        <v>0</v>
      </c>
    </row>
    <row r="58" spans="1:7">
      <c r="A58" s="3">
        <v>13</v>
      </c>
      <c r="B58" s="3">
        <v>2</v>
      </c>
      <c r="C58" s="3">
        <v>26</v>
      </c>
      <c r="D58" s="3">
        <v>6</v>
      </c>
      <c r="E58" s="3">
        <v>33.09</v>
      </c>
      <c r="F58" s="4" t="str">
        <f>HYPERLINK("http://141.218.60.56/~jnz1568/getInfo.php?workbook=13_02.xlsx&amp;sheet=A0&amp;row=58&amp;col=6&amp;number=247400000000&amp;sourceID=14","247400000000")</f>
        <v>247400000000</v>
      </c>
      <c r="G58" s="4" t="str">
        <f>HYPERLINK("http://141.218.60.56/~jnz1568/getInfo.php?workbook=13_02.xlsx&amp;sheet=A0&amp;row=58&amp;col=7&amp;number=0&amp;sourceID=14","0")</f>
        <v>0</v>
      </c>
    </row>
    <row r="59" spans="1:7">
      <c r="A59" s="3">
        <v>13</v>
      </c>
      <c r="B59" s="3">
        <v>2</v>
      </c>
      <c r="C59" s="3">
        <v>32</v>
      </c>
      <c r="D59" s="3">
        <v>6</v>
      </c>
      <c r="E59" s="3">
        <v>29.691</v>
      </c>
      <c r="F59" s="4" t="str">
        <f>HYPERLINK("http://141.218.60.56/~jnz1568/getInfo.php?workbook=13_02.xlsx&amp;sheet=A0&amp;row=59&amp;col=6&amp;number=8500000000&amp;sourceID=14","8500000000")</f>
        <v>8500000000</v>
      </c>
      <c r="G59" s="4" t="str">
        <f>HYPERLINK("http://141.218.60.56/~jnz1568/getInfo.php?workbook=13_02.xlsx&amp;sheet=A0&amp;row=59&amp;col=7&amp;number=0&amp;sourceID=14","0")</f>
        <v>0</v>
      </c>
    </row>
    <row r="60" spans="1:7">
      <c r="A60" s="3">
        <v>13</v>
      </c>
      <c r="B60" s="3">
        <v>2</v>
      </c>
      <c r="C60" s="3">
        <v>38</v>
      </c>
      <c r="D60" s="3">
        <v>6</v>
      </c>
      <c r="E60" s="3">
        <v>29.606</v>
      </c>
      <c r="F60" s="4" t="str">
        <f>HYPERLINK("http://141.218.60.56/~jnz1568/getInfo.php?workbook=13_02.xlsx&amp;sheet=A0&amp;row=60&amp;col=6&amp;number=140600000000&amp;sourceID=14","140600000000")</f>
        <v>140600000000</v>
      </c>
      <c r="G60" s="4" t="str">
        <f>HYPERLINK("http://141.218.60.56/~jnz1568/getInfo.php?workbook=13_02.xlsx&amp;sheet=A0&amp;row=60&amp;col=7&amp;number=0&amp;sourceID=14","0")</f>
        <v>0</v>
      </c>
    </row>
    <row r="61" spans="1:7">
      <c r="A61" s="3">
        <v>13</v>
      </c>
      <c r="B61" s="3">
        <v>2</v>
      </c>
      <c r="C61" s="3">
        <v>39</v>
      </c>
      <c r="D61" s="3">
        <v>6</v>
      </c>
      <c r="E61" s="3">
        <v>29.606</v>
      </c>
      <c r="F61" s="4" t="str">
        <f>HYPERLINK("http://141.218.60.56/~jnz1568/getInfo.php?workbook=13_02.xlsx&amp;sheet=A0&amp;row=61&amp;col=6&amp;number=28110000000&amp;sourceID=14","28110000000")</f>
        <v>28110000000</v>
      </c>
      <c r="G61" s="4" t="str">
        <f>HYPERLINK("http://141.218.60.56/~jnz1568/getInfo.php?workbook=13_02.xlsx&amp;sheet=A0&amp;row=61&amp;col=7&amp;number=0&amp;sourceID=14","0")</f>
        <v>0</v>
      </c>
    </row>
    <row r="62" spans="1:7">
      <c r="A62" s="3">
        <v>13</v>
      </c>
      <c r="B62" s="3">
        <v>2</v>
      </c>
      <c r="C62" s="3">
        <v>40</v>
      </c>
      <c r="D62" s="3">
        <v>6</v>
      </c>
      <c r="E62" s="3">
        <v>29.605</v>
      </c>
      <c r="F62" s="4" t="str">
        <f>HYPERLINK("http://141.218.60.56/~jnz1568/getInfo.php?workbook=13_02.xlsx&amp;sheet=A0&amp;row=62&amp;col=6&amp;number=112600000000&amp;sourceID=14","112600000000")</f>
        <v>112600000000</v>
      </c>
      <c r="G62" s="4" t="str">
        <f>HYPERLINK("http://141.218.60.56/~jnz1568/getInfo.php?workbook=13_02.xlsx&amp;sheet=A0&amp;row=62&amp;col=7&amp;number=0&amp;sourceID=14","0")</f>
        <v>0</v>
      </c>
    </row>
    <row r="63" spans="1:7">
      <c r="A63" s="3">
        <v>13</v>
      </c>
      <c r="B63" s="3">
        <v>2</v>
      </c>
      <c r="C63" s="3">
        <v>9</v>
      </c>
      <c r="D63" s="3">
        <v>7</v>
      </c>
      <c r="E63" s="3">
        <v>46.314</v>
      </c>
      <c r="F63" s="4" t="str">
        <f>HYPERLINK("http://141.218.60.56/~jnz1568/getInfo.php?workbook=13_02.xlsx&amp;sheet=A0&amp;row=63&amp;col=6&amp;number=126700000000&amp;sourceID=14","126700000000")</f>
        <v>126700000000</v>
      </c>
      <c r="G63" s="4" t="str">
        <f>HYPERLINK("http://141.218.60.56/~jnz1568/getInfo.php?workbook=13_02.xlsx&amp;sheet=A0&amp;row=63&amp;col=7&amp;number=0&amp;sourceID=14","0")</f>
        <v>0</v>
      </c>
    </row>
    <row r="64" spans="1:7">
      <c r="A64" s="3">
        <v>13</v>
      </c>
      <c r="B64" s="3">
        <v>2</v>
      </c>
      <c r="C64" s="3">
        <v>17</v>
      </c>
      <c r="D64" s="3">
        <v>7</v>
      </c>
      <c r="E64" s="3">
        <v>45.929</v>
      </c>
      <c r="F64" s="4" t="str">
        <f>HYPERLINK("http://141.218.60.56/~jnz1568/getInfo.php?workbook=13_02.xlsx&amp;sheet=A0&amp;row=64&amp;col=6&amp;number=1319000000000&amp;sourceID=14","1319000000000")</f>
        <v>1319000000000</v>
      </c>
      <c r="G64" s="4" t="str">
        <f>HYPERLINK("http://141.218.60.56/~jnz1568/getInfo.php?workbook=13_02.xlsx&amp;sheet=A0&amp;row=64&amp;col=7&amp;number=0&amp;sourceID=14","0")</f>
        <v>0</v>
      </c>
    </row>
    <row r="65" spans="1:7">
      <c r="A65" s="3">
        <v>13</v>
      </c>
      <c r="B65" s="3">
        <v>2</v>
      </c>
      <c r="C65" s="3">
        <v>19</v>
      </c>
      <c r="D65" s="3">
        <v>7</v>
      </c>
      <c r="E65" s="3">
        <v>34.039</v>
      </c>
      <c r="F65" s="4" t="str">
        <f>HYPERLINK("http://141.218.60.56/~jnz1568/getInfo.php?workbook=13_02.xlsx&amp;sheet=A0&amp;row=65&amp;col=6&amp;number=52560000000&amp;sourceID=14","52560000000")</f>
        <v>52560000000</v>
      </c>
      <c r="G65" s="4" t="str">
        <f>HYPERLINK("http://141.218.60.56/~jnz1568/getInfo.php?workbook=13_02.xlsx&amp;sheet=A0&amp;row=65&amp;col=7&amp;number=0&amp;sourceID=14","0")</f>
        <v>0</v>
      </c>
    </row>
    <row r="66" spans="1:7">
      <c r="A66" s="3">
        <v>13</v>
      </c>
      <c r="B66" s="3">
        <v>2</v>
      </c>
      <c r="C66" s="3">
        <v>27</v>
      </c>
      <c r="D66" s="3">
        <v>7</v>
      </c>
      <c r="E66" s="3">
        <v>33.95</v>
      </c>
      <c r="F66" s="4" t="str">
        <f>HYPERLINK("http://141.218.60.56/~jnz1568/getInfo.php?workbook=13_02.xlsx&amp;sheet=A0&amp;row=66&amp;col=6&amp;number=422700000000&amp;sourceID=14","422700000000")</f>
        <v>422700000000</v>
      </c>
      <c r="G66" s="4" t="str">
        <f>HYPERLINK("http://141.218.60.56/~jnz1568/getInfo.php?workbook=13_02.xlsx&amp;sheet=A0&amp;row=66&amp;col=7&amp;number=0&amp;sourceID=14","0")</f>
        <v>0</v>
      </c>
    </row>
    <row r="67" spans="1:7">
      <c r="A67" s="3">
        <v>13</v>
      </c>
      <c r="B67" s="3">
        <v>2</v>
      </c>
      <c r="C67" s="3">
        <v>33</v>
      </c>
      <c r="D67" s="3">
        <v>7</v>
      </c>
      <c r="E67" s="3">
        <v>30.329</v>
      </c>
      <c r="F67" s="4" t="str">
        <f>HYPERLINK("http://141.218.60.56/~jnz1568/getInfo.php?workbook=13_02.xlsx&amp;sheet=A0&amp;row=67&amp;col=6&amp;number=26370000000&amp;sourceID=14","26370000000")</f>
        <v>26370000000</v>
      </c>
      <c r="G67" s="4" t="str">
        <f>HYPERLINK("http://141.218.60.56/~jnz1568/getInfo.php?workbook=13_02.xlsx&amp;sheet=A0&amp;row=67&amp;col=7&amp;number=0&amp;sourceID=14","0")</f>
        <v>0</v>
      </c>
    </row>
    <row r="68" spans="1:7">
      <c r="A68" s="3">
        <v>13</v>
      </c>
      <c r="B68" s="3">
        <v>2</v>
      </c>
      <c r="C68" s="3">
        <v>41</v>
      </c>
      <c r="D68" s="3">
        <v>7</v>
      </c>
      <c r="E68" s="3">
        <v>30.292</v>
      </c>
      <c r="F68" s="4" t="str">
        <f>HYPERLINK("http://141.218.60.56/~jnz1568/getInfo.php?workbook=13_02.xlsx&amp;sheet=A0&amp;row=68&amp;col=6&amp;number=193400000000&amp;sourceID=14","193400000000")</f>
        <v>193400000000</v>
      </c>
      <c r="G68" s="4" t="str">
        <f>HYPERLINK("http://141.218.60.56/~jnz1568/getInfo.php?workbook=13_02.xlsx&amp;sheet=A0&amp;row=68&amp;col=7&amp;number=0&amp;sourceID=14","0")</f>
        <v>0</v>
      </c>
    </row>
    <row r="69" spans="1:7">
      <c r="A69" s="3">
        <v>13</v>
      </c>
      <c r="B69" s="3">
        <v>2</v>
      </c>
      <c r="C69" s="3">
        <v>20</v>
      </c>
      <c r="D69" s="3">
        <v>8</v>
      </c>
      <c r="E69" s="3">
        <v>123.733</v>
      </c>
      <c r="F69" s="4" t="str">
        <f>HYPERLINK("http://141.218.60.56/~jnz1568/getInfo.php?workbook=13_02.xlsx&amp;sheet=A0&amp;row=69&amp;col=6&amp;number=70280000000&amp;sourceID=14","70280000000")</f>
        <v>70280000000</v>
      </c>
      <c r="G69" s="4" t="str">
        <f>HYPERLINK("http://141.218.60.56/~jnz1568/getInfo.php?workbook=13_02.xlsx&amp;sheet=A0&amp;row=69&amp;col=7&amp;number=0&amp;sourceID=14","0")</f>
        <v>0</v>
      </c>
    </row>
    <row r="70" spans="1:7">
      <c r="A70" s="3">
        <v>13</v>
      </c>
      <c r="B70" s="3">
        <v>2</v>
      </c>
      <c r="C70" s="3">
        <v>21</v>
      </c>
      <c r="D70" s="3">
        <v>8</v>
      </c>
      <c r="E70" s="3">
        <v>123.707</v>
      </c>
      <c r="F70" s="4" t="str">
        <f>HYPERLINK("http://141.218.60.56/~jnz1568/getInfo.php?workbook=13_02.xlsx&amp;sheet=A0&amp;row=70&amp;col=6&amp;number=70310000000&amp;sourceID=14","70310000000")</f>
        <v>70310000000</v>
      </c>
      <c r="G70" s="4" t="str">
        <f>HYPERLINK("http://141.218.60.56/~jnz1568/getInfo.php?workbook=13_02.xlsx&amp;sheet=A0&amp;row=70&amp;col=7&amp;number=0&amp;sourceID=14","0")</f>
        <v>0</v>
      </c>
    </row>
    <row r="71" spans="1:7">
      <c r="A71" s="3">
        <v>13</v>
      </c>
      <c r="B71" s="3">
        <v>2</v>
      </c>
      <c r="C71" s="3">
        <v>22</v>
      </c>
      <c r="D71" s="3">
        <v>8</v>
      </c>
      <c r="E71" s="3">
        <v>123.61</v>
      </c>
      <c r="F71" s="4" t="str">
        <f>HYPERLINK("http://141.218.60.56/~jnz1568/getInfo.php?workbook=13_02.xlsx&amp;sheet=A0&amp;row=71&amp;col=6&amp;number=70550000000&amp;sourceID=14","70550000000")</f>
        <v>70550000000</v>
      </c>
      <c r="G71" s="4" t="str">
        <f>HYPERLINK("http://141.218.60.56/~jnz1568/getInfo.php?workbook=13_02.xlsx&amp;sheet=A0&amp;row=71&amp;col=7&amp;number=0&amp;sourceID=14","0")</f>
        <v>0</v>
      </c>
    </row>
    <row r="72" spans="1:7">
      <c r="A72" s="3">
        <v>13</v>
      </c>
      <c r="B72" s="3">
        <v>2</v>
      </c>
      <c r="C72" s="3">
        <v>34</v>
      </c>
      <c r="D72" s="3">
        <v>8</v>
      </c>
      <c r="E72" s="3">
        <v>85.635</v>
      </c>
      <c r="F72" s="4" t="str">
        <f>HYPERLINK("http://141.218.60.56/~jnz1568/getInfo.php?workbook=13_02.xlsx&amp;sheet=A0&amp;row=72&amp;col=6&amp;number=36630000000&amp;sourceID=14","36630000000")</f>
        <v>36630000000</v>
      </c>
      <c r="G72" s="4" t="str">
        <f>HYPERLINK("http://141.218.60.56/~jnz1568/getInfo.php?workbook=13_02.xlsx&amp;sheet=A0&amp;row=72&amp;col=7&amp;number=0&amp;sourceID=14","0")</f>
        <v>0</v>
      </c>
    </row>
    <row r="73" spans="1:7">
      <c r="A73" s="3">
        <v>13</v>
      </c>
      <c r="B73" s="3">
        <v>2</v>
      </c>
      <c r="C73" s="3">
        <v>35</v>
      </c>
      <c r="D73" s="3">
        <v>8</v>
      </c>
      <c r="E73" s="3">
        <v>85.629</v>
      </c>
      <c r="F73" s="4" t="str">
        <f>HYPERLINK("http://141.218.60.56/~jnz1568/getInfo.php?workbook=13_02.xlsx&amp;sheet=A0&amp;row=73&amp;col=6&amp;number=36640000000&amp;sourceID=14","36640000000")</f>
        <v>36640000000</v>
      </c>
      <c r="G73" s="4" t="str">
        <f>HYPERLINK("http://141.218.60.56/~jnz1568/getInfo.php?workbook=13_02.xlsx&amp;sheet=A0&amp;row=73&amp;col=7&amp;number=0&amp;sourceID=14","0")</f>
        <v>0</v>
      </c>
    </row>
    <row r="74" spans="1:7">
      <c r="A74" s="3">
        <v>13</v>
      </c>
      <c r="B74" s="3">
        <v>2</v>
      </c>
      <c r="C74" s="3">
        <v>36</v>
      </c>
      <c r="D74" s="3">
        <v>8</v>
      </c>
      <c r="E74" s="3">
        <v>85.605</v>
      </c>
      <c r="F74" s="4" t="str">
        <f>HYPERLINK("http://141.218.60.56/~jnz1568/getInfo.php?workbook=13_02.xlsx&amp;sheet=A0&amp;row=74&amp;col=6&amp;number=36720000000&amp;sourceID=14","36720000000")</f>
        <v>36720000000</v>
      </c>
      <c r="G74" s="4" t="str">
        <f>HYPERLINK("http://141.218.60.56/~jnz1568/getInfo.php?workbook=13_02.xlsx&amp;sheet=A0&amp;row=74&amp;col=7&amp;number=0&amp;sourceID=14","0")</f>
        <v>0</v>
      </c>
    </row>
    <row r="75" spans="1:7">
      <c r="A75" s="3">
        <v>13</v>
      </c>
      <c r="B75" s="3">
        <v>2</v>
      </c>
      <c r="C75" s="3">
        <v>23</v>
      </c>
      <c r="D75" s="3">
        <v>9</v>
      </c>
      <c r="E75" s="3">
        <v>126.934</v>
      </c>
      <c r="F75" s="4" t="str">
        <f>HYPERLINK("http://141.218.60.56/~jnz1568/getInfo.php?workbook=13_02.xlsx&amp;sheet=A0&amp;row=75&amp;col=6&amp;number=66850000000&amp;sourceID=14","66850000000")</f>
        <v>66850000000</v>
      </c>
      <c r="G75" s="4" t="str">
        <f>HYPERLINK("http://141.218.60.56/~jnz1568/getInfo.php?workbook=13_02.xlsx&amp;sheet=A0&amp;row=75&amp;col=7&amp;number=0&amp;sourceID=14","0")</f>
        <v>0</v>
      </c>
    </row>
    <row r="76" spans="1:7">
      <c r="A76" s="3">
        <v>13</v>
      </c>
      <c r="B76" s="3">
        <v>2</v>
      </c>
      <c r="C76" s="3">
        <v>37</v>
      </c>
      <c r="D76" s="3">
        <v>9</v>
      </c>
      <c r="E76" s="3">
        <v>87.511</v>
      </c>
      <c r="F76" s="4" t="str">
        <f>HYPERLINK("http://141.218.60.56/~jnz1568/getInfo.php?workbook=13_02.xlsx&amp;sheet=A0&amp;row=76&amp;col=6&amp;number=35110000000&amp;sourceID=14","35110000000")</f>
        <v>35110000000</v>
      </c>
      <c r="G76" s="4" t="str">
        <f>HYPERLINK("http://141.218.60.56/~jnz1568/getInfo.php?workbook=13_02.xlsx&amp;sheet=A0&amp;row=76&amp;col=7&amp;number=0&amp;sourceID=14","0")</f>
        <v>0</v>
      </c>
    </row>
    <row r="77" spans="1:7">
      <c r="A77" s="3">
        <v>13</v>
      </c>
      <c r="B77" s="3">
        <v>2</v>
      </c>
      <c r="C77" s="3">
        <v>18</v>
      </c>
      <c r="D77" s="3">
        <v>10</v>
      </c>
      <c r="E77" s="3">
        <v>130.285</v>
      </c>
      <c r="F77" s="4" t="str">
        <f>HYPERLINK("http://141.218.60.56/~jnz1568/getInfo.php?workbook=13_02.xlsx&amp;sheet=A0&amp;row=77&amp;col=6&amp;number=468700000&amp;sourceID=14","468700000")</f>
        <v>468700000</v>
      </c>
      <c r="G77" s="4" t="str">
        <f>HYPERLINK("http://141.218.60.56/~jnz1568/getInfo.php?workbook=13_02.xlsx&amp;sheet=A0&amp;row=77&amp;col=7&amp;number=0&amp;sourceID=14","0")</f>
        <v>0</v>
      </c>
    </row>
    <row r="78" spans="1:7">
      <c r="A78" s="3">
        <v>13</v>
      </c>
      <c r="B78" s="3">
        <v>2</v>
      </c>
      <c r="C78" s="3">
        <v>24</v>
      </c>
      <c r="D78" s="3">
        <v>10</v>
      </c>
      <c r="E78" s="3">
        <v>127.104</v>
      </c>
      <c r="F78" s="4" t="str">
        <f>HYPERLINK("http://141.218.60.56/~jnz1568/getInfo.php?workbook=13_02.xlsx&amp;sheet=A0&amp;row=78&amp;col=6&amp;number=9440000000&amp;sourceID=14","9440000000")</f>
        <v>9440000000</v>
      </c>
      <c r="G78" s="4" t="str">
        <f>HYPERLINK("http://141.218.60.56/~jnz1568/getInfo.php?workbook=13_02.xlsx&amp;sheet=A0&amp;row=78&amp;col=7&amp;number=0&amp;sourceID=14","0")</f>
        <v>0</v>
      </c>
    </row>
    <row r="79" spans="1:7">
      <c r="A79" s="3">
        <v>13</v>
      </c>
      <c r="B79" s="3">
        <v>2</v>
      </c>
      <c r="C79" s="3">
        <v>32</v>
      </c>
      <c r="D79" s="3">
        <v>10</v>
      </c>
      <c r="E79" s="3">
        <v>88.264</v>
      </c>
      <c r="F79" s="4" t="str">
        <f>HYPERLINK("http://141.218.60.56/~jnz1568/getInfo.php?workbook=13_02.xlsx&amp;sheet=A0&amp;row=79&amp;col=6&amp;number=235200000&amp;sourceID=14","235200000")</f>
        <v>235200000</v>
      </c>
      <c r="G79" s="4" t="str">
        <f>HYPERLINK("http://141.218.60.56/~jnz1568/getInfo.php?workbook=13_02.xlsx&amp;sheet=A0&amp;row=79&amp;col=7&amp;number=0&amp;sourceID=14","0")</f>
        <v>0</v>
      </c>
    </row>
    <row r="80" spans="1:7">
      <c r="A80" s="3">
        <v>13</v>
      </c>
      <c r="B80" s="3">
        <v>2</v>
      </c>
      <c r="C80" s="3">
        <v>38</v>
      </c>
      <c r="D80" s="3">
        <v>10</v>
      </c>
      <c r="E80" s="3">
        <v>87.512</v>
      </c>
      <c r="F80" s="4" t="str">
        <f>HYPERLINK("http://141.218.60.56/~jnz1568/getInfo.php?workbook=13_02.xlsx&amp;sheet=A0&amp;row=80&amp;col=6&amp;number=4483000000&amp;sourceID=14","4483000000")</f>
        <v>4483000000</v>
      </c>
      <c r="G80" s="4" t="str">
        <f>HYPERLINK("http://141.218.60.56/~jnz1568/getInfo.php?workbook=13_02.xlsx&amp;sheet=A0&amp;row=80&amp;col=7&amp;number=0&amp;sourceID=14","0")</f>
        <v>0</v>
      </c>
    </row>
    <row r="81" spans="1:7">
      <c r="A81" s="3">
        <v>13</v>
      </c>
      <c r="B81" s="3">
        <v>2</v>
      </c>
      <c r="C81" s="3">
        <v>18</v>
      </c>
      <c r="D81" s="3">
        <v>11</v>
      </c>
      <c r="E81" s="3">
        <v>130.352</v>
      </c>
      <c r="F81" s="4" t="str">
        <f>HYPERLINK("http://141.218.60.56/~jnz1568/getInfo.php?workbook=13_02.xlsx&amp;sheet=A0&amp;row=81&amp;col=6&amp;number=4214000000&amp;sourceID=14","4214000000")</f>
        <v>4214000000</v>
      </c>
      <c r="G81" s="4" t="str">
        <f>HYPERLINK("http://141.218.60.56/~jnz1568/getInfo.php?workbook=13_02.xlsx&amp;sheet=A0&amp;row=81&amp;col=7&amp;number=0&amp;sourceID=14","0")</f>
        <v>0</v>
      </c>
    </row>
    <row r="82" spans="1:7">
      <c r="A82" s="3">
        <v>13</v>
      </c>
      <c r="B82" s="3">
        <v>2</v>
      </c>
      <c r="C82" s="3">
        <v>24</v>
      </c>
      <c r="D82" s="3">
        <v>11</v>
      </c>
      <c r="E82" s="3">
        <v>127.168</v>
      </c>
      <c r="F82" s="4" t="str">
        <f>HYPERLINK("http://141.218.60.56/~jnz1568/getInfo.php?workbook=13_02.xlsx&amp;sheet=A0&amp;row=82&amp;col=6&amp;number=21230000000&amp;sourceID=14","21230000000")</f>
        <v>21230000000</v>
      </c>
      <c r="G82" s="4" t="str">
        <f>HYPERLINK("http://141.218.60.56/~jnz1568/getInfo.php?workbook=13_02.xlsx&amp;sheet=A0&amp;row=82&amp;col=7&amp;number=0&amp;sourceID=14","0")</f>
        <v>0</v>
      </c>
    </row>
    <row r="83" spans="1:7">
      <c r="A83" s="3">
        <v>13</v>
      </c>
      <c r="B83" s="3">
        <v>2</v>
      </c>
      <c r="C83" s="3">
        <v>25</v>
      </c>
      <c r="D83" s="3">
        <v>11</v>
      </c>
      <c r="E83" s="3">
        <v>127.165</v>
      </c>
      <c r="F83" s="4" t="str">
        <f>HYPERLINK("http://141.218.60.56/~jnz1568/getInfo.php?workbook=13_02.xlsx&amp;sheet=A0&amp;row=83&amp;col=6&amp;number=38230000000&amp;sourceID=14","38230000000")</f>
        <v>38230000000</v>
      </c>
      <c r="G83" s="4" t="str">
        <f>HYPERLINK("http://141.218.60.56/~jnz1568/getInfo.php?workbook=13_02.xlsx&amp;sheet=A0&amp;row=83&amp;col=7&amp;number=0&amp;sourceID=14","0")</f>
        <v>0</v>
      </c>
    </row>
    <row r="84" spans="1:7">
      <c r="A84" s="3">
        <v>13</v>
      </c>
      <c r="B84" s="3">
        <v>2</v>
      </c>
      <c r="C84" s="3">
        <v>32</v>
      </c>
      <c r="D84" s="3">
        <v>11</v>
      </c>
      <c r="E84" s="3">
        <v>88.294</v>
      </c>
      <c r="F84" s="4" t="str">
        <f>HYPERLINK("http://141.218.60.56/~jnz1568/getInfo.php?workbook=13_02.xlsx&amp;sheet=A0&amp;row=84&amp;col=6&amp;number=2115000000&amp;sourceID=14","2115000000")</f>
        <v>2115000000</v>
      </c>
      <c r="G84" s="4" t="str">
        <f>HYPERLINK("http://141.218.60.56/~jnz1568/getInfo.php?workbook=13_02.xlsx&amp;sheet=A0&amp;row=84&amp;col=7&amp;number=0&amp;sourceID=14","0")</f>
        <v>0</v>
      </c>
    </row>
    <row r="85" spans="1:7">
      <c r="A85" s="3">
        <v>13</v>
      </c>
      <c r="B85" s="3">
        <v>2</v>
      </c>
      <c r="C85" s="3">
        <v>38</v>
      </c>
      <c r="D85" s="3">
        <v>11</v>
      </c>
      <c r="E85" s="3">
        <v>87.542</v>
      </c>
      <c r="F85" s="4" t="str">
        <f>HYPERLINK("http://141.218.60.56/~jnz1568/getInfo.php?workbook=13_02.xlsx&amp;sheet=A0&amp;row=85&amp;col=6&amp;number=10090000000&amp;sourceID=14","10090000000")</f>
        <v>10090000000</v>
      </c>
      <c r="G85" s="4" t="str">
        <f>HYPERLINK("http://141.218.60.56/~jnz1568/getInfo.php?workbook=13_02.xlsx&amp;sheet=A0&amp;row=85&amp;col=7&amp;number=0&amp;sourceID=14","0")</f>
        <v>0</v>
      </c>
    </row>
    <row r="86" spans="1:7">
      <c r="A86" s="3">
        <v>13</v>
      </c>
      <c r="B86" s="3">
        <v>2</v>
      </c>
      <c r="C86" s="3">
        <v>39</v>
      </c>
      <c r="D86" s="3">
        <v>11</v>
      </c>
      <c r="E86" s="3">
        <v>87.541</v>
      </c>
      <c r="F86" s="4" t="str">
        <f>HYPERLINK("http://141.218.60.56/~jnz1568/getInfo.php?workbook=13_02.xlsx&amp;sheet=A0&amp;row=86&amp;col=6&amp;number=18160000000&amp;sourceID=14","18160000000")</f>
        <v>18160000000</v>
      </c>
      <c r="G86" s="4" t="str">
        <f>HYPERLINK("http://141.218.60.56/~jnz1568/getInfo.php?workbook=13_02.xlsx&amp;sheet=A0&amp;row=86&amp;col=7&amp;number=0&amp;sourceID=14","0")</f>
        <v>0</v>
      </c>
    </row>
    <row r="87" spans="1:7">
      <c r="A87" s="3">
        <v>13</v>
      </c>
      <c r="B87" s="3">
        <v>2</v>
      </c>
      <c r="C87" s="3">
        <v>18</v>
      </c>
      <c r="D87" s="3">
        <v>12</v>
      </c>
      <c r="E87" s="3">
        <v>130.61</v>
      </c>
      <c r="F87" s="4" t="str">
        <f>HYPERLINK("http://141.218.60.56/~jnz1568/getInfo.php?workbook=13_02.xlsx&amp;sheet=A0&amp;row=87&amp;col=6&amp;number=11680000000&amp;sourceID=14","11680000000")</f>
        <v>11680000000</v>
      </c>
      <c r="G87" s="4" t="str">
        <f>HYPERLINK("http://141.218.60.56/~jnz1568/getInfo.php?workbook=13_02.xlsx&amp;sheet=A0&amp;row=87&amp;col=7&amp;number=0&amp;sourceID=14","0")</f>
        <v>0</v>
      </c>
    </row>
    <row r="88" spans="1:7">
      <c r="A88" s="3">
        <v>13</v>
      </c>
      <c r="B88" s="3">
        <v>2</v>
      </c>
      <c r="C88" s="3">
        <v>24</v>
      </c>
      <c r="D88" s="3">
        <v>12</v>
      </c>
      <c r="E88" s="3">
        <v>127.413</v>
      </c>
      <c r="F88" s="4" t="str">
        <f>HYPERLINK("http://141.218.60.56/~jnz1568/getInfo.php?workbook=13_02.xlsx&amp;sheet=A0&amp;row=88&amp;col=6&amp;number=105800000000&amp;sourceID=14","105800000000")</f>
        <v>105800000000</v>
      </c>
      <c r="G88" s="4" t="str">
        <f>HYPERLINK("http://141.218.60.56/~jnz1568/getInfo.php?workbook=13_02.xlsx&amp;sheet=A0&amp;row=88&amp;col=7&amp;number=0&amp;sourceID=14","0")</f>
        <v>0</v>
      </c>
    </row>
    <row r="89" spans="1:7">
      <c r="A89" s="3">
        <v>13</v>
      </c>
      <c r="B89" s="3">
        <v>2</v>
      </c>
      <c r="C89" s="3">
        <v>25</v>
      </c>
      <c r="D89" s="3">
        <v>12</v>
      </c>
      <c r="E89" s="3">
        <v>127.411</v>
      </c>
      <c r="F89" s="4" t="str">
        <f>HYPERLINK("http://141.218.60.56/~jnz1568/getInfo.php?workbook=13_02.xlsx&amp;sheet=A0&amp;row=89&amp;col=6&amp;number=21150000000&amp;sourceID=14","21150000000")</f>
        <v>21150000000</v>
      </c>
      <c r="G89" s="4" t="str">
        <f>HYPERLINK("http://141.218.60.56/~jnz1568/getInfo.php?workbook=13_02.xlsx&amp;sheet=A0&amp;row=89&amp;col=7&amp;number=0&amp;sourceID=14","0")</f>
        <v>0</v>
      </c>
    </row>
    <row r="90" spans="1:7">
      <c r="A90" s="3">
        <v>13</v>
      </c>
      <c r="B90" s="3">
        <v>2</v>
      </c>
      <c r="C90" s="3">
        <v>26</v>
      </c>
      <c r="D90" s="3">
        <v>12</v>
      </c>
      <c r="E90" s="3">
        <v>127.372</v>
      </c>
      <c r="F90" s="4" t="str">
        <f>HYPERLINK("http://141.218.60.56/~jnz1568/getInfo.php?workbook=13_02.xlsx&amp;sheet=A0&amp;row=90&amp;col=6&amp;number=84770000000&amp;sourceID=14","84770000000")</f>
        <v>84770000000</v>
      </c>
      <c r="G90" s="4" t="str">
        <f>HYPERLINK("http://141.218.60.56/~jnz1568/getInfo.php?workbook=13_02.xlsx&amp;sheet=A0&amp;row=90&amp;col=7&amp;number=0&amp;sourceID=14","0")</f>
        <v>0</v>
      </c>
    </row>
    <row r="91" spans="1:7">
      <c r="A91" s="3">
        <v>13</v>
      </c>
      <c r="B91" s="3">
        <v>2</v>
      </c>
      <c r="C91" s="3">
        <v>32</v>
      </c>
      <c r="D91" s="3">
        <v>12</v>
      </c>
      <c r="E91" s="3">
        <v>88.412</v>
      </c>
      <c r="F91" s="4" t="str">
        <f>HYPERLINK("http://141.218.60.56/~jnz1568/getInfo.php?workbook=13_02.xlsx&amp;sheet=A0&amp;row=91&amp;col=6&amp;number=5871000000&amp;sourceID=14","5871000000")</f>
        <v>5871000000</v>
      </c>
      <c r="G91" s="4" t="str">
        <f>HYPERLINK("http://141.218.60.56/~jnz1568/getInfo.php?workbook=13_02.xlsx&amp;sheet=A0&amp;row=91&amp;col=7&amp;number=0&amp;sourceID=14","0")</f>
        <v>0</v>
      </c>
    </row>
    <row r="92" spans="1:7">
      <c r="A92" s="3">
        <v>13</v>
      </c>
      <c r="B92" s="3">
        <v>2</v>
      </c>
      <c r="C92" s="3">
        <v>38</v>
      </c>
      <c r="D92" s="3">
        <v>12</v>
      </c>
      <c r="E92" s="3">
        <v>87.658</v>
      </c>
      <c r="F92" s="4" t="str">
        <f>HYPERLINK("http://141.218.60.56/~jnz1568/getInfo.php?workbook=13_02.xlsx&amp;sheet=A0&amp;row=92&amp;col=6&amp;number=50320000000&amp;sourceID=14","50320000000")</f>
        <v>50320000000</v>
      </c>
      <c r="G92" s="4" t="str">
        <f>HYPERLINK("http://141.218.60.56/~jnz1568/getInfo.php?workbook=13_02.xlsx&amp;sheet=A0&amp;row=92&amp;col=7&amp;number=0&amp;sourceID=14","0")</f>
        <v>0</v>
      </c>
    </row>
    <row r="93" spans="1:7">
      <c r="A93" s="3">
        <v>13</v>
      </c>
      <c r="B93" s="3">
        <v>2</v>
      </c>
      <c r="C93" s="3">
        <v>39</v>
      </c>
      <c r="D93" s="3">
        <v>12</v>
      </c>
      <c r="E93" s="3">
        <v>87.658</v>
      </c>
      <c r="F93" s="4" t="str">
        <f>HYPERLINK("http://141.218.60.56/~jnz1568/getInfo.php?workbook=13_02.xlsx&amp;sheet=A0&amp;row=93&amp;col=6&amp;number=10060000000&amp;sourceID=14","10060000000")</f>
        <v>10060000000</v>
      </c>
      <c r="G93" s="4" t="str">
        <f>HYPERLINK("http://141.218.60.56/~jnz1568/getInfo.php?workbook=13_02.xlsx&amp;sheet=A0&amp;row=93&amp;col=7&amp;number=0&amp;sourceID=14","0")</f>
        <v>0</v>
      </c>
    </row>
    <row r="94" spans="1:7">
      <c r="A94" s="3">
        <v>13</v>
      </c>
      <c r="B94" s="3">
        <v>2</v>
      </c>
      <c r="C94" s="3">
        <v>40</v>
      </c>
      <c r="D94" s="3">
        <v>12</v>
      </c>
      <c r="E94" s="3">
        <v>87.648</v>
      </c>
      <c r="F94" s="4" t="str">
        <f>HYPERLINK("http://141.218.60.56/~jnz1568/getInfo.php?workbook=13_02.xlsx&amp;sheet=A0&amp;row=94&amp;col=6&amp;number=40290000000&amp;sourceID=14","40290000000")</f>
        <v>40290000000</v>
      </c>
      <c r="G94" s="4" t="str">
        <f>HYPERLINK("http://141.218.60.56/~jnz1568/getInfo.php?workbook=13_02.xlsx&amp;sheet=A0&amp;row=94&amp;col=7&amp;number=0&amp;sourceID=14","0")</f>
        <v>0</v>
      </c>
    </row>
    <row r="95" spans="1:7">
      <c r="A95" s="3">
        <v>13</v>
      </c>
      <c r="B95" s="3">
        <v>2</v>
      </c>
      <c r="C95" s="3">
        <v>19</v>
      </c>
      <c r="D95" s="3">
        <v>13</v>
      </c>
      <c r="E95" s="3">
        <v>132.151</v>
      </c>
      <c r="F95" s="4" t="str">
        <f>HYPERLINK("http://141.218.60.56/~jnz1568/getInfo.php?workbook=13_02.xlsx&amp;sheet=A0&amp;row=95&amp;col=6&amp;number=36930000000&amp;sourceID=14","36930000000")</f>
        <v>36930000000</v>
      </c>
      <c r="G95" s="4" t="str">
        <f>HYPERLINK("http://141.218.60.56/~jnz1568/getInfo.php?workbook=13_02.xlsx&amp;sheet=A0&amp;row=95&amp;col=7&amp;number=0&amp;sourceID=14","0")</f>
        <v>0</v>
      </c>
    </row>
    <row r="96" spans="1:7">
      <c r="A96" s="3">
        <v>13</v>
      </c>
      <c r="B96" s="3">
        <v>2</v>
      </c>
      <c r="C96" s="3">
        <v>27</v>
      </c>
      <c r="D96" s="3">
        <v>13</v>
      </c>
      <c r="E96" s="3">
        <v>130.815</v>
      </c>
      <c r="F96" s="4" t="str">
        <f>HYPERLINK("http://141.218.60.56/~jnz1568/getInfo.php?workbook=13_02.xlsx&amp;sheet=A0&amp;row=96&amp;col=6&amp;number=144500000000&amp;sourceID=14","144500000000")</f>
        <v>144500000000</v>
      </c>
      <c r="G96" s="4" t="str">
        <f>HYPERLINK("http://141.218.60.56/~jnz1568/getInfo.php?workbook=13_02.xlsx&amp;sheet=A0&amp;row=96&amp;col=7&amp;number=0&amp;sourceID=14","0")</f>
        <v>0</v>
      </c>
    </row>
    <row r="97" spans="1:7">
      <c r="A97" s="3">
        <v>13</v>
      </c>
      <c r="B97" s="3">
        <v>2</v>
      </c>
      <c r="C97" s="3">
        <v>33</v>
      </c>
      <c r="D97" s="3">
        <v>13</v>
      </c>
      <c r="E97" s="3">
        <v>89.595</v>
      </c>
      <c r="F97" s="4" t="str">
        <f>HYPERLINK("http://141.218.60.56/~jnz1568/getInfo.php?workbook=13_02.xlsx&amp;sheet=A0&amp;row=97&amp;col=6&amp;number=18500000000&amp;sourceID=14","18500000000")</f>
        <v>18500000000</v>
      </c>
      <c r="G97" s="4" t="str">
        <f>HYPERLINK("http://141.218.60.56/~jnz1568/getInfo.php?workbook=13_02.xlsx&amp;sheet=A0&amp;row=97&amp;col=7&amp;number=0&amp;sourceID=14","0")</f>
        <v>0</v>
      </c>
    </row>
    <row r="98" spans="1:7">
      <c r="A98" s="3">
        <v>13</v>
      </c>
      <c r="B98" s="3">
        <v>2</v>
      </c>
      <c r="C98" s="3">
        <v>41</v>
      </c>
      <c r="D98" s="3">
        <v>13</v>
      </c>
      <c r="E98" s="3">
        <v>89.278</v>
      </c>
      <c r="F98" s="4" t="str">
        <f>HYPERLINK("http://141.218.60.56/~jnz1568/getInfo.php?workbook=13_02.xlsx&amp;sheet=A0&amp;row=98&amp;col=6&amp;number=69860000000&amp;sourceID=14","69860000000")</f>
        <v>69860000000</v>
      </c>
      <c r="G98" s="4" t="str">
        <f>HYPERLINK("http://141.218.60.56/~jnz1568/getInfo.php?workbook=13_02.xlsx&amp;sheet=A0&amp;row=98&amp;col=7&amp;number=0&amp;sourceID=14","0")</f>
        <v>0</v>
      </c>
    </row>
    <row r="99" spans="1:7">
      <c r="A99" s="3">
        <v>13</v>
      </c>
      <c r="B99" s="3">
        <v>2</v>
      </c>
      <c r="C99" s="3">
        <v>20</v>
      </c>
      <c r="D99" s="3">
        <v>14</v>
      </c>
      <c r="E99" s="3">
        <v>131.291</v>
      </c>
      <c r="F99" s="4" t="str">
        <f>HYPERLINK("http://141.218.60.56/~jnz1568/getInfo.php?workbook=13_02.xlsx&amp;sheet=A0&amp;row=99&amp;col=6&amp;number=1416000000&amp;sourceID=14","1416000000")</f>
        <v>1416000000</v>
      </c>
      <c r="G99" s="4" t="str">
        <f>HYPERLINK("http://141.218.60.56/~jnz1568/getInfo.php?workbook=13_02.xlsx&amp;sheet=A0&amp;row=99&amp;col=7&amp;number=0&amp;sourceID=14","0")</f>
        <v>0</v>
      </c>
    </row>
    <row r="100" spans="1:7">
      <c r="A100" s="3">
        <v>13</v>
      </c>
      <c r="B100" s="3">
        <v>2</v>
      </c>
      <c r="C100" s="3">
        <v>21</v>
      </c>
      <c r="D100" s="3">
        <v>14</v>
      </c>
      <c r="E100" s="3">
        <v>131.262</v>
      </c>
      <c r="F100" s="4" t="str">
        <f>HYPERLINK("http://141.218.60.56/~jnz1568/getInfo.php?workbook=13_02.xlsx&amp;sheet=A0&amp;row=100&amp;col=6&amp;number=354200000&amp;sourceID=14","354200000")</f>
        <v>354200000</v>
      </c>
      <c r="G100" s="4" t="str">
        <f>HYPERLINK("http://141.218.60.56/~jnz1568/getInfo.php?workbook=13_02.xlsx&amp;sheet=A0&amp;row=100&amp;col=7&amp;number=0&amp;sourceID=14","0")</f>
        <v>0</v>
      </c>
    </row>
    <row r="101" spans="1:7">
      <c r="A101" s="3">
        <v>13</v>
      </c>
      <c r="B101" s="3">
        <v>2</v>
      </c>
      <c r="C101" s="3">
        <v>22</v>
      </c>
      <c r="D101" s="3">
        <v>14</v>
      </c>
      <c r="E101" s="3">
        <v>131.153</v>
      </c>
      <c r="F101" s="4" t="str">
        <f>HYPERLINK("http://141.218.60.56/~jnz1568/getInfo.php?workbook=13_02.xlsx&amp;sheet=A0&amp;row=101&amp;col=6&amp;number=639000000&amp;sourceID=14","639000000")</f>
        <v>639000000</v>
      </c>
      <c r="G101" s="4" t="str">
        <f>HYPERLINK("http://141.218.60.56/~jnz1568/getInfo.php?workbook=13_02.xlsx&amp;sheet=A0&amp;row=101&amp;col=7&amp;number=0&amp;sourceID=14","0")</f>
        <v>0</v>
      </c>
    </row>
    <row r="102" spans="1:7">
      <c r="A102" s="3">
        <v>13</v>
      </c>
      <c r="B102" s="3">
        <v>2</v>
      </c>
      <c r="C102" s="3">
        <v>28</v>
      </c>
      <c r="D102" s="3">
        <v>14</v>
      </c>
      <c r="E102" s="3">
        <v>-130.762</v>
      </c>
      <c r="F102" s="4" t="str">
        <f>HYPERLINK("http://141.218.60.56/~jnz1568/getInfo.php?workbook=13_02.xlsx&amp;sheet=A0&amp;row=102&amp;col=6&amp;number=47630000000&amp;sourceID=14","47630000000")</f>
        <v>47630000000</v>
      </c>
      <c r="G102" s="4" t="str">
        <f>HYPERLINK("http://141.218.60.56/~jnz1568/getInfo.php?workbook=13_02.xlsx&amp;sheet=A0&amp;row=102&amp;col=7&amp;number=0&amp;sourceID=14","0")</f>
        <v>0</v>
      </c>
    </row>
    <row r="103" spans="1:7">
      <c r="A103" s="3">
        <v>13</v>
      </c>
      <c r="B103" s="3">
        <v>2</v>
      </c>
      <c r="C103" s="3">
        <v>34</v>
      </c>
      <c r="D103" s="3">
        <v>14</v>
      </c>
      <c r="E103" s="3">
        <v>89.188</v>
      </c>
      <c r="F103" s="4" t="str">
        <f>HYPERLINK("http://141.218.60.56/~jnz1568/getInfo.php?workbook=13_02.xlsx&amp;sheet=A0&amp;row=103&amp;col=6&amp;number=616800000&amp;sourceID=14","616800000")</f>
        <v>616800000</v>
      </c>
      <c r="G103" s="4" t="str">
        <f>HYPERLINK("http://141.218.60.56/~jnz1568/getInfo.php?workbook=13_02.xlsx&amp;sheet=A0&amp;row=103&amp;col=7&amp;number=0&amp;sourceID=14","0")</f>
        <v>0</v>
      </c>
    </row>
    <row r="104" spans="1:7">
      <c r="A104" s="3">
        <v>13</v>
      </c>
      <c r="B104" s="3">
        <v>2</v>
      </c>
      <c r="C104" s="3">
        <v>35</v>
      </c>
      <c r="D104" s="3">
        <v>14</v>
      </c>
      <c r="E104" s="3">
        <v>89.181</v>
      </c>
      <c r="F104" s="4" t="str">
        <f>HYPERLINK("http://141.218.60.56/~jnz1568/getInfo.php?workbook=13_02.xlsx&amp;sheet=A0&amp;row=104&amp;col=6&amp;number=154300000&amp;sourceID=14","154300000")</f>
        <v>154300000</v>
      </c>
      <c r="G104" s="4" t="str">
        <f>HYPERLINK("http://141.218.60.56/~jnz1568/getInfo.php?workbook=13_02.xlsx&amp;sheet=A0&amp;row=104&amp;col=7&amp;number=0&amp;sourceID=14","0")</f>
        <v>0</v>
      </c>
    </row>
    <row r="105" spans="1:7">
      <c r="A105" s="3">
        <v>13</v>
      </c>
      <c r="B105" s="3">
        <v>2</v>
      </c>
      <c r="C105" s="3">
        <v>36</v>
      </c>
      <c r="D105" s="3">
        <v>14</v>
      </c>
      <c r="E105" s="3">
        <v>89.156</v>
      </c>
      <c r="F105" s="4" t="str">
        <f>HYPERLINK("http://141.218.60.56/~jnz1568/getInfo.php?workbook=13_02.xlsx&amp;sheet=A0&amp;row=105&amp;col=6&amp;number=278100000&amp;sourceID=14","278100000")</f>
        <v>278100000</v>
      </c>
      <c r="G105" s="4" t="str">
        <f>HYPERLINK("http://141.218.60.56/~jnz1568/getInfo.php?workbook=13_02.xlsx&amp;sheet=A0&amp;row=105&amp;col=7&amp;number=0&amp;sourceID=14","0")</f>
        <v>0</v>
      </c>
    </row>
    <row r="106" spans="1:7">
      <c r="A106" s="3">
        <v>13</v>
      </c>
      <c r="B106" s="3">
        <v>2</v>
      </c>
      <c r="C106" s="3">
        <v>42</v>
      </c>
      <c r="D106" s="3">
        <v>14</v>
      </c>
      <c r="E106" s="3">
        <v>-89.405</v>
      </c>
      <c r="F106" s="4" t="str">
        <f>HYPERLINK("http://141.218.60.56/~jnz1568/getInfo.php?workbook=13_02.xlsx&amp;sheet=A0&amp;row=106&amp;col=6&amp;number=15670000000&amp;sourceID=14","15670000000")</f>
        <v>15670000000</v>
      </c>
      <c r="G106" s="4" t="str">
        <f>HYPERLINK("http://141.218.60.56/~jnz1568/getInfo.php?workbook=13_02.xlsx&amp;sheet=A0&amp;row=106&amp;col=7&amp;number=0&amp;sourceID=14","0")</f>
        <v>0</v>
      </c>
    </row>
    <row r="107" spans="1:7">
      <c r="A107" s="3">
        <v>13</v>
      </c>
      <c r="B107" s="3">
        <v>2</v>
      </c>
      <c r="C107" s="3">
        <v>21</v>
      </c>
      <c r="D107" s="3">
        <v>15</v>
      </c>
      <c r="E107" s="3">
        <v>131.27</v>
      </c>
      <c r="F107" s="4" t="str">
        <f>HYPERLINK("http://141.218.60.56/~jnz1568/getInfo.php?workbook=13_02.xlsx&amp;sheet=A0&amp;row=107&amp;col=6&amp;number=1772000000&amp;sourceID=14","1772000000")</f>
        <v>1772000000</v>
      </c>
      <c r="G107" s="4" t="str">
        <f>HYPERLINK("http://141.218.60.56/~jnz1568/getInfo.php?workbook=13_02.xlsx&amp;sheet=A0&amp;row=107&amp;col=7&amp;number=0&amp;sourceID=14","0")</f>
        <v>0</v>
      </c>
    </row>
    <row r="108" spans="1:7">
      <c r="A108" s="3">
        <v>13</v>
      </c>
      <c r="B108" s="3">
        <v>2</v>
      </c>
      <c r="C108" s="3">
        <v>22</v>
      </c>
      <c r="D108" s="3">
        <v>15</v>
      </c>
      <c r="E108" s="3">
        <v>131.161</v>
      </c>
      <c r="F108" s="4" t="str">
        <f>HYPERLINK("http://141.218.60.56/~jnz1568/getInfo.php?workbook=13_02.xlsx&amp;sheet=A0&amp;row=108&amp;col=6&amp;number=354700000&amp;sourceID=14","354700000")</f>
        <v>354700000</v>
      </c>
      <c r="G108" s="4" t="str">
        <f>HYPERLINK("http://141.218.60.56/~jnz1568/getInfo.php?workbook=13_02.xlsx&amp;sheet=A0&amp;row=108&amp;col=7&amp;number=0&amp;sourceID=14","0")</f>
        <v>0</v>
      </c>
    </row>
    <row r="109" spans="1:7">
      <c r="A109" s="3">
        <v>13</v>
      </c>
      <c r="B109" s="3">
        <v>2</v>
      </c>
      <c r="C109" s="3">
        <v>28</v>
      </c>
      <c r="D109" s="3">
        <v>15</v>
      </c>
      <c r="E109" s="3">
        <v>-130.953</v>
      </c>
      <c r="F109" s="4" t="str">
        <f>HYPERLINK("http://141.218.60.56/~jnz1568/getInfo.php?workbook=13_02.xlsx&amp;sheet=A0&amp;row=109&amp;col=6&amp;number=14640000000&amp;sourceID=14","14640000000")</f>
        <v>14640000000</v>
      </c>
      <c r="G109" s="4" t="str">
        <f>HYPERLINK("http://141.218.60.56/~jnz1568/getInfo.php?workbook=13_02.xlsx&amp;sheet=A0&amp;row=109&amp;col=7&amp;number=0&amp;sourceID=14","0")</f>
        <v>0</v>
      </c>
    </row>
    <row r="110" spans="1:7">
      <c r="A110" s="3">
        <v>13</v>
      </c>
      <c r="B110" s="3">
        <v>2</v>
      </c>
      <c r="C110" s="3">
        <v>29</v>
      </c>
      <c r="D110" s="3">
        <v>15</v>
      </c>
      <c r="E110" s="3">
        <v>-130.953</v>
      </c>
      <c r="F110" s="4" t="str">
        <f>HYPERLINK("http://141.218.60.56/~jnz1568/getInfo.php?workbook=13_02.xlsx&amp;sheet=A0&amp;row=110&amp;col=6&amp;number=83750000000&amp;sourceID=14","83750000000")</f>
        <v>83750000000</v>
      </c>
      <c r="G110" s="4" t="str">
        <f>HYPERLINK("http://141.218.60.56/~jnz1568/getInfo.php?workbook=13_02.xlsx&amp;sheet=A0&amp;row=110&amp;col=7&amp;number=0&amp;sourceID=14","0")</f>
        <v>0</v>
      </c>
    </row>
    <row r="111" spans="1:7">
      <c r="A111" s="3">
        <v>13</v>
      </c>
      <c r="B111" s="3">
        <v>2</v>
      </c>
      <c r="C111" s="3">
        <v>35</v>
      </c>
      <c r="D111" s="3">
        <v>15</v>
      </c>
      <c r="E111" s="3">
        <v>89.185</v>
      </c>
      <c r="F111" s="4" t="str">
        <f>HYPERLINK("http://141.218.60.56/~jnz1568/getInfo.php?workbook=13_02.xlsx&amp;sheet=A0&amp;row=111&amp;col=6&amp;number=771900000&amp;sourceID=14","771900000")</f>
        <v>771900000</v>
      </c>
      <c r="G111" s="4" t="str">
        <f>HYPERLINK("http://141.218.60.56/~jnz1568/getInfo.php?workbook=13_02.xlsx&amp;sheet=A0&amp;row=111&amp;col=7&amp;number=0&amp;sourceID=14","0")</f>
        <v>0</v>
      </c>
    </row>
    <row r="112" spans="1:7">
      <c r="A112" s="3">
        <v>13</v>
      </c>
      <c r="B112" s="3">
        <v>2</v>
      </c>
      <c r="C112" s="3">
        <v>36</v>
      </c>
      <c r="D112" s="3">
        <v>15</v>
      </c>
      <c r="E112" s="3">
        <v>89.159</v>
      </c>
      <c r="F112" s="4" t="str">
        <f>HYPERLINK("http://141.218.60.56/~jnz1568/getInfo.php?workbook=13_02.xlsx&amp;sheet=A0&amp;row=112&amp;col=6&amp;number=154400000&amp;sourceID=14","154400000")</f>
        <v>154400000</v>
      </c>
      <c r="G112" s="4" t="str">
        <f>HYPERLINK("http://141.218.60.56/~jnz1568/getInfo.php?workbook=13_02.xlsx&amp;sheet=A0&amp;row=112&amp;col=7&amp;number=0&amp;sourceID=14","0")</f>
        <v>0</v>
      </c>
    </row>
    <row r="113" spans="1:7">
      <c r="A113" s="3">
        <v>13</v>
      </c>
      <c r="B113" s="3">
        <v>2</v>
      </c>
      <c r="C113" s="3">
        <v>42</v>
      </c>
      <c r="D113" s="3">
        <v>15</v>
      </c>
      <c r="E113" s="3">
        <v>-89.494</v>
      </c>
      <c r="F113" s="4" t="str">
        <f>HYPERLINK("http://141.218.60.56/~jnz1568/getInfo.php?workbook=13_02.xlsx&amp;sheet=A0&amp;row=113&amp;col=6&amp;number=4823000000&amp;sourceID=14","4823000000")</f>
        <v>4823000000</v>
      </c>
      <c r="G113" s="4" t="str">
        <f>HYPERLINK("http://141.218.60.56/~jnz1568/getInfo.php?workbook=13_02.xlsx&amp;sheet=A0&amp;row=113&amp;col=7&amp;number=0&amp;sourceID=14","0")</f>
        <v>0</v>
      </c>
    </row>
    <row r="114" spans="1:7">
      <c r="A114" s="3">
        <v>13</v>
      </c>
      <c r="B114" s="3">
        <v>2</v>
      </c>
      <c r="C114" s="3">
        <v>43</v>
      </c>
      <c r="D114" s="3">
        <v>15</v>
      </c>
      <c r="E114" s="3">
        <v>-89.494</v>
      </c>
      <c r="F114" s="4" t="str">
        <f>HYPERLINK("http://141.218.60.56/~jnz1568/getInfo.php?workbook=13_02.xlsx&amp;sheet=A0&amp;row=114&amp;col=6&amp;number=27590000000&amp;sourceID=14","27590000000")</f>
        <v>27590000000</v>
      </c>
      <c r="G114" s="4" t="str">
        <f>HYPERLINK("http://141.218.60.56/~jnz1568/getInfo.php?workbook=13_02.xlsx&amp;sheet=A0&amp;row=114&amp;col=7&amp;number=0&amp;sourceID=14","0")</f>
        <v>0</v>
      </c>
    </row>
    <row r="115" spans="1:7">
      <c r="A115" s="3">
        <v>13</v>
      </c>
      <c r="B115" s="3">
        <v>2</v>
      </c>
      <c r="C115" s="3">
        <v>22</v>
      </c>
      <c r="D115" s="3">
        <v>16</v>
      </c>
      <c r="E115" s="3">
        <v>131.257</v>
      </c>
      <c r="F115" s="4" t="str">
        <f>HYPERLINK("http://141.218.60.56/~jnz1568/getInfo.php?workbook=13_02.xlsx&amp;sheet=A0&amp;row=115&amp;col=6&amp;number=2781000000&amp;sourceID=14","2781000000")</f>
        <v>2781000000</v>
      </c>
      <c r="G115" s="4" t="str">
        <f>HYPERLINK("http://141.218.60.56/~jnz1568/getInfo.php?workbook=13_02.xlsx&amp;sheet=A0&amp;row=115&amp;col=7&amp;number=0&amp;sourceID=14","0")</f>
        <v>0</v>
      </c>
    </row>
    <row r="116" spans="1:7">
      <c r="A116" s="3">
        <v>13</v>
      </c>
      <c r="B116" s="3">
        <v>2</v>
      </c>
      <c r="C116" s="3">
        <v>28</v>
      </c>
      <c r="D116" s="3">
        <v>16</v>
      </c>
      <c r="E116" s="3">
        <v>-131.07</v>
      </c>
      <c r="F116" s="4" t="str">
        <f>HYPERLINK("http://141.218.60.56/~jnz1568/getInfo.php?workbook=13_02.xlsx&amp;sheet=A0&amp;row=116&amp;col=6&amp;number=28650000000&amp;sourceID=14","28650000000")</f>
        <v>28650000000</v>
      </c>
      <c r="G116" s="4" t="str">
        <f>HYPERLINK("http://141.218.60.56/~jnz1568/getInfo.php?workbook=13_02.xlsx&amp;sheet=A0&amp;row=116&amp;col=7&amp;number=0&amp;sourceID=14","0")</f>
        <v>0</v>
      </c>
    </row>
    <row r="117" spans="1:7">
      <c r="A117" s="3">
        <v>13</v>
      </c>
      <c r="B117" s="3">
        <v>2</v>
      </c>
      <c r="C117" s="3">
        <v>29</v>
      </c>
      <c r="D117" s="3">
        <v>16</v>
      </c>
      <c r="E117" s="3">
        <v>-131.07</v>
      </c>
      <c r="F117" s="4" t="str">
        <f>HYPERLINK("http://141.218.60.56/~jnz1568/getInfo.php?workbook=13_02.xlsx&amp;sheet=A0&amp;row=117&amp;col=6&amp;number=14620000000&amp;sourceID=14","14620000000")</f>
        <v>14620000000</v>
      </c>
      <c r="G117" s="4" t="str">
        <f>HYPERLINK("http://141.218.60.56/~jnz1568/getInfo.php?workbook=13_02.xlsx&amp;sheet=A0&amp;row=117&amp;col=7&amp;number=0&amp;sourceID=14","0")</f>
        <v>0</v>
      </c>
    </row>
    <row r="118" spans="1:7">
      <c r="A118" s="3">
        <v>13</v>
      </c>
      <c r="B118" s="3">
        <v>2</v>
      </c>
      <c r="C118" s="3">
        <v>30</v>
      </c>
      <c r="D118" s="3">
        <v>16</v>
      </c>
      <c r="E118" s="3">
        <v>-130.881</v>
      </c>
      <c r="F118" s="4" t="str">
        <f>HYPERLINK("http://141.218.60.56/~jnz1568/getInfo.php?workbook=13_02.xlsx&amp;sheet=A0&amp;row=118&amp;col=6&amp;number=132100000000&amp;sourceID=14","132100000000")</f>
        <v>132100000000</v>
      </c>
      <c r="G118" s="4" t="str">
        <f>HYPERLINK("http://141.218.60.56/~jnz1568/getInfo.php?workbook=13_02.xlsx&amp;sheet=A0&amp;row=118&amp;col=7&amp;number=0&amp;sourceID=14","0")</f>
        <v>0</v>
      </c>
    </row>
    <row r="119" spans="1:7">
      <c r="A119" s="3">
        <v>13</v>
      </c>
      <c r="B119" s="3">
        <v>2</v>
      </c>
      <c r="C119" s="3">
        <v>36</v>
      </c>
      <c r="D119" s="3">
        <v>16</v>
      </c>
      <c r="E119" s="3">
        <v>89.204</v>
      </c>
      <c r="F119" s="4" t="str">
        <f>HYPERLINK("http://141.218.60.56/~jnz1568/getInfo.php?workbook=13_02.xlsx&amp;sheet=A0&amp;row=119&amp;col=6&amp;number=1210000000&amp;sourceID=14","1210000000")</f>
        <v>1210000000</v>
      </c>
      <c r="G119" s="4" t="str">
        <f>HYPERLINK("http://141.218.60.56/~jnz1568/getInfo.php?workbook=13_02.xlsx&amp;sheet=A0&amp;row=119&amp;col=7&amp;number=0&amp;sourceID=14","0")</f>
        <v>0</v>
      </c>
    </row>
    <row r="120" spans="1:7">
      <c r="A120" s="3">
        <v>13</v>
      </c>
      <c r="B120" s="3">
        <v>2</v>
      </c>
      <c r="C120" s="3">
        <v>42</v>
      </c>
      <c r="D120" s="3">
        <v>16</v>
      </c>
      <c r="E120" s="3">
        <v>-89.549</v>
      </c>
      <c r="F120" s="4" t="str">
        <f>HYPERLINK("http://141.218.60.56/~jnz1568/getInfo.php?workbook=13_02.xlsx&amp;sheet=A0&amp;row=120&amp;col=6&amp;number=9441000000&amp;sourceID=14","9441000000")</f>
        <v>9441000000</v>
      </c>
      <c r="G120" s="4" t="str">
        <f>HYPERLINK("http://141.218.60.56/~jnz1568/getInfo.php?workbook=13_02.xlsx&amp;sheet=A0&amp;row=120&amp;col=7&amp;number=0&amp;sourceID=14","0")</f>
        <v>0</v>
      </c>
    </row>
    <row r="121" spans="1:7">
      <c r="A121" s="3">
        <v>13</v>
      </c>
      <c r="B121" s="3">
        <v>2</v>
      </c>
      <c r="C121" s="3">
        <v>43</v>
      </c>
      <c r="D121" s="3">
        <v>16</v>
      </c>
      <c r="E121" s="3">
        <v>-89.549</v>
      </c>
      <c r="F121" s="4" t="str">
        <f>HYPERLINK("http://141.218.60.56/~jnz1568/getInfo.php?workbook=13_02.xlsx&amp;sheet=A0&amp;row=121&amp;col=6&amp;number=4817000000&amp;sourceID=14","4817000000")</f>
        <v>4817000000</v>
      </c>
      <c r="G121" s="4" t="str">
        <f>HYPERLINK("http://141.218.60.56/~jnz1568/getInfo.php?workbook=13_02.xlsx&amp;sheet=A0&amp;row=121&amp;col=7&amp;number=0&amp;sourceID=14","0")</f>
        <v>0</v>
      </c>
    </row>
    <row r="122" spans="1:7">
      <c r="A122" s="3">
        <v>13</v>
      </c>
      <c r="B122" s="3">
        <v>2</v>
      </c>
      <c r="C122" s="3">
        <v>44</v>
      </c>
      <c r="D122" s="3">
        <v>16</v>
      </c>
      <c r="E122" s="3">
        <v>-89.549</v>
      </c>
      <c r="F122" s="4" t="str">
        <f>HYPERLINK("http://141.218.60.56/~jnz1568/getInfo.php?workbook=13_02.xlsx&amp;sheet=A0&amp;row=122&amp;col=6&amp;number=43400000000&amp;sourceID=14","43400000000")</f>
        <v>43400000000</v>
      </c>
      <c r="G122" s="4" t="str">
        <f>HYPERLINK("http://141.218.60.56/~jnz1568/getInfo.php?workbook=13_02.xlsx&amp;sheet=A0&amp;row=122&amp;col=7&amp;number=0&amp;sourceID=14","0")</f>
        <v>0</v>
      </c>
    </row>
    <row r="123" spans="1:7">
      <c r="A123" s="3">
        <v>13</v>
      </c>
      <c r="B123" s="3">
        <v>2</v>
      </c>
      <c r="C123" s="3">
        <v>23</v>
      </c>
      <c r="D123" s="3">
        <v>17</v>
      </c>
      <c r="E123" s="3">
        <v>129.922</v>
      </c>
      <c r="F123" s="4" t="str">
        <f>HYPERLINK("http://141.218.60.56/~jnz1568/getInfo.php?workbook=13_02.xlsx&amp;sheet=A0&amp;row=123&amp;col=6&amp;number=7234000000&amp;sourceID=14","7234000000")</f>
        <v>7234000000</v>
      </c>
      <c r="G123" s="4" t="str">
        <f>HYPERLINK("http://141.218.60.56/~jnz1568/getInfo.php?workbook=13_02.xlsx&amp;sheet=A0&amp;row=123&amp;col=7&amp;number=0&amp;sourceID=14","0")</f>
        <v>0</v>
      </c>
    </row>
    <row r="124" spans="1:7">
      <c r="A124" s="3">
        <v>13</v>
      </c>
      <c r="B124" s="3">
        <v>2</v>
      </c>
      <c r="C124" s="3">
        <v>31</v>
      </c>
      <c r="D124" s="3">
        <v>17</v>
      </c>
      <c r="E124" s="3">
        <v>-131.088</v>
      </c>
      <c r="F124" s="4" t="str">
        <f>HYPERLINK("http://141.218.60.56/~jnz1568/getInfo.php?workbook=13_02.xlsx&amp;sheet=A0&amp;row=124&amp;col=6&amp;number=282100000000&amp;sourceID=14","282100000000")</f>
        <v>282100000000</v>
      </c>
      <c r="G124" s="4" t="str">
        <f>HYPERLINK("http://141.218.60.56/~jnz1568/getInfo.php?workbook=13_02.xlsx&amp;sheet=A0&amp;row=124&amp;col=7&amp;number=0&amp;sourceID=14","0")</f>
        <v>0</v>
      </c>
    </row>
    <row r="125" spans="1:7">
      <c r="A125" s="3">
        <v>13</v>
      </c>
      <c r="B125" s="3">
        <v>2</v>
      </c>
      <c r="C125" s="3">
        <v>37</v>
      </c>
      <c r="D125" s="3">
        <v>17</v>
      </c>
      <c r="E125" s="3">
        <v>88.92</v>
      </c>
      <c r="F125" s="4" t="str">
        <f>HYPERLINK("http://141.218.60.56/~jnz1568/getInfo.php?workbook=13_02.xlsx&amp;sheet=A0&amp;row=125&amp;col=6&amp;number=3106000000&amp;sourceID=14","3106000000")</f>
        <v>3106000000</v>
      </c>
      <c r="G125" s="4" t="str">
        <f>HYPERLINK("http://141.218.60.56/~jnz1568/getInfo.php?workbook=13_02.xlsx&amp;sheet=A0&amp;row=125&amp;col=7&amp;number=0&amp;sourceID=14","0")</f>
        <v>0</v>
      </c>
    </row>
    <row r="126" spans="1:7">
      <c r="A126" s="3">
        <v>13</v>
      </c>
      <c r="B126" s="3">
        <v>2</v>
      </c>
      <c r="C126" s="3">
        <v>45</v>
      </c>
      <c r="D126" s="3">
        <v>17</v>
      </c>
      <c r="E126" s="3">
        <v>-89.645</v>
      </c>
      <c r="F126" s="4" t="str">
        <f>HYPERLINK("http://141.218.60.56/~jnz1568/getInfo.php?workbook=13_02.xlsx&amp;sheet=A0&amp;row=126&amp;col=6&amp;number=92790000000&amp;sourceID=14","92790000000")</f>
        <v>92790000000</v>
      </c>
      <c r="G126" s="4" t="str">
        <f>HYPERLINK("http://141.218.60.56/~jnz1568/getInfo.php?workbook=13_02.xlsx&amp;sheet=A0&amp;row=126&amp;col=7&amp;number=0&amp;sourceID=14","0")</f>
        <v>0</v>
      </c>
    </row>
    <row r="127" spans="1:7">
      <c r="A127" s="3">
        <v>13</v>
      </c>
      <c r="B127" s="3">
        <v>2</v>
      </c>
      <c r="C127" s="3">
        <v>34</v>
      </c>
      <c r="D127" s="3">
        <v>18</v>
      </c>
      <c r="E127" s="3">
        <v>269.235</v>
      </c>
      <c r="F127" s="4" t="str">
        <f>HYPERLINK("http://141.218.60.56/~jnz1568/getInfo.php?workbook=13_02.xlsx&amp;sheet=A0&amp;row=127&amp;col=6&amp;number=16660000000&amp;sourceID=14","16660000000")</f>
        <v>16660000000</v>
      </c>
      <c r="G127" s="4" t="str">
        <f>HYPERLINK("http://141.218.60.56/~jnz1568/getInfo.php?workbook=13_02.xlsx&amp;sheet=A0&amp;row=127&amp;col=7&amp;number=0&amp;sourceID=14","0")</f>
        <v>0</v>
      </c>
    </row>
    <row r="128" spans="1:7">
      <c r="A128" s="3">
        <v>13</v>
      </c>
      <c r="B128" s="3">
        <v>2</v>
      </c>
      <c r="C128" s="3">
        <v>35</v>
      </c>
      <c r="D128" s="3">
        <v>18</v>
      </c>
      <c r="E128" s="3">
        <v>269.174</v>
      </c>
      <c r="F128" s="4" t="str">
        <f>HYPERLINK("http://141.218.60.56/~jnz1568/getInfo.php?workbook=13_02.xlsx&amp;sheet=A0&amp;row=128&amp;col=6&amp;number=16680000000&amp;sourceID=14","16680000000")</f>
        <v>16680000000</v>
      </c>
      <c r="G128" s="4" t="str">
        <f>HYPERLINK("http://141.218.60.56/~jnz1568/getInfo.php?workbook=13_02.xlsx&amp;sheet=A0&amp;row=128&amp;col=7&amp;number=0&amp;sourceID=14","0")</f>
        <v>0</v>
      </c>
    </row>
    <row r="129" spans="1:7">
      <c r="A129" s="3">
        <v>13</v>
      </c>
      <c r="B129" s="3">
        <v>2</v>
      </c>
      <c r="C129" s="3">
        <v>36</v>
      </c>
      <c r="D129" s="3">
        <v>18</v>
      </c>
      <c r="E129" s="3">
        <v>268.937</v>
      </c>
      <c r="F129" s="4" t="str">
        <f>HYPERLINK("http://141.218.60.56/~jnz1568/getInfo.php?workbook=13_02.xlsx&amp;sheet=A0&amp;row=129&amp;col=6&amp;number=16730000000&amp;sourceID=14","16730000000")</f>
        <v>16730000000</v>
      </c>
      <c r="G129" s="4" t="str">
        <f>HYPERLINK("http://141.218.60.56/~jnz1568/getInfo.php?workbook=13_02.xlsx&amp;sheet=A0&amp;row=129&amp;col=7&amp;number=0&amp;sourceID=14","0")</f>
        <v>0</v>
      </c>
    </row>
    <row r="130" spans="1:7">
      <c r="A130" s="3">
        <v>13</v>
      </c>
      <c r="B130" s="3">
        <v>2</v>
      </c>
      <c r="C130" s="3">
        <v>37</v>
      </c>
      <c r="D130" s="3">
        <v>19</v>
      </c>
      <c r="E130" s="3">
        <v>274.632</v>
      </c>
      <c r="F130" s="4" t="str">
        <f>HYPERLINK("http://141.218.60.56/~jnz1568/getInfo.php?workbook=13_02.xlsx&amp;sheet=A0&amp;row=130&amp;col=6&amp;number=16030000000&amp;sourceID=14","16030000000")</f>
        <v>16030000000</v>
      </c>
      <c r="G130" s="4" t="str">
        <f>HYPERLINK("http://141.218.60.56/~jnz1568/getInfo.php?workbook=13_02.xlsx&amp;sheet=A0&amp;row=130&amp;col=7&amp;number=0&amp;sourceID=14","0")</f>
        <v>0</v>
      </c>
    </row>
    <row r="131" spans="1:7">
      <c r="A131" s="3">
        <v>13</v>
      </c>
      <c r="B131" s="3">
        <v>2</v>
      </c>
      <c r="C131" s="3">
        <v>32</v>
      </c>
      <c r="D131" s="3">
        <v>20</v>
      </c>
      <c r="E131" s="3">
        <v>282.84</v>
      </c>
      <c r="F131" s="4" t="str">
        <f>HYPERLINK("http://141.218.60.56/~jnz1568/getInfo.php?workbook=13_02.xlsx&amp;sheet=A0&amp;row=131&amp;col=6&amp;number=163100000&amp;sourceID=14","163100000")</f>
        <v>163100000</v>
      </c>
      <c r="G131" s="4" t="str">
        <f>HYPERLINK("http://141.218.60.56/~jnz1568/getInfo.php?workbook=13_02.xlsx&amp;sheet=A0&amp;row=131&amp;col=7&amp;number=0&amp;sourceID=14","0")</f>
        <v>0</v>
      </c>
    </row>
    <row r="132" spans="1:7">
      <c r="A132" s="3">
        <v>13</v>
      </c>
      <c r="B132" s="3">
        <v>2</v>
      </c>
      <c r="C132" s="3">
        <v>38</v>
      </c>
      <c r="D132" s="3">
        <v>20</v>
      </c>
      <c r="E132" s="3">
        <v>275.265</v>
      </c>
      <c r="F132" s="4" t="str">
        <f>HYPERLINK("http://141.218.60.56/~jnz1568/getInfo.php?workbook=13_02.xlsx&amp;sheet=A0&amp;row=132&amp;col=6&amp;number=1983000000&amp;sourceID=14","1983000000")</f>
        <v>1983000000</v>
      </c>
      <c r="G132" s="4" t="str">
        <f>HYPERLINK("http://141.218.60.56/~jnz1568/getInfo.php?workbook=13_02.xlsx&amp;sheet=A0&amp;row=132&amp;col=7&amp;number=0&amp;sourceID=14","0")</f>
        <v>0</v>
      </c>
    </row>
    <row r="133" spans="1:7">
      <c r="A133" s="3">
        <v>13</v>
      </c>
      <c r="B133" s="3">
        <v>2</v>
      </c>
      <c r="C133" s="3">
        <v>32</v>
      </c>
      <c r="D133" s="3">
        <v>21</v>
      </c>
      <c r="E133" s="3">
        <v>282.972</v>
      </c>
      <c r="F133" s="4" t="str">
        <f>HYPERLINK("http://141.218.60.56/~jnz1568/getInfo.php?workbook=13_02.xlsx&amp;sheet=A0&amp;row=133&amp;col=6&amp;number=1467000000&amp;sourceID=14","1467000000")</f>
        <v>1467000000</v>
      </c>
      <c r="G133" s="4" t="str">
        <f>HYPERLINK("http://141.218.60.56/~jnz1568/getInfo.php?workbook=13_02.xlsx&amp;sheet=A0&amp;row=133&amp;col=7&amp;number=0&amp;sourceID=14","0")</f>
        <v>0</v>
      </c>
    </row>
    <row r="134" spans="1:7">
      <c r="A134" s="3">
        <v>13</v>
      </c>
      <c r="B134" s="3">
        <v>2</v>
      </c>
      <c r="C134" s="3">
        <v>38</v>
      </c>
      <c r="D134" s="3">
        <v>21</v>
      </c>
      <c r="E134" s="3">
        <v>275.389</v>
      </c>
      <c r="F134" s="4" t="str">
        <f>HYPERLINK("http://141.218.60.56/~jnz1568/getInfo.php?workbook=13_02.xlsx&amp;sheet=A0&amp;row=134&amp;col=6&amp;number=4463000000&amp;sourceID=14","4463000000")</f>
        <v>4463000000</v>
      </c>
      <c r="G134" s="4" t="str">
        <f>HYPERLINK("http://141.218.60.56/~jnz1568/getInfo.php?workbook=13_02.xlsx&amp;sheet=A0&amp;row=134&amp;col=7&amp;number=0&amp;sourceID=14","0")</f>
        <v>0</v>
      </c>
    </row>
    <row r="135" spans="1:7">
      <c r="A135" s="3">
        <v>13</v>
      </c>
      <c r="B135" s="3">
        <v>2</v>
      </c>
      <c r="C135" s="3">
        <v>39</v>
      </c>
      <c r="D135" s="3">
        <v>21</v>
      </c>
      <c r="E135" s="3">
        <v>275.382</v>
      </c>
      <c r="F135" s="4" t="str">
        <f>HYPERLINK("http://141.218.60.56/~jnz1568/getInfo.php?workbook=13_02.xlsx&amp;sheet=A0&amp;row=135&amp;col=6&amp;number=8035000000&amp;sourceID=14","8035000000")</f>
        <v>8035000000</v>
      </c>
      <c r="G135" s="4" t="str">
        <f>HYPERLINK("http://141.218.60.56/~jnz1568/getInfo.php?workbook=13_02.xlsx&amp;sheet=A0&amp;row=135&amp;col=7&amp;number=0&amp;sourceID=14","0")</f>
        <v>0</v>
      </c>
    </row>
    <row r="136" spans="1:7">
      <c r="A136" s="3">
        <v>13</v>
      </c>
      <c r="B136" s="3">
        <v>2</v>
      </c>
      <c r="C136" s="3">
        <v>32</v>
      </c>
      <c r="D136" s="3">
        <v>22</v>
      </c>
      <c r="E136" s="3">
        <v>283.483</v>
      </c>
      <c r="F136" s="4" t="str">
        <f>HYPERLINK("http://141.218.60.56/~jnz1568/getInfo.php?workbook=13_02.xlsx&amp;sheet=A0&amp;row=136&amp;col=6&amp;number=4068000000&amp;sourceID=14","4068000000")</f>
        <v>4068000000</v>
      </c>
      <c r="G136" s="4" t="str">
        <f>HYPERLINK("http://141.218.60.56/~jnz1568/getInfo.php?workbook=13_02.xlsx&amp;sheet=A0&amp;row=136&amp;col=7&amp;number=0&amp;sourceID=14","0")</f>
        <v>0</v>
      </c>
    </row>
    <row r="137" spans="1:7">
      <c r="A137" s="3">
        <v>13</v>
      </c>
      <c r="B137" s="3">
        <v>2</v>
      </c>
      <c r="C137" s="3">
        <v>38</v>
      </c>
      <c r="D137" s="3">
        <v>22</v>
      </c>
      <c r="E137" s="3">
        <v>275.873</v>
      </c>
      <c r="F137" s="4" t="str">
        <f>HYPERLINK("http://141.218.60.56/~jnz1568/getInfo.php?workbook=13_02.xlsx&amp;sheet=A0&amp;row=137&amp;col=6&amp;number=22240000000&amp;sourceID=14","22240000000")</f>
        <v>22240000000</v>
      </c>
      <c r="G137" s="4" t="str">
        <f>HYPERLINK("http://141.218.60.56/~jnz1568/getInfo.php?workbook=13_02.xlsx&amp;sheet=A0&amp;row=137&amp;col=7&amp;number=0&amp;sourceID=14","0")</f>
        <v>0</v>
      </c>
    </row>
    <row r="138" spans="1:7">
      <c r="A138" s="3">
        <v>13</v>
      </c>
      <c r="B138" s="3">
        <v>2</v>
      </c>
      <c r="C138" s="3">
        <v>39</v>
      </c>
      <c r="D138" s="3">
        <v>22</v>
      </c>
      <c r="E138" s="3">
        <v>275.866</v>
      </c>
      <c r="F138" s="4" t="str">
        <f>HYPERLINK("http://141.218.60.56/~jnz1568/getInfo.php?workbook=13_02.xlsx&amp;sheet=A0&amp;row=138&amp;col=6&amp;number=4447000000&amp;sourceID=14","4447000000")</f>
        <v>4447000000</v>
      </c>
      <c r="G138" s="4" t="str">
        <f>HYPERLINK("http://141.218.60.56/~jnz1568/getInfo.php?workbook=13_02.xlsx&amp;sheet=A0&amp;row=138&amp;col=7&amp;number=0&amp;sourceID=14","0")</f>
        <v>0</v>
      </c>
    </row>
    <row r="139" spans="1:7">
      <c r="A139" s="3">
        <v>13</v>
      </c>
      <c r="B139" s="3">
        <v>2</v>
      </c>
      <c r="C139" s="3">
        <v>40</v>
      </c>
      <c r="D139" s="3">
        <v>22</v>
      </c>
      <c r="E139" s="3">
        <v>275.774</v>
      </c>
      <c r="F139" s="4" t="str">
        <f>HYPERLINK("http://141.218.60.56/~jnz1568/getInfo.php?workbook=13_02.xlsx&amp;sheet=A0&amp;row=139&amp;col=6&amp;number=17820000000&amp;sourceID=14","17820000000")</f>
        <v>17820000000</v>
      </c>
      <c r="G139" s="4" t="str">
        <f>HYPERLINK("http://141.218.60.56/~jnz1568/getInfo.php?workbook=13_02.xlsx&amp;sheet=A0&amp;row=139&amp;col=7&amp;number=0&amp;sourceID=14","0")</f>
        <v>0</v>
      </c>
    </row>
    <row r="140" spans="1:7">
      <c r="A140" s="3">
        <v>13</v>
      </c>
      <c r="B140" s="3">
        <v>2</v>
      </c>
      <c r="C140" s="3">
        <v>33</v>
      </c>
      <c r="D140" s="3">
        <v>23</v>
      </c>
      <c r="E140" s="3">
        <v>285.541</v>
      </c>
      <c r="F140" s="4" t="str">
        <f>HYPERLINK("http://141.218.60.56/~jnz1568/getInfo.php?workbook=13_02.xlsx&amp;sheet=A0&amp;row=140&amp;col=6&amp;number=12980000000&amp;sourceID=14","12980000000")</f>
        <v>12980000000</v>
      </c>
      <c r="G140" s="4" t="str">
        <f>HYPERLINK("http://141.218.60.56/~jnz1568/getInfo.php?workbook=13_02.xlsx&amp;sheet=A0&amp;row=140&amp;col=7&amp;number=0&amp;sourceID=14","0")</f>
        <v>0</v>
      </c>
    </row>
    <row r="141" spans="1:7">
      <c r="A141" s="3">
        <v>13</v>
      </c>
      <c r="B141" s="3">
        <v>2</v>
      </c>
      <c r="C141" s="3">
        <v>41</v>
      </c>
      <c r="D141" s="3">
        <v>23</v>
      </c>
      <c r="E141" s="3">
        <v>282.346</v>
      </c>
      <c r="F141" s="4" t="str">
        <f>HYPERLINK("http://141.218.60.56/~jnz1568/getInfo.php?workbook=13_02.xlsx&amp;sheet=A0&amp;row=141&amp;col=6&amp;number=30570000000&amp;sourceID=14","30570000000")</f>
        <v>30570000000</v>
      </c>
      <c r="G141" s="4" t="str">
        <f>HYPERLINK("http://141.218.60.56/~jnz1568/getInfo.php?workbook=13_02.xlsx&amp;sheet=A0&amp;row=141&amp;col=7&amp;number=0&amp;sourceID=14","0")</f>
        <v>0</v>
      </c>
    </row>
    <row r="142" spans="1:7">
      <c r="A142" s="3">
        <v>13</v>
      </c>
      <c r="B142" s="3">
        <v>2</v>
      </c>
      <c r="C142" s="3">
        <v>34</v>
      </c>
      <c r="D142" s="3">
        <v>24</v>
      </c>
      <c r="E142" s="3">
        <v>283.918</v>
      </c>
      <c r="F142" s="4" t="str">
        <f>HYPERLINK("http://141.218.60.56/~jnz1568/getInfo.php?workbook=13_02.xlsx&amp;sheet=A0&amp;row=142&amp;col=6&amp;number=766200000&amp;sourceID=14","766200000")</f>
        <v>766200000</v>
      </c>
      <c r="G142" s="4" t="str">
        <f>HYPERLINK("http://141.218.60.56/~jnz1568/getInfo.php?workbook=13_02.xlsx&amp;sheet=A0&amp;row=142&amp;col=7&amp;number=0&amp;sourceID=14","0")</f>
        <v>0</v>
      </c>
    </row>
    <row r="143" spans="1:7">
      <c r="A143" s="3">
        <v>13</v>
      </c>
      <c r="B143" s="3">
        <v>2</v>
      </c>
      <c r="C143" s="3">
        <v>35</v>
      </c>
      <c r="D143" s="3">
        <v>24</v>
      </c>
      <c r="E143" s="3">
        <v>283.85</v>
      </c>
      <c r="F143" s="4" t="str">
        <f>HYPERLINK("http://141.218.60.56/~jnz1568/getInfo.php?workbook=13_02.xlsx&amp;sheet=A0&amp;row=143&amp;col=6&amp;number=191700000&amp;sourceID=14","191700000")</f>
        <v>191700000</v>
      </c>
      <c r="G143" s="4" t="str">
        <f>HYPERLINK("http://141.218.60.56/~jnz1568/getInfo.php?workbook=13_02.xlsx&amp;sheet=A0&amp;row=143&amp;col=7&amp;number=0&amp;sourceID=14","0")</f>
        <v>0</v>
      </c>
    </row>
    <row r="144" spans="1:7">
      <c r="A144" s="3">
        <v>13</v>
      </c>
      <c r="B144" s="3">
        <v>2</v>
      </c>
      <c r="C144" s="3">
        <v>36</v>
      </c>
      <c r="D144" s="3">
        <v>24</v>
      </c>
      <c r="E144" s="3">
        <v>283.587</v>
      </c>
      <c r="F144" s="4" t="str">
        <f>HYPERLINK("http://141.218.60.56/~jnz1568/getInfo.php?workbook=13_02.xlsx&amp;sheet=A0&amp;row=144&amp;col=6&amp;number=346000000&amp;sourceID=14","346000000")</f>
        <v>346000000</v>
      </c>
      <c r="G144" s="4" t="str">
        <f>HYPERLINK("http://141.218.60.56/~jnz1568/getInfo.php?workbook=13_02.xlsx&amp;sheet=A0&amp;row=144&amp;col=7&amp;number=0&amp;sourceID=14","0")</f>
        <v>0</v>
      </c>
    </row>
    <row r="145" spans="1:7">
      <c r="A145" s="3">
        <v>13</v>
      </c>
      <c r="B145" s="3">
        <v>2</v>
      </c>
      <c r="C145" s="3">
        <v>42</v>
      </c>
      <c r="D145" s="3">
        <v>24</v>
      </c>
      <c r="E145" s="3">
        <v>-282.824</v>
      </c>
      <c r="F145" s="4" t="str">
        <f>HYPERLINK("http://141.218.60.56/~jnz1568/getInfo.php?workbook=13_02.xlsx&amp;sheet=A0&amp;row=145&amp;col=6&amp;number=8904000000&amp;sourceID=14","8904000000")</f>
        <v>8904000000</v>
      </c>
      <c r="G145" s="4" t="str">
        <f>HYPERLINK("http://141.218.60.56/~jnz1568/getInfo.php?workbook=13_02.xlsx&amp;sheet=A0&amp;row=145&amp;col=7&amp;number=0&amp;sourceID=14","0")</f>
        <v>0</v>
      </c>
    </row>
    <row r="146" spans="1:7">
      <c r="A146" s="3">
        <v>13</v>
      </c>
      <c r="B146" s="3">
        <v>2</v>
      </c>
      <c r="C146" s="3">
        <v>35</v>
      </c>
      <c r="D146" s="3">
        <v>25</v>
      </c>
      <c r="E146" s="3">
        <v>283.864</v>
      </c>
      <c r="F146" s="4" t="str">
        <f>HYPERLINK("http://141.218.60.56/~jnz1568/getInfo.php?workbook=13_02.xlsx&amp;sheet=A0&amp;row=146&amp;col=6&amp;number=959200000&amp;sourceID=14","959200000")</f>
        <v>959200000</v>
      </c>
      <c r="G146" s="4" t="str">
        <f>HYPERLINK("http://141.218.60.56/~jnz1568/getInfo.php?workbook=13_02.xlsx&amp;sheet=A0&amp;row=146&amp;col=7&amp;number=0&amp;sourceID=14","0")</f>
        <v>0</v>
      </c>
    </row>
    <row r="147" spans="1:7">
      <c r="A147" s="3">
        <v>13</v>
      </c>
      <c r="B147" s="3">
        <v>2</v>
      </c>
      <c r="C147" s="3">
        <v>36</v>
      </c>
      <c r="D147" s="3">
        <v>25</v>
      </c>
      <c r="E147" s="3">
        <v>283.601</v>
      </c>
      <c r="F147" s="4" t="str">
        <f>HYPERLINK("http://141.218.60.56/~jnz1568/getInfo.php?workbook=13_02.xlsx&amp;sheet=A0&amp;row=147&amp;col=6&amp;number=192100000&amp;sourceID=14","192100000")</f>
        <v>192100000</v>
      </c>
      <c r="G147" s="4" t="str">
        <f>HYPERLINK("http://141.218.60.56/~jnz1568/getInfo.php?workbook=13_02.xlsx&amp;sheet=A0&amp;row=147&amp;col=7&amp;number=0&amp;sourceID=14","0")</f>
        <v>0</v>
      </c>
    </row>
    <row r="148" spans="1:7">
      <c r="A148" s="3">
        <v>13</v>
      </c>
      <c r="B148" s="3">
        <v>2</v>
      </c>
      <c r="C148" s="3">
        <v>42</v>
      </c>
      <c r="D148" s="3">
        <v>25</v>
      </c>
      <c r="E148" s="3">
        <v>-282.824</v>
      </c>
      <c r="F148" s="4" t="str">
        <f>HYPERLINK("http://141.218.60.56/~jnz1568/getInfo.php?workbook=13_02.xlsx&amp;sheet=A0&amp;row=148&amp;col=6&amp;number=2745000000&amp;sourceID=14","2745000000")</f>
        <v>2745000000</v>
      </c>
      <c r="G148" s="4" t="str">
        <f>HYPERLINK("http://141.218.60.56/~jnz1568/getInfo.php?workbook=13_02.xlsx&amp;sheet=A0&amp;row=148&amp;col=7&amp;number=0&amp;sourceID=14","0")</f>
        <v>0</v>
      </c>
    </row>
    <row r="149" spans="1:7">
      <c r="A149" s="3">
        <v>13</v>
      </c>
      <c r="B149" s="3">
        <v>2</v>
      </c>
      <c r="C149" s="3">
        <v>43</v>
      </c>
      <c r="D149" s="3">
        <v>25</v>
      </c>
      <c r="E149" s="3">
        <v>-282.824</v>
      </c>
      <c r="F149" s="4" t="str">
        <f>HYPERLINK("http://141.218.60.56/~jnz1568/getInfo.php?workbook=13_02.xlsx&amp;sheet=A0&amp;row=149&amp;col=6&amp;number=15700000000&amp;sourceID=14","15700000000")</f>
        <v>15700000000</v>
      </c>
      <c r="G149" s="4" t="str">
        <f>HYPERLINK("http://141.218.60.56/~jnz1568/getInfo.php?workbook=13_02.xlsx&amp;sheet=A0&amp;row=149&amp;col=7&amp;number=0&amp;sourceID=14","0")</f>
        <v>0</v>
      </c>
    </row>
    <row r="150" spans="1:7">
      <c r="A150" s="3">
        <v>13</v>
      </c>
      <c r="B150" s="3">
        <v>2</v>
      </c>
      <c r="C150" s="3">
        <v>36</v>
      </c>
      <c r="D150" s="3">
        <v>26</v>
      </c>
      <c r="E150" s="3">
        <v>283.793</v>
      </c>
      <c r="F150" s="4" t="str">
        <f>HYPERLINK("http://141.218.60.56/~jnz1568/getInfo.php?workbook=13_02.xlsx&amp;sheet=A0&amp;row=150&amp;col=6&amp;number=1506000000&amp;sourceID=14","1506000000")</f>
        <v>1506000000</v>
      </c>
      <c r="G150" s="4" t="str">
        <f>HYPERLINK("http://141.218.60.56/~jnz1568/getInfo.php?workbook=13_02.xlsx&amp;sheet=A0&amp;row=150&amp;col=7&amp;number=0&amp;sourceID=14","0")</f>
        <v>0</v>
      </c>
    </row>
    <row r="151" spans="1:7">
      <c r="A151" s="3">
        <v>13</v>
      </c>
      <c r="B151" s="3">
        <v>2</v>
      </c>
      <c r="C151" s="3">
        <v>42</v>
      </c>
      <c r="D151" s="3">
        <v>26</v>
      </c>
      <c r="E151" s="3">
        <v>-282.872</v>
      </c>
      <c r="F151" s="4" t="str">
        <f>HYPERLINK("http://141.218.60.56/~jnz1568/getInfo.php?workbook=13_02.xlsx&amp;sheet=A0&amp;row=151&amp;col=6&amp;number=5379000000&amp;sourceID=14","5379000000")</f>
        <v>5379000000</v>
      </c>
      <c r="G151" s="4" t="str">
        <f>HYPERLINK("http://141.218.60.56/~jnz1568/getInfo.php?workbook=13_02.xlsx&amp;sheet=A0&amp;row=151&amp;col=7&amp;number=0&amp;sourceID=14","0")</f>
        <v>0</v>
      </c>
    </row>
    <row r="152" spans="1:7">
      <c r="A152" s="3">
        <v>13</v>
      </c>
      <c r="B152" s="3">
        <v>2</v>
      </c>
      <c r="C152" s="3">
        <v>43</v>
      </c>
      <c r="D152" s="3">
        <v>26</v>
      </c>
      <c r="E152" s="3">
        <v>-282.872</v>
      </c>
      <c r="F152" s="4" t="str">
        <f>HYPERLINK("http://141.218.60.56/~jnz1568/getInfo.php?workbook=13_02.xlsx&amp;sheet=A0&amp;row=152&amp;col=6&amp;number=2745000000&amp;sourceID=14","2745000000")</f>
        <v>2745000000</v>
      </c>
      <c r="G152" s="4" t="str">
        <f>HYPERLINK("http://141.218.60.56/~jnz1568/getInfo.php?workbook=13_02.xlsx&amp;sheet=A0&amp;row=152&amp;col=7&amp;number=0&amp;sourceID=14","0")</f>
        <v>0</v>
      </c>
    </row>
    <row r="153" spans="1:7">
      <c r="A153" s="3">
        <v>13</v>
      </c>
      <c r="B153" s="3">
        <v>2</v>
      </c>
      <c r="C153" s="3">
        <v>44</v>
      </c>
      <c r="D153" s="3">
        <v>26</v>
      </c>
      <c r="E153" s="3">
        <v>-282.872</v>
      </c>
      <c r="F153" s="4" t="str">
        <f>HYPERLINK("http://141.218.60.56/~jnz1568/getInfo.php?workbook=13_02.xlsx&amp;sheet=A0&amp;row=153&amp;col=6&amp;number=24730000000&amp;sourceID=14","24730000000")</f>
        <v>24730000000</v>
      </c>
      <c r="G153" s="4" t="str">
        <f>HYPERLINK("http://141.218.60.56/~jnz1568/getInfo.php?workbook=13_02.xlsx&amp;sheet=A0&amp;row=153&amp;col=7&amp;number=0&amp;sourceID=14","0")</f>
        <v>0</v>
      </c>
    </row>
    <row r="154" spans="1:7">
      <c r="A154" s="3">
        <v>13</v>
      </c>
      <c r="B154" s="3">
        <v>2</v>
      </c>
      <c r="C154" s="3">
        <v>37</v>
      </c>
      <c r="D154" s="3">
        <v>27</v>
      </c>
      <c r="E154" s="3">
        <v>280.589</v>
      </c>
      <c r="F154" s="4" t="str">
        <f>HYPERLINK("http://141.218.60.56/~jnz1568/getInfo.php?workbook=13_02.xlsx&amp;sheet=A0&amp;row=154&amp;col=6&amp;number=3926000000&amp;sourceID=14","3926000000")</f>
        <v>3926000000</v>
      </c>
      <c r="G154" s="4" t="str">
        <f>HYPERLINK("http://141.218.60.56/~jnz1568/getInfo.php?workbook=13_02.xlsx&amp;sheet=A0&amp;row=154&amp;col=7&amp;number=0&amp;sourceID=14","0")</f>
        <v>0</v>
      </c>
    </row>
    <row r="155" spans="1:7">
      <c r="A155" s="3">
        <v>13</v>
      </c>
      <c r="B155" s="3">
        <v>2</v>
      </c>
      <c r="C155" s="3">
        <v>45</v>
      </c>
      <c r="D155" s="3">
        <v>27</v>
      </c>
      <c r="E155" s="3">
        <v>-283.568</v>
      </c>
      <c r="F155" s="4" t="str">
        <f>HYPERLINK("http://141.218.60.56/~jnz1568/getInfo.php?workbook=13_02.xlsx&amp;sheet=A0&amp;row=155&amp;col=6&amp;number=52720000000&amp;sourceID=14","52720000000")</f>
        <v>52720000000</v>
      </c>
      <c r="G155" s="4" t="str">
        <f>HYPERLINK("http://141.218.60.56/~jnz1568/getInfo.php?workbook=13_02.xlsx&amp;sheet=A0&amp;row=155&amp;col=7&amp;number=0&amp;sourceID=14","0")</f>
        <v>0</v>
      </c>
    </row>
    <row r="156" spans="1:7">
      <c r="A156" s="3">
        <v>13</v>
      </c>
      <c r="B156" s="3">
        <v>2</v>
      </c>
      <c r="C156" s="3">
        <v>38</v>
      </c>
      <c r="D156" s="3">
        <v>28</v>
      </c>
      <c r="E156" s="3">
        <v>-282.481</v>
      </c>
      <c r="F156" s="4" t="str">
        <f>HYPERLINK("http://141.218.60.56/~jnz1568/getInfo.php?workbook=13_02.xlsx&amp;sheet=A0&amp;row=156&amp;col=6&amp;number=247000000&amp;sourceID=14","247000000")</f>
        <v>247000000</v>
      </c>
      <c r="G156" s="4" t="str">
        <f>HYPERLINK("http://141.218.60.56/~jnz1568/getInfo.php?workbook=13_02.xlsx&amp;sheet=A0&amp;row=156&amp;col=7&amp;number=0&amp;sourceID=14","0")</f>
        <v>0</v>
      </c>
    </row>
    <row r="157" spans="1:7">
      <c r="A157" s="3">
        <v>13</v>
      </c>
      <c r="B157" s="3">
        <v>2</v>
      </c>
      <c r="C157" s="3">
        <v>39</v>
      </c>
      <c r="D157" s="3">
        <v>28</v>
      </c>
      <c r="E157" s="3">
        <v>-282.481</v>
      </c>
      <c r="F157" s="4" t="str">
        <f>HYPERLINK("http://141.218.60.56/~jnz1568/getInfo.php?workbook=13_02.xlsx&amp;sheet=A0&amp;row=157&amp;col=6&amp;number=27420000&amp;sourceID=14","27420000")</f>
        <v>27420000</v>
      </c>
      <c r="G157" s="4" t="str">
        <f>HYPERLINK("http://141.218.60.56/~jnz1568/getInfo.php?workbook=13_02.xlsx&amp;sheet=A0&amp;row=157&amp;col=7&amp;number=0&amp;sourceID=14","0")</f>
        <v>0</v>
      </c>
    </row>
    <row r="158" spans="1:7">
      <c r="A158" s="3">
        <v>13</v>
      </c>
      <c r="B158" s="3">
        <v>2</v>
      </c>
      <c r="C158" s="3">
        <v>40</v>
      </c>
      <c r="D158" s="3">
        <v>28</v>
      </c>
      <c r="E158" s="3">
        <v>-282.668</v>
      </c>
      <c r="F158" s="4" t="str">
        <f>HYPERLINK("http://141.218.60.56/~jnz1568/getInfo.php?workbook=13_02.xlsx&amp;sheet=A0&amp;row=158&amp;col=6&amp;number=27390000&amp;sourceID=14","27390000")</f>
        <v>27390000</v>
      </c>
      <c r="G158" s="4" t="str">
        <f>HYPERLINK("http://141.218.60.56/~jnz1568/getInfo.php?workbook=13_02.xlsx&amp;sheet=A0&amp;row=158&amp;col=7&amp;number=0&amp;sourceID=14","0")</f>
        <v>0</v>
      </c>
    </row>
    <row r="159" spans="1:7">
      <c r="A159" s="3">
        <v>13</v>
      </c>
      <c r="B159" s="3">
        <v>2</v>
      </c>
      <c r="C159" s="3">
        <v>46</v>
      </c>
      <c r="D159" s="3">
        <v>28</v>
      </c>
      <c r="E159" s="3">
        <v>-282.678</v>
      </c>
      <c r="F159" s="4" t="str">
        <f>HYPERLINK("http://141.218.60.56/~jnz1568/getInfo.php?workbook=13_02.xlsx&amp;sheet=A0&amp;row=159&amp;col=6&amp;number=19090000000&amp;sourceID=14","19090000000")</f>
        <v>19090000000</v>
      </c>
      <c r="G159" s="4" t="str">
        <f>HYPERLINK("http://141.218.60.56/~jnz1568/getInfo.php?workbook=13_02.xlsx&amp;sheet=A0&amp;row=159&amp;col=7&amp;number=0&amp;sourceID=14","0")</f>
        <v>0</v>
      </c>
    </row>
    <row r="160" spans="1:7">
      <c r="A160" s="3">
        <v>13</v>
      </c>
      <c r="B160" s="3">
        <v>2</v>
      </c>
      <c r="C160" s="3">
        <v>39</v>
      </c>
      <c r="D160" s="3">
        <v>29</v>
      </c>
      <c r="E160" s="3">
        <v>-282.481</v>
      </c>
      <c r="F160" s="4" t="str">
        <f>HYPERLINK("http://141.218.60.56/~jnz1568/getInfo.php?workbook=13_02.xlsx&amp;sheet=A0&amp;row=160&amp;col=6&amp;number=307500000&amp;sourceID=14","307500000")</f>
        <v>307500000</v>
      </c>
      <c r="G160" s="4" t="str">
        <f>HYPERLINK("http://141.218.60.56/~jnz1568/getInfo.php?workbook=13_02.xlsx&amp;sheet=A0&amp;row=160&amp;col=7&amp;number=0&amp;sourceID=14","0")</f>
        <v>0</v>
      </c>
    </row>
    <row r="161" spans="1:7">
      <c r="A161" s="3">
        <v>13</v>
      </c>
      <c r="B161" s="3">
        <v>2</v>
      </c>
      <c r="C161" s="3">
        <v>40</v>
      </c>
      <c r="D161" s="3">
        <v>29</v>
      </c>
      <c r="E161" s="3">
        <v>-282.668</v>
      </c>
      <c r="F161" s="4" t="str">
        <f>HYPERLINK("http://141.218.60.56/~jnz1568/getInfo.php?workbook=13_02.xlsx&amp;sheet=A0&amp;row=161&amp;col=6&amp;number=27390000&amp;sourceID=14","27390000")</f>
        <v>27390000</v>
      </c>
      <c r="G161" s="4" t="str">
        <f>HYPERLINK("http://141.218.60.56/~jnz1568/getInfo.php?workbook=13_02.xlsx&amp;sheet=A0&amp;row=161&amp;col=7&amp;number=0&amp;sourceID=14","0")</f>
        <v>0</v>
      </c>
    </row>
    <row r="162" spans="1:7">
      <c r="A162" s="3">
        <v>13</v>
      </c>
      <c r="B162" s="3">
        <v>2</v>
      </c>
      <c r="C162" s="3">
        <v>46</v>
      </c>
      <c r="D162" s="3">
        <v>29</v>
      </c>
      <c r="E162" s="3">
        <v>-282.678</v>
      </c>
      <c r="F162" s="4" t="str">
        <f>HYPERLINK("http://141.218.60.56/~jnz1568/getInfo.php?workbook=13_02.xlsx&amp;sheet=A0&amp;row=162&amp;col=6&amp;number=2336000000&amp;sourceID=14","2336000000")</f>
        <v>2336000000</v>
      </c>
      <c r="G162" s="4" t="str">
        <f>HYPERLINK("http://141.218.60.56/~jnz1568/getInfo.php?workbook=13_02.xlsx&amp;sheet=A0&amp;row=162&amp;col=7&amp;number=0&amp;sourceID=14","0")</f>
        <v>0</v>
      </c>
    </row>
    <row r="163" spans="1:7">
      <c r="A163" s="3">
        <v>13</v>
      </c>
      <c r="B163" s="3">
        <v>2</v>
      </c>
      <c r="C163" s="3">
        <v>47</v>
      </c>
      <c r="D163" s="3">
        <v>29</v>
      </c>
      <c r="E163" s="3">
        <v>-282.678</v>
      </c>
      <c r="F163" s="4" t="str">
        <f>HYPERLINK("http://141.218.60.56/~jnz1568/getInfo.php?workbook=13_02.xlsx&amp;sheet=A0&amp;row=163&amp;col=6&amp;number=21230000000&amp;sourceID=14","21230000000")</f>
        <v>21230000000</v>
      </c>
      <c r="G163" s="4" t="str">
        <f>HYPERLINK("http://141.218.60.56/~jnz1568/getInfo.php?workbook=13_02.xlsx&amp;sheet=A0&amp;row=163&amp;col=7&amp;number=0&amp;sourceID=14","0")</f>
        <v>0</v>
      </c>
    </row>
    <row r="164" spans="1:7">
      <c r="A164" s="3">
        <v>13</v>
      </c>
      <c r="B164" s="3">
        <v>2</v>
      </c>
      <c r="C164" s="3">
        <v>40</v>
      </c>
      <c r="D164" s="3">
        <v>30</v>
      </c>
      <c r="E164" s="3">
        <v>-283.548</v>
      </c>
      <c r="F164" s="4" t="str">
        <f>HYPERLINK("http://141.218.60.56/~jnz1568/getInfo.php?workbook=13_02.xlsx&amp;sheet=A0&amp;row=164&amp;col=6&amp;number=405400000&amp;sourceID=14","405400000")</f>
        <v>405400000</v>
      </c>
      <c r="G164" s="4" t="str">
        <f>HYPERLINK("http://141.218.60.56/~jnz1568/getInfo.php?workbook=13_02.xlsx&amp;sheet=A0&amp;row=164&amp;col=7&amp;number=0&amp;sourceID=14","0")</f>
        <v>0</v>
      </c>
    </row>
    <row r="165" spans="1:7">
      <c r="A165" s="3">
        <v>13</v>
      </c>
      <c r="B165" s="3">
        <v>2</v>
      </c>
      <c r="C165" s="3">
        <v>46</v>
      </c>
      <c r="D165" s="3">
        <v>30</v>
      </c>
      <c r="E165" s="3">
        <v>-283.559</v>
      </c>
      <c r="F165" s="4" t="str">
        <f>HYPERLINK("http://141.218.60.56/~jnz1568/getInfo.php?workbook=13_02.xlsx&amp;sheet=A0&amp;row=165&amp;col=6&amp;number=47360000&amp;sourceID=14","47360000")</f>
        <v>47360000</v>
      </c>
      <c r="G165" s="4" t="str">
        <f>HYPERLINK("http://141.218.60.56/~jnz1568/getInfo.php?workbook=13_02.xlsx&amp;sheet=A0&amp;row=165&amp;col=7&amp;number=0&amp;sourceID=14","0")</f>
        <v>0</v>
      </c>
    </row>
    <row r="166" spans="1:7">
      <c r="A166" s="3">
        <v>13</v>
      </c>
      <c r="B166" s="3">
        <v>2</v>
      </c>
      <c r="C166" s="3">
        <v>47</v>
      </c>
      <c r="D166" s="3">
        <v>30</v>
      </c>
      <c r="E166" s="3">
        <v>-283.559</v>
      </c>
      <c r="F166" s="4" t="str">
        <f>HYPERLINK("http://141.218.60.56/~jnz1568/getInfo.php?workbook=13_02.xlsx&amp;sheet=A0&amp;row=166&amp;col=6&amp;number=1406000000&amp;sourceID=14","1406000000")</f>
        <v>1406000000</v>
      </c>
      <c r="G166" s="4" t="str">
        <f>HYPERLINK("http://141.218.60.56/~jnz1568/getInfo.php?workbook=13_02.xlsx&amp;sheet=A0&amp;row=166&amp;col=7&amp;number=0&amp;sourceID=14","0")</f>
        <v>0</v>
      </c>
    </row>
    <row r="167" spans="1:7">
      <c r="A167" s="3">
        <v>13</v>
      </c>
      <c r="B167" s="3">
        <v>2</v>
      </c>
      <c r="C167" s="3">
        <v>48</v>
      </c>
      <c r="D167" s="3">
        <v>30</v>
      </c>
      <c r="E167" s="3">
        <v>-283.555</v>
      </c>
      <c r="F167" s="4" t="str">
        <f>HYPERLINK("http://141.218.60.56/~jnz1568/getInfo.php?workbook=13_02.xlsx&amp;sheet=A0&amp;row=167&amp;col=6&amp;number=37200000000&amp;sourceID=14","37200000000")</f>
        <v>37200000000</v>
      </c>
      <c r="G167" s="4" t="str">
        <f>HYPERLINK("http://141.218.60.56/~jnz1568/getInfo.php?workbook=13_02.xlsx&amp;sheet=A0&amp;row=167&amp;col=7&amp;number=0&amp;sourceID=14","0")</f>
        <v>0</v>
      </c>
    </row>
    <row r="168" spans="1:7">
      <c r="A168" s="3">
        <v>13</v>
      </c>
      <c r="B168" s="3">
        <v>2</v>
      </c>
      <c r="C168" s="3">
        <v>41</v>
      </c>
      <c r="D168" s="3">
        <v>31</v>
      </c>
      <c r="E168" s="3">
        <v>-283.559</v>
      </c>
      <c r="F168" s="4" t="str">
        <f>HYPERLINK("http://141.218.60.56/~jnz1568/getInfo.php?workbook=13_02.xlsx&amp;sheet=A0&amp;row=168&amp;col=6&amp;number=1030000000&amp;sourceID=14","1030000000")</f>
        <v>1030000000</v>
      </c>
      <c r="G168" s="4" t="str">
        <f>HYPERLINK("http://141.218.60.56/~jnz1568/getInfo.php?workbook=13_02.xlsx&amp;sheet=A0&amp;row=168&amp;col=7&amp;number=0&amp;sourceID=14","0")</f>
        <v>0</v>
      </c>
    </row>
    <row r="169" spans="1:7">
      <c r="A169" s="3">
        <v>13</v>
      </c>
      <c r="B169" s="3">
        <v>2</v>
      </c>
      <c r="C169" s="3">
        <v>49</v>
      </c>
      <c r="D169" s="3">
        <v>31</v>
      </c>
      <c r="E169" s="3">
        <v>-283.555</v>
      </c>
      <c r="F169" s="4" t="str">
        <f>HYPERLINK("http://141.218.60.56/~jnz1568/getInfo.php?workbook=13_02.xlsx&amp;sheet=A0&amp;row=169&amp;col=6&amp;number=86800000000&amp;sourceID=14","86800000000")</f>
        <v>86800000000</v>
      </c>
      <c r="G169" s="4" t="str">
        <f>HYPERLINK("http://141.218.60.56/~jnz1568/getInfo.php?workbook=13_02.xlsx&amp;sheet=A0&amp;row=169&amp;col=7&amp;number=0&amp;sourceID=14","0")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643"/>
  <sheetViews>
    <sheetView workbookViewId="0"/>
  </sheetViews>
  <sheetFormatPr defaultRowHeight="15"/>
  <cols>
    <col min="1" max="1" width="3.7109375" customWidth="1"/>
    <col min="2" max="2" width="2.7109375" customWidth="1"/>
    <col min="3" max="3" width="6.7109375" customWidth="1"/>
    <col min="4" max="4" width="2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76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71</v>
      </c>
      <c r="D3" s="2" t="s">
        <v>72</v>
      </c>
      <c r="E3" s="2" t="s">
        <v>77</v>
      </c>
      <c r="F3" s="2" t="s">
        <v>78</v>
      </c>
      <c r="G3" s="2" t="s">
        <v>79</v>
      </c>
    </row>
    <row r="4" spans="1:7">
      <c r="A4" s="3">
        <v>13</v>
      </c>
      <c r="B4" s="3">
        <v>2</v>
      </c>
      <c r="C4" s="3">
        <v>1</v>
      </c>
      <c r="D4" s="3">
        <v>2</v>
      </c>
      <c r="E4" s="3">
        <v>1</v>
      </c>
      <c r="F4" s="4" t="str">
        <f>HYPERLINK("http://141.218.60.56/~jnz1568/getInfo.php?workbook=13_02.xlsx&amp;sheet=U0&amp;row=4&amp;col=6&amp;number=3&amp;sourceID=14","3")</f>
        <v>3</v>
      </c>
      <c r="G4" s="4" t="str">
        <f>HYPERLINK("http://141.218.60.56/~jnz1568/getInfo.php?workbook=13_02.xlsx&amp;sheet=U0&amp;row=4&amp;col=7&amp;number=0.0017&amp;sourceID=14","0.0017")</f>
        <v>0.0017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HYPERLINK("http://141.218.60.56/~jnz1568/getInfo.php?workbook=13_02.xlsx&amp;sheet=U0&amp;row=5&amp;col=6&amp;number=3.1&amp;sourceID=14","3.1")</f>
        <v>3.1</v>
      </c>
      <c r="G5" s="4" t="str">
        <f>HYPERLINK("http://141.218.60.56/~jnz1568/getInfo.php?workbook=13_02.xlsx&amp;sheet=U0&amp;row=5&amp;col=7&amp;number=0.0017&amp;sourceID=14","0.0017")</f>
        <v>0.0017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HYPERLINK("http://141.218.60.56/~jnz1568/getInfo.php?workbook=13_02.xlsx&amp;sheet=U0&amp;row=6&amp;col=6&amp;number=3.2&amp;sourceID=14","3.2")</f>
        <v>3.2</v>
      </c>
      <c r="G6" s="4" t="str">
        <f>HYPERLINK("http://141.218.60.56/~jnz1568/getInfo.php?workbook=13_02.xlsx&amp;sheet=U0&amp;row=6&amp;col=7&amp;number=0.0017&amp;sourceID=14","0.0017")</f>
        <v>0.0017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HYPERLINK("http://141.218.60.56/~jnz1568/getInfo.php?workbook=13_02.xlsx&amp;sheet=U0&amp;row=7&amp;col=6&amp;number=3.3&amp;sourceID=14","3.3")</f>
        <v>3.3</v>
      </c>
      <c r="G7" s="4" t="str">
        <f>HYPERLINK("http://141.218.60.56/~jnz1568/getInfo.php?workbook=13_02.xlsx&amp;sheet=U0&amp;row=7&amp;col=7&amp;number=0.0017&amp;sourceID=14","0.0017")</f>
        <v>0.0017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HYPERLINK("http://141.218.60.56/~jnz1568/getInfo.php?workbook=13_02.xlsx&amp;sheet=U0&amp;row=8&amp;col=6&amp;number=3.4&amp;sourceID=14","3.4")</f>
        <v>3.4</v>
      </c>
      <c r="G8" s="4" t="str">
        <f>HYPERLINK("http://141.218.60.56/~jnz1568/getInfo.php?workbook=13_02.xlsx&amp;sheet=U0&amp;row=8&amp;col=7&amp;number=0.0017&amp;sourceID=14","0.0017")</f>
        <v>0.0017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HYPERLINK("http://141.218.60.56/~jnz1568/getInfo.php?workbook=13_02.xlsx&amp;sheet=U0&amp;row=9&amp;col=6&amp;number=3.5&amp;sourceID=14","3.5")</f>
        <v>3.5</v>
      </c>
      <c r="G9" s="4" t="str">
        <f>HYPERLINK("http://141.218.60.56/~jnz1568/getInfo.php?workbook=13_02.xlsx&amp;sheet=U0&amp;row=9&amp;col=7&amp;number=0.0017&amp;sourceID=14","0.0017")</f>
        <v>0.0017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HYPERLINK("http://141.218.60.56/~jnz1568/getInfo.php?workbook=13_02.xlsx&amp;sheet=U0&amp;row=10&amp;col=6&amp;number=3.6&amp;sourceID=14","3.6")</f>
        <v>3.6</v>
      </c>
      <c r="G10" s="4" t="str">
        <f>HYPERLINK("http://141.218.60.56/~jnz1568/getInfo.php?workbook=13_02.xlsx&amp;sheet=U0&amp;row=10&amp;col=7&amp;number=0.0017&amp;sourceID=14","0.0017")</f>
        <v>0.0017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HYPERLINK("http://141.218.60.56/~jnz1568/getInfo.php?workbook=13_02.xlsx&amp;sheet=U0&amp;row=11&amp;col=6&amp;number=3.7&amp;sourceID=14","3.7")</f>
        <v>3.7</v>
      </c>
      <c r="G11" s="4" t="str">
        <f>HYPERLINK("http://141.218.60.56/~jnz1568/getInfo.php?workbook=13_02.xlsx&amp;sheet=U0&amp;row=11&amp;col=7&amp;number=0.0017&amp;sourceID=14","0.0017")</f>
        <v>0.0017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HYPERLINK("http://141.218.60.56/~jnz1568/getInfo.php?workbook=13_02.xlsx&amp;sheet=U0&amp;row=12&amp;col=6&amp;number=3.8&amp;sourceID=14","3.8")</f>
        <v>3.8</v>
      </c>
      <c r="G12" s="4" t="str">
        <f>HYPERLINK("http://141.218.60.56/~jnz1568/getInfo.php?workbook=13_02.xlsx&amp;sheet=U0&amp;row=12&amp;col=7&amp;number=0.0017&amp;sourceID=14","0.0017")</f>
        <v>0.0017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HYPERLINK("http://141.218.60.56/~jnz1568/getInfo.php?workbook=13_02.xlsx&amp;sheet=U0&amp;row=13&amp;col=6&amp;number=3.9&amp;sourceID=14","3.9")</f>
        <v>3.9</v>
      </c>
      <c r="G13" s="4" t="str">
        <f>HYPERLINK("http://141.218.60.56/~jnz1568/getInfo.php?workbook=13_02.xlsx&amp;sheet=U0&amp;row=13&amp;col=7&amp;number=0.0017&amp;sourceID=14","0.0017")</f>
        <v>0.0017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HYPERLINK("http://141.218.60.56/~jnz1568/getInfo.php?workbook=13_02.xlsx&amp;sheet=U0&amp;row=14&amp;col=6&amp;number=4&amp;sourceID=14","4")</f>
        <v>4</v>
      </c>
      <c r="G14" s="4" t="str">
        <f>HYPERLINK("http://141.218.60.56/~jnz1568/getInfo.php?workbook=13_02.xlsx&amp;sheet=U0&amp;row=14&amp;col=7&amp;number=0.0017&amp;sourceID=14","0.0017")</f>
        <v>0.0017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HYPERLINK("http://141.218.60.56/~jnz1568/getInfo.php?workbook=13_02.xlsx&amp;sheet=U0&amp;row=15&amp;col=6&amp;number=4.1&amp;sourceID=14","4.1")</f>
        <v>4.1</v>
      </c>
      <c r="G15" s="4" t="str">
        <f>HYPERLINK("http://141.218.60.56/~jnz1568/getInfo.php?workbook=13_02.xlsx&amp;sheet=U0&amp;row=15&amp;col=7&amp;number=0.0017&amp;sourceID=14","0.0017")</f>
        <v>0.0017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HYPERLINK("http://141.218.60.56/~jnz1568/getInfo.php?workbook=13_02.xlsx&amp;sheet=U0&amp;row=16&amp;col=6&amp;number=4.2&amp;sourceID=14","4.2")</f>
        <v>4.2</v>
      </c>
      <c r="G16" s="4" t="str">
        <f>HYPERLINK("http://141.218.60.56/~jnz1568/getInfo.php?workbook=13_02.xlsx&amp;sheet=U0&amp;row=16&amp;col=7&amp;number=0.00171&amp;sourceID=14","0.00171")</f>
        <v>0.00171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HYPERLINK("http://141.218.60.56/~jnz1568/getInfo.php?workbook=13_02.xlsx&amp;sheet=U0&amp;row=17&amp;col=6&amp;number=4.3&amp;sourceID=14","4.3")</f>
        <v>4.3</v>
      </c>
      <c r="G17" s="4" t="str">
        <f>HYPERLINK("http://141.218.60.56/~jnz1568/getInfo.php?workbook=13_02.xlsx&amp;sheet=U0&amp;row=17&amp;col=7&amp;number=0.00171&amp;sourceID=14","0.00171")</f>
        <v>0.00171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HYPERLINK("http://141.218.60.56/~jnz1568/getInfo.php?workbook=13_02.xlsx&amp;sheet=U0&amp;row=18&amp;col=6&amp;number=4.4&amp;sourceID=14","4.4")</f>
        <v>4.4</v>
      </c>
      <c r="G18" s="4" t="str">
        <f>HYPERLINK("http://141.218.60.56/~jnz1568/getInfo.php?workbook=13_02.xlsx&amp;sheet=U0&amp;row=18&amp;col=7&amp;number=0.00171&amp;sourceID=14","0.00171")</f>
        <v>0.00171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HYPERLINK("http://141.218.60.56/~jnz1568/getInfo.php?workbook=13_02.xlsx&amp;sheet=U0&amp;row=19&amp;col=6&amp;number=4.5&amp;sourceID=14","4.5")</f>
        <v>4.5</v>
      </c>
      <c r="G19" s="4" t="str">
        <f>HYPERLINK("http://141.218.60.56/~jnz1568/getInfo.php?workbook=13_02.xlsx&amp;sheet=U0&amp;row=19&amp;col=7&amp;number=0.00171&amp;sourceID=14","0.00171")</f>
        <v>0.00171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HYPERLINK("http://141.218.60.56/~jnz1568/getInfo.php?workbook=13_02.xlsx&amp;sheet=U0&amp;row=20&amp;col=6&amp;number=4.6&amp;sourceID=14","4.6")</f>
        <v>4.6</v>
      </c>
      <c r="G20" s="4" t="str">
        <f>HYPERLINK("http://141.218.60.56/~jnz1568/getInfo.php?workbook=13_02.xlsx&amp;sheet=U0&amp;row=20&amp;col=7&amp;number=0.00171&amp;sourceID=14","0.00171")</f>
        <v>0.00171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HYPERLINK("http://141.218.60.56/~jnz1568/getInfo.php?workbook=13_02.xlsx&amp;sheet=U0&amp;row=21&amp;col=6&amp;number=4.7&amp;sourceID=14","4.7")</f>
        <v>4.7</v>
      </c>
      <c r="G21" s="4" t="str">
        <f>HYPERLINK("http://141.218.60.56/~jnz1568/getInfo.php?workbook=13_02.xlsx&amp;sheet=U0&amp;row=21&amp;col=7&amp;number=0.00172&amp;sourceID=14","0.00172")</f>
        <v>0.00172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HYPERLINK("http://141.218.60.56/~jnz1568/getInfo.php?workbook=13_02.xlsx&amp;sheet=U0&amp;row=22&amp;col=6&amp;number=4.8&amp;sourceID=14","4.8")</f>
        <v>4.8</v>
      </c>
      <c r="G22" s="4" t="str">
        <f>HYPERLINK("http://141.218.60.56/~jnz1568/getInfo.php?workbook=13_02.xlsx&amp;sheet=U0&amp;row=22&amp;col=7&amp;number=0.00172&amp;sourceID=14","0.00172")</f>
        <v>0.00172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HYPERLINK("http://141.218.60.56/~jnz1568/getInfo.php?workbook=13_02.xlsx&amp;sheet=U0&amp;row=23&amp;col=6&amp;number=4.9&amp;sourceID=14","4.9")</f>
        <v>4.9</v>
      </c>
      <c r="G23" s="4" t="str">
        <f>HYPERLINK("http://141.218.60.56/~jnz1568/getInfo.php?workbook=13_02.xlsx&amp;sheet=U0&amp;row=23&amp;col=7&amp;number=0.00173&amp;sourceID=14","0.00173")</f>
        <v>0.00173</v>
      </c>
    </row>
    <row r="24" spans="1:7">
      <c r="A24" s="3">
        <v>13</v>
      </c>
      <c r="B24" s="3">
        <v>2</v>
      </c>
      <c r="C24" s="3">
        <v>1</v>
      </c>
      <c r="D24" s="3">
        <v>3</v>
      </c>
      <c r="E24" s="3">
        <v>1</v>
      </c>
      <c r="F24" s="4" t="str">
        <f>HYPERLINK("http://141.218.60.56/~jnz1568/getInfo.php?workbook=13_02.xlsx&amp;sheet=U0&amp;row=24&amp;col=6&amp;number=3&amp;sourceID=14","3")</f>
        <v>3</v>
      </c>
      <c r="G24" s="4" t="str">
        <f>HYPERLINK("http://141.218.60.56/~jnz1568/getInfo.php?workbook=13_02.xlsx&amp;sheet=U0&amp;row=24&amp;col=7&amp;number=0.00294&amp;sourceID=14","0.00294")</f>
        <v>0.00294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HYPERLINK("http://141.218.60.56/~jnz1568/getInfo.php?workbook=13_02.xlsx&amp;sheet=U0&amp;row=25&amp;col=6&amp;number=3.1&amp;sourceID=14","3.1")</f>
        <v>3.1</v>
      </c>
      <c r="G25" s="4" t="str">
        <f>HYPERLINK("http://141.218.60.56/~jnz1568/getInfo.php?workbook=13_02.xlsx&amp;sheet=U0&amp;row=25&amp;col=7&amp;number=0.00294&amp;sourceID=14","0.00294")</f>
        <v>0.00294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HYPERLINK("http://141.218.60.56/~jnz1568/getInfo.php?workbook=13_02.xlsx&amp;sheet=U0&amp;row=26&amp;col=6&amp;number=3.2&amp;sourceID=14","3.2")</f>
        <v>3.2</v>
      </c>
      <c r="G26" s="4" t="str">
        <f>HYPERLINK("http://141.218.60.56/~jnz1568/getInfo.php?workbook=13_02.xlsx&amp;sheet=U0&amp;row=26&amp;col=7&amp;number=0.00294&amp;sourceID=14","0.00294")</f>
        <v>0.00294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HYPERLINK("http://141.218.60.56/~jnz1568/getInfo.php?workbook=13_02.xlsx&amp;sheet=U0&amp;row=27&amp;col=6&amp;number=3.3&amp;sourceID=14","3.3")</f>
        <v>3.3</v>
      </c>
      <c r="G27" s="4" t="str">
        <f>HYPERLINK("http://141.218.60.56/~jnz1568/getInfo.php?workbook=13_02.xlsx&amp;sheet=U0&amp;row=27&amp;col=7&amp;number=0.00294&amp;sourceID=14","0.00294")</f>
        <v>0.00294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HYPERLINK("http://141.218.60.56/~jnz1568/getInfo.php?workbook=13_02.xlsx&amp;sheet=U0&amp;row=28&amp;col=6&amp;number=3.4&amp;sourceID=14","3.4")</f>
        <v>3.4</v>
      </c>
      <c r="G28" s="4" t="str">
        <f>HYPERLINK("http://141.218.60.56/~jnz1568/getInfo.php?workbook=13_02.xlsx&amp;sheet=U0&amp;row=28&amp;col=7&amp;number=0.00294&amp;sourceID=14","0.00294")</f>
        <v>0.00294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HYPERLINK("http://141.218.60.56/~jnz1568/getInfo.php?workbook=13_02.xlsx&amp;sheet=U0&amp;row=29&amp;col=6&amp;number=3.5&amp;sourceID=14","3.5")</f>
        <v>3.5</v>
      </c>
      <c r="G29" s="4" t="str">
        <f>HYPERLINK("http://141.218.60.56/~jnz1568/getInfo.php?workbook=13_02.xlsx&amp;sheet=U0&amp;row=29&amp;col=7&amp;number=0.00294&amp;sourceID=14","0.00294")</f>
        <v>0.00294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HYPERLINK("http://141.218.60.56/~jnz1568/getInfo.php?workbook=13_02.xlsx&amp;sheet=U0&amp;row=30&amp;col=6&amp;number=3.6&amp;sourceID=14","3.6")</f>
        <v>3.6</v>
      </c>
      <c r="G30" s="4" t="str">
        <f>HYPERLINK("http://141.218.60.56/~jnz1568/getInfo.php?workbook=13_02.xlsx&amp;sheet=U0&amp;row=30&amp;col=7&amp;number=0.00294&amp;sourceID=14","0.00294")</f>
        <v>0.00294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HYPERLINK("http://141.218.60.56/~jnz1568/getInfo.php?workbook=13_02.xlsx&amp;sheet=U0&amp;row=31&amp;col=6&amp;number=3.7&amp;sourceID=14","3.7")</f>
        <v>3.7</v>
      </c>
      <c r="G31" s="4" t="str">
        <f>HYPERLINK("http://141.218.60.56/~jnz1568/getInfo.php?workbook=13_02.xlsx&amp;sheet=U0&amp;row=31&amp;col=7&amp;number=0.00294&amp;sourceID=14","0.00294")</f>
        <v>0.00294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HYPERLINK("http://141.218.60.56/~jnz1568/getInfo.php?workbook=13_02.xlsx&amp;sheet=U0&amp;row=32&amp;col=6&amp;number=3.8&amp;sourceID=14","3.8")</f>
        <v>3.8</v>
      </c>
      <c r="G32" s="4" t="str">
        <f>HYPERLINK("http://141.218.60.56/~jnz1568/getInfo.php?workbook=13_02.xlsx&amp;sheet=U0&amp;row=32&amp;col=7&amp;number=0.00294&amp;sourceID=14","0.00294")</f>
        <v>0.00294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HYPERLINK("http://141.218.60.56/~jnz1568/getInfo.php?workbook=13_02.xlsx&amp;sheet=U0&amp;row=33&amp;col=6&amp;number=3.9&amp;sourceID=14","3.9")</f>
        <v>3.9</v>
      </c>
      <c r="G33" s="4" t="str">
        <f>HYPERLINK("http://141.218.60.56/~jnz1568/getInfo.php?workbook=13_02.xlsx&amp;sheet=U0&amp;row=33&amp;col=7&amp;number=0.00294&amp;sourceID=14","0.00294")</f>
        <v>0.00294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HYPERLINK("http://141.218.60.56/~jnz1568/getInfo.php?workbook=13_02.xlsx&amp;sheet=U0&amp;row=34&amp;col=6&amp;number=4&amp;sourceID=14","4")</f>
        <v>4</v>
      </c>
      <c r="G34" s="4" t="str">
        <f>HYPERLINK("http://141.218.60.56/~jnz1568/getInfo.php?workbook=13_02.xlsx&amp;sheet=U0&amp;row=34&amp;col=7&amp;number=0.00294&amp;sourceID=14","0.00294")</f>
        <v>0.00294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HYPERLINK("http://141.218.60.56/~jnz1568/getInfo.php?workbook=13_02.xlsx&amp;sheet=U0&amp;row=35&amp;col=6&amp;number=4.1&amp;sourceID=14","4.1")</f>
        <v>4.1</v>
      </c>
      <c r="G35" s="4" t="str">
        <f>HYPERLINK("http://141.218.60.56/~jnz1568/getInfo.php?workbook=13_02.xlsx&amp;sheet=U0&amp;row=35&amp;col=7&amp;number=0.00294&amp;sourceID=14","0.00294")</f>
        <v>0.00294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HYPERLINK("http://141.218.60.56/~jnz1568/getInfo.php?workbook=13_02.xlsx&amp;sheet=U0&amp;row=36&amp;col=6&amp;number=4.2&amp;sourceID=14","4.2")</f>
        <v>4.2</v>
      </c>
      <c r="G36" s="4" t="str">
        <f>HYPERLINK("http://141.218.60.56/~jnz1568/getInfo.php?workbook=13_02.xlsx&amp;sheet=U0&amp;row=36&amp;col=7&amp;number=0.00294&amp;sourceID=14","0.00294")</f>
        <v>0.00294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HYPERLINK("http://141.218.60.56/~jnz1568/getInfo.php?workbook=13_02.xlsx&amp;sheet=U0&amp;row=37&amp;col=6&amp;number=4.3&amp;sourceID=14","4.3")</f>
        <v>4.3</v>
      </c>
      <c r="G37" s="4" t="str">
        <f>HYPERLINK("http://141.218.60.56/~jnz1568/getInfo.php?workbook=13_02.xlsx&amp;sheet=U0&amp;row=37&amp;col=7&amp;number=0.00294&amp;sourceID=14","0.00294")</f>
        <v>0.00294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HYPERLINK("http://141.218.60.56/~jnz1568/getInfo.php?workbook=13_02.xlsx&amp;sheet=U0&amp;row=38&amp;col=6&amp;number=4.4&amp;sourceID=14","4.4")</f>
        <v>4.4</v>
      </c>
      <c r="G38" s="4" t="str">
        <f>HYPERLINK("http://141.218.60.56/~jnz1568/getInfo.php?workbook=13_02.xlsx&amp;sheet=U0&amp;row=38&amp;col=7&amp;number=0.00295&amp;sourceID=14","0.00295")</f>
        <v>0.00295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HYPERLINK("http://141.218.60.56/~jnz1568/getInfo.php?workbook=13_02.xlsx&amp;sheet=U0&amp;row=39&amp;col=6&amp;number=4.5&amp;sourceID=14","4.5")</f>
        <v>4.5</v>
      </c>
      <c r="G39" s="4" t="str">
        <f>HYPERLINK("http://141.218.60.56/~jnz1568/getInfo.php?workbook=13_02.xlsx&amp;sheet=U0&amp;row=39&amp;col=7&amp;number=0.00295&amp;sourceID=14","0.00295")</f>
        <v>0.00295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HYPERLINK("http://141.218.60.56/~jnz1568/getInfo.php?workbook=13_02.xlsx&amp;sheet=U0&amp;row=40&amp;col=6&amp;number=4.6&amp;sourceID=14","4.6")</f>
        <v>4.6</v>
      </c>
      <c r="G40" s="4" t="str">
        <f>HYPERLINK("http://141.218.60.56/~jnz1568/getInfo.php?workbook=13_02.xlsx&amp;sheet=U0&amp;row=40&amp;col=7&amp;number=0.00295&amp;sourceID=14","0.00295")</f>
        <v>0.00295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HYPERLINK("http://141.218.60.56/~jnz1568/getInfo.php?workbook=13_02.xlsx&amp;sheet=U0&amp;row=41&amp;col=6&amp;number=4.7&amp;sourceID=14","4.7")</f>
        <v>4.7</v>
      </c>
      <c r="G41" s="4" t="str">
        <f>HYPERLINK("http://141.218.60.56/~jnz1568/getInfo.php?workbook=13_02.xlsx&amp;sheet=U0&amp;row=41&amp;col=7&amp;number=0.00295&amp;sourceID=14","0.00295")</f>
        <v>0.00295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HYPERLINK("http://141.218.60.56/~jnz1568/getInfo.php?workbook=13_02.xlsx&amp;sheet=U0&amp;row=42&amp;col=6&amp;number=4.8&amp;sourceID=14","4.8")</f>
        <v>4.8</v>
      </c>
      <c r="G42" s="4" t="str">
        <f>HYPERLINK("http://141.218.60.56/~jnz1568/getInfo.php?workbook=13_02.xlsx&amp;sheet=U0&amp;row=42&amp;col=7&amp;number=0.00295&amp;sourceID=14","0.00295")</f>
        <v>0.00295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HYPERLINK("http://141.218.60.56/~jnz1568/getInfo.php?workbook=13_02.xlsx&amp;sheet=U0&amp;row=43&amp;col=6&amp;number=4.9&amp;sourceID=14","4.9")</f>
        <v>4.9</v>
      </c>
      <c r="G43" s="4" t="str">
        <f>HYPERLINK("http://141.218.60.56/~jnz1568/getInfo.php?workbook=13_02.xlsx&amp;sheet=U0&amp;row=43&amp;col=7&amp;number=0.00296&amp;sourceID=14","0.00296")</f>
        <v>0.00296</v>
      </c>
    </row>
    <row r="44" spans="1:7">
      <c r="A44" s="3">
        <v>13</v>
      </c>
      <c r="B44" s="3">
        <v>2</v>
      </c>
      <c r="C44" s="3">
        <v>1</v>
      </c>
      <c r="D44" s="3">
        <v>4</v>
      </c>
      <c r="E44" s="3">
        <v>1</v>
      </c>
      <c r="F44" s="4" t="str">
        <f>HYPERLINK("http://141.218.60.56/~jnz1568/getInfo.php?workbook=13_02.xlsx&amp;sheet=U0&amp;row=44&amp;col=6&amp;number=3&amp;sourceID=14","3")</f>
        <v>3</v>
      </c>
      <c r="G44" s="4" t="str">
        <f>HYPERLINK("http://141.218.60.56/~jnz1568/getInfo.php?workbook=13_02.xlsx&amp;sheet=U0&amp;row=44&amp;col=7&amp;number=0.000976&amp;sourceID=14","0.000976")</f>
        <v>0.000976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HYPERLINK("http://141.218.60.56/~jnz1568/getInfo.php?workbook=13_02.xlsx&amp;sheet=U0&amp;row=45&amp;col=6&amp;number=3.1&amp;sourceID=14","3.1")</f>
        <v>3.1</v>
      </c>
      <c r="G45" s="4" t="str">
        <f>HYPERLINK("http://141.218.60.56/~jnz1568/getInfo.php?workbook=13_02.xlsx&amp;sheet=U0&amp;row=45&amp;col=7&amp;number=0.000976&amp;sourceID=14","0.000976")</f>
        <v>0.000976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HYPERLINK("http://141.218.60.56/~jnz1568/getInfo.php?workbook=13_02.xlsx&amp;sheet=U0&amp;row=46&amp;col=6&amp;number=3.2&amp;sourceID=14","3.2")</f>
        <v>3.2</v>
      </c>
      <c r="G46" s="4" t="str">
        <f>HYPERLINK("http://141.218.60.56/~jnz1568/getInfo.php?workbook=13_02.xlsx&amp;sheet=U0&amp;row=46&amp;col=7&amp;number=0.000976&amp;sourceID=14","0.000976")</f>
        <v>0.000976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HYPERLINK("http://141.218.60.56/~jnz1568/getInfo.php?workbook=13_02.xlsx&amp;sheet=U0&amp;row=47&amp;col=6&amp;number=3.3&amp;sourceID=14","3.3")</f>
        <v>3.3</v>
      </c>
      <c r="G47" s="4" t="str">
        <f>HYPERLINK("http://141.218.60.56/~jnz1568/getInfo.php?workbook=13_02.xlsx&amp;sheet=U0&amp;row=47&amp;col=7&amp;number=0.000976&amp;sourceID=14","0.000976")</f>
        <v>0.000976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HYPERLINK("http://141.218.60.56/~jnz1568/getInfo.php?workbook=13_02.xlsx&amp;sheet=U0&amp;row=48&amp;col=6&amp;number=3.4&amp;sourceID=14","3.4")</f>
        <v>3.4</v>
      </c>
      <c r="G48" s="4" t="str">
        <f>HYPERLINK("http://141.218.60.56/~jnz1568/getInfo.php?workbook=13_02.xlsx&amp;sheet=U0&amp;row=48&amp;col=7&amp;number=0.000976&amp;sourceID=14","0.000976")</f>
        <v>0.000976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HYPERLINK("http://141.218.60.56/~jnz1568/getInfo.php?workbook=13_02.xlsx&amp;sheet=U0&amp;row=49&amp;col=6&amp;number=3.5&amp;sourceID=14","3.5")</f>
        <v>3.5</v>
      </c>
      <c r="G49" s="4" t="str">
        <f>HYPERLINK("http://141.218.60.56/~jnz1568/getInfo.php?workbook=13_02.xlsx&amp;sheet=U0&amp;row=49&amp;col=7&amp;number=0.000976&amp;sourceID=14","0.000976")</f>
        <v>0.000976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HYPERLINK("http://141.218.60.56/~jnz1568/getInfo.php?workbook=13_02.xlsx&amp;sheet=U0&amp;row=50&amp;col=6&amp;number=3.6&amp;sourceID=14","3.6")</f>
        <v>3.6</v>
      </c>
      <c r="G50" s="4" t="str">
        <f>HYPERLINK("http://141.218.60.56/~jnz1568/getInfo.php?workbook=13_02.xlsx&amp;sheet=U0&amp;row=50&amp;col=7&amp;number=0.000976&amp;sourceID=14","0.000976")</f>
        <v>0.000976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HYPERLINK("http://141.218.60.56/~jnz1568/getInfo.php?workbook=13_02.xlsx&amp;sheet=U0&amp;row=51&amp;col=6&amp;number=3.7&amp;sourceID=14","3.7")</f>
        <v>3.7</v>
      </c>
      <c r="G51" s="4" t="str">
        <f>HYPERLINK("http://141.218.60.56/~jnz1568/getInfo.php?workbook=13_02.xlsx&amp;sheet=U0&amp;row=51&amp;col=7&amp;number=0.000976&amp;sourceID=14","0.000976")</f>
        <v>0.000976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HYPERLINK("http://141.218.60.56/~jnz1568/getInfo.php?workbook=13_02.xlsx&amp;sheet=U0&amp;row=52&amp;col=6&amp;number=3.8&amp;sourceID=14","3.8")</f>
        <v>3.8</v>
      </c>
      <c r="G52" s="4" t="str">
        <f>HYPERLINK("http://141.218.60.56/~jnz1568/getInfo.php?workbook=13_02.xlsx&amp;sheet=U0&amp;row=52&amp;col=7&amp;number=0.000976&amp;sourceID=14","0.000976")</f>
        <v>0.000976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HYPERLINK("http://141.218.60.56/~jnz1568/getInfo.php?workbook=13_02.xlsx&amp;sheet=U0&amp;row=53&amp;col=6&amp;number=3.9&amp;sourceID=14","3.9")</f>
        <v>3.9</v>
      </c>
      <c r="G53" s="4" t="str">
        <f>HYPERLINK("http://141.218.60.56/~jnz1568/getInfo.php?workbook=13_02.xlsx&amp;sheet=U0&amp;row=53&amp;col=7&amp;number=0.000976&amp;sourceID=14","0.000976")</f>
        <v>0.000976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HYPERLINK("http://141.218.60.56/~jnz1568/getInfo.php?workbook=13_02.xlsx&amp;sheet=U0&amp;row=54&amp;col=6&amp;number=4&amp;sourceID=14","4")</f>
        <v>4</v>
      </c>
      <c r="G54" s="4" t="str">
        <f>HYPERLINK("http://141.218.60.56/~jnz1568/getInfo.php?workbook=13_02.xlsx&amp;sheet=U0&amp;row=54&amp;col=7&amp;number=0.000976&amp;sourceID=14","0.000976")</f>
        <v>0.000976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HYPERLINK("http://141.218.60.56/~jnz1568/getInfo.php?workbook=13_02.xlsx&amp;sheet=U0&amp;row=55&amp;col=6&amp;number=4.1&amp;sourceID=14","4.1")</f>
        <v>4.1</v>
      </c>
      <c r="G55" s="4" t="str">
        <f>HYPERLINK("http://141.218.60.56/~jnz1568/getInfo.php?workbook=13_02.xlsx&amp;sheet=U0&amp;row=55&amp;col=7&amp;number=0.000977&amp;sourceID=14","0.000977")</f>
        <v>0.000977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HYPERLINK("http://141.218.60.56/~jnz1568/getInfo.php?workbook=13_02.xlsx&amp;sheet=U0&amp;row=56&amp;col=6&amp;number=4.2&amp;sourceID=14","4.2")</f>
        <v>4.2</v>
      </c>
      <c r="G56" s="4" t="str">
        <f>HYPERLINK("http://141.218.60.56/~jnz1568/getInfo.php?workbook=13_02.xlsx&amp;sheet=U0&amp;row=56&amp;col=7&amp;number=0.000977&amp;sourceID=14","0.000977")</f>
        <v>0.000977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HYPERLINK("http://141.218.60.56/~jnz1568/getInfo.php?workbook=13_02.xlsx&amp;sheet=U0&amp;row=57&amp;col=6&amp;number=4.3&amp;sourceID=14","4.3")</f>
        <v>4.3</v>
      </c>
      <c r="G57" s="4" t="str">
        <f>HYPERLINK("http://141.218.60.56/~jnz1568/getInfo.php?workbook=13_02.xlsx&amp;sheet=U0&amp;row=57&amp;col=7&amp;number=0.000977&amp;sourceID=14","0.000977")</f>
        <v>0.000977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HYPERLINK("http://141.218.60.56/~jnz1568/getInfo.php?workbook=13_02.xlsx&amp;sheet=U0&amp;row=58&amp;col=6&amp;number=4.4&amp;sourceID=14","4.4")</f>
        <v>4.4</v>
      </c>
      <c r="G58" s="4" t="str">
        <f>HYPERLINK("http://141.218.60.56/~jnz1568/getInfo.php?workbook=13_02.xlsx&amp;sheet=U0&amp;row=58&amp;col=7&amp;number=0.000977&amp;sourceID=14","0.000977")</f>
        <v>0.000977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HYPERLINK("http://141.218.60.56/~jnz1568/getInfo.php?workbook=13_02.xlsx&amp;sheet=U0&amp;row=59&amp;col=6&amp;number=4.5&amp;sourceID=14","4.5")</f>
        <v>4.5</v>
      </c>
      <c r="G59" s="4" t="str">
        <f>HYPERLINK("http://141.218.60.56/~jnz1568/getInfo.php?workbook=13_02.xlsx&amp;sheet=U0&amp;row=59&amp;col=7&amp;number=0.000978&amp;sourceID=14","0.000978")</f>
        <v>0.000978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HYPERLINK("http://141.218.60.56/~jnz1568/getInfo.php?workbook=13_02.xlsx&amp;sheet=U0&amp;row=60&amp;col=6&amp;number=4.6&amp;sourceID=14","4.6")</f>
        <v>4.6</v>
      </c>
      <c r="G60" s="4" t="str">
        <f>HYPERLINK("http://141.218.60.56/~jnz1568/getInfo.php?workbook=13_02.xlsx&amp;sheet=U0&amp;row=60&amp;col=7&amp;number=0.000978&amp;sourceID=14","0.000978")</f>
        <v>0.000978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HYPERLINK("http://141.218.60.56/~jnz1568/getInfo.php?workbook=13_02.xlsx&amp;sheet=U0&amp;row=61&amp;col=6&amp;number=4.7&amp;sourceID=14","4.7")</f>
        <v>4.7</v>
      </c>
      <c r="G61" s="4" t="str">
        <f>HYPERLINK("http://141.218.60.56/~jnz1568/getInfo.php?workbook=13_02.xlsx&amp;sheet=U0&amp;row=61&amp;col=7&amp;number=0.000979&amp;sourceID=14","0.000979")</f>
        <v>0.000979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HYPERLINK("http://141.218.60.56/~jnz1568/getInfo.php?workbook=13_02.xlsx&amp;sheet=U0&amp;row=62&amp;col=6&amp;number=4.8&amp;sourceID=14","4.8")</f>
        <v>4.8</v>
      </c>
      <c r="G62" s="4" t="str">
        <f>HYPERLINK("http://141.218.60.56/~jnz1568/getInfo.php?workbook=13_02.xlsx&amp;sheet=U0&amp;row=62&amp;col=7&amp;number=0.00098&amp;sourceID=14","0.00098")</f>
        <v>0.00098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HYPERLINK("http://141.218.60.56/~jnz1568/getInfo.php?workbook=13_02.xlsx&amp;sheet=U0&amp;row=63&amp;col=6&amp;number=4.9&amp;sourceID=14","4.9")</f>
        <v>4.9</v>
      </c>
      <c r="G63" s="4" t="str">
        <f>HYPERLINK("http://141.218.60.56/~jnz1568/getInfo.php?workbook=13_02.xlsx&amp;sheet=U0&amp;row=63&amp;col=7&amp;number=0.000981&amp;sourceID=14","0.000981")</f>
        <v>0.000981</v>
      </c>
    </row>
    <row r="64" spans="1:7">
      <c r="A64" s="3">
        <v>13</v>
      </c>
      <c r="B64" s="3">
        <v>2</v>
      </c>
      <c r="C64" s="3">
        <v>1</v>
      </c>
      <c r="D64" s="3">
        <v>5</v>
      </c>
      <c r="E64" s="3">
        <v>1</v>
      </c>
      <c r="F64" s="4" t="str">
        <f>HYPERLINK("http://141.218.60.56/~jnz1568/getInfo.php?workbook=13_02.xlsx&amp;sheet=U0&amp;row=64&amp;col=6&amp;number=3&amp;sourceID=14","3")</f>
        <v>3</v>
      </c>
      <c r="G64" s="4" t="str">
        <f>HYPERLINK("http://141.218.60.56/~jnz1568/getInfo.php?workbook=13_02.xlsx&amp;sheet=U0&amp;row=64&amp;col=7&amp;number=0.00301&amp;sourceID=14","0.00301")</f>
        <v>0.00301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HYPERLINK("http://141.218.60.56/~jnz1568/getInfo.php?workbook=13_02.xlsx&amp;sheet=U0&amp;row=65&amp;col=6&amp;number=3.1&amp;sourceID=14","3.1")</f>
        <v>3.1</v>
      </c>
      <c r="G65" s="4" t="str">
        <f>HYPERLINK("http://141.218.60.56/~jnz1568/getInfo.php?workbook=13_02.xlsx&amp;sheet=U0&amp;row=65&amp;col=7&amp;number=0.00301&amp;sourceID=14","0.00301")</f>
        <v>0.00301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HYPERLINK("http://141.218.60.56/~jnz1568/getInfo.php?workbook=13_02.xlsx&amp;sheet=U0&amp;row=66&amp;col=6&amp;number=3.2&amp;sourceID=14","3.2")</f>
        <v>3.2</v>
      </c>
      <c r="G66" s="4" t="str">
        <f>HYPERLINK("http://141.218.60.56/~jnz1568/getInfo.php?workbook=13_02.xlsx&amp;sheet=U0&amp;row=66&amp;col=7&amp;number=0.00301&amp;sourceID=14","0.00301")</f>
        <v>0.00301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HYPERLINK("http://141.218.60.56/~jnz1568/getInfo.php?workbook=13_02.xlsx&amp;sheet=U0&amp;row=67&amp;col=6&amp;number=3.3&amp;sourceID=14","3.3")</f>
        <v>3.3</v>
      </c>
      <c r="G67" s="4" t="str">
        <f>HYPERLINK("http://141.218.60.56/~jnz1568/getInfo.php?workbook=13_02.xlsx&amp;sheet=U0&amp;row=67&amp;col=7&amp;number=0.00301&amp;sourceID=14","0.00301")</f>
        <v>0.00301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HYPERLINK("http://141.218.60.56/~jnz1568/getInfo.php?workbook=13_02.xlsx&amp;sheet=U0&amp;row=68&amp;col=6&amp;number=3.4&amp;sourceID=14","3.4")</f>
        <v>3.4</v>
      </c>
      <c r="G68" s="4" t="str">
        <f>HYPERLINK("http://141.218.60.56/~jnz1568/getInfo.php?workbook=13_02.xlsx&amp;sheet=U0&amp;row=68&amp;col=7&amp;number=0.00301&amp;sourceID=14","0.00301")</f>
        <v>0.00301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HYPERLINK("http://141.218.60.56/~jnz1568/getInfo.php?workbook=13_02.xlsx&amp;sheet=U0&amp;row=69&amp;col=6&amp;number=3.5&amp;sourceID=14","3.5")</f>
        <v>3.5</v>
      </c>
      <c r="G69" s="4" t="str">
        <f>HYPERLINK("http://141.218.60.56/~jnz1568/getInfo.php?workbook=13_02.xlsx&amp;sheet=U0&amp;row=69&amp;col=7&amp;number=0.00301&amp;sourceID=14","0.00301")</f>
        <v>0.00301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HYPERLINK("http://141.218.60.56/~jnz1568/getInfo.php?workbook=13_02.xlsx&amp;sheet=U0&amp;row=70&amp;col=6&amp;number=3.6&amp;sourceID=14","3.6")</f>
        <v>3.6</v>
      </c>
      <c r="G70" s="4" t="str">
        <f>HYPERLINK("http://141.218.60.56/~jnz1568/getInfo.php?workbook=13_02.xlsx&amp;sheet=U0&amp;row=70&amp;col=7&amp;number=0.00301&amp;sourceID=14","0.00301")</f>
        <v>0.00301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HYPERLINK("http://141.218.60.56/~jnz1568/getInfo.php?workbook=13_02.xlsx&amp;sheet=U0&amp;row=71&amp;col=6&amp;number=3.7&amp;sourceID=14","3.7")</f>
        <v>3.7</v>
      </c>
      <c r="G71" s="4" t="str">
        <f>HYPERLINK("http://141.218.60.56/~jnz1568/getInfo.php?workbook=13_02.xlsx&amp;sheet=U0&amp;row=71&amp;col=7&amp;number=0.00301&amp;sourceID=14","0.00301")</f>
        <v>0.00301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HYPERLINK("http://141.218.60.56/~jnz1568/getInfo.php?workbook=13_02.xlsx&amp;sheet=U0&amp;row=72&amp;col=6&amp;number=3.8&amp;sourceID=14","3.8")</f>
        <v>3.8</v>
      </c>
      <c r="G72" s="4" t="str">
        <f>HYPERLINK("http://141.218.60.56/~jnz1568/getInfo.php?workbook=13_02.xlsx&amp;sheet=U0&amp;row=72&amp;col=7&amp;number=0.00301&amp;sourceID=14","0.00301")</f>
        <v>0.00301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HYPERLINK("http://141.218.60.56/~jnz1568/getInfo.php?workbook=13_02.xlsx&amp;sheet=U0&amp;row=73&amp;col=6&amp;number=3.9&amp;sourceID=14","3.9")</f>
        <v>3.9</v>
      </c>
      <c r="G73" s="4" t="str">
        <f>HYPERLINK("http://141.218.60.56/~jnz1568/getInfo.php?workbook=13_02.xlsx&amp;sheet=U0&amp;row=73&amp;col=7&amp;number=0.00301&amp;sourceID=14","0.00301")</f>
        <v>0.00301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HYPERLINK("http://141.218.60.56/~jnz1568/getInfo.php?workbook=13_02.xlsx&amp;sheet=U0&amp;row=74&amp;col=6&amp;number=4&amp;sourceID=14","4")</f>
        <v>4</v>
      </c>
      <c r="G74" s="4" t="str">
        <f>HYPERLINK("http://141.218.60.56/~jnz1568/getInfo.php?workbook=13_02.xlsx&amp;sheet=U0&amp;row=74&amp;col=7&amp;number=0.00301&amp;sourceID=14","0.00301")</f>
        <v>0.00301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HYPERLINK("http://141.218.60.56/~jnz1568/getInfo.php?workbook=13_02.xlsx&amp;sheet=U0&amp;row=75&amp;col=6&amp;number=4.1&amp;sourceID=14","4.1")</f>
        <v>4.1</v>
      </c>
      <c r="G75" s="4" t="str">
        <f>HYPERLINK("http://141.218.60.56/~jnz1568/getInfo.php?workbook=13_02.xlsx&amp;sheet=U0&amp;row=75&amp;col=7&amp;number=0.00301&amp;sourceID=14","0.00301")</f>
        <v>0.00301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HYPERLINK("http://141.218.60.56/~jnz1568/getInfo.php?workbook=13_02.xlsx&amp;sheet=U0&amp;row=76&amp;col=6&amp;number=4.2&amp;sourceID=14","4.2")</f>
        <v>4.2</v>
      </c>
      <c r="G76" s="4" t="str">
        <f>HYPERLINK("http://141.218.60.56/~jnz1568/getInfo.php?workbook=13_02.xlsx&amp;sheet=U0&amp;row=76&amp;col=7&amp;number=0.00301&amp;sourceID=14","0.00301")</f>
        <v>0.00301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HYPERLINK("http://141.218.60.56/~jnz1568/getInfo.php?workbook=13_02.xlsx&amp;sheet=U0&amp;row=77&amp;col=6&amp;number=4.3&amp;sourceID=14","4.3")</f>
        <v>4.3</v>
      </c>
      <c r="G77" s="4" t="str">
        <f>HYPERLINK("http://141.218.60.56/~jnz1568/getInfo.php?workbook=13_02.xlsx&amp;sheet=U0&amp;row=77&amp;col=7&amp;number=0.00302&amp;sourceID=14","0.00302")</f>
        <v>0.00302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HYPERLINK("http://141.218.60.56/~jnz1568/getInfo.php?workbook=13_02.xlsx&amp;sheet=U0&amp;row=78&amp;col=6&amp;number=4.4&amp;sourceID=14","4.4")</f>
        <v>4.4</v>
      </c>
      <c r="G78" s="4" t="str">
        <f>HYPERLINK("http://141.218.60.56/~jnz1568/getInfo.php?workbook=13_02.xlsx&amp;sheet=U0&amp;row=78&amp;col=7&amp;number=0.00302&amp;sourceID=14","0.00302")</f>
        <v>0.00302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HYPERLINK("http://141.218.60.56/~jnz1568/getInfo.php?workbook=13_02.xlsx&amp;sheet=U0&amp;row=79&amp;col=6&amp;number=4.5&amp;sourceID=14","4.5")</f>
        <v>4.5</v>
      </c>
      <c r="G79" s="4" t="str">
        <f>HYPERLINK("http://141.218.60.56/~jnz1568/getInfo.php?workbook=13_02.xlsx&amp;sheet=U0&amp;row=79&amp;col=7&amp;number=0.00302&amp;sourceID=14","0.00302")</f>
        <v>0.00302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HYPERLINK("http://141.218.60.56/~jnz1568/getInfo.php?workbook=13_02.xlsx&amp;sheet=U0&amp;row=80&amp;col=6&amp;number=4.6&amp;sourceID=14","4.6")</f>
        <v>4.6</v>
      </c>
      <c r="G80" s="4" t="str">
        <f>HYPERLINK("http://141.218.60.56/~jnz1568/getInfo.php?workbook=13_02.xlsx&amp;sheet=U0&amp;row=80&amp;col=7&amp;number=0.00302&amp;sourceID=14","0.00302")</f>
        <v>0.00302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HYPERLINK("http://141.218.60.56/~jnz1568/getInfo.php?workbook=13_02.xlsx&amp;sheet=U0&amp;row=81&amp;col=6&amp;number=4.7&amp;sourceID=14","4.7")</f>
        <v>4.7</v>
      </c>
      <c r="G81" s="4" t="str">
        <f>HYPERLINK("http://141.218.60.56/~jnz1568/getInfo.php?workbook=13_02.xlsx&amp;sheet=U0&amp;row=81&amp;col=7&amp;number=0.00302&amp;sourceID=14","0.00302")</f>
        <v>0.00302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HYPERLINK("http://141.218.60.56/~jnz1568/getInfo.php?workbook=13_02.xlsx&amp;sheet=U0&amp;row=82&amp;col=6&amp;number=4.8&amp;sourceID=14","4.8")</f>
        <v>4.8</v>
      </c>
      <c r="G82" s="4" t="str">
        <f>HYPERLINK("http://141.218.60.56/~jnz1568/getInfo.php?workbook=13_02.xlsx&amp;sheet=U0&amp;row=82&amp;col=7&amp;number=0.00302&amp;sourceID=14","0.00302")</f>
        <v>0.00302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HYPERLINK("http://141.218.60.56/~jnz1568/getInfo.php?workbook=13_02.xlsx&amp;sheet=U0&amp;row=83&amp;col=6&amp;number=4.9&amp;sourceID=14","4.9")</f>
        <v>4.9</v>
      </c>
      <c r="G83" s="4" t="str">
        <f>HYPERLINK("http://141.218.60.56/~jnz1568/getInfo.php?workbook=13_02.xlsx&amp;sheet=U0&amp;row=83&amp;col=7&amp;number=0.00302&amp;sourceID=14","0.00302")</f>
        <v>0.00302</v>
      </c>
    </row>
    <row r="84" spans="1:7">
      <c r="A84" s="3">
        <v>13</v>
      </c>
      <c r="B84" s="3">
        <v>2</v>
      </c>
      <c r="C84" s="3">
        <v>1</v>
      </c>
      <c r="D84" s="3">
        <v>6</v>
      </c>
      <c r="E84" s="3">
        <v>1</v>
      </c>
      <c r="F84" s="4" t="str">
        <f>HYPERLINK("http://141.218.60.56/~jnz1568/getInfo.php?workbook=13_02.xlsx&amp;sheet=U0&amp;row=84&amp;col=6&amp;number=3&amp;sourceID=14","3")</f>
        <v>3</v>
      </c>
      <c r="G84" s="4" t="str">
        <f>HYPERLINK("http://141.218.60.56/~jnz1568/getInfo.php?workbook=13_02.xlsx&amp;sheet=U0&amp;row=84&amp;col=7&amp;number=0.00501&amp;sourceID=14","0.00501")</f>
        <v>0.00501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HYPERLINK("http://141.218.60.56/~jnz1568/getInfo.php?workbook=13_02.xlsx&amp;sheet=U0&amp;row=85&amp;col=6&amp;number=3.1&amp;sourceID=14","3.1")</f>
        <v>3.1</v>
      </c>
      <c r="G85" s="4" t="str">
        <f>HYPERLINK("http://141.218.60.56/~jnz1568/getInfo.php?workbook=13_02.xlsx&amp;sheet=U0&amp;row=85&amp;col=7&amp;number=0.00501&amp;sourceID=14","0.00501")</f>
        <v>0.00501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HYPERLINK("http://141.218.60.56/~jnz1568/getInfo.php?workbook=13_02.xlsx&amp;sheet=U0&amp;row=86&amp;col=6&amp;number=3.2&amp;sourceID=14","3.2")</f>
        <v>3.2</v>
      </c>
      <c r="G86" s="4" t="str">
        <f>HYPERLINK("http://141.218.60.56/~jnz1568/getInfo.php?workbook=13_02.xlsx&amp;sheet=U0&amp;row=86&amp;col=7&amp;number=0.00501&amp;sourceID=14","0.00501")</f>
        <v>0.00501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HYPERLINK("http://141.218.60.56/~jnz1568/getInfo.php?workbook=13_02.xlsx&amp;sheet=U0&amp;row=87&amp;col=6&amp;number=3.3&amp;sourceID=14","3.3")</f>
        <v>3.3</v>
      </c>
      <c r="G87" s="4" t="str">
        <f>HYPERLINK("http://141.218.60.56/~jnz1568/getInfo.php?workbook=13_02.xlsx&amp;sheet=U0&amp;row=87&amp;col=7&amp;number=0.00501&amp;sourceID=14","0.00501")</f>
        <v>0.00501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HYPERLINK("http://141.218.60.56/~jnz1568/getInfo.php?workbook=13_02.xlsx&amp;sheet=U0&amp;row=88&amp;col=6&amp;number=3.4&amp;sourceID=14","3.4")</f>
        <v>3.4</v>
      </c>
      <c r="G88" s="4" t="str">
        <f>HYPERLINK("http://141.218.60.56/~jnz1568/getInfo.php?workbook=13_02.xlsx&amp;sheet=U0&amp;row=88&amp;col=7&amp;number=0.00501&amp;sourceID=14","0.00501")</f>
        <v>0.00501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HYPERLINK("http://141.218.60.56/~jnz1568/getInfo.php?workbook=13_02.xlsx&amp;sheet=U0&amp;row=89&amp;col=6&amp;number=3.5&amp;sourceID=14","3.5")</f>
        <v>3.5</v>
      </c>
      <c r="G89" s="4" t="str">
        <f>HYPERLINK("http://141.218.60.56/~jnz1568/getInfo.php?workbook=13_02.xlsx&amp;sheet=U0&amp;row=89&amp;col=7&amp;number=0.00501&amp;sourceID=14","0.00501")</f>
        <v>0.00501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HYPERLINK("http://141.218.60.56/~jnz1568/getInfo.php?workbook=13_02.xlsx&amp;sheet=U0&amp;row=90&amp;col=6&amp;number=3.6&amp;sourceID=14","3.6")</f>
        <v>3.6</v>
      </c>
      <c r="G90" s="4" t="str">
        <f>HYPERLINK("http://141.218.60.56/~jnz1568/getInfo.php?workbook=13_02.xlsx&amp;sheet=U0&amp;row=90&amp;col=7&amp;number=0.00501&amp;sourceID=14","0.00501")</f>
        <v>0.00501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HYPERLINK("http://141.218.60.56/~jnz1568/getInfo.php?workbook=13_02.xlsx&amp;sheet=U0&amp;row=91&amp;col=6&amp;number=3.7&amp;sourceID=14","3.7")</f>
        <v>3.7</v>
      </c>
      <c r="G91" s="4" t="str">
        <f>HYPERLINK("http://141.218.60.56/~jnz1568/getInfo.php?workbook=13_02.xlsx&amp;sheet=U0&amp;row=91&amp;col=7&amp;number=0.00501&amp;sourceID=14","0.00501")</f>
        <v>0.00501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HYPERLINK("http://141.218.60.56/~jnz1568/getInfo.php?workbook=13_02.xlsx&amp;sheet=U0&amp;row=92&amp;col=6&amp;number=3.8&amp;sourceID=14","3.8")</f>
        <v>3.8</v>
      </c>
      <c r="G92" s="4" t="str">
        <f>HYPERLINK("http://141.218.60.56/~jnz1568/getInfo.php?workbook=13_02.xlsx&amp;sheet=U0&amp;row=92&amp;col=7&amp;number=0.00501&amp;sourceID=14","0.00501")</f>
        <v>0.00501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HYPERLINK("http://141.218.60.56/~jnz1568/getInfo.php?workbook=13_02.xlsx&amp;sheet=U0&amp;row=93&amp;col=6&amp;number=3.9&amp;sourceID=14","3.9")</f>
        <v>3.9</v>
      </c>
      <c r="G93" s="4" t="str">
        <f>HYPERLINK("http://141.218.60.56/~jnz1568/getInfo.php?workbook=13_02.xlsx&amp;sheet=U0&amp;row=93&amp;col=7&amp;number=0.00501&amp;sourceID=14","0.00501")</f>
        <v>0.00501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HYPERLINK("http://141.218.60.56/~jnz1568/getInfo.php?workbook=13_02.xlsx&amp;sheet=U0&amp;row=94&amp;col=6&amp;number=4&amp;sourceID=14","4")</f>
        <v>4</v>
      </c>
      <c r="G94" s="4" t="str">
        <f>HYPERLINK("http://141.218.60.56/~jnz1568/getInfo.php?workbook=13_02.xlsx&amp;sheet=U0&amp;row=94&amp;col=7&amp;number=0.00501&amp;sourceID=14","0.00501")</f>
        <v>0.00501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HYPERLINK("http://141.218.60.56/~jnz1568/getInfo.php?workbook=13_02.xlsx&amp;sheet=U0&amp;row=95&amp;col=6&amp;number=4.1&amp;sourceID=14","4.1")</f>
        <v>4.1</v>
      </c>
      <c r="G95" s="4" t="str">
        <f>HYPERLINK("http://141.218.60.56/~jnz1568/getInfo.php?workbook=13_02.xlsx&amp;sheet=U0&amp;row=95&amp;col=7&amp;number=0.00501&amp;sourceID=14","0.00501")</f>
        <v>0.00501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HYPERLINK("http://141.218.60.56/~jnz1568/getInfo.php?workbook=13_02.xlsx&amp;sheet=U0&amp;row=96&amp;col=6&amp;number=4.2&amp;sourceID=14","4.2")</f>
        <v>4.2</v>
      </c>
      <c r="G96" s="4" t="str">
        <f>HYPERLINK("http://141.218.60.56/~jnz1568/getInfo.php?workbook=13_02.xlsx&amp;sheet=U0&amp;row=96&amp;col=7&amp;number=0.00501&amp;sourceID=14","0.00501")</f>
        <v>0.00501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HYPERLINK("http://141.218.60.56/~jnz1568/getInfo.php?workbook=13_02.xlsx&amp;sheet=U0&amp;row=97&amp;col=6&amp;number=4.3&amp;sourceID=14","4.3")</f>
        <v>4.3</v>
      </c>
      <c r="G97" s="4" t="str">
        <f>HYPERLINK("http://141.218.60.56/~jnz1568/getInfo.php?workbook=13_02.xlsx&amp;sheet=U0&amp;row=97&amp;col=7&amp;number=0.00501&amp;sourceID=14","0.00501")</f>
        <v>0.00501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HYPERLINK("http://141.218.60.56/~jnz1568/getInfo.php?workbook=13_02.xlsx&amp;sheet=U0&amp;row=98&amp;col=6&amp;number=4.4&amp;sourceID=14","4.4")</f>
        <v>4.4</v>
      </c>
      <c r="G98" s="4" t="str">
        <f>HYPERLINK("http://141.218.60.56/~jnz1568/getInfo.php?workbook=13_02.xlsx&amp;sheet=U0&amp;row=98&amp;col=7&amp;number=0.00501&amp;sourceID=14","0.00501")</f>
        <v>0.00501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HYPERLINK("http://141.218.60.56/~jnz1568/getInfo.php?workbook=13_02.xlsx&amp;sheet=U0&amp;row=99&amp;col=6&amp;number=4.5&amp;sourceID=14","4.5")</f>
        <v>4.5</v>
      </c>
      <c r="G99" s="4" t="str">
        <f>HYPERLINK("http://141.218.60.56/~jnz1568/getInfo.php?workbook=13_02.xlsx&amp;sheet=U0&amp;row=99&amp;col=7&amp;number=0.00501&amp;sourceID=14","0.00501")</f>
        <v>0.00501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HYPERLINK("http://141.218.60.56/~jnz1568/getInfo.php?workbook=13_02.xlsx&amp;sheet=U0&amp;row=100&amp;col=6&amp;number=4.6&amp;sourceID=14","4.6")</f>
        <v>4.6</v>
      </c>
      <c r="G100" s="4" t="str">
        <f>HYPERLINK("http://141.218.60.56/~jnz1568/getInfo.php?workbook=13_02.xlsx&amp;sheet=U0&amp;row=100&amp;col=7&amp;number=0.00501&amp;sourceID=14","0.00501")</f>
        <v>0.00501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HYPERLINK("http://141.218.60.56/~jnz1568/getInfo.php?workbook=13_02.xlsx&amp;sheet=U0&amp;row=101&amp;col=6&amp;number=4.7&amp;sourceID=14","4.7")</f>
        <v>4.7</v>
      </c>
      <c r="G101" s="4" t="str">
        <f>HYPERLINK("http://141.218.60.56/~jnz1568/getInfo.php?workbook=13_02.xlsx&amp;sheet=U0&amp;row=101&amp;col=7&amp;number=0.00501&amp;sourceID=14","0.00501")</f>
        <v>0.00501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HYPERLINK("http://141.218.60.56/~jnz1568/getInfo.php?workbook=13_02.xlsx&amp;sheet=U0&amp;row=102&amp;col=6&amp;number=4.8&amp;sourceID=14","4.8")</f>
        <v>4.8</v>
      </c>
      <c r="G102" s="4" t="str">
        <f>HYPERLINK("http://141.218.60.56/~jnz1568/getInfo.php?workbook=13_02.xlsx&amp;sheet=U0&amp;row=102&amp;col=7&amp;number=0.00502&amp;sourceID=14","0.00502")</f>
        <v>0.00502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HYPERLINK("http://141.218.60.56/~jnz1568/getInfo.php?workbook=13_02.xlsx&amp;sheet=U0&amp;row=103&amp;col=6&amp;number=4.9&amp;sourceID=14","4.9")</f>
        <v>4.9</v>
      </c>
      <c r="G103" s="4" t="str">
        <f>HYPERLINK("http://141.218.60.56/~jnz1568/getInfo.php?workbook=13_02.xlsx&amp;sheet=U0&amp;row=103&amp;col=7&amp;number=0.00502&amp;sourceID=14","0.00502")</f>
        <v>0.00502</v>
      </c>
    </row>
    <row r="104" spans="1:7">
      <c r="A104" s="3">
        <v>13</v>
      </c>
      <c r="B104" s="3">
        <v>2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HYPERLINK("http://141.218.60.56/~jnz1568/getInfo.php?workbook=13_02.xlsx&amp;sheet=U0&amp;row=104&amp;col=6&amp;number=3&amp;sourceID=14","3")</f>
        <v>3</v>
      </c>
      <c r="G104" s="4" t="str">
        <f>HYPERLINK("http://141.218.60.56/~jnz1568/getInfo.php?workbook=13_02.xlsx&amp;sheet=U0&amp;row=104&amp;col=7&amp;number=0.00863&amp;sourceID=14","0.00863")</f>
        <v>0.00863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HYPERLINK("http://141.218.60.56/~jnz1568/getInfo.php?workbook=13_02.xlsx&amp;sheet=U0&amp;row=105&amp;col=6&amp;number=3.1&amp;sourceID=14","3.1")</f>
        <v>3.1</v>
      </c>
      <c r="G105" s="4" t="str">
        <f>HYPERLINK("http://141.218.60.56/~jnz1568/getInfo.php?workbook=13_02.xlsx&amp;sheet=U0&amp;row=105&amp;col=7&amp;number=0.00863&amp;sourceID=14","0.00863")</f>
        <v>0.00863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HYPERLINK("http://141.218.60.56/~jnz1568/getInfo.php?workbook=13_02.xlsx&amp;sheet=U0&amp;row=106&amp;col=6&amp;number=3.2&amp;sourceID=14","3.2")</f>
        <v>3.2</v>
      </c>
      <c r="G106" s="4" t="str">
        <f>HYPERLINK("http://141.218.60.56/~jnz1568/getInfo.php?workbook=13_02.xlsx&amp;sheet=U0&amp;row=106&amp;col=7&amp;number=0.00863&amp;sourceID=14","0.00863")</f>
        <v>0.00863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HYPERLINK("http://141.218.60.56/~jnz1568/getInfo.php?workbook=13_02.xlsx&amp;sheet=U0&amp;row=107&amp;col=6&amp;number=3.3&amp;sourceID=14","3.3")</f>
        <v>3.3</v>
      </c>
      <c r="G107" s="4" t="str">
        <f>HYPERLINK("http://141.218.60.56/~jnz1568/getInfo.php?workbook=13_02.xlsx&amp;sheet=U0&amp;row=107&amp;col=7&amp;number=0.00863&amp;sourceID=14","0.00863")</f>
        <v>0.00863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HYPERLINK("http://141.218.60.56/~jnz1568/getInfo.php?workbook=13_02.xlsx&amp;sheet=U0&amp;row=108&amp;col=6&amp;number=3.4&amp;sourceID=14","3.4")</f>
        <v>3.4</v>
      </c>
      <c r="G108" s="4" t="str">
        <f>HYPERLINK("http://141.218.60.56/~jnz1568/getInfo.php?workbook=13_02.xlsx&amp;sheet=U0&amp;row=108&amp;col=7&amp;number=0.00863&amp;sourceID=14","0.00863")</f>
        <v>0.00863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HYPERLINK("http://141.218.60.56/~jnz1568/getInfo.php?workbook=13_02.xlsx&amp;sheet=U0&amp;row=109&amp;col=6&amp;number=3.5&amp;sourceID=14","3.5")</f>
        <v>3.5</v>
      </c>
      <c r="G109" s="4" t="str">
        <f>HYPERLINK("http://141.218.60.56/~jnz1568/getInfo.php?workbook=13_02.xlsx&amp;sheet=U0&amp;row=109&amp;col=7&amp;number=0.00863&amp;sourceID=14","0.00863")</f>
        <v>0.00863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HYPERLINK("http://141.218.60.56/~jnz1568/getInfo.php?workbook=13_02.xlsx&amp;sheet=U0&amp;row=110&amp;col=6&amp;number=3.6&amp;sourceID=14","3.6")</f>
        <v>3.6</v>
      </c>
      <c r="G110" s="4" t="str">
        <f>HYPERLINK("http://141.218.60.56/~jnz1568/getInfo.php?workbook=13_02.xlsx&amp;sheet=U0&amp;row=110&amp;col=7&amp;number=0.00863&amp;sourceID=14","0.00863")</f>
        <v>0.00863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HYPERLINK("http://141.218.60.56/~jnz1568/getInfo.php?workbook=13_02.xlsx&amp;sheet=U0&amp;row=111&amp;col=6&amp;number=3.7&amp;sourceID=14","3.7")</f>
        <v>3.7</v>
      </c>
      <c r="G111" s="4" t="str">
        <f>HYPERLINK("http://141.218.60.56/~jnz1568/getInfo.php?workbook=13_02.xlsx&amp;sheet=U0&amp;row=111&amp;col=7&amp;number=0.00863&amp;sourceID=14","0.00863")</f>
        <v>0.00863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HYPERLINK("http://141.218.60.56/~jnz1568/getInfo.php?workbook=13_02.xlsx&amp;sheet=U0&amp;row=112&amp;col=6&amp;number=3.8&amp;sourceID=14","3.8")</f>
        <v>3.8</v>
      </c>
      <c r="G112" s="4" t="str">
        <f>HYPERLINK("http://141.218.60.56/~jnz1568/getInfo.php?workbook=13_02.xlsx&amp;sheet=U0&amp;row=112&amp;col=7&amp;number=0.00863&amp;sourceID=14","0.00863")</f>
        <v>0.00863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HYPERLINK("http://141.218.60.56/~jnz1568/getInfo.php?workbook=13_02.xlsx&amp;sheet=U0&amp;row=113&amp;col=6&amp;number=3.9&amp;sourceID=14","3.9")</f>
        <v>3.9</v>
      </c>
      <c r="G113" s="4" t="str">
        <f>HYPERLINK("http://141.218.60.56/~jnz1568/getInfo.php?workbook=13_02.xlsx&amp;sheet=U0&amp;row=113&amp;col=7&amp;number=0.00863&amp;sourceID=14","0.00863")</f>
        <v>0.00863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HYPERLINK("http://141.218.60.56/~jnz1568/getInfo.php?workbook=13_02.xlsx&amp;sheet=U0&amp;row=114&amp;col=6&amp;number=4&amp;sourceID=14","4")</f>
        <v>4</v>
      </c>
      <c r="G114" s="4" t="str">
        <f>HYPERLINK("http://141.218.60.56/~jnz1568/getInfo.php?workbook=13_02.xlsx&amp;sheet=U0&amp;row=114&amp;col=7&amp;number=0.00864&amp;sourceID=14","0.00864")</f>
        <v>0.00864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HYPERLINK("http://141.218.60.56/~jnz1568/getInfo.php?workbook=13_02.xlsx&amp;sheet=U0&amp;row=115&amp;col=6&amp;number=4.1&amp;sourceID=14","4.1")</f>
        <v>4.1</v>
      </c>
      <c r="G115" s="4" t="str">
        <f>HYPERLINK("http://141.218.60.56/~jnz1568/getInfo.php?workbook=13_02.xlsx&amp;sheet=U0&amp;row=115&amp;col=7&amp;number=0.00864&amp;sourceID=14","0.00864")</f>
        <v>0.00864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HYPERLINK("http://141.218.60.56/~jnz1568/getInfo.php?workbook=13_02.xlsx&amp;sheet=U0&amp;row=116&amp;col=6&amp;number=4.2&amp;sourceID=14","4.2")</f>
        <v>4.2</v>
      </c>
      <c r="G116" s="4" t="str">
        <f>HYPERLINK("http://141.218.60.56/~jnz1568/getInfo.php?workbook=13_02.xlsx&amp;sheet=U0&amp;row=116&amp;col=7&amp;number=0.00864&amp;sourceID=14","0.00864")</f>
        <v>0.00864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HYPERLINK("http://141.218.60.56/~jnz1568/getInfo.php?workbook=13_02.xlsx&amp;sheet=U0&amp;row=117&amp;col=6&amp;number=4.3&amp;sourceID=14","4.3")</f>
        <v>4.3</v>
      </c>
      <c r="G117" s="4" t="str">
        <f>HYPERLINK("http://141.218.60.56/~jnz1568/getInfo.php?workbook=13_02.xlsx&amp;sheet=U0&amp;row=117&amp;col=7&amp;number=0.00865&amp;sourceID=14","0.00865")</f>
        <v>0.00865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HYPERLINK("http://141.218.60.56/~jnz1568/getInfo.php?workbook=13_02.xlsx&amp;sheet=U0&amp;row=118&amp;col=6&amp;number=4.4&amp;sourceID=14","4.4")</f>
        <v>4.4</v>
      </c>
      <c r="G118" s="4" t="str">
        <f>HYPERLINK("http://141.218.60.56/~jnz1568/getInfo.php?workbook=13_02.xlsx&amp;sheet=U0&amp;row=118&amp;col=7&amp;number=0.00865&amp;sourceID=14","0.00865")</f>
        <v>0.00865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HYPERLINK("http://141.218.60.56/~jnz1568/getInfo.php?workbook=13_02.xlsx&amp;sheet=U0&amp;row=119&amp;col=6&amp;number=4.5&amp;sourceID=14","4.5")</f>
        <v>4.5</v>
      </c>
      <c r="G119" s="4" t="str">
        <f>HYPERLINK("http://141.218.60.56/~jnz1568/getInfo.php?workbook=13_02.xlsx&amp;sheet=U0&amp;row=119&amp;col=7&amp;number=0.00866&amp;sourceID=14","0.00866")</f>
        <v>0.00866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HYPERLINK("http://141.218.60.56/~jnz1568/getInfo.php?workbook=13_02.xlsx&amp;sheet=U0&amp;row=120&amp;col=6&amp;number=4.6&amp;sourceID=14","4.6")</f>
        <v>4.6</v>
      </c>
      <c r="G120" s="4" t="str">
        <f>HYPERLINK("http://141.218.60.56/~jnz1568/getInfo.php?workbook=13_02.xlsx&amp;sheet=U0&amp;row=120&amp;col=7&amp;number=0.00867&amp;sourceID=14","0.00867")</f>
        <v>0.00867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HYPERLINK("http://141.218.60.56/~jnz1568/getInfo.php?workbook=13_02.xlsx&amp;sheet=U0&amp;row=121&amp;col=6&amp;number=4.7&amp;sourceID=14","4.7")</f>
        <v>4.7</v>
      </c>
      <c r="G121" s="4" t="str">
        <f>HYPERLINK("http://141.218.60.56/~jnz1568/getInfo.php?workbook=13_02.xlsx&amp;sheet=U0&amp;row=121&amp;col=7&amp;number=0.00869&amp;sourceID=14","0.00869")</f>
        <v>0.00869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HYPERLINK("http://141.218.60.56/~jnz1568/getInfo.php?workbook=13_02.xlsx&amp;sheet=U0&amp;row=122&amp;col=6&amp;number=4.8&amp;sourceID=14","4.8")</f>
        <v>4.8</v>
      </c>
      <c r="G122" s="4" t="str">
        <f>HYPERLINK("http://141.218.60.56/~jnz1568/getInfo.php?workbook=13_02.xlsx&amp;sheet=U0&amp;row=122&amp;col=7&amp;number=0.0087&amp;sourceID=14","0.0087")</f>
        <v>0.0087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HYPERLINK("http://141.218.60.56/~jnz1568/getInfo.php?workbook=13_02.xlsx&amp;sheet=U0&amp;row=123&amp;col=6&amp;number=4.9&amp;sourceID=14","4.9")</f>
        <v>4.9</v>
      </c>
      <c r="G123" s="4" t="str">
        <f>HYPERLINK("http://141.218.60.56/~jnz1568/getInfo.php?workbook=13_02.xlsx&amp;sheet=U0&amp;row=123&amp;col=7&amp;number=0.00872&amp;sourceID=14","0.00872")</f>
        <v>0.00872</v>
      </c>
    </row>
    <row r="124" spans="1:7">
      <c r="A124" s="3">
        <v>13</v>
      </c>
      <c r="B124" s="3">
        <v>2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HYPERLINK("http://141.218.60.56/~jnz1568/getInfo.php?workbook=13_02.xlsx&amp;sheet=U0&amp;row=124&amp;col=6&amp;number=3&amp;sourceID=14","3")</f>
        <v>3</v>
      </c>
      <c r="G124" s="4" t="str">
        <f>HYPERLINK("http://141.218.60.56/~jnz1568/getInfo.php?workbook=13_02.xlsx&amp;sheet=U0&amp;row=124&amp;col=7&amp;number=0.000391&amp;sourceID=14","0.000391")</f>
        <v>0.000391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HYPERLINK("http://141.218.60.56/~jnz1568/getInfo.php?workbook=13_02.xlsx&amp;sheet=U0&amp;row=125&amp;col=6&amp;number=3.1&amp;sourceID=14","3.1")</f>
        <v>3.1</v>
      </c>
      <c r="G125" s="4" t="str">
        <f>HYPERLINK("http://141.218.60.56/~jnz1568/getInfo.php?workbook=13_02.xlsx&amp;sheet=U0&amp;row=125&amp;col=7&amp;number=0.000391&amp;sourceID=14","0.000391")</f>
        <v>0.000391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HYPERLINK("http://141.218.60.56/~jnz1568/getInfo.php?workbook=13_02.xlsx&amp;sheet=U0&amp;row=126&amp;col=6&amp;number=3.2&amp;sourceID=14","3.2")</f>
        <v>3.2</v>
      </c>
      <c r="G126" s="4" t="str">
        <f>HYPERLINK("http://141.218.60.56/~jnz1568/getInfo.php?workbook=13_02.xlsx&amp;sheet=U0&amp;row=126&amp;col=7&amp;number=0.000391&amp;sourceID=14","0.000391")</f>
        <v>0.000391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HYPERLINK("http://141.218.60.56/~jnz1568/getInfo.php?workbook=13_02.xlsx&amp;sheet=U0&amp;row=127&amp;col=6&amp;number=3.3&amp;sourceID=14","3.3")</f>
        <v>3.3</v>
      </c>
      <c r="G127" s="4" t="str">
        <f>HYPERLINK("http://141.218.60.56/~jnz1568/getInfo.php?workbook=13_02.xlsx&amp;sheet=U0&amp;row=127&amp;col=7&amp;number=0.000391&amp;sourceID=14","0.000391")</f>
        <v>0.000391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HYPERLINK("http://141.218.60.56/~jnz1568/getInfo.php?workbook=13_02.xlsx&amp;sheet=U0&amp;row=128&amp;col=6&amp;number=3.4&amp;sourceID=14","3.4")</f>
        <v>3.4</v>
      </c>
      <c r="G128" s="4" t="str">
        <f>HYPERLINK("http://141.218.60.56/~jnz1568/getInfo.php?workbook=13_02.xlsx&amp;sheet=U0&amp;row=128&amp;col=7&amp;number=0.000391&amp;sourceID=14","0.000391")</f>
        <v>0.000391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HYPERLINK("http://141.218.60.56/~jnz1568/getInfo.php?workbook=13_02.xlsx&amp;sheet=U0&amp;row=129&amp;col=6&amp;number=3.5&amp;sourceID=14","3.5")</f>
        <v>3.5</v>
      </c>
      <c r="G129" s="4" t="str">
        <f>HYPERLINK("http://141.218.60.56/~jnz1568/getInfo.php?workbook=13_02.xlsx&amp;sheet=U0&amp;row=129&amp;col=7&amp;number=0.000391&amp;sourceID=14","0.000391")</f>
        <v>0.000391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HYPERLINK("http://141.218.60.56/~jnz1568/getInfo.php?workbook=13_02.xlsx&amp;sheet=U0&amp;row=130&amp;col=6&amp;number=3.6&amp;sourceID=14","3.6")</f>
        <v>3.6</v>
      </c>
      <c r="G130" s="4" t="str">
        <f>HYPERLINK("http://141.218.60.56/~jnz1568/getInfo.php?workbook=13_02.xlsx&amp;sheet=U0&amp;row=130&amp;col=7&amp;number=0.000391&amp;sourceID=14","0.000391")</f>
        <v>0.000391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HYPERLINK("http://141.218.60.56/~jnz1568/getInfo.php?workbook=13_02.xlsx&amp;sheet=U0&amp;row=131&amp;col=6&amp;number=3.7&amp;sourceID=14","3.7")</f>
        <v>3.7</v>
      </c>
      <c r="G131" s="4" t="str">
        <f>HYPERLINK("http://141.218.60.56/~jnz1568/getInfo.php?workbook=13_02.xlsx&amp;sheet=U0&amp;row=131&amp;col=7&amp;number=0.000391&amp;sourceID=14","0.000391")</f>
        <v>0.000391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HYPERLINK("http://141.218.60.56/~jnz1568/getInfo.php?workbook=13_02.xlsx&amp;sheet=U0&amp;row=132&amp;col=6&amp;number=3.8&amp;sourceID=14","3.8")</f>
        <v>3.8</v>
      </c>
      <c r="G132" s="4" t="str">
        <f>HYPERLINK("http://141.218.60.56/~jnz1568/getInfo.php?workbook=13_02.xlsx&amp;sheet=U0&amp;row=132&amp;col=7&amp;number=0.000391&amp;sourceID=14","0.000391")</f>
        <v>0.000391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HYPERLINK("http://141.218.60.56/~jnz1568/getInfo.php?workbook=13_02.xlsx&amp;sheet=U0&amp;row=133&amp;col=6&amp;number=3.9&amp;sourceID=14","3.9")</f>
        <v>3.9</v>
      </c>
      <c r="G133" s="4" t="str">
        <f>HYPERLINK("http://141.218.60.56/~jnz1568/getInfo.php?workbook=13_02.xlsx&amp;sheet=U0&amp;row=133&amp;col=7&amp;number=0.000391&amp;sourceID=14","0.000391")</f>
        <v>0.000391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HYPERLINK("http://141.218.60.56/~jnz1568/getInfo.php?workbook=13_02.xlsx&amp;sheet=U0&amp;row=134&amp;col=6&amp;number=4&amp;sourceID=14","4")</f>
        <v>4</v>
      </c>
      <c r="G134" s="4" t="str">
        <f>HYPERLINK("http://141.218.60.56/~jnz1568/getInfo.php?workbook=13_02.xlsx&amp;sheet=U0&amp;row=134&amp;col=7&amp;number=0.000391&amp;sourceID=14","0.000391")</f>
        <v>0.000391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HYPERLINK("http://141.218.60.56/~jnz1568/getInfo.php?workbook=13_02.xlsx&amp;sheet=U0&amp;row=135&amp;col=6&amp;number=4.1&amp;sourceID=14","4.1")</f>
        <v>4.1</v>
      </c>
      <c r="G135" s="4" t="str">
        <f>HYPERLINK("http://141.218.60.56/~jnz1568/getInfo.php?workbook=13_02.xlsx&amp;sheet=U0&amp;row=135&amp;col=7&amp;number=0.000391&amp;sourceID=14","0.000391")</f>
        <v>0.000391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HYPERLINK("http://141.218.60.56/~jnz1568/getInfo.php?workbook=13_02.xlsx&amp;sheet=U0&amp;row=136&amp;col=6&amp;number=4.2&amp;sourceID=14","4.2")</f>
        <v>4.2</v>
      </c>
      <c r="G136" s="4" t="str">
        <f>HYPERLINK("http://141.218.60.56/~jnz1568/getInfo.php?workbook=13_02.xlsx&amp;sheet=U0&amp;row=136&amp;col=7&amp;number=0.000391&amp;sourceID=14","0.000391")</f>
        <v>0.000391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HYPERLINK("http://141.218.60.56/~jnz1568/getInfo.php?workbook=13_02.xlsx&amp;sheet=U0&amp;row=137&amp;col=6&amp;number=4.3&amp;sourceID=14","4.3")</f>
        <v>4.3</v>
      </c>
      <c r="G137" s="4" t="str">
        <f>HYPERLINK("http://141.218.60.56/~jnz1568/getInfo.php?workbook=13_02.xlsx&amp;sheet=U0&amp;row=137&amp;col=7&amp;number=0.000391&amp;sourceID=14","0.000391")</f>
        <v>0.000391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HYPERLINK("http://141.218.60.56/~jnz1568/getInfo.php?workbook=13_02.xlsx&amp;sheet=U0&amp;row=138&amp;col=6&amp;number=4.4&amp;sourceID=14","4.4")</f>
        <v>4.4</v>
      </c>
      <c r="G138" s="4" t="str">
        <f>HYPERLINK("http://141.218.60.56/~jnz1568/getInfo.php?workbook=13_02.xlsx&amp;sheet=U0&amp;row=138&amp;col=7&amp;number=0.000391&amp;sourceID=14","0.000391")</f>
        <v>0.000391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HYPERLINK("http://141.218.60.56/~jnz1568/getInfo.php?workbook=13_02.xlsx&amp;sheet=U0&amp;row=139&amp;col=6&amp;number=4.5&amp;sourceID=14","4.5")</f>
        <v>4.5</v>
      </c>
      <c r="G139" s="4" t="str">
        <f>HYPERLINK("http://141.218.60.56/~jnz1568/getInfo.php?workbook=13_02.xlsx&amp;sheet=U0&amp;row=139&amp;col=7&amp;number=0.000391&amp;sourceID=14","0.000391")</f>
        <v>0.000391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HYPERLINK("http://141.218.60.56/~jnz1568/getInfo.php?workbook=13_02.xlsx&amp;sheet=U0&amp;row=140&amp;col=6&amp;number=4.6&amp;sourceID=14","4.6")</f>
        <v>4.6</v>
      </c>
      <c r="G140" s="4" t="str">
        <f>HYPERLINK("http://141.218.60.56/~jnz1568/getInfo.php?workbook=13_02.xlsx&amp;sheet=U0&amp;row=140&amp;col=7&amp;number=0.00039&amp;sourceID=14","0.00039")</f>
        <v>0.00039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HYPERLINK("http://141.218.60.56/~jnz1568/getInfo.php?workbook=13_02.xlsx&amp;sheet=U0&amp;row=141&amp;col=6&amp;number=4.7&amp;sourceID=14","4.7")</f>
        <v>4.7</v>
      </c>
      <c r="G141" s="4" t="str">
        <f>HYPERLINK("http://141.218.60.56/~jnz1568/getInfo.php?workbook=13_02.xlsx&amp;sheet=U0&amp;row=141&amp;col=7&amp;number=0.00039&amp;sourceID=14","0.00039")</f>
        <v>0.00039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HYPERLINK("http://141.218.60.56/~jnz1568/getInfo.php?workbook=13_02.xlsx&amp;sheet=U0&amp;row=142&amp;col=6&amp;number=4.8&amp;sourceID=14","4.8")</f>
        <v>4.8</v>
      </c>
      <c r="G142" s="4" t="str">
        <f>HYPERLINK("http://141.218.60.56/~jnz1568/getInfo.php?workbook=13_02.xlsx&amp;sheet=U0&amp;row=142&amp;col=7&amp;number=0.00039&amp;sourceID=14","0.00039")</f>
        <v>0.00039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HYPERLINK("http://141.218.60.56/~jnz1568/getInfo.php?workbook=13_02.xlsx&amp;sheet=U0&amp;row=143&amp;col=6&amp;number=4.9&amp;sourceID=14","4.9")</f>
        <v>4.9</v>
      </c>
      <c r="G143" s="4" t="str">
        <f>HYPERLINK("http://141.218.60.56/~jnz1568/getInfo.php?workbook=13_02.xlsx&amp;sheet=U0&amp;row=143&amp;col=7&amp;number=0.00039&amp;sourceID=14","0.00039")</f>
        <v>0.00039</v>
      </c>
    </row>
    <row r="144" spans="1:7">
      <c r="A144" s="3">
        <v>13</v>
      </c>
      <c r="B144" s="3">
        <v>2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HYPERLINK("http://141.218.60.56/~jnz1568/getInfo.php?workbook=13_02.xlsx&amp;sheet=U0&amp;row=144&amp;col=6&amp;number=3&amp;sourceID=14","3")</f>
        <v>3</v>
      </c>
      <c r="G144" s="4" t="str">
        <f>HYPERLINK("http://141.218.60.56/~jnz1568/getInfo.php?workbook=13_02.xlsx&amp;sheet=U0&amp;row=144&amp;col=7&amp;number=0.000572&amp;sourceID=14","0.000572")</f>
        <v>0.000572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HYPERLINK("http://141.218.60.56/~jnz1568/getInfo.php?workbook=13_02.xlsx&amp;sheet=U0&amp;row=145&amp;col=6&amp;number=3.1&amp;sourceID=14","3.1")</f>
        <v>3.1</v>
      </c>
      <c r="G145" s="4" t="str">
        <f>HYPERLINK("http://141.218.60.56/~jnz1568/getInfo.php?workbook=13_02.xlsx&amp;sheet=U0&amp;row=145&amp;col=7&amp;number=0.000572&amp;sourceID=14","0.000572")</f>
        <v>0.000572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HYPERLINK("http://141.218.60.56/~jnz1568/getInfo.php?workbook=13_02.xlsx&amp;sheet=U0&amp;row=146&amp;col=6&amp;number=3.2&amp;sourceID=14","3.2")</f>
        <v>3.2</v>
      </c>
      <c r="G146" s="4" t="str">
        <f>HYPERLINK("http://141.218.60.56/~jnz1568/getInfo.php?workbook=13_02.xlsx&amp;sheet=U0&amp;row=146&amp;col=7&amp;number=0.000572&amp;sourceID=14","0.000572")</f>
        <v>0.000572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HYPERLINK("http://141.218.60.56/~jnz1568/getInfo.php?workbook=13_02.xlsx&amp;sheet=U0&amp;row=147&amp;col=6&amp;number=3.3&amp;sourceID=14","3.3")</f>
        <v>3.3</v>
      </c>
      <c r="G147" s="4" t="str">
        <f>HYPERLINK("http://141.218.60.56/~jnz1568/getInfo.php?workbook=13_02.xlsx&amp;sheet=U0&amp;row=147&amp;col=7&amp;number=0.000572&amp;sourceID=14","0.000572")</f>
        <v>0.000572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HYPERLINK("http://141.218.60.56/~jnz1568/getInfo.php?workbook=13_02.xlsx&amp;sheet=U0&amp;row=148&amp;col=6&amp;number=3.4&amp;sourceID=14","3.4")</f>
        <v>3.4</v>
      </c>
      <c r="G148" s="4" t="str">
        <f>HYPERLINK("http://141.218.60.56/~jnz1568/getInfo.php?workbook=13_02.xlsx&amp;sheet=U0&amp;row=148&amp;col=7&amp;number=0.000572&amp;sourceID=14","0.000572")</f>
        <v>0.000572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HYPERLINK("http://141.218.60.56/~jnz1568/getInfo.php?workbook=13_02.xlsx&amp;sheet=U0&amp;row=149&amp;col=6&amp;number=3.5&amp;sourceID=14","3.5")</f>
        <v>3.5</v>
      </c>
      <c r="G149" s="4" t="str">
        <f>HYPERLINK("http://141.218.60.56/~jnz1568/getInfo.php?workbook=13_02.xlsx&amp;sheet=U0&amp;row=149&amp;col=7&amp;number=0.000572&amp;sourceID=14","0.000572")</f>
        <v>0.000572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HYPERLINK("http://141.218.60.56/~jnz1568/getInfo.php?workbook=13_02.xlsx&amp;sheet=U0&amp;row=150&amp;col=6&amp;number=3.6&amp;sourceID=14","3.6")</f>
        <v>3.6</v>
      </c>
      <c r="G150" s="4" t="str">
        <f>HYPERLINK("http://141.218.60.56/~jnz1568/getInfo.php?workbook=13_02.xlsx&amp;sheet=U0&amp;row=150&amp;col=7&amp;number=0.000572&amp;sourceID=14","0.000572")</f>
        <v>0.000572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HYPERLINK("http://141.218.60.56/~jnz1568/getInfo.php?workbook=13_02.xlsx&amp;sheet=U0&amp;row=151&amp;col=6&amp;number=3.7&amp;sourceID=14","3.7")</f>
        <v>3.7</v>
      </c>
      <c r="G151" s="4" t="str">
        <f>HYPERLINK("http://141.218.60.56/~jnz1568/getInfo.php?workbook=13_02.xlsx&amp;sheet=U0&amp;row=151&amp;col=7&amp;number=0.000572&amp;sourceID=14","0.000572")</f>
        <v>0.000572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HYPERLINK("http://141.218.60.56/~jnz1568/getInfo.php?workbook=13_02.xlsx&amp;sheet=U0&amp;row=152&amp;col=6&amp;number=3.8&amp;sourceID=14","3.8")</f>
        <v>3.8</v>
      </c>
      <c r="G152" s="4" t="str">
        <f>HYPERLINK("http://141.218.60.56/~jnz1568/getInfo.php?workbook=13_02.xlsx&amp;sheet=U0&amp;row=152&amp;col=7&amp;number=0.000572&amp;sourceID=14","0.000572")</f>
        <v>0.000572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HYPERLINK("http://141.218.60.56/~jnz1568/getInfo.php?workbook=13_02.xlsx&amp;sheet=U0&amp;row=153&amp;col=6&amp;number=3.9&amp;sourceID=14","3.9")</f>
        <v>3.9</v>
      </c>
      <c r="G153" s="4" t="str">
        <f>HYPERLINK("http://141.218.60.56/~jnz1568/getInfo.php?workbook=13_02.xlsx&amp;sheet=U0&amp;row=153&amp;col=7&amp;number=0.000572&amp;sourceID=14","0.000572")</f>
        <v>0.000572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HYPERLINK("http://141.218.60.56/~jnz1568/getInfo.php?workbook=13_02.xlsx&amp;sheet=U0&amp;row=154&amp;col=6&amp;number=4&amp;sourceID=14","4")</f>
        <v>4</v>
      </c>
      <c r="G154" s="4" t="str">
        <f>HYPERLINK("http://141.218.60.56/~jnz1568/getInfo.php?workbook=13_02.xlsx&amp;sheet=U0&amp;row=154&amp;col=7&amp;number=0.000572&amp;sourceID=14","0.000572")</f>
        <v>0.000572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HYPERLINK("http://141.218.60.56/~jnz1568/getInfo.php?workbook=13_02.xlsx&amp;sheet=U0&amp;row=155&amp;col=6&amp;number=4.1&amp;sourceID=14","4.1")</f>
        <v>4.1</v>
      </c>
      <c r="G155" s="4" t="str">
        <f>HYPERLINK("http://141.218.60.56/~jnz1568/getInfo.php?workbook=13_02.xlsx&amp;sheet=U0&amp;row=155&amp;col=7&amp;number=0.000572&amp;sourceID=14","0.000572")</f>
        <v>0.000572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HYPERLINK("http://141.218.60.56/~jnz1568/getInfo.php?workbook=13_02.xlsx&amp;sheet=U0&amp;row=156&amp;col=6&amp;number=4.2&amp;sourceID=14","4.2")</f>
        <v>4.2</v>
      </c>
      <c r="G156" s="4" t="str">
        <f>HYPERLINK("http://141.218.60.56/~jnz1568/getInfo.php?workbook=13_02.xlsx&amp;sheet=U0&amp;row=156&amp;col=7&amp;number=0.000572&amp;sourceID=14","0.000572")</f>
        <v>0.000572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HYPERLINK("http://141.218.60.56/~jnz1568/getInfo.php?workbook=13_02.xlsx&amp;sheet=U0&amp;row=157&amp;col=6&amp;number=4.3&amp;sourceID=14","4.3")</f>
        <v>4.3</v>
      </c>
      <c r="G157" s="4" t="str">
        <f>HYPERLINK("http://141.218.60.56/~jnz1568/getInfo.php?workbook=13_02.xlsx&amp;sheet=U0&amp;row=157&amp;col=7&amp;number=0.000572&amp;sourceID=14","0.000572")</f>
        <v>0.000572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HYPERLINK("http://141.218.60.56/~jnz1568/getInfo.php?workbook=13_02.xlsx&amp;sheet=U0&amp;row=158&amp;col=6&amp;number=4.4&amp;sourceID=14","4.4")</f>
        <v>4.4</v>
      </c>
      <c r="G158" s="4" t="str">
        <f>HYPERLINK("http://141.218.60.56/~jnz1568/getInfo.php?workbook=13_02.xlsx&amp;sheet=U0&amp;row=158&amp;col=7&amp;number=0.000573&amp;sourceID=14","0.000573")</f>
        <v>0.000573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HYPERLINK("http://141.218.60.56/~jnz1568/getInfo.php?workbook=13_02.xlsx&amp;sheet=U0&amp;row=159&amp;col=6&amp;number=4.5&amp;sourceID=14","4.5")</f>
        <v>4.5</v>
      </c>
      <c r="G159" s="4" t="str">
        <f>HYPERLINK("http://141.218.60.56/~jnz1568/getInfo.php?workbook=13_02.xlsx&amp;sheet=U0&amp;row=159&amp;col=7&amp;number=0.000573&amp;sourceID=14","0.000573")</f>
        <v>0.000573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HYPERLINK("http://141.218.60.56/~jnz1568/getInfo.php?workbook=13_02.xlsx&amp;sheet=U0&amp;row=160&amp;col=6&amp;number=4.6&amp;sourceID=14","4.6")</f>
        <v>4.6</v>
      </c>
      <c r="G160" s="4" t="str">
        <f>HYPERLINK("http://141.218.60.56/~jnz1568/getInfo.php?workbook=13_02.xlsx&amp;sheet=U0&amp;row=160&amp;col=7&amp;number=0.000573&amp;sourceID=14","0.000573")</f>
        <v>0.000573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HYPERLINK("http://141.218.60.56/~jnz1568/getInfo.php?workbook=13_02.xlsx&amp;sheet=U0&amp;row=161&amp;col=6&amp;number=4.7&amp;sourceID=14","4.7")</f>
        <v>4.7</v>
      </c>
      <c r="G161" s="4" t="str">
        <f>HYPERLINK("http://141.218.60.56/~jnz1568/getInfo.php?workbook=13_02.xlsx&amp;sheet=U0&amp;row=161&amp;col=7&amp;number=0.000573&amp;sourceID=14","0.000573")</f>
        <v>0.000573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HYPERLINK("http://141.218.60.56/~jnz1568/getInfo.php?workbook=13_02.xlsx&amp;sheet=U0&amp;row=162&amp;col=6&amp;number=4.8&amp;sourceID=14","4.8")</f>
        <v>4.8</v>
      </c>
      <c r="G162" s="4" t="str">
        <f>HYPERLINK("http://141.218.60.56/~jnz1568/getInfo.php?workbook=13_02.xlsx&amp;sheet=U0&amp;row=162&amp;col=7&amp;number=0.000573&amp;sourceID=14","0.000573")</f>
        <v>0.000573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HYPERLINK("http://141.218.60.56/~jnz1568/getInfo.php?workbook=13_02.xlsx&amp;sheet=U0&amp;row=163&amp;col=6&amp;number=4.9&amp;sourceID=14","4.9")</f>
        <v>4.9</v>
      </c>
      <c r="G163" s="4" t="str">
        <f>HYPERLINK("http://141.218.60.56/~jnz1568/getInfo.php?workbook=13_02.xlsx&amp;sheet=U0&amp;row=163&amp;col=7&amp;number=0.000573&amp;sourceID=14","0.000573")</f>
        <v>0.000573</v>
      </c>
    </row>
    <row r="164" spans="1:7">
      <c r="A164" s="3">
        <v>13</v>
      </c>
      <c r="B164" s="3">
        <v>2</v>
      </c>
      <c r="C164" s="3" t="s">
        <v>80</v>
      </c>
      <c r="D164" s="3">
        <v>0</v>
      </c>
      <c r="E164" s="3">
        <v>1</v>
      </c>
      <c r="F164" s="4" t="str">
        <f>HYPERLINK("http://141.218.60.56/~jnz1568/getInfo.php?workbook=13_02.xlsx&amp;sheet=U0&amp;row=164&amp;col=6&amp;number=3&amp;sourceID=14","3")</f>
        <v>3</v>
      </c>
      <c r="G164" s="4" t="str">
        <f>HYPERLINK("http://141.218.60.56/~jnz1568/getInfo.php?workbook=13_02.xlsx&amp;sheet=U0&amp;row=164&amp;col=7&amp;number=0.00024&amp;sourceID=14","0.00024")</f>
        <v>0.00024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HYPERLINK("http://141.218.60.56/~jnz1568/getInfo.php?workbook=13_02.xlsx&amp;sheet=U0&amp;row=165&amp;col=6&amp;number=3.1&amp;sourceID=14","3.1")</f>
        <v>3.1</v>
      </c>
      <c r="G165" s="4" t="str">
        <f>HYPERLINK("http://141.218.60.56/~jnz1568/getInfo.php?workbook=13_02.xlsx&amp;sheet=U0&amp;row=165&amp;col=7&amp;number=0.00024&amp;sourceID=14","0.00024")</f>
        <v>0.00024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HYPERLINK("http://141.218.60.56/~jnz1568/getInfo.php?workbook=13_02.xlsx&amp;sheet=U0&amp;row=166&amp;col=6&amp;number=3.2&amp;sourceID=14","3.2")</f>
        <v>3.2</v>
      </c>
      <c r="G166" s="4" t="str">
        <f>HYPERLINK("http://141.218.60.56/~jnz1568/getInfo.php?workbook=13_02.xlsx&amp;sheet=U0&amp;row=166&amp;col=7&amp;number=0.00024&amp;sourceID=14","0.00024")</f>
        <v>0.00024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HYPERLINK("http://141.218.60.56/~jnz1568/getInfo.php?workbook=13_02.xlsx&amp;sheet=U0&amp;row=167&amp;col=6&amp;number=3.3&amp;sourceID=14","3.3")</f>
        <v>3.3</v>
      </c>
      <c r="G167" s="4" t="str">
        <f>HYPERLINK("http://141.218.60.56/~jnz1568/getInfo.php?workbook=13_02.xlsx&amp;sheet=U0&amp;row=167&amp;col=7&amp;number=0.00024&amp;sourceID=14","0.00024")</f>
        <v>0.00024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HYPERLINK("http://141.218.60.56/~jnz1568/getInfo.php?workbook=13_02.xlsx&amp;sheet=U0&amp;row=168&amp;col=6&amp;number=3.4&amp;sourceID=14","3.4")</f>
        <v>3.4</v>
      </c>
      <c r="G168" s="4" t="str">
        <f>HYPERLINK("http://141.218.60.56/~jnz1568/getInfo.php?workbook=13_02.xlsx&amp;sheet=U0&amp;row=168&amp;col=7&amp;number=0.00024&amp;sourceID=14","0.00024")</f>
        <v>0.00024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HYPERLINK("http://141.218.60.56/~jnz1568/getInfo.php?workbook=13_02.xlsx&amp;sheet=U0&amp;row=169&amp;col=6&amp;number=3.5&amp;sourceID=14","3.5")</f>
        <v>3.5</v>
      </c>
      <c r="G169" s="4" t="str">
        <f>HYPERLINK("http://141.218.60.56/~jnz1568/getInfo.php?workbook=13_02.xlsx&amp;sheet=U0&amp;row=169&amp;col=7&amp;number=0.00024&amp;sourceID=14","0.00024")</f>
        <v>0.00024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HYPERLINK("http://141.218.60.56/~jnz1568/getInfo.php?workbook=13_02.xlsx&amp;sheet=U0&amp;row=170&amp;col=6&amp;number=3.6&amp;sourceID=14","3.6")</f>
        <v>3.6</v>
      </c>
      <c r="G170" s="4" t="str">
        <f>HYPERLINK("http://141.218.60.56/~jnz1568/getInfo.php?workbook=13_02.xlsx&amp;sheet=U0&amp;row=170&amp;col=7&amp;number=0.00024&amp;sourceID=14","0.00024")</f>
        <v>0.00024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HYPERLINK("http://141.218.60.56/~jnz1568/getInfo.php?workbook=13_02.xlsx&amp;sheet=U0&amp;row=171&amp;col=6&amp;number=3.7&amp;sourceID=14","3.7")</f>
        <v>3.7</v>
      </c>
      <c r="G171" s="4" t="str">
        <f>HYPERLINK("http://141.218.60.56/~jnz1568/getInfo.php?workbook=13_02.xlsx&amp;sheet=U0&amp;row=171&amp;col=7&amp;number=0.00024&amp;sourceID=14","0.00024")</f>
        <v>0.00024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HYPERLINK("http://141.218.60.56/~jnz1568/getInfo.php?workbook=13_02.xlsx&amp;sheet=U0&amp;row=172&amp;col=6&amp;number=3.8&amp;sourceID=14","3.8")</f>
        <v>3.8</v>
      </c>
      <c r="G172" s="4" t="str">
        <f>HYPERLINK("http://141.218.60.56/~jnz1568/getInfo.php?workbook=13_02.xlsx&amp;sheet=U0&amp;row=172&amp;col=7&amp;number=0.00024&amp;sourceID=14","0.00024")</f>
        <v>0.00024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HYPERLINK("http://141.218.60.56/~jnz1568/getInfo.php?workbook=13_02.xlsx&amp;sheet=U0&amp;row=173&amp;col=6&amp;number=3.9&amp;sourceID=14","3.9")</f>
        <v>3.9</v>
      </c>
      <c r="G173" s="4" t="str">
        <f>HYPERLINK("http://141.218.60.56/~jnz1568/getInfo.php?workbook=13_02.xlsx&amp;sheet=U0&amp;row=173&amp;col=7&amp;number=0.00024&amp;sourceID=14","0.00024")</f>
        <v>0.00024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HYPERLINK("http://141.218.60.56/~jnz1568/getInfo.php?workbook=13_02.xlsx&amp;sheet=U0&amp;row=174&amp;col=6&amp;number=4&amp;sourceID=14","4")</f>
        <v>4</v>
      </c>
      <c r="G174" s="4" t="str">
        <f>HYPERLINK("http://141.218.60.56/~jnz1568/getInfo.php?workbook=13_02.xlsx&amp;sheet=U0&amp;row=174&amp;col=7&amp;number=0.00024&amp;sourceID=14","0.00024")</f>
        <v>0.00024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HYPERLINK("http://141.218.60.56/~jnz1568/getInfo.php?workbook=13_02.xlsx&amp;sheet=U0&amp;row=175&amp;col=6&amp;number=4.1&amp;sourceID=14","4.1")</f>
        <v>4.1</v>
      </c>
      <c r="G175" s="4" t="str">
        <f>HYPERLINK("http://141.218.60.56/~jnz1568/getInfo.php?workbook=13_02.xlsx&amp;sheet=U0&amp;row=175&amp;col=7&amp;number=0.00024&amp;sourceID=14","0.00024")</f>
        <v>0.00024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HYPERLINK("http://141.218.60.56/~jnz1568/getInfo.php?workbook=13_02.xlsx&amp;sheet=U0&amp;row=176&amp;col=6&amp;number=4.2&amp;sourceID=14","4.2")</f>
        <v>4.2</v>
      </c>
      <c r="G176" s="4" t="str">
        <f>HYPERLINK("http://141.218.60.56/~jnz1568/getInfo.php?workbook=13_02.xlsx&amp;sheet=U0&amp;row=176&amp;col=7&amp;number=0.00024&amp;sourceID=14","0.00024")</f>
        <v>0.00024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HYPERLINK("http://141.218.60.56/~jnz1568/getInfo.php?workbook=13_02.xlsx&amp;sheet=U0&amp;row=177&amp;col=6&amp;number=4.3&amp;sourceID=14","4.3")</f>
        <v>4.3</v>
      </c>
      <c r="G177" s="4" t="str">
        <f>HYPERLINK("http://141.218.60.56/~jnz1568/getInfo.php?workbook=13_02.xlsx&amp;sheet=U0&amp;row=177&amp;col=7&amp;number=0.00024&amp;sourceID=14","0.00024")</f>
        <v>0.00024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HYPERLINK("http://141.218.60.56/~jnz1568/getInfo.php?workbook=13_02.xlsx&amp;sheet=U0&amp;row=178&amp;col=6&amp;number=4.4&amp;sourceID=14","4.4")</f>
        <v>4.4</v>
      </c>
      <c r="G178" s="4" t="str">
        <f>HYPERLINK("http://141.218.60.56/~jnz1568/getInfo.php?workbook=13_02.xlsx&amp;sheet=U0&amp;row=178&amp;col=7&amp;number=0.00024&amp;sourceID=14","0.00024")</f>
        <v>0.00024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HYPERLINK("http://141.218.60.56/~jnz1568/getInfo.php?workbook=13_02.xlsx&amp;sheet=U0&amp;row=179&amp;col=6&amp;number=4.5&amp;sourceID=14","4.5")</f>
        <v>4.5</v>
      </c>
      <c r="G179" s="4" t="str">
        <f>HYPERLINK("http://141.218.60.56/~jnz1568/getInfo.php?workbook=13_02.xlsx&amp;sheet=U0&amp;row=179&amp;col=7&amp;number=0.00024&amp;sourceID=14","0.00024")</f>
        <v>0.00024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HYPERLINK("http://141.218.60.56/~jnz1568/getInfo.php?workbook=13_02.xlsx&amp;sheet=U0&amp;row=180&amp;col=6&amp;number=4.6&amp;sourceID=14","4.6")</f>
        <v>4.6</v>
      </c>
      <c r="G180" s="4" t="str">
        <f>HYPERLINK("http://141.218.60.56/~jnz1568/getInfo.php?workbook=13_02.xlsx&amp;sheet=U0&amp;row=180&amp;col=7&amp;number=0.000239&amp;sourceID=14","0.000239")</f>
        <v>0.000239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HYPERLINK("http://141.218.60.56/~jnz1568/getInfo.php?workbook=13_02.xlsx&amp;sheet=U0&amp;row=181&amp;col=6&amp;number=4.7&amp;sourceID=14","4.7")</f>
        <v>4.7</v>
      </c>
      <c r="G181" s="4" t="str">
        <f>HYPERLINK("http://141.218.60.56/~jnz1568/getInfo.php?workbook=13_02.xlsx&amp;sheet=U0&amp;row=181&amp;col=7&amp;number=0.000239&amp;sourceID=14","0.000239")</f>
        <v>0.000239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HYPERLINK("http://141.218.60.56/~jnz1568/getInfo.php?workbook=13_02.xlsx&amp;sheet=U0&amp;row=182&amp;col=6&amp;number=4.8&amp;sourceID=14","4.8")</f>
        <v>4.8</v>
      </c>
      <c r="G182" s="4" t="str">
        <f>HYPERLINK("http://141.218.60.56/~jnz1568/getInfo.php?workbook=13_02.xlsx&amp;sheet=U0&amp;row=182&amp;col=7&amp;number=0.000239&amp;sourceID=14","0.000239")</f>
        <v>0.000239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HYPERLINK("http://141.218.60.56/~jnz1568/getInfo.php?workbook=13_02.xlsx&amp;sheet=U0&amp;row=183&amp;col=6&amp;number=4.9&amp;sourceID=14","4.9")</f>
        <v>4.9</v>
      </c>
      <c r="G183" s="4" t="str">
        <f>HYPERLINK("http://141.218.60.56/~jnz1568/getInfo.php?workbook=13_02.xlsx&amp;sheet=U0&amp;row=183&amp;col=7&amp;number=0.000239&amp;sourceID=14","0.000239")</f>
        <v>0.000239</v>
      </c>
    </row>
    <row r="184" spans="1:7">
      <c r="A184" s="3">
        <v>13</v>
      </c>
      <c r="B184" s="3">
        <v>2</v>
      </c>
      <c r="C184" s="3" t="s">
        <v>80</v>
      </c>
      <c r="D184" s="3">
        <v>1</v>
      </c>
      <c r="E184" s="3">
        <v>1</v>
      </c>
      <c r="F184" s="4" t="str">
        <f>HYPERLINK("http://141.218.60.56/~jnz1568/getInfo.php?workbook=13_02.xlsx&amp;sheet=U0&amp;row=184&amp;col=6&amp;number=3&amp;sourceID=14","3")</f>
        <v>3</v>
      </c>
      <c r="G184" s="4" t="str">
        <f>HYPERLINK("http://141.218.60.56/~jnz1568/getInfo.php?workbook=13_02.xlsx&amp;sheet=U0&amp;row=184&amp;col=7&amp;number=0.000723&amp;sourceID=14","0.000723")</f>
        <v>0.000723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HYPERLINK("http://141.218.60.56/~jnz1568/getInfo.php?workbook=13_02.xlsx&amp;sheet=U0&amp;row=185&amp;col=6&amp;number=3.1&amp;sourceID=14","3.1")</f>
        <v>3.1</v>
      </c>
      <c r="G185" s="4" t="str">
        <f>HYPERLINK("http://141.218.60.56/~jnz1568/getInfo.php?workbook=13_02.xlsx&amp;sheet=U0&amp;row=185&amp;col=7&amp;number=0.000723&amp;sourceID=14","0.000723")</f>
        <v>0.000723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HYPERLINK("http://141.218.60.56/~jnz1568/getInfo.php?workbook=13_02.xlsx&amp;sheet=U0&amp;row=186&amp;col=6&amp;number=3.2&amp;sourceID=14","3.2")</f>
        <v>3.2</v>
      </c>
      <c r="G186" s="4" t="str">
        <f>HYPERLINK("http://141.218.60.56/~jnz1568/getInfo.php?workbook=13_02.xlsx&amp;sheet=U0&amp;row=186&amp;col=7&amp;number=0.000723&amp;sourceID=14","0.000723")</f>
        <v>0.000723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HYPERLINK("http://141.218.60.56/~jnz1568/getInfo.php?workbook=13_02.xlsx&amp;sheet=U0&amp;row=187&amp;col=6&amp;number=3.3&amp;sourceID=14","3.3")</f>
        <v>3.3</v>
      </c>
      <c r="G187" s="4" t="str">
        <f>HYPERLINK("http://141.218.60.56/~jnz1568/getInfo.php?workbook=13_02.xlsx&amp;sheet=U0&amp;row=187&amp;col=7&amp;number=0.000723&amp;sourceID=14","0.000723")</f>
        <v>0.000723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HYPERLINK("http://141.218.60.56/~jnz1568/getInfo.php?workbook=13_02.xlsx&amp;sheet=U0&amp;row=188&amp;col=6&amp;number=3.4&amp;sourceID=14","3.4")</f>
        <v>3.4</v>
      </c>
      <c r="G188" s="4" t="str">
        <f>HYPERLINK("http://141.218.60.56/~jnz1568/getInfo.php?workbook=13_02.xlsx&amp;sheet=U0&amp;row=188&amp;col=7&amp;number=0.000723&amp;sourceID=14","0.000723")</f>
        <v>0.000723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HYPERLINK("http://141.218.60.56/~jnz1568/getInfo.php?workbook=13_02.xlsx&amp;sheet=U0&amp;row=189&amp;col=6&amp;number=3.5&amp;sourceID=14","3.5")</f>
        <v>3.5</v>
      </c>
      <c r="G189" s="4" t="str">
        <f>HYPERLINK("http://141.218.60.56/~jnz1568/getInfo.php?workbook=13_02.xlsx&amp;sheet=U0&amp;row=189&amp;col=7&amp;number=0.000723&amp;sourceID=14","0.000723")</f>
        <v>0.000723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HYPERLINK("http://141.218.60.56/~jnz1568/getInfo.php?workbook=13_02.xlsx&amp;sheet=U0&amp;row=190&amp;col=6&amp;number=3.6&amp;sourceID=14","3.6")</f>
        <v>3.6</v>
      </c>
      <c r="G190" s="4" t="str">
        <f>HYPERLINK("http://141.218.60.56/~jnz1568/getInfo.php?workbook=13_02.xlsx&amp;sheet=U0&amp;row=190&amp;col=7&amp;number=0.000723&amp;sourceID=14","0.000723")</f>
        <v>0.000723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HYPERLINK("http://141.218.60.56/~jnz1568/getInfo.php?workbook=13_02.xlsx&amp;sheet=U0&amp;row=191&amp;col=6&amp;number=3.7&amp;sourceID=14","3.7")</f>
        <v>3.7</v>
      </c>
      <c r="G191" s="4" t="str">
        <f>HYPERLINK("http://141.218.60.56/~jnz1568/getInfo.php?workbook=13_02.xlsx&amp;sheet=U0&amp;row=191&amp;col=7&amp;number=0.000723&amp;sourceID=14","0.000723")</f>
        <v>0.000723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HYPERLINK("http://141.218.60.56/~jnz1568/getInfo.php?workbook=13_02.xlsx&amp;sheet=U0&amp;row=192&amp;col=6&amp;number=3.8&amp;sourceID=14","3.8")</f>
        <v>3.8</v>
      </c>
      <c r="G192" s="4" t="str">
        <f>HYPERLINK("http://141.218.60.56/~jnz1568/getInfo.php?workbook=13_02.xlsx&amp;sheet=U0&amp;row=192&amp;col=7&amp;number=0.000723&amp;sourceID=14","0.000723")</f>
        <v>0.000723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HYPERLINK("http://141.218.60.56/~jnz1568/getInfo.php?workbook=13_02.xlsx&amp;sheet=U0&amp;row=193&amp;col=6&amp;number=3.9&amp;sourceID=14","3.9")</f>
        <v>3.9</v>
      </c>
      <c r="G193" s="4" t="str">
        <f>HYPERLINK("http://141.218.60.56/~jnz1568/getInfo.php?workbook=13_02.xlsx&amp;sheet=U0&amp;row=193&amp;col=7&amp;number=0.000723&amp;sourceID=14","0.000723")</f>
        <v>0.000723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HYPERLINK("http://141.218.60.56/~jnz1568/getInfo.php?workbook=13_02.xlsx&amp;sheet=U0&amp;row=194&amp;col=6&amp;number=4&amp;sourceID=14","4")</f>
        <v>4</v>
      </c>
      <c r="G194" s="4" t="str">
        <f>HYPERLINK("http://141.218.60.56/~jnz1568/getInfo.php?workbook=13_02.xlsx&amp;sheet=U0&amp;row=194&amp;col=7&amp;number=0.000723&amp;sourceID=14","0.000723")</f>
        <v>0.000723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HYPERLINK("http://141.218.60.56/~jnz1568/getInfo.php?workbook=13_02.xlsx&amp;sheet=U0&amp;row=195&amp;col=6&amp;number=4.1&amp;sourceID=14","4.1")</f>
        <v>4.1</v>
      </c>
      <c r="G195" s="4" t="str">
        <f>HYPERLINK("http://141.218.60.56/~jnz1568/getInfo.php?workbook=13_02.xlsx&amp;sheet=U0&amp;row=195&amp;col=7&amp;number=0.000723&amp;sourceID=14","0.000723")</f>
        <v>0.000723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HYPERLINK("http://141.218.60.56/~jnz1568/getInfo.php?workbook=13_02.xlsx&amp;sheet=U0&amp;row=196&amp;col=6&amp;number=4.2&amp;sourceID=14","4.2")</f>
        <v>4.2</v>
      </c>
      <c r="G196" s="4" t="str">
        <f>HYPERLINK("http://141.218.60.56/~jnz1568/getInfo.php?workbook=13_02.xlsx&amp;sheet=U0&amp;row=196&amp;col=7&amp;number=0.000723&amp;sourceID=14","0.000723")</f>
        <v>0.000723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HYPERLINK("http://141.218.60.56/~jnz1568/getInfo.php?workbook=13_02.xlsx&amp;sheet=U0&amp;row=197&amp;col=6&amp;number=4.3&amp;sourceID=14","4.3")</f>
        <v>4.3</v>
      </c>
      <c r="G197" s="4" t="str">
        <f>HYPERLINK("http://141.218.60.56/~jnz1568/getInfo.php?workbook=13_02.xlsx&amp;sheet=U0&amp;row=197&amp;col=7&amp;number=0.000722&amp;sourceID=14","0.000722")</f>
        <v>0.000722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HYPERLINK("http://141.218.60.56/~jnz1568/getInfo.php?workbook=13_02.xlsx&amp;sheet=U0&amp;row=198&amp;col=6&amp;number=4.4&amp;sourceID=14","4.4")</f>
        <v>4.4</v>
      </c>
      <c r="G198" s="4" t="str">
        <f>HYPERLINK("http://141.218.60.56/~jnz1568/getInfo.php?workbook=13_02.xlsx&amp;sheet=U0&amp;row=198&amp;col=7&amp;number=0.000722&amp;sourceID=14","0.000722")</f>
        <v>0.000722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HYPERLINK("http://141.218.60.56/~jnz1568/getInfo.php?workbook=13_02.xlsx&amp;sheet=U0&amp;row=199&amp;col=6&amp;number=4.5&amp;sourceID=14","4.5")</f>
        <v>4.5</v>
      </c>
      <c r="G199" s="4" t="str">
        <f>HYPERLINK("http://141.218.60.56/~jnz1568/getInfo.php?workbook=13_02.xlsx&amp;sheet=U0&amp;row=199&amp;col=7&amp;number=0.000722&amp;sourceID=14","0.000722")</f>
        <v>0.000722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HYPERLINK("http://141.218.60.56/~jnz1568/getInfo.php?workbook=13_02.xlsx&amp;sheet=U0&amp;row=200&amp;col=6&amp;number=4.6&amp;sourceID=14","4.6")</f>
        <v>4.6</v>
      </c>
      <c r="G200" s="4" t="str">
        <f>HYPERLINK("http://141.218.60.56/~jnz1568/getInfo.php?workbook=13_02.xlsx&amp;sheet=U0&amp;row=200&amp;col=7&amp;number=0.000722&amp;sourceID=14","0.000722")</f>
        <v>0.000722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HYPERLINK("http://141.218.60.56/~jnz1568/getInfo.php?workbook=13_02.xlsx&amp;sheet=U0&amp;row=201&amp;col=6&amp;number=4.7&amp;sourceID=14","4.7")</f>
        <v>4.7</v>
      </c>
      <c r="G201" s="4" t="str">
        <f>HYPERLINK("http://141.218.60.56/~jnz1568/getInfo.php?workbook=13_02.xlsx&amp;sheet=U0&amp;row=201&amp;col=7&amp;number=0.000721&amp;sourceID=14","0.000721")</f>
        <v>0.000721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HYPERLINK("http://141.218.60.56/~jnz1568/getInfo.php?workbook=13_02.xlsx&amp;sheet=U0&amp;row=202&amp;col=6&amp;number=4.8&amp;sourceID=14","4.8")</f>
        <v>4.8</v>
      </c>
      <c r="G202" s="4" t="str">
        <f>HYPERLINK("http://141.218.60.56/~jnz1568/getInfo.php?workbook=13_02.xlsx&amp;sheet=U0&amp;row=202&amp;col=7&amp;number=0.000721&amp;sourceID=14","0.000721")</f>
        <v>0.000721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HYPERLINK("http://141.218.60.56/~jnz1568/getInfo.php?workbook=13_02.xlsx&amp;sheet=U0&amp;row=203&amp;col=6&amp;number=4.9&amp;sourceID=14","4.9")</f>
        <v>4.9</v>
      </c>
      <c r="G203" s="4" t="str">
        <f>HYPERLINK("http://141.218.60.56/~jnz1568/getInfo.php?workbook=13_02.xlsx&amp;sheet=U0&amp;row=203&amp;col=7&amp;number=0.00072&amp;sourceID=14","0.00072")</f>
        <v>0.00072</v>
      </c>
    </row>
    <row r="204" spans="1:7">
      <c r="A204" s="3">
        <v>13</v>
      </c>
      <c r="B204" s="3">
        <v>2</v>
      </c>
      <c r="C204" s="3" t="s">
        <v>80</v>
      </c>
      <c r="D204" s="3">
        <v>2</v>
      </c>
      <c r="E204" s="3">
        <v>1</v>
      </c>
      <c r="F204" s="4" t="str">
        <f>HYPERLINK("http://141.218.60.56/~jnz1568/getInfo.php?workbook=13_02.xlsx&amp;sheet=U0&amp;row=204&amp;col=6&amp;number=3&amp;sourceID=14","3")</f>
        <v>3</v>
      </c>
      <c r="G204" s="4" t="str">
        <f>HYPERLINK("http://141.218.60.56/~jnz1568/getInfo.php?workbook=13_02.xlsx&amp;sheet=U0&amp;row=204&amp;col=7&amp;number=0.00168&amp;sourceID=14","0.00168")</f>
        <v>0.00168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HYPERLINK("http://141.218.60.56/~jnz1568/getInfo.php?workbook=13_02.xlsx&amp;sheet=U0&amp;row=205&amp;col=6&amp;number=3.1&amp;sourceID=14","3.1")</f>
        <v>3.1</v>
      </c>
      <c r="G205" s="4" t="str">
        <f>HYPERLINK("http://141.218.60.56/~jnz1568/getInfo.php?workbook=13_02.xlsx&amp;sheet=U0&amp;row=205&amp;col=7&amp;number=0.00168&amp;sourceID=14","0.00168")</f>
        <v>0.00168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HYPERLINK("http://141.218.60.56/~jnz1568/getInfo.php?workbook=13_02.xlsx&amp;sheet=U0&amp;row=206&amp;col=6&amp;number=3.2&amp;sourceID=14","3.2")</f>
        <v>3.2</v>
      </c>
      <c r="G206" s="4" t="str">
        <f>HYPERLINK("http://141.218.60.56/~jnz1568/getInfo.php?workbook=13_02.xlsx&amp;sheet=U0&amp;row=206&amp;col=7&amp;number=0.00168&amp;sourceID=14","0.00168")</f>
        <v>0.00168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HYPERLINK("http://141.218.60.56/~jnz1568/getInfo.php?workbook=13_02.xlsx&amp;sheet=U0&amp;row=207&amp;col=6&amp;number=3.3&amp;sourceID=14","3.3")</f>
        <v>3.3</v>
      </c>
      <c r="G207" s="4" t="str">
        <f>HYPERLINK("http://141.218.60.56/~jnz1568/getInfo.php?workbook=13_02.xlsx&amp;sheet=U0&amp;row=207&amp;col=7&amp;number=0.00168&amp;sourceID=14","0.00168")</f>
        <v>0.00168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HYPERLINK("http://141.218.60.56/~jnz1568/getInfo.php?workbook=13_02.xlsx&amp;sheet=U0&amp;row=208&amp;col=6&amp;number=3.4&amp;sourceID=14","3.4")</f>
        <v>3.4</v>
      </c>
      <c r="G208" s="4" t="str">
        <f>HYPERLINK("http://141.218.60.56/~jnz1568/getInfo.php?workbook=13_02.xlsx&amp;sheet=U0&amp;row=208&amp;col=7&amp;number=0.00168&amp;sourceID=14","0.00168")</f>
        <v>0.00168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HYPERLINK("http://141.218.60.56/~jnz1568/getInfo.php?workbook=13_02.xlsx&amp;sheet=U0&amp;row=209&amp;col=6&amp;number=3.5&amp;sourceID=14","3.5")</f>
        <v>3.5</v>
      </c>
      <c r="G209" s="4" t="str">
        <f>HYPERLINK("http://141.218.60.56/~jnz1568/getInfo.php?workbook=13_02.xlsx&amp;sheet=U0&amp;row=209&amp;col=7&amp;number=0.00168&amp;sourceID=14","0.00168")</f>
        <v>0.00168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HYPERLINK("http://141.218.60.56/~jnz1568/getInfo.php?workbook=13_02.xlsx&amp;sheet=U0&amp;row=210&amp;col=6&amp;number=3.6&amp;sourceID=14","3.6")</f>
        <v>3.6</v>
      </c>
      <c r="G210" s="4" t="str">
        <f>HYPERLINK("http://141.218.60.56/~jnz1568/getInfo.php?workbook=13_02.xlsx&amp;sheet=U0&amp;row=210&amp;col=7&amp;number=0.00168&amp;sourceID=14","0.00168")</f>
        <v>0.00168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HYPERLINK("http://141.218.60.56/~jnz1568/getInfo.php?workbook=13_02.xlsx&amp;sheet=U0&amp;row=211&amp;col=6&amp;number=3.7&amp;sourceID=14","3.7")</f>
        <v>3.7</v>
      </c>
      <c r="G211" s="4" t="str">
        <f>HYPERLINK("http://141.218.60.56/~jnz1568/getInfo.php?workbook=13_02.xlsx&amp;sheet=U0&amp;row=211&amp;col=7&amp;number=0.00168&amp;sourceID=14","0.00168")</f>
        <v>0.00168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HYPERLINK("http://141.218.60.56/~jnz1568/getInfo.php?workbook=13_02.xlsx&amp;sheet=U0&amp;row=212&amp;col=6&amp;number=3.8&amp;sourceID=14","3.8")</f>
        <v>3.8</v>
      </c>
      <c r="G212" s="4" t="str">
        <f>HYPERLINK("http://141.218.60.56/~jnz1568/getInfo.php?workbook=13_02.xlsx&amp;sheet=U0&amp;row=212&amp;col=7&amp;number=0.00168&amp;sourceID=14","0.00168")</f>
        <v>0.00168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HYPERLINK("http://141.218.60.56/~jnz1568/getInfo.php?workbook=13_02.xlsx&amp;sheet=U0&amp;row=213&amp;col=6&amp;number=3.9&amp;sourceID=14","3.9")</f>
        <v>3.9</v>
      </c>
      <c r="G213" s="4" t="str">
        <f>HYPERLINK("http://141.218.60.56/~jnz1568/getInfo.php?workbook=13_02.xlsx&amp;sheet=U0&amp;row=213&amp;col=7&amp;number=0.00168&amp;sourceID=14","0.00168")</f>
        <v>0.00168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HYPERLINK("http://141.218.60.56/~jnz1568/getInfo.php?workbook=13_02.xlsx&amp;sheet=U0&amp;row=214&amp;col=6&amp;number=4&amp;sourceID=14","4")</f>
        <v>4</v>
      </c>
      <c r="G214" s="4" t="str">
        <f>HYPERLINK("http://141.218.60.56/~jnz1568/getInfo.php?workbook=13_02.xlsx&amp;sheet=U0&amp;row=214&amp;col=7&amp;number=0.00168&amp;sourceID=14","0.00168")</f>
        <v>0.00168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HYPERLINK("http://141.218.60.56/~jnz1568/getInfo.php?workbook=13_02.xlsx&amp;sheet=U0&amp;row=215&amp;col=6&amp;number=4.1&amp;sourceID=14","4.1")</f>
        <v>4.1</v>
      </c>
      <c r="G215" s="4" t="str">
        <f>HYPERLINK("http://141.218.60.56/~jnz1568/getInfo.php?workbook=13_02.xlsx&amp;sheet=U0&amp;row=215&amp;col=7&amp;number=0.00168&amp;sourceID=14","0.00168")</f>
        <v>0.00168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HYPERLINK("http://141.218.60.56/~jnz1568/getInfo.php?workbook=13_02.xlsx&amp;sheet=U0&amp;row=216&amp;col=6&amp;number=4.2&amp;sourceID=14","4.2")</f>
        <v>4.2</v>
      </c>
      <c r="G216" s="4" t="str">
        <f>HYPERLINK("http://141.218.60.56/~jnz1568/getInfo.php?workbook=13_02.xlsx&amp;sheet=U0&amp;row=216&amp;col=7&amp;number=0.00168&amp;sourceID=14","0.00168")</f>
        <v>0.00168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HYPERLINK("http://141.218.60.56/~jnz1568/getInfo.php?workbook=13_02.xlsx&amp;sheet=U0&amp;row=217&amp;col=6&amp;number=4.3&amp;sourceID=14","4.3")</f>
        <v>4.3</v>
      </c>
      <c r="G217" s="4" t="str">
        <f>HYPERLINK("http://141.218.60.56/~jnz1568/getInfo.php?workbook=13_02.xlsx&amp;sheet=U0&amp;row=217&amp;col=7&amp;number=0.00168&amp;sourceID=14","0.00168")</f>
        <v>0.00168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HYPERLINK("http://141.218.60.56/~jnz1568/getInfo.php?workbook=13_02.xlsx&amp;sheet=U0&amp;row=218&amp;col=6&amp;number=4.4&amp;sourceID=14","4.4")</f>
        <v>4.4</v>
      </c>
      <c r="G218" s="4" t="str">
        <f>HYPERLINK("http://141.218.60.56/~jnz1568/getInfo.php?workbook=13_02.xlsx&amp;sheet=U0&amp;row=218&amp;col=7&amp;number=0.00168&amp;sourceID=14","0.00168")</f>
        <v>0.00168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HYPERLINK("http://141.218.60.56/~jnz1568/getInfo.php?workbook=13_02.xlsx&amp;sheet=U0&amp;row=219&amp;col=6&amp;number=4.5&amp;sourceID=14","4.5")</f>
        <v>4.5</v>
      </c>
      <c r="G219" s="4" t="str">
        <f>HYPERLINK("http://141.218.60.56/~jnz1568/getInfo.php?workbook=13_02.xlsx&amp;sheet=U0&amp;row=219&amp;col=7&amp;number=0.00168&amp;sourceID=14","0.00168")</f>
        <v>0.00168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HYPERLINK("http://141.218.60.56/~jnz1568/getInfo.php?workbook=13_02.xlsx&amp;sheet=U0&amp;row=220&amp;col=6&amp;number=4.6&amp;sourceID=14","4.6")</f>
        <v>4.6</v>
      </c>
      <c r="G220" s="4" t="str">
        <f>HYPERLINK("http://141.218.60.56/~jnz1568/getInfo.php?workbook=13_02.xlsx&amp;sheet=U0&amp;row=220&amp;col=7&amp;number=0.00168&amp;sourceID=14","0.00168")</f>
        <v>0.00168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HYPERLINK("http://141.218.60.56/~jnz1568/getInfo.php?workbook=13_02.xlsx&amp;sheet=U0&amp;row=221&amp;col=6&amp;number=4.7&amp;sourceID=14","4.7")</f>
        <v>4.7</v>
      </c>
      <c r="G221" s="4" t="str">
        <f>HYPERLINK("http://141.218.60.56/~jnz1568/getInfo.php?workbook=13_02.xlsx&amp;sheet=U0&amp;row=221&amp;col=7&amp;number=0.00167&amp;sourceID=14","0.00167")</f>
        <v>0.00167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HYPERLINK("http://141.218.60.56/~jnz1568/getInfo.php?workbook=13_02.xlsx&amp;sheet=U0&amp;row=222&amp;col=6&amp;number=4.8&amp;sourceID=14","4.8")</f>
        <v>4.8</v>
      </c>
      <c r="G222" s="4" t="str">
        <f>HYPERLINK("http://141.218.60.56/~jnz1568/getInfo.php?workbook=13_02.xlsx&amp;sheet=U0&amp;row=222&amp;col=7&amp;number=0.00167&amp;sourceID=14","0.00167")</f>
        <v>0.00167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HYPERLINK("http://141.218.60.56/~jnz1568/getInfo.php?workbook=13_02.xlsx&amp;sheet=U0&amp;row=223&amp;col=6&amp;number=4.9&amp;sourceID=14","4.9")</f>
        <v>4.9</v>
      </c>
      <c r="G223" s="4" t="str">
        <f>HYPERLINK("http://141.218.60.56/~jnz1568/getInfo.php?workbook=13_02.xlsx&amp;sheet=U0&amp;row=223&amp;col=7&amp;number=0.00167&amp;sourceID=14","0.00167")</f>
        <v>0.00167</v>
      </c>
    </row>
    <row r="224" spans="1:7">
      <c r="A224" s="3">
        <v>13</v>
      </c>
      <c r="B224" s="3">
        <v>2</v>
      </c>
      <c r="C224" s="3" t="s">
        <v>80</v>
      </c>
      <c r="D224" s="3">
        <v>3</v>
      </c>
      <c r="E224" s="3">
        <v>1</v>
      </c>
      <c r="F224" s="4" t="str">
        <f>HYPERLINK("http://141.218.60.56/~jnz1568/getInfo.php?workbook=13_02.xlsx&amp;sheet=U0&amp;row=224&amp;col=6&amp;number=3&amp;sourceID=14","3")</f>
        <v>3</v>
      </c>
      <c r="G224" s="4" t="str">
        <f>HYPERLINK("http://141.218.60.56/~jnz1568/getInfo.php?workbook=13_02.xlsx&amp;sheet=U0&amp;row=224&amp;col=7&amp;number=0.0015&amp;sourceID=14","0.0015")</f>
        <v>0.0015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HYPERLINK("http://141.218.60.56/~jnz1568/getInfo.php?workbook=13_02.xlsx&amp;sheet=U0&amp;row=225&amp;col=6&amp;number=3.1&amp;sourceID=14","3.1")</f>
        <v>3.1</v>
      </c>
      <c r="G225" s="4" t="str">
        <f>HYPERLINK("http://141.218.60.56/~jnz1568/getInfo.php?workbook=13_02.xlsx&amp;sheet=U0&amp;row=225&amp;col=7&amp;number=0.0015&amp;sourceID=14","0.0015")</f>
        <v>0.0015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HYPERLINK("http://141.218.60.56/~jnz1568/getInfo.php?workbook=13_02.xlsx&amp;sheet=U0&amp;row=226&amp;col=6&amp;number=3.2&amp;sourceID=14","3.2")</f>
        <v>3.2</v>
      </c>
      <c r="G226" s="4" t="str">
        <f>HYPERLINK("http://141.218.60.56/~jnz1568/getInfo.php?workbook=13_02.xlsx&amp;sheet=U0&amp;row=226&amp;col=7&amp;number=0.0015&amp;sourceID=14","0.0015")</f>
        <v>0.0015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HYPERLINK("http://141.218.60.56/~jnz1568/getInfo.php?workbook=13_02.xlsx&amp;sheet=U0&amp;row=227&amp;col=6&amp;number=3.3&amp;sourceID=14","3.3")</f>
        <v>3.3</v>
      </c>
      <c r="G227" s="4" t="str">
        <f>HYPERLINK("http://141.218.60.56/~jnz1568/getInfo.php?workbook=13_02.xlsx&amp;sheet=U0&amp;row=227&amp;col=7&amp;number=0.0015&amp;sourceID=14","0.0015")</f>
        <v>0.0015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HYPERLINK("http://141.218.60.56/~jnz1568/getInfo.php?workbook=13_02.xlsx&amp;sheet=U0&amp;row=228&amp;col=6&amp;number=3.4&amp;sourceID=14","3.4")</f>
        <v>3.4</v>
      </c>
      <c r="G228" s="4" t="str">
        <f>HYPERLINK("http://141.218.60.56/~jnz1568/getInfo.php?workbook=13_02.xlsx&amp;sheet=U0&amp;row=228&amp;col=7&amp;number=0.0015&amp;sourceID=14","0.0015")</f>
        <v>0.0015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HYPERLINK("http://141.218.60.56/~jnz1568/getInfo.php?workbook=13_02.xlsx&amp;sheet=U0&amp;row=229&amp;col=6&amp;number=3.5&amp;sourceID=14","3.5")</f>
        <v>3.5</v>
      </c>
      <c r="G229" s="4" t="str">
        <f>HYPERLINK("http://141.218.60.56/~jnz1568/getInfo.php?workbook=13_02.xlsx&amp;sheet=U0&amp;row=229&amp;col=7&amp;number=0.0015&amp;sourceID=14","0.0015")</f>
        <v>0.0015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HYPERLINK("http://141.218.60.56/~jnz1568/getInfo.php?workbook=13_02.xlsx&amp;sheet=U0&amp;row=230&amp;col=6&amp;number=3.6&amp;sourceID=14","3.6")</f>
        <v>3.6</v>
      </c>
      <c r="G230" s="4" t="str">
        <f>HYPERLINK("http://141.218.60.56/~jnz1568/getInfo.php?workbook=13_02.xlsx&amp;sheet=U0&amp;row=230&amp;col=7&amp;number=0.0015&amp;sourceID=14","0.0015")</f>
        <v>0.0015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HYPERLINK("http://141.218.60.56/~jnz1568/getInfo.php?workbook=13_02.xlsx&amp;sheet=U0&amp;row=231&amp;col=6&amp;number=3.7&amp;sourceID=14","3.7")</f>
        <v>3.7</v>
      </c>
      <c r="G231" s="4" t="str">
        <f>HYPERLINK("http://141.218.60.56/~jnz1568/getInfo.php?workbook=13_02.xlsx&amp;sheet=U0&amp;row=231&amp;col=7&amp;number=0.0015&amp;sourceID=14","0.0015")</f>
        <v>0.0015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HYPERLINK("http://141.218.60.56/~jnz1568/getInfo.php?workbook=13_02.xlsx&amp;sheet=U0&amp;row=232&amp;col=6&amp;number=3.8&amp;sourceID=14","3.8")</f>
        <v>3.8</v>
      </c>
      <c r="G232" s="4" t="str">
        <f>HYPERLINK("http://141.218.60.56/~jnz1568/getInfo.php?workbook=13_02.xlsx&amp;sheet=U0&amp;row=232&amp;col=7&amp;number=0.0015&amp;sourceID=14","0.0015")</f>
        <v>0.0015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HYPERLINK("http://141.218.60.56/~jnz1568/getInfo.php?workbook=13_02.xlsx&amp;sheet=U0&amp;row=233&amp;col=6&amp;number=3.9&amp;sourceID=14","3.9")</f>
        <v>3.9</v>
      </c>
      <c r="G233" s="4" t="str">
        <f>HYPERLINK("http://141.218.60.56/~jnz1568/getInfo.php?workbook=13_02.xlsx&amp;sheet=U0&amp;row=233&amp;col=7&amp;number=0.0015&amp;sourceID=14","0.0015")</f>
        <v>0.0015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HYPERLINK("http://141.218.60.56/~jnz1568/getInfo.php?workbook=13_02.xlsx&amp;sheet=U0&amp;row=234&amp;col=6&amp;number=4&amp;sourceID=14","4")</f>
        <v>4</v>
      </c>
      <c r="G234" s="4" t="str">
        <f>HYPERLINK("http://141.218.60.56/~jnz1568/getInfo.php?workbook=13_02.xlsx&amp;sheet=U0&amp;row=234&amp;col=7&amp;number=0.0015&amp;sourceID=14","0.0015")</f>
        <v>0.0015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HYPERLINK("http://141.218.60.56/~jnz1568/getInfo.php?workbook=13_02.xlsx&amp;sheet=U0&amp;row=235&amp;col=6&amp;number=4.1&amp;sourceID=14","4.1")</f>
        <v>4.1</v>
      </c>
      <c r="G235" s="4" t="str">
        <f>HYPERLINK("http://141.218.60.56/~jnz1568/getInfo.php?workbook=13_02.xlsx&amp;sheet=U0&amp;row=235&amp;col=7&amp;number=0.0015&amp;sourceID=14","0.0015")</f>
        <v>0.0015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HYPERLINK("http://141.218.60.56/~jnz1568/getInfo.php?workbook=13_02.xlsx&amp;sheet=U0&amp;row=236&amp;col=6&amp;number=4.2&amp;sourceID=14","4.2")</f>
        <v>4.2</v>
      </c>
      <c r="G236" s="4" t="str">
        <f>HYPERLINK("http://141.218.60.56/~jnz1568/getInfo.php?workbook=13_02.xlsx&amp;sheet=U0&amp;row=236&amp;col=7&amp;number=0.0015&amp;sourceID=14","0.0015")</f>
        <v>0.0015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HYPERLINK("http://141.218.60.56/~jnz1568/getInfo.php?workbook=13_02.xlsx&amp;sheet=U0&amp;row=237&amp;col=6&amp;number=4.3&amp;sourceID=14","4.3")</f>
        <v>4.3</v>
      </c>
      <c r="G237" s="4" t="str">
        <f>HYPERLINK("http://141.218.60.56/~jnz1568/getInfo.php?workbook=13_02.xlsx&amp;sheet=U0&amp;row=237&amp;col=7&amp;number=0.00151&amp;sourceID=14","0.00151")</f>
        <v>0.00151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HYPERLINK("http://141.218.60.56/~jnz1568/getInfo.php?workbook=13_02.xlsx&amp;sheet=U0&amp;row=238&amp;col=6&amp;number=4.4&amp;sourceID=14","4.4")</f>
        <v>4.4</v>
      </c>
      <c r="G238" s="4" t="str">
        <f>HYPERLINK("http://141.218.60.56/~jnz1568/getInfo.php?workbook=13_02.xlsx&amp;sheet=U0&amp;row=238&amp;col=7&amp;number=0.00151&amp;sourceID=14","0.00151")</f>
        <v>0.00151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HYPERLINK("http://141.218.60.56/~jnz1568/getInfo.php?workbook=13_02.xlsx&amp;sheet=U0&amp;row=239&amp;col=6&amp;number=4.5&amp;sourceID=14","4.5")</f>
        <v>4.5</v>
      </c>
      <c r="G239" s="4" t="str">
        <f>HYPERLINK("http://141.218.60.56/~jnz1568/getInfo.php?workbook=13_02.xlsx&amp;sheet=U0&amp;row=239&amp;col=7&amp;number=0.00151&amp;sourceID=14","0.00151")</f>
        <v>0.00151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HYPERLINK("http://141.218.60.56/~jnz1568/getInfo.php?workbook=13_02.xlsx&amp;sheet=U0&amp;row=240&amp;col=6&amp;number=4.6&amp;sourceID=14","4.6")</f>
        <v>4.6</v>
      </c>
      <c r="G240" s="4" t="str">
        <f>HYPERLINK("http://141.218.60.56/~jnz1568/getInfo.php?workbook=13_02.xlsx&amp;sheet=U0&amp;row=240&amp;col=7&amp;number=0.00151&amp;sourceID=14","0.00151")</f>
        <v>0.00151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HYPERLINK("http://141.218.60.56/~jnz1568/getInfo.php?workbook=13_02.xlsx&amp;sheet=U0&amp;row=241&amp;col=6&amp;number=4.7&amp;sourceID=14","4.7")</f>
        <v>4.7</v>
      </c>
      <c r="G241" s="4" t="str">
        <f>HYPERLINK("http://141.218.60.56/~jnz1568/getInfo.php?workbook=13_02.xlsx&amp;sheet=U0&amp;row=241&amp;col=7&amp;number=0.00151&amp;sourceID=14","0.00151")</f>
        <v>0.00151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HYPERLINK("http://141.218.60.56/~jnz1568/getInfo.php?workbook=13_02.xlsx&amp;sheet=U0&amp;row=242&amp;col=6&amp;number=4.8&amp;sourceID=14","4.8")</f>
        <v>4.8</v>
      </c>
      <c r="G242" s="4" t="str">
        <f>HYPERLINK("http://141.218.60.56/~jnz1568/getInfo.php?workbook=13_02.xlsx&amp;sheet=U0&amp;row=242&amp;col=7&amp;number=0.00151&amp;sourceID=14","0.00151")</f>
        <v>0.00151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HYPERLINK("http://141.218.60.56/~jnz1568/getInfo.php?workbook=13_02.xlsx&amp;sheet=U0&amp;row=243&amp;col=6&amp;number=4.9&amp;sourceID=14","4.9")</f>
        <v>4.9</v>
      </c>
      <c r="G243" s="4" t="str">
        <f>HYPERLINK("http://141.218.60.56/~jnz1568/getInfo.php?workbook=13_02.xlsx&amp;sheet=U0&amp;row=243&amp;col=7&amp;number=0.00151&amp;sourceID=14","0.00151")</f>
        <v>0.00151</v>
      </c>
    </row>
    <row r="244" spans="1:7">
      <c r="A244" s="3">
        <v>13</v>
      </c>
      <c r="B244" s="3">
        <v>2</v>
      </c>
      <c r="C244" s="3" t="s">
        <v>80</v>
      </c>
      <c r="D244" s="3">
        <v>4</v>
      </c>
      <c r="E244" s="3">
        <v>1</v>
      </c>
      <c r="F244" s="4" t="str">
        <f>HYPERLINK("http://141.218.60.56/~jnz1568/getInfo.php?workbook=13_02.xlsx&amp;sheet=U0&amp;row=244&amp;col=6&amp;number=3&amp;sourceID=14","3")</f>
        <v>3</v>
      </c>
      <c r="G244" s="4" t="str">
        <f>HYPERLINK("http://141.218.60.56/~jnz1568/getInfo.php?workbook=13_02.xlsx&amp;sheet=U0&amp;row=244&amp;col=7&amp;number=9.57e-05&amp;sourceID=14","9.57e-05")</f>
        <v>9.57e-05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HYPERLINK("http://141.218.60.56/~jnz1568/getInfo.php?workbook=13_02.xlsx&amp;sheet=U0&amp;row=245&amp;col=6&amp;number=3.1&amp;sourceID=14","3.1")</f>
        <v>3.1</v>
      </c>
      <c r="G245" s="4" t="str">
        <f>HYPERLINK("http://141.218.60.56/~jnz1568/getInfo.php?workbook=13_02.xlsx&amp;sheet=U0&amp;row=245&amp;col=7&amp;number=9.57e-05&amp;sourceID=14","9.57e-05")</f>
        <v>9.57e-05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HYPERLINK("http://141.218.60.56/~jnz1568/getInfo.php?workbook=13_02.xlsx&amp;sheet=U0&amp;row=246&amp;col=6&amp;number=3.2&amp;sourceID=14","3.2")</f>
        <v>3.2</v>
      </c>
      <c r="G246" s="4" t="str">
        <f>HYPERLINK("http://141.218.60.56/~jnz1568/getInfo.php?workbook=13_02.xlsx&amp;sheet=U0&amp;row=246&amp;col=7&amp;number=9.57e-05&amp;sourceID=14","9.57e-05")</f>
        <v>9.57e-05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HYPERLINK("http://141.218.60.56/~jnz1568/getInfo.php?workbook=13_02.xlsx&amp;sheet=U0&amp;row=247&amp;col=6&amp;number=3.3&amp;sourceID=14","3.3")</f>
        <v>3.3</v>
      </c>
      <c r="G247" s="4" t="str">
        <f>HYPERLINK("http://141.218.60.56/~jnz1568/getInfo.php?workbook=13_02.xlsx&amp;sheet=U0&amp;row=247&amp;col=7&amp;number=9.57e-05&amp;sourceID=14","9.57e-05")</f>
        <v>9.57e-05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HYPERLINK("http://141.218.60.56/~jnz1568/getInfo.php?workbook=13_02.xlsx&amp;sheet=U0&amp;row=248&amp;col=6&amp;number=3.4&amp;sourceID=14","3.4")</f>
        <v>3.4</v>
      </c>
      <c r="G248" s="4" t="str">
        <f>HYPERLINK("http://141.218.60.56/~jnz1568/getInfo.php?workbook=13_02.xlsx&amp;sheet=U0&amp;row=248&amp;col=7&amp;number=9.57e-05&amp;sourceID=14","9.57e-05")</f>
        <v>9.57e-05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HYPERLINK("http://141.218.60.56/~jnz1568/getInfo.php?workbook=13_02.xlsx&amp;sheet=U0&amp;row=249&amp;col=6&amp;number=3.5&amp;sourceID=14","3.5")</f>
        <v>3.5</v>
      </c>
      <c r="G249" s="4" t="str">
        <f>HYPERLINK("http://141.218.60.56/~jnz1568/getInfo.php?workbook=13_02.xlsx&amp;sheet=U0&amp;row=249&amp;col=7&amp;number=9.57e-05&amp;sourceID=14","9.57e-05")</f>
        <v>9.57e-05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HYPERLINK("http://141.218.60.56/~jnz1568/getInfo.php?workbook=13_02.xlsx&amp;sheet=U0&amp;row=250&amp;col=6&amp;number=3.6&amp;sourceID=14","3.6")</f>
        <v>3.6</v>
      </c>
      <c r="G250" s="4" t="str">
        <f>HYPERLINK("http://141.218.60.56/~jnz1568/getInfo.php?workbook=13_02.xlsx&amp;sheet=U0&amp;row=250&amp;col=7&amp;number=9.57e-05&amp;sourceID=14","9.57e-05")</f>
        <v>9.57e-05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HYPERLINK("http://141.218.60.56/~jnz1568/getInfo.php?workbook=13_02.xlsx&amp;sheet=U0&amp;row=251&amp;col=6&amp;number=3.7&amp;sourceID=14","3.7")</f>
        <v>3.7</v>
      </c>
      <c r="G251" s="4" t="str">
        <f>HYPERLINK("http://141.218.60.56/~jnz1568/getInfo.php?workbook=13_02.xlsx&amp;sheet=U0&amp;row=251&amp;col=7&amp;number=9.57e-05&amp;sourceID=14","9.57e-05")</f>
        <v>9.57e-05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HYPERLINK("http://141.218.60.56/~jnz1568/getInfo.php?workbook=13_02.xlsx&amp;sheet=U0&amp;row=252&amp;col=6&amp;number=3.8&amp;sourceID=14","3.8")</f>
        <v>3.8</v>
      </c>
      <c r="G252" s="4" t="str">
        <f>HYPERLINK("http://141.218.60.56/~jnz1568/getInfo.php?workbook=13_02.xlsx&amp;sheet=U0&amp;row=252&amp;col=7&amp;number=9.56e-05&amp;sourceID=14","9.56e-05")</f>
        <v>9.56e-05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HYPERLINK("http://141.218.60.56/~jnz1568/getInfo.php?workbook=13_02.xlsx&amp;sheet=U0&amp;row=253&amp;col=6&amp;number=3.9&amp;sourceID=14","3.9")</f>
        <v>3.9</v>
      </c>
      <c r="G253" s="4" t="str">
        <f>HYPERLINK("http://141.218.60.56/~jnz1568/getInfo.php?workbook=13_02.xlsx&amp;sheet=U0&amp;row=253&amp;col=7&amp;number=9.56e-05&amp;sourceID=14","9.56e-05")</f>
        <v>9.56e-05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HYPERLINK("http://141.218.60.56/~jnz1568/getInfo.php?workbook=13_02.xlsx&amp;sheet=U0&amp;row=254&amp;col=6&amp;number=4&amp;sourceID=14","4")</f>
        <v>4</v>
      </c>
      <c r="G254" s="4" t="str">
        <f>HYPERLINK("http://141.218.60.56/~jnz1568/getInfo.php?workbook=13_02.xlsx&amp;sheet=U0&amp;row=254&amp;col=7&amp;number=9.56e-05&amp;sourceID=14","9.56e-05")</f>
        <v>9.56e-05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HYPERLINK("http://141.218.60.56/~jnz1568/getInfo.php?workbook=13_02.xlsx&amp;sheet=U0&amp;row=255&amp;col=6&amp;number=4.1&amp;sourceID=14","4.1")</f>
        <v>4.1</v>
      </c>
      <c r="G255" s="4" t="str">
        <f>HYPERLINK("http://141.218.60.56/~jnz1568/getInfo.php?workbook=13_02.xlsx&amp;sheet=U0&amp;row=255&amp;col=7&amp;number=9.56e-05&amp;sourceID=14","9.56e-05")</f>
        <v>9.56e-05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HYPERLINK("http://141.218.60.56/~jnz1568/getInfo.php?workbook=13_02.xlsx&amp;sheet=U0&amp;row=256&amp;col=6&amp;number=4.2&amp;sourceID=14","4.2")</f>
        <v>4.2</v>
      </c>
      <c r="G256" s="4" t="str">
        <f>HYPERLINK("http://141.218.60.56/~jnz1568/getInfo.php?workbook=13_02.xlsx&amp;sheet=U0&amp;row=256&amp;col=7&amp;number=9.56e-05&amp;sourceID=14","9.56e-05")</f>
        <v>9.56e-05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HYPERLINK("http://141.218.60.56/~jnz1568/getInfo.php?workbook=13_02.xlsx&amp;sheet=U0&amp;row=257&amp;col=6&amp;number=4.3&amp;sourceID=14","4.3")</f>
        <v>4.3</v>
      </c>
      <c r="G257" s="4" t="str">
        <f>HYPERLINK("http://141.218.60.56/~jnz1568/getInfo.php?workbook=13_02.xlsx&amp;sheet=U0&amp;row=257&amp;col=7&amp;number=9.55e-05&amp;sourceID=14","9.55e-05")</f>
        <v>9.55e-05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HYPERLINK("http://141.218.60.56/~jnz1568/getInfo.php?workbook=13_02.xlsx&amp;sheet=U0&amp;row=258&amp;col=6&amp;number=4.4&amp;sourceID=14","4.4")</f>
        <v>4.4</v>
      </c>
      <c r="G258" s="4" t="str">
        <f>HYPERLINK("http://141.218.60.56/~jnz1568/getInfo.php?workbook=13_02.xlsx&amp;sheet=U0&amp;row=258&amp;col=7&amp;number=9.55e-05&amp;sourceID=14","9.55e-05")</f>
        <v>9.55e-05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HYPERLINK("http://141.218.60.56/~jnz1568/getInfo.php?workbook=13_02.xlsx&amp;sheet=U0&amp;row=259&amp;col=6&amp;number=4.5&amp;sourceID=14","4.5")</f>
        <v>4.5</v>
      </c>
      <c r="G259" s="4" t="str">
        <f>HYPERLINK("http://141.218.60.56/~jnz1568/getInfo.php?workbook=13_02.xlsx&amp;sheet=U0&amp;row=259&amp;col=7&amp;number=9.54e-05&amp;sourceID=14","9.54e-05")</f>
        <v>9.54e-05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HYPERLINK("http://141.218.60.56/~jnz1568/getInfo.php?workbook=13_02.xlsx&amp;sheet=U0&amp;row=260&amp;col=6&amp;number=4.6&amp;sourceID=14","4.6")</f>
        <v>4.6</v>
      </c>
      <c r="G260" s="4" t="str">
        <f>HYPERLINK("http://141.218.60.56/~jnz1568/getInfo.php?workbook=13_02.xlsx&amp;sheet=U0&amp;row=260&amp;col=7&amp;number=9.54e-05&amp;sourceID=14","9.54e-05")</f>
        <v>9.54e-05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HYPERLINK("http://141.218.60.56/~jnz1568/getInfo.php?workbook=13_02.xlsx&amp;sheet=U0&amp;row=261&amp;col=6&amp;number=4.7&amp;sourceID=14","4.7")</f>
        <v>4.7</v>
      </c>
      <c r="G261" s="4" t="str">
        <f>HYPERLINK("http://141.218.60.56/~jnz1568/getInfo.php?workbook=13_02.xlsx&amp;sheet=U0&amp;row=261&amp;col=7&amp;number=9.53e-05&amp;sourceID=14","9.53e-05")</f>
        <v>9.53e-05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HYPERLINK("http://141.218.60.56/~jnz1568/getInfo.php?workbook=13_02.xlsx&amp;sheet=U0&amp;row=262&amp;col=6&amp;number=4.8&amp;sourceID=14","4.8")</f>
        <v>4.8</v>
      </c>
      <c r="G262" s="4" t="str">
        <f>HYPERLINK("http://141.218.60.56/~jnz1568/getInfo.php?workbook=13_02.xlsx&amp;sheet=U0&amp;row=262&amp;col=7&amp;number=9.52e-05&amp;sourceID=14","9.52e-05")</f>
        <v>9.52e-05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HYPERLINK("http://141.218.60.56/~jnz1568/getInfo.php?workbook=13_02.xlsx&amp;sheet=U0&amp;row=263&amp;col=6&amp;number=4.9&amp;sourceID=14","4.9")</f>
        <v>4.9</v>
      </c>
      <c r="G263" s="4" t="str">
        <f>HYPERLINK("http://141.218.60.56/~jnz1568/getInfo.php?workbook=13_02.xlsx&amp;sheet=U0&amp;row=263&amp;col=7&amp;number=9.51e-05&amp;sourceID=14","9.51e-05")</f>
        <v>9.51e-05</v>
      </c>
    </row>
    <row r="264" spans="1:7">
      <c r="A264" s="3">
        <v>13</v>
      </c>
      <c r="B264" s="3">
        <v>2</v>
      </c>
      <c r="C264" s="3" t="s">
        <v>80</v>
      </c>
      <c r="D264" s="3">
        <v>5</v>
      </c>
      <c r="E264" s="3">
        <v>1</v>
      </c>
      <c r="F264" s="4" t="str">
        <f>HYPERLINK("http://141.218.60.56/~jnz1568/getInfo.php?workbook=13_02.xlsx&amp;sheet=U0&amp;row=264&amp;col=6&amp;number=3&amp;sourceID=14","3")</f>
        <v>3</v>
      </c>
      <c r="G264" s="4" t="str">
        <f>HYPERLINK("http://141.218.60.56/~jnz1568/getInfo.php?workbook=13_02.xlsx&amp;sheet=U0&amp;row=264&amp;col=7&amp;number=0.000151&amp;sourceID=14","0.000151")</f>
        <v>0.000151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HYPERLINK("http://141.218.60.56/~jnz1568/getInfo.php?workbook=13_02.xlsx&amp;sheet=U0&amp;row=265&amp;col=6&amp;number=3.1&amp;sourceID=14","3.1")</f>
        <v>3.1</v>
      </c>
      <c r="G265" s="4" t="str">
        <f>HYPERLINK("http://141.218.60.56/~jnz1568/getInfo.php?workbook=13_02.xlsx&amp;sheet=U0&amp;row=265&amp;col=7&amp;number=0.000151&amp;sourceID=14","0.000151")</f>
        <v>0.000151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HYPERLINK("http://141.218.60.56/~jnz1568/getInfo.php?workbook=13_02.xlsx&amp;sheet=U0&amp;row=266&amp;col=6&amp;number=3.2&amp;sourceID=14","3.2")</f>
        <v>3.2</v>
      </c>
      <c r="G266" s="4" t="str">
        <f>HYPERLINK("http://141.218.60.56/~jnz1568/getInfo.php?workbook=13_02.xlsx&amp;sheet=U0&amp;row=266&amp;col=7&amp;number=0.000151&amp;sourceID=14","0.000151")</f>
        <v>0.000151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HYPERLINK("http://141.218.60.56/~jnz1568/getInfo.php?workbook=13_02.xlsx&amp;sheet=U0&amp;row=267&amp;col=6&amp;number=3.3&amp;sourceID=14","3.3")</f>
        <v>3.3</v>
      </c>
      <c r="G267" s="4" t="str">
        <f>HYPERLINK("http://141.218.60.56/~jnz1568/getInfo.php?workbook=13_02.xlsx&amp;sheet=U0&amp;row=267&amp;col=7&amp;number=0.000151&amp;sourceID=14","0.000151")</f>
        <v>0.000151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HYPERLINK("http://141.218.60.56/~jnz1568/getInfo.php?workbook=13_02.xlsx&amp;sheet=U0&amp;row=268&amp;col=6&amp;number=3.4&amp;sourceID=14","3.4")</f>
        <v>3.4</v>
      </c>
      <c r="G268" s="4" t="str">
        <f>HYPERLINK("http://141.218.60.56/~jnz1568/getInfo.php?workbook=13_02.xlsx&amp;sheet=U0&amp;row=268&amp;col=7&amp;number=0.000151&amp;sourceID=14","0.000151")</f>
        <v>0.000151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HYPERLINK("http://141.218.60.56/~jnz1568/getInfo.php?workbook=13_02.xlsx&amp;sheet=U0&amp;row=269&amp;col=6&amp;number=3.5&amp;sourceID=14","3.5")</f>
        <v>3.5</v>
      </c>
      <c r="G269" s="4" t="str">
        <f>HYPERLINK("http://141.218.60.56/~jnz1568/getInfo.php?workbook=13_02.xlsx&amp;sheet=U0&amp;row=269&amp;col=7&amp;number=0.000151&amp;sourceID=14","0.000151")</f>
        <v>0.000151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HYPERLINK("http://141.218.60.56/~jnz1568/getInfo.php?workbook=13_02.xlsx&amp;sheet=U0&amp;row=270&amp;col=6&amp;number=3.6&amp;sourceID=14","3.6")</f>
        <v>3.6</v>
      </c>
      <c r="G270" s="4" t="str">
        <f>HYPERLINK("http://141.218.60.56/~jnz1568/getInfo.php?workbook=13_02.xlsx&amp;sheet=U0&amp;row=270&amp;col=7&amp;number=0.000151&amp;sourceID=14","0.000151")</f>
        <v>0.000151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HYPERLINK("http://141.218.60.56/~jnz1568/getInfo.php?workbook=13_02.xlsx&amp;sheet=U0&amp;row=271&amp;col=6&amp;number=3.7&amp;sourceID=14","3.7")</f>
        <v>3.7</v>
      </c>
      <c r="G271" s="4" t="str">
        <f>HYPERLINK("http://141.218.60.56/~jnz1568/getInfo.php?workbook=13_02.xlsx&amp;sheet=U0&amp;row=271&amp;col=7&amp;number=0.000151&amp;sourceID=14","0.000151")</f>
        <v>0.000151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HYPERLINK("http://141.218.60.56/~jnz1568/getInfo.php?workbook=13_02.xlsx&amp;sheet=U0&amp;row=272&amp;col=6&amp;number=3.8&amp;sourceID=14","3.8")</f>
        <v>3.8</v>
      </c>
      <c r="G272" s="4" t="str">
        <f>HYPERLINK("http://141.218.60.56/~jnz1568/getInfo.php?workbook=13_02.xlsx&amp;sheet=U0&amp;row=272&amp;col=7&amp;number=0.000151&amp;sourceID=14","0.000151")</f>
        <v>0.000151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HYPERLINK("http://141.218.60.56/~jnz1568/getInfo.php?workbook=13_02.xlsx&amp;sheet=U0&amp;row=273&amp;col=6&amp;number=3.9&amp;sourceID=14","3.9")</f>
        <v>3.9</v>
      </c>
      <c r="G273" s="4" t="str">
        <f>HYPERLINK("http://141.218.60.56/~jnz1568/getInfo.php?workbook=13_02.xlsx&amp;sheet=U0&amp;row=273&amp;col=7&amp;number=0.000151&amp;sourceID=14","0.000151")</f>
        <v>0.000151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HYPERLINK("http://141.218.60.56/~jnz1568/getInfo.php?workbook=13_02.xlsx&amp;sheet=U0&amp;row=274&amp;col=6&amp;number=4&amp;sourceID=14","4")</f>
        <v>4</v>
      </c>
      <c r="G274" s="4" t="str">
        <f>HYPERLINK("http://141.218.60.56/~jnz1568/getInfo.php?workbook=13_02.xlsx&amp;sheet=U0&amp;row=274&amp;col=7&amp;number=0.000151&amp;sourceID=14","0.000151")</f>
        <v>0.000151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HYPERLINK("http://141.218.60.56/~jnz1568/getInfo.php?workbook=13_02.xlsx&amp;sheet=U0&amp;row=275&amp;col=6&amp;number=4.1&amp;sourceID=14","4.1")</f>
        <v>4.1</v>
      </c>
      <c r="G275" s="4" t="str">
        <f>HYPERLINK("http://141.218.60.56/~jnz1568/getInfo.php?workbook=13_02.xlsx&amp;sheet=U0&amp;row=275&amp;col=7&amp;number=0.00015&amp;sourceID=14","0.00015")</f>
        <v>0.00015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HYPERLINK("http://141.218.60.56/~jnz1568/getInfo.php?workbook=13_02.xlsx&amp;sheet=U0&amp;row=276&amp;col=6&amp;number=4.2&amp;sourceID=14","4.2")</f>
        <v>4.2</v>
      </c>
      <c r="G276" s="4" t="str">
        <f>HYPERLINK("http://141.218.60.56/~jnz1568/getInfo.php?workbook=13_02.xlsx&amp;sheet=U0&amp;row=276&amp;col=7&amp;number=0.00015&amp;sourceID=14","0.00015")</f>
        <v>0.00015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HYPERLINK("http://141.218.60.56/~jnz1568/getInfo.php?workbook=13_02.xlsx&amp;sheet=U0&amp;row=277&amp;col=6&amp;number=4.3&amp;sourceID=14","4.3")</f>
        <v>4.3</v>
      </c>
      <c r="G277" s="4" t="str">
        <f>HYPERLINK("http://141.218.60.56/~jnz1568/getInfo.php?workbook=13_02.xlsx&amp;sheet=U0&amp;row=277&amp;col=7&amp;number=0.00015&amp;sourceID=14","0.00015")</f>
        <v>0.00015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HYPERLINK("http://141.218.60.56/~jnz1568/getInfo.php?workbook=13_02.xlsx&amp;sheet=U0&amp;row=278&amp;col=6&amp;number=4.4&amp;sourceID=14","4.4")</f>
        <v>4.4</v>
      </c>
      <c r="G278" s="4" t="str">
        <f>HYPERLINK("http://141.218.60.56/~jnz1568/getInfo.php?workbook=13_02.xlsx&amp;sheet=U0&amp;row=278&amp;col=7&amp;number=0.00015&amp;sourceID=14","0.00015")</f>
        <v>0.00015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HYPERLINK("http://141.218.60.56/~jnz1568/getInfo.php?workbook=13_02.xlsx&amp;sheet=U0&amp;row=279&amp;col=6&amp;number=4.5&amp;sourceID=14","4.5")</f>
        <v>4.5</v>
      </c>
      <c r="G279" s="4" t="str">
        <f>HYPERLINK("http://141.218.60.56/~jnz1568/getInfo.php?workbook=13_02.xlsx&amp;sheet=U0&amp;row=279&amp;col=7&amp;number=0.00015&amp;sourceID=14","0.00015")</f>
        <v>0.00015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HYPERLINK("http://141.218.60.56/~jnz1568/getInfo.php?workbook=13_02.xlsx&amp;sheet=U0&amp;row=280&amp;col=6&amp;number=4.6&amp;sourceID=14","4.6")</f>
        <v>4.6</v>
      </c>
      <c r="G280" s="4" t="str">
        <f>HYPERLINK("http://141.218.60.56/~jnz1568/getInfo.php?workbook=13_02.xlsx&amp;sheet=U0&amp;row=280&amp;col=7&amp;number=0.00015&amp;sourceID=14","0.00015")</f>
        <v>0.00015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HYPERLINK("http://141.218.60.56/~jnz1568/getInfo.php?workbook=13_02.xlsx&amp;sheet=U0&amp;row=281&amp;col=6&amp;number=4.7&amp;sourceID=14","4.7")</f>
        <v>4.7</v>
      </c>
      <c r="G281" s="4" t="str">
        <f>HYPERLINK("http://141.218.60.56/~jnz1568/getInfo.php?workbook=13_02.xlsx&amp;sheet=U0&amp;row=281&amp;col=7&amp;number=0.00015&amp;sourceID=14","0.00015")</f>
        <v>0.00015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HYPERLINK("http://141.218.60.56/~jnz1568/getInfo.php?workbook=13_02.xlsx&amp;sheet=U0&amp;row=282&amp;col=6&amp;number=4.8&amp;sourceID=14","4.8")</f>
        <v>4.8</v>
      </c>
      <c r="G282" s="4" t="str">
        <f>HYPERLINK("http://141.218.60.56/~jnz1568/getInfo.php?workbook=13_02.xlsx&amp;sheet=U0&amp;row=282&amp;col=7&amp;number=0.00015&amp;sourceID=14","0.00015")</f>
        <v>0.00015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HYPERLINK("http://141.218.60.56/~jnz1568/getInfo.php?workbook=13_02.xlsx&amp;sheet=U0&amp;row=283&amp;col=6&amp;number=4.9&amp;sourceID=14","4.9")</f>
        <v>4.9</v>
      </c>
      <c r="G283" s="4" t="str">
        <f>HYPERLINK("http://141.218.60.56/~jnz1568/getInfo.php?workbook=13_02.xlsx&amp;sheet=U0&amp;row=283&amp;col=7&amp;number=0.00015&amp;sourceID=14","0.00015")</f>
        <v>0.00015</v>
      </c>
    </row>
    <row r="284" spans="1:7">
      <c r="A284" s="3">
        <v>13</v>
      </c>
      <c r="B284" s="3">
        <v>2</v>
      </c>
      <c r="C284" s="3" t="s">
        <v>80</v>
      </c>
      <c r="D284" s="3">
        <v>6</v>
      </c>
      <c r="E284" s="3">
        <v>1</v>
      </c>
      <c r="F284" s="4" t="str">
        <f>HYPERLINK("http://141.218.60.56/~jnz1568/getInfo.php?workbook=13_02.xlsx&amp;sheet=U0&amp;row=284&amp;col=6&amp;number=3&amp;sourceID=14","3")</f>
        <v>3</v>
      </c>
      <c r="G284" s="4" t="str">
        <f>HYPERLINK("http://141.218.60.56/~jnz1568/getInfo.php?workbook=13_02.xlsx&amp;sheet=U0&amp;row=284&amp;col=7&amp;number=0.000223&amp;sourceID=14","0.000223")</f>
        <v>0.000223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HYPERLINK("http://141.218.60.56/~jnz1568/getInfo.php?workbook=13_02.xlsx&amp;sheet=U0&amp;row=285&amp;col=6&amp;number=3.1&amp;sourceID=14","3.1")</f>
        <v>3.1</v>
      </c>
      <c r="G285" s="4" t="str">
        <f>HYPERLINK("http://141.218.60.56/~jnz1568/getInfo.php?workbook=13_02.xlsx&amp;sheet=U0&amp;row=285&amp;col=7&amp;number=0.000223&amp;sourceID=14","0.000223")</f>
        <v>0.000223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HYPERLINK("http://141.218.60.56/~jnz1568/getInfo.php?workbook=13_02.xlsx&amp;sheet=U0&amp;row=286&amp;col=6&amp;number=3.2&amp;sourceID=14","3.2")</f>
        <v>3.2</v>
      </c>
      <c r="G286" s="4" t="str">
        <f>HYPERLINK("http://141.218.60.56/~jnz1568/getInfo.php?workbook=13_02.xlsx&amp;sheet=U0&amp;row=286&amp;col=7&amp;number=0.000223&amp;sourceID=14","0.000223")</f>
        <v>0.000223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HYPERLINK("http://141.218.60.56/~jnz1568/getInfo.php?workbook=13_02.xlsx&amp;sheet=U0&amp;row=287&amp;col=6&amp;number=3.3&amp;sourceID=14","3.3")</f>
        <v>3.3</v>
      </c>
      <c r="G287" s="4" t="str">
        <f>HYPERLINK("http://141.218.60.56/~jnz1568/getInfo.php?workbook=13_02.xlsx&amp;sheet=U0&amp;row=287&amp;col=7&amp;number=0.000223&amp;sourceID=14","0.000223")</f>
        <v>0.000223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HYPERLINK("http://141.218.60.56/~jnz1568/getInfo.php?workbook=13_02.xlsx&amp;sheet=U0&amp;row=288&amp;col=6&amp;number=3.4&amp;sourceID=14","3.4")</f>
        <v>3.4</v>
      </c>
      <c r="G288" s="4" t="str">
        <f>HYPERLINK("http://141.218.60.56/~jnz1568/getInfo.php?workbook=13_02.xlsx&amp;sheet=U0&amp;row=288&amp;col=7&amp;number=0.000223&amp;sourceID=14","0.000223")</f>
        <v>0.000223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HYPERLINK("http://141.218.60.56/~jnz1568/getInfo.php?workbook=13_02.xlsx&amp;sheet=U0&amp;row=289&amp;col=6&amp;number=3.5&amp;sourceID=14","3.5")</f>
        <v>3.5</v>
      </c>
      <c r="G289" s="4" t="str">
        <f>HYPERLINK("http://141.218.60.56/~jnz1568/getInfo.php?workbook=13_02.xlsx&amp;sheet=U0&amp;row=289&amp;col=7&amp;number=0.000223&amp;sourceID=14","0.000223")</f>
        <v>0.000223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HYPERLINK("http://141.218.60.56/~jnz1568/getInfo.php?workbook=13_02.xlsx&amp;sheet=U0&amp;row=290&amp;col=6&amp;number=3.6&amp;sourceID=14","3.6")</f>
        <v>3.6</v>
      </c>
      <c r="G290" s="4" t="str">
        <f>HYPERLINK("http://141.218.60.56/~jnz1568/getInfo.php?workbook=13_02.xlsx&amp;sheet=U0&amp;row=290&amp;col=7&amp;number=0.000223&amp;sourceID=14","0.000223")</f>
        <v>0.000223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HYPERLINK("http://141.218.60.56/~jnz1568/getInfo.php?workbook=13_02.xlsx&amp;sheet=U0&amp;row=291&amp;col=6&amp;number=3.7&amp;sourceID=14","3.7")</f>
        <v>3.7</v>
      </c>
      <c r="G291" s="4" t="str">
        <f>HYPERLINK("http://141.218.60.56/~jnz1568/getInfo.php?workbook=13_02.xlsx&amp;sheet=U0&amp;row=291&amp;col=7&amp;number=0.000223&amp;sourceID=14","0.000223")</f>
        <v>0.000223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HYPERLINK("http://141.218.60.56/~jnz1568/getInfo.php?workbook=13_02.xlsx&amp;sheet=U0&amp;row=292&amp;col=6&amp;number=3.8&amp;sourceID=14","3.8")</f>
        <v>3.8</v>
      </c>
      <c r="G292" s="4" t="str">
        <f>HYPERLINK("http://141.218.60.56/~jnz1568/getInfo.php?workbook=13_02.xlsx&amp;sheet=U0&amp;row=292&amp;col=7&amp;number=0.000223&amp;sourceID=14","0.000223")</f>
        <v>0.000223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HYPERLINK("http://141.218.60.56/~jnz1568/getInfo.php?workbook=13_02.xlsx&amp;sheet=U0&amp;row=293&amp;col=6&amp;number=3.9&amp;sourceID=14","3.9")</f>
        <v>3.9</v>
      </c>
      <c r="G293" s="4" t="str">
        <f>HYPERLINK("http://141.218.60.56/~jnz1568/getInfo.php?workbook=13_02.xlsx&amp;sheet=U0&amp;row=293&amp;col=7&amp;number=0.000223&amp;sourceID=14","0.000223")</f>
        <v>0.000223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HYPERLINK("http://141.218.60.56/~jnz1568/getInfo.php?workbook=13_02.xlsx&amp;sheet=U0&amp;row=294&amp;col=6&amp;number=4&amp;sourceID=14","4")</f>
        <v>4</v>
      </c>
      <c r="G294" s="4" t="str">
        <f>HYPERLINK("http://141.218.60.56/~jnz1568/getInfo.php?workbook=13_02.xlsx&amp;sheet=U0&amp;row=294&amp;col=7&amp;number=0.000223&amp;sourceID=14","0.000223")</f>
        <v>0.000223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HYPERLINK("http://141.218.60.56/~jnz1568/getInfo.php?workbook=13_02.xlsx&amp;sheet=U0&amp;row=295&amp;col=6&amp;number=4.1&amp;sourceID=14","4.1")</f>
        <v>4.1</v>
      </c>
      <c r="G295" s="4" t="str">
        <f>HYPERLINK("http://141.218.60.56/~jnz1568/getInfo.php?workbook=13_02.xlsx&amp;sheet=U0&amp;row=295&amp;col=7&amp;number=0.000222&amp;sourceID=14","0.000222")</f>
        <v>0.000222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HYPERLINK("http://141.218.60.56/~jnz1568/getInfo.php?workbook=13_02.xlsx&amp;sheet=U0&amp;row=296&amp;col=6&amp;number=4.2&amp;sourceID=14","4.2")</f>
        <v>4.2</v>
      </c>
      <c r="G296" s="4" t="str">
        <f>HYPERLINK("http://141.218.60.56/~jnz1568/getInfo.php?workbook=13_02.xlsx&amp;sheet=U0&amp;row=296&amp;col=7&amp;number=0.000222&amp;sourceID=14","0.000222")</f>
        <v>0.000222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HYPERLINK("http://141.218.60.56/~jnz1568/getInfo.php?workbook=13_02.xlsx&amp;sheet=U0&amp;row=297&amp;col=6&amp;number=4.3&amp;sourceID=14","4.3")</f>
        <v>4.3</v>
      </c>
      <c r="G297" s="4" t="str">
        <f>HYPERLINK("http://141.218.60.56/~jnz1568/getInfo.php?workbook=13_02.xlsx&amp;sheet=U0&amp;row=297&amp;col=7&amp;number=0.000222&amp;sourceID=14","0.000222")</f>
        <v>0.000222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HYPERLINK("http://141.218.60.56/~jnz1568/getInfo.php?workbook=13_02.xlsx&amp;sheet=U0&amp;row=298&amp;col=6&amp;number=4.4&amp;sourceID=14","4.4")</f>
        <v>4.4</v>
      </c>
      <c r="G298" s="4" t="str">
        <f>HYPERLINK("http://141.218.60.56/~jnz1568/getInfo.php?workbook=13_02.xlsx&amp;sheet=U0&amp;row=298&amp;col=7&amp;number=0.000222&amp;sourceID=14","0.000222")</f>
        <v>0.000222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HYPERLINK("http://141.218.60.56/~jnz1568/getInfo.php?workbook=13_02.xlsx&amp;sheet=U0&amp;row=299&amp;col=6&amp;number=4.5&amp;sourceID=14","4.5")</f>
        <v>4.5</v>
      </c>
      <c r="G299" s="4" t="str">
        <f>HYPERLINK("http://141.218.60.56/~jnz1568/getInfo.php?workbook=13_02.xlsx&amp;sheet=U0&amp;row=299&amp;col=7&amp;number=0.000222&amp;sourceID=14","0.000222")</f>
        <v>0.000222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HYPERLINK("http://141.218.60.56/~jnz1568/getInfo.php?workbook=13_02.xlsx&amp;sheet=U0&amp;row=300&amp;col=6&amp;number=4.6&amp;sourceID=14","4.6")</f>
        <v>4.6</v>
      </c>
      <c r="G300" s="4" t="str">
        <f>HYPERLINK("http://141.218.60.56/~jnz1568/getInfo.php?workbook=13_02.xlsx&amp;sheet=U0&amp;row=300&amp;col=7&amp;number=0.000222&amp;sourceID=14","0.000222")</f>
        <v>0.000222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HYPERLINK("http://141.218.60.56/~jnz1568/getInfo.php?workbook=13_02.xlsx&amp;sheet=U0&amp;row=301&amp;col=6&amp;number=4.7&amp;sourceID=14","4.7")</f>
        <v>4.7</v>
      </c>
      <c r="G301" s="4" t="str">
        <f>HYPERLINK("http://141.218.60.56/~jnz1568/getInfo.php?workbook=13_02.xlsx&amp;sheet=U0&amp;row=301&amp;col=7&amp;number=0.000222&amp;sourceID=14","0.000222")</f>
        <v>0.000222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HYPERLINK("http://141.218.60.56/~jnz1568/getInfo.php?workbook=13_02.xlsx&amp;sheet=U0&amp;row=302&amp;col=6&amp;number=4.8&amp;sourceID=14","4.8")</f>
        <v>4.8</v>
      </c>
      <c r="G302" s="4" t="str">
        <f>HYPERLINK("http://141.218.60.56/~jnz1568/getInfo.php?workbook=13_02.xlsx&amp;sheet=U0&amp;row=302&amp;col=7&amp;number=0.000222&amp;sourceID=14","0.000222")</f>
        <v>0.000222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HYPERLINK("http://141.218.60.56/~jnz1568/getInfo.php?workbook=13_02.xlsx&amp;sheet=U0&amp;row=303&amp;col=6&amp;number=4.9&amp;sourceID=14","4.9")</f>
        <v>4.9</v>
      </c>
      <c r="G303" s="4" t="str">
        <f>HYPERLINK("http://141.218.60.56/~jnz1568/getInfo.php?workbook=13_02.xlsx&amp;sheet=U0&amp;row=303&amp;col=7&amp;number=0.000221&amp;sourceID=14","0.000221")</f>
        <v>0.000221</v>
      </c>
    </row>
    <row r="304" spans="1:7">
      <c r="A304" s="3">
        <v>13</v>
      </c>
      <c r="B304" s="3">
        <v>2</v>
      </c>
      <c r="C304" s="3" t="s">
        <v>80</v>
      </c>
      <c r="D304" s="3">
        <v>7</v>
      </c>
      <c r="E304" s="3">
        <v>1</v>
      </c>
      <c r="F304" s="4" t="str">
        <f>HYPERLINK("http://141.218.60.56/~jnz1568/getInfo.php?workbook=13_02.xlsx&amp;sheet=U0&amp;row=304&amp;col=6&amp;number=3&amp;sourceID=14","3")</f>
        <v>3</v>
      </c>
      <c r="G304" s="4" t="str">
        <f>HYPERLINK("http://141.218.60.56/~jnz1568/getInfo.php?workbook=13_02.xlsx&amp;sheet=U0&amp;row=304&amp;col=7&amp;number=7.04e-05&amp;sourceID=14","7.04e-05")</f>
        <v>7.04e-05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HYPERLINK("http://141.218.60.56/~jnz1568/getInfo.php?workbook=13_02.xlsx&amp;sheet=U0&amp;row=305&amp;col=6&amp;number=3.1&amp;sourceID=14","3.1")</f>
        <v>3.1</v>
      </c>
      <c r="G305" s="4" t="str">
        <f>HYPERLINK("http://141.218.60.56/~jnz1568/getInfo.php?workbook=13_02.xlsx&amp;sheet=U0&amp;row=305&amp;col=7&amp;number=7.04e-05&amp;sourceID=14","7.04e-05")</f>
        <v>7.04e-05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HYPERLINK("http://141.218.60.56/~jnz1568/getInfo.php?workbook=13_02.xlsx&amp;sheet=U0&amp;row=306&amp;col=6&amp;number=3.2&amp;sourceID=14","3.2")</f>
        <v>3.2</v>
      </c>
      <c r="G306" s="4" t="str">
        <f>HYPERLINK("http://141.218.60.56/~jnz1568/getInfo.php?workbook=13_02.xlsx&amp;sheet=U0&amp;row=306&amp;col=7&amp;number=7.04e-05&amp;sourceID=14","7.04e-05")</f>
        <v>7.04e-05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HYPERLINK("http://141.218.60.56/~jnz1568/getInfo.php?workbook=13_02.xlsx&amp;sheet=U0&amp;row=307&amp;col=6&amp;number=3.3&amp;sourceID=14","3.3")</f>
        <v>3.3</v>
      </c>
      <c r="G307" s="4" t="str">
        <f>HYPERLINK("http://141.218.60.56/~jnz1568/getInfo.php?workbook=13_02.xlsx&amp;sheet=U0&amp;row=307&amp;col=7&amp;number=7.04e-05&amp;sourceID=14","7.04e-05")</f>
        <v>7.04e-05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HYPERLINK("http://141.218.60.56/~jnz1568/getInfo.php?workbook=13_02.xlsx&amp;sheet=U0&amp;row=308&amp;col=6&amp;number=3.4&amp;sourceID=14","3.4")</f>
        <v>3.4</v>
      </c>
      <c r="G308" s="4" t="str">
        <f>HYPERLINK("http://141.218.60.56/~jnz1568/getInfo.php?workbook=13_02.xlsx&amp;sheet=U0&amp;row=308&amp;col=7&amp;number=7.04e-05&amp;sourceID=14","7.04e-05")</f>
        <v>7.04e-05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HYPERLINK("http://141.218.60.56/~jnz1568/getInfo.php?workbook=13_02.xlsx&amp;sheet=U0&amp;row=309&amp;col=6&amp;number=3.5&amp;sourceID=14","3.5")</f>
        <v>3.5</v>
      </c>
      <c r="G309" s="4" t="str">
        <f>HYPERLINK("http://141.218.60.56/~jnz1568/getInfo.php?workbook=13_02.xlsx&amp;sheet=U0&amp;row=309&amp;col=7&amp;number=7.04e-05&amp;sourceID=14","7.04e-05")</f>
        <v>7.04e-05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HYPERLINK("http://141.218.60.56/~jnz1568/getInfo.php?workbook=13_02.xlsx&amp;sheet=U0&amp;row=310&amp;col=6&amp;number=3.6&amp;sourceID=14","3.6")</f>
        <v>3.6</v>
      </c>
      <c r="G310" s="4" t="str">
        <f>HYPERLINK("http://141.218.60.56/~jnz1568/getInfo.php?workbook=13_02.xlsx&amp;sheet=U0&amp;row=310&amp;col=7&amp;number=7.04e-05&amp;sourceID=14","7.04e-05")</f>
        <v>7.04e-05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HYPERLINK("http://141.218.60.56/~jnz1568/getInfo.php?workbook=13_02.xlsx&amp;sheet=U0&amp;row=311&amp;col=6&amp;number=3.7&amp;sourceID=14","3.7")</f>
        <v>3.7</v>
      </c>
      <c r="G311" s="4" t="str">
        <f>HYPERLINK("http://141.218.60.56/~jnz1568/getInfo.php?workbook=13_02.xlsx&amp;sheet=U0&amp;row=311&amp;col=7&amp;number=7.04e-05&amp;sourceID=14","7.04e-05")</f>
        <v>7.04e-05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HYPERLINK("http://141.218.60.56/~jnz1568/getInfo.php?workbook=13_02.xlsx&amp;sheet=U0&amp;row=312&amp;col=6&amp;number=3.8&amp;sourceID=14","3.8")</f>
        <v>3.8</v>
      </c>
      <c r="G312" s="4" t="str">
        <f>HYPERLINK("http://141.218.60.56/~jnz1568/getInfo.php?workbook=13_02.xlsx&amp;sheet=U0&amp;row=312&amp;col=7&amp;number=7.04e-05&amp;sourceID=14","7.04e-05")</f>
        <v>7.04e-05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HYPERLINK("http://141.218.60.56/~jnz1568/getInfo.php?workbook=13_02.xlsx&amp;sheet=U0&amp;row=313&amp;col=6&amp;number=3.9&amp;sourceID=14","3.9")</f>
        <v>3.9</v>
      </c>
      <c r="G313" s="4" t="str">
        <f>HYPERLINK("http://141.218.60.56/~jnz1568/getInfo.php?workbook=13_02.xlsx&amp;sheet=U0&amp;row=313&amp;col=7&amp;number=7.04e-05&amp;sourceID=14","7.04e-05")</f>
        <v>7.04e-05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HYPERLINK("http://141.218.60.56/~jnz1568/getInfo.php?workbook=13_02.xlsx&amp;sheet=U0&amp;row=314&amp;col=6&amp;number=4&amp;sourceID=14","4")</f>
        <v>4</v>
      </c>
      <c r="G314" s="4" t="str">
        <f>HYPERLINK("http://141.218.60.56/~jnz1568/getInfo.php?workbook=13_02.xlsx&amp;sheet=U0&amp;row=314&amp;col=7&amp;number=7.04e-05&amp;sourceID=14","7.04e-05")</f>
        <v>7.04e-05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HYPERLINK("http://141.218.60.56/~jnz1568/getInfo.php?workbook=13_02.xlsx&amp;sheet=U0&amp;row=315&amp;col=6&amp;number=4.1&amp;sourceID=14","4.1")</f>
        <v>4.1</v>
      </c>
      <c r="G315" s="4" t="str">
        <f>HYPERLINK("http://141.218.60.56/~jnz1568/getInfo.php?workbook=13_02.xlsx&amp;sheet=U0&amp;row=315&amp;col=7&amp;number=7.05e-05&amp;sourceID=14","7.05e-05")</f>
        <v>7.05e-05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HYPERLINK("http://141.218.60.56/~jnz1568/getInfo.php?workbook=13_02.xlsx&amp;sheet=U0&amp;row=316&amp;col=6&amp;number=4.2&amp;sourceID=14","4.2")</f>
        <v>4.2</v>
      </c>
      <c r="G316" s="4" t="str">
        <f>HYPERLINK("http://141.218.60.56/~jnz1568/getInfo.php?workbook=13_02.xlsx&amp;sheet=U0&amp;row=316&amp;col=7&amp;number=7.05e-05&amp;sourceID=14","7.05e-05")</f>
        <v>7.05e-05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HYPERLINK("http://141.218.60.56/~jnz1568/getInfo.php?workbook=13_02.xlsx&amp;sheet=U0&amp;row=317&amp;col=6&amp;number=4.3&amp;sourceID=14","4.3")</f>
        <v>4.3</v>
      </c>
      <c r="G317" s="4" t="str">
        <f>HYPERLINK("http://141.218.60.56/~jnz1568/getInfo.php?workbook=13_02.xlsx&amp;sheet=U0&amp;row=317&amp;col=7&amp;number=7.06e-05&amp;sourceID=14","7.06e-05")</f>
        <v>7.06e-05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HYPERLINK("http://141.218.60.56/~jnz1568/getInfo.php?workbook=13_02.xlsx&amp;sheet=U0&amp;row=318&amp;col=6&amp;number=4.4&amp;sourceID=14","4.4")</f>
        <v>4.4</v>
      </c>
      <c r="G318" s="4" t="str">
        <f>HYPERLINK("http://141.218.60.56/~jnz1568/getInfo.php?workbook=13_02.xlsx&amp;sheet=U0&amp;row=318&amp;col=7&amp;number=7.06e-05&amp;sourceID=14","7.06e-05")</f>
        <v>7.06e-05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HYPERLINK("http://141.218.60.56/~jnz1568/getInfo.php?workbook=13_02.xlsx&amp;sheet=U0&amp;row=319&amp;col=6&amp;number=4.5&amp;sourceID=14","4.5")</f>
        <v>4.5</v>
      </c>
      <c r="G319" s="4" t="str">
        <f>HYPERLINK("http://141.218.60.56/~jnz1568/getInfo.php?workbook=13_02.xlsx&amp;sheet=U0&amp;row=319&amp;col=7&amp;number=7.07e-05&amp;sourceID=14","7.07e-05")</f>
        <v>7.07e-05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HYPERLINK("http://141.218.60.56/~jnz1568/getInfo.php?workbook=13_02.xlsx&amp;sheet=U0&amp;row=320&amp;col=6&amp;number=4.6&amp;sourceID=14","4.6")</f>
        <v>4.6</v>
      </c>
      <c r="G320" s="4" t="str">
        <f>HYPERLINK("http://141.218.60.56/~jnz1568/getInfo.php?workbook=13_02.xlsx&amp;sheet=U0&amp;row=320&amp;col=7&amp;number=7.08e-05&amp;sourceID=14","7.08e-05")</f>
        <v>7.08e-05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HYPERLINK("http://141.218.60.56/~jnz1568/getInfo.php?workbook=13_02.xlsx&amp;sheet=U0&amp;row=321&amp;col=6&amp;number=4.7&amp;sourceID=14","4.7")</f>
        <v>4.7</v>
      </c>
      <c r="G321" s="4" t="str">
        <f>HYPERLINK("http://141.218.60.56/~jnz1568/getInfo.php?workbook=13_02.xlsx&amp;sheet=U0&amp;row=321&amp;col=7&amp;number=7.09e-05&amp;sourceID=14","7.09e-05")</f>
        <v>7.09e-05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HYPERLINK("http://141.218.60.56/~jnz1568/getInfo.php?workbook=13_02.xlsx&amp;sheet=U0&amp;row=322&amp;col=6&amp;number=4.8&amp;sourceID=14","4.8")</f>
        <v>4.8</v>
      </c>
      <c r="G322" s="4" t="str">
        <f>HYPERLINK("http://141.218.60.56/~jnz1568/getInfo.php?workbook=13_02.xlsx&amp;sheet=U0&amp;row=322&amp;col=7&amp;number=7.1e-05&amp;sourceID=14","7.1e-05")</f>
        <v>7.1e-05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HYPERLINK("http://141.218.60.56/~jnz1568/getInfo.php?workbook=13_02.xlsx&amp;sheet=U0&amp;row=323&amp;col=6&amp;number=4.9&amp;sourceID=14","4.9")</f>
        <v>4.9</v>
      </c>
      <c r="G323" s="4" t="str">
        <f>HYPERLINK("http://141.218.60.56/~jnz1568/getInfo.php?workbook=13_02.xlsx&amp;sheet=U0&amp;row=323&amp;col=7&amp;number=7.12e-05&amp;sourceID=14","7.12e-05")</f>
        <v>7.12e-05</v>
      </c>
    </row>
    <row r="324" spans="1:7">
      <c r="A324" s="3">
        <v>13</v>
      </c>
      <c r="B324" s="3">
        <v>2</v>
      </c>
      <c r="C324" s="3" t="s">
        <v>80</v>
      </c>
      <c r="D324" s="3">
        <v>8</v>
      </c>
      <c r="E324" s="3">
        <v>1</v>
      </c>
      <c r="F324" s="4" t="str">
        <f>HYPERLINK("http://141.218.60.56/~jnz1568/getInfo.php?workbook=13_02.xlsx&amp;sheet=U0&amp;row=324&amp;col=6&amp;number=3&amp;sourceID=14","3")</f>
        <v>3</v>
      </c>
      <c r="G324" s="4" t="str">
        <f>HYPERLINK("http://141.218.60.56/~jnz1568/getInfo.php?workbook=13_02.xlsx&amp;sheet=U0&amp;row=324&amp;col=7&amp;number=0.00016&amp;sourceID=14","0.00016")</f>
        <v>0.00016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HYPERLINK("http://141.218.60.56/~jnz1568/getInfo.php?workbook=13_02.xlsx&amp;sheet=U0&amp;row=325&amp;col=6&amp;number=3.1&amp;sourceID=14","3.1")</f>
        <v>3.1</v>
      </c>
      <c r="G325" s="4" t="str">
        <f>HYPERLINK("http://141.218.60.56/~jnz1568/getInfo.php?workbook=13_02.xlsx&amp;sheet=U0&amp;row=325&amp;col=7&amp;number=0.00016&amp;sourceID=14","0.00016")</f>
        <v>0.00016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HYPERLINK("http://141.218.60.56/~jnz1568/getInfo.php?workbook=13_02.xlsx&amp;sheet=U0&amp;row=326&amp;col=6&amp;number=3.2&amp;sourceID=14","3.2")</f>
        <v>3.2</v>
      </c>
      <c r="G326" s="4" t="str">
        <f>HYPERLINK("http://141.218.60.56/~jnz1568/getInfo.php?workbook=13_02.xlsx&amp;sheet=U0&amp;row=326&amp;col=7&amp;number=0.00016&amp;sourceID=14","0.00016")</f>
        <v>0.00016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HYPERLINK("http://141.218.60.56/~jnz1568/getInfo.php?workbook=13_02.xlsx&amp;sheet=U0&amp;row=327&amp;col=6&amp;number=3.3&amp;sourceID=14","3.3")</f>
        <v>3.3</v>
      </c>
      <c r="G327" s="4" t="str">
        <f>HYPERLINK("http://141.218.60.56/~jnz1568/getInfo.php?workbook=13_02.xlsx&amp;sheet=U0&amp;row=327&amp;col=7&amp;number=0.00016&amp;sourceID=14","0.00016")</f>
        <v>0.00016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HYPERLINK("http://141.218.60.56/~jnz1568/getInfo.php?workbook=13_02.xlsx&amp;sheet=U0&amp;row=328&amp;col=6&amp;number=3.4&amp;sourceID=14","3.4")</f>
        <v>3.4</v>
      </c>
      <c r="G328" s="4" t="str">
        <f>HYPERLINK("http://141.218.60.56/~jnz1568/getInfo.php?workbook=13_02.xlsx&amp;sheet=U0&amp;row=328&amp;col=7&amp;number=0.00016&amp;sourceID=14","0.00016")</f>
        <v>0.00016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HYPERLINK("http://141.218.60.56/~jnz1568/getInfo.php?workbook=13_02.xlsx&amp;sheet=U0&amp;row=329&amp;col=6&amp;number=3.5&amp;sourceID=14","3.5")</f>
        <v>3.5</v>
      </c>
      <c r="G329" s="4" t="str">
        <f>HYPERLINK("http://141.218.60.56/~jnz1568/getInfo.php?workbook=13_02.xlsx&amp;sheet=U0&amp;row=329&amp;col=7&amp;number=0.00016&amp;sourceID=14","0.00016")</f>
        <v>0.00016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HYPERLINK("http://141.218.60.56/~jnz1568/getInfo.php?workbook=13_02.xlsx&amp;sheet=U0&amp;row=330&amp;col=6&amp;number=3.6&amp;sourceID=14","3.6")</f>
        <v>3.6</v>
      </c>
      <c r="G330" s="4" t="str">
        <f>HYPERLINK("http://141.218.60.56/~jnz1568/getInfo.php?workbook=13_02.xlsx&amp;sheet=U0&amp;row=330&amp;col=7&amp;number=0.00016&amp;sourceID=14","0.00016")</f>
        <v>0.00016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HYPERLINK("http://141.218.60.56/~jnz1568/getInfo.php?workbook=13_02.xlsx&amp;sheet=U0&amp;row=331&amp;col=6&amp;number=3.7&amp;sourceID=14","3.7")</f>
        <v>3.7</v>
      </c>
      <c r="G331" s="4" t="str">
        <f>HYPERLINK("http://141.218.60.56/~jnz1568/getInfo.php?workbook=13_02.xlsx&amp;sheet=U0&amp;row=331&amp;col=7&amp;number=0.00016&amp;sourceID=14","0.00016")</f>
        <v>0.00016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HYPERLINK("http://141.218.60.56/~jnz1568/getInfo.php?workbook=13_02.xlsx&amp;sheet=U0&amp;row=332&amp;col=6&amp;number=3.8&amp;sourceID=14","3.8")</f>
        <v>3.8</v>
      </c>
      <c r="G332" s="4" t="str">
        <f>HYPERLINK("http://141.218.60.56/~jnz1568/getInfo.php?workbook=13_02.xlsx&amp;sheet=U0&amp;row=332&amp;col=7&amp;number=0.00016&amp;sourceID=14","0.00016")</f>
        <v>0.00016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HYPERLINK("http://141.218.60.56/~jnz1568/getInfo.php?workbook=13_02.xlsx&amp;sheet=U0&amp;row=333&amp;col=6&amp;number=3.9&amp;sourceID=14","3.9")</f>
        <v>3.9</v>
      </c>
      <c r="G333" s="4" t="str">
        <f>HYPERLINK("http://141.218.60.56/~jnz1568/getInfo.php?workbook=13_02.xlsx&amp;sheet=U0&amp;row=333&amp;col=7&amp;number=0.00016&amp;sourceID=14","0.00016")</f>
        <v>0.00016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HYPERLINK("http://141.218.60.56/~jnz1568/getInfo.php?workbook=13_02.xlsx&amp;sheet=U0&amp;row=334&amp;col=6&amp;number=4&amp;sourceID=14","4")</f>
        <v>4</v>
      </c>
      <c r="G334" s="4" t="str">
        <f>HYPERLINK("http://141.218.60.56/~jnz1568/getInfo.php?workbook=13_02.xlsx&amp;sheet=U0&amp;row=334&amp;col=7&amp;number=0.00016&amp;sourceID=14","0.00016")</f>
        <v>0.00016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HYPERLINK("http://141.218.60.56/~jnz1568/getInfo.php?workbook=13_02.xlsx&amp;sheet=U0&amp;row=335&amp;col=6&amp;number=4.1&amp;sourceID=14","4.1")</f>
        <v>4.1</v>
      </c>
      <c r="G335" s="4" t="str">
        <f>HYPERLINK("http://141.218.60.56/~jnz1568/getInfo.php?workbook=13_02.xlsx&amp;sheet=U0&amp;row=335&amp;col=7&amp;number=0.00016&amp;sourceID=14","0.00016")</f>
        <v>0.00016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HYPERLINK("http://141.218.60.56/~jnz1568/getInfo.php?workbook=13_02.xlsx&amp;sheet=U0&amp;row=336&amp;col=6&amp;number=4.2&amp;sourceID=14","4.2")</f>
        <v>4.2</v>
      </c>
      <c r="G336" s="4" t="str">
        <f>HYPERLINK("http://141.218.60.56/~jnz1568/getInfo.php?workbook=13_02.xlsx&amp;sheet=U0&amp;row=336&amp;col=7&amp;number=0.00016&amp;sourceID=14","0.00016")</f>
        <v>0.00016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HYPERLINK("http://141.218.60.56/~jnz1568/getInfo.php?workbook=13_02.xlsx&amp;sheet=U0&amp;row=337&amp;col=6&amp;number=4.3&amp;sourceID=14","4.3")</f>
        <v>4.3</v>
      </c>
      <c r="G337" s="4" t="str">
        <f>HYPERLINK("http://141.218.60.56/~jnz1568/getInfo.php?workbook=13_02.xlsx&amp;sheet=U0&amp;row=337&amp;col=7&amp;number=0.00016&amp;sourceID=14","0.00016")</f>
        <v>0.00016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HYPERLINK("http://141.218.60.56/~jnz1568/getInfo.php?workbook=13_02.xlsx&amp;sheet=U0&amp;row=338&amp;col=6&amp;number=4.4&amp;sourceID=14","4.4")</f>
        <v>4.4</v>
      </c>
      <c r="G338" s="4" t="str">
        <f>HYPERLINK("http://141.218.60.56/~jnz1568/getInfo.php?workbook=13_02.xlsx&amp;sheet=U0&amp;row=338&amp;col=7&amp;number=0.00016&amp;sourceID=14","0.00016")</f>
        <v>0.00016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HYPERLINK("http://141.218.60.56/~jnz1568/getInfo.php?workbook=13_02.xlsx&amp;sheet=U0&amp;row=339&amp;col=6&amp;number=4.5&amp;sourceID=14","4.5")</f>
        <v>4.5</v>
      </c>
      <c r="G339" s="4" t="str">
        <f>HYPERLINK("http://141.218.60.56/~jnz1568/getInfo.php?workbook=13_02.xlsx&amp;sheet=U0&amp;row=339&amp;col=7&amp;number=0.00016&amp;sourceID=14","0.00016")</f>
        <v>0.00016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HYPERLINK("http://141.218.60.56/~jnz1568/getInfo.php?workbook=13_02.xlsx&amp;sheet=U0&amp;row=340&amp;col=6&amp;number=4.6&amp;sourceID=14","4.6")</f>
        <v>4.6</v>
      </c>
      <c r="G340" s="4" t="str">
        <f>HYPERLINK("http://141.218.60.56/~jnz1568/getInfo.php?workbook=13_02.xlsx&amp;sheet=U0&amp;row=340&amp;col=7&amp;number=0.00016&amp;sourceID=14","0.00016")</f>
        <v>0.00016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HYPERLINK("http://141.218.60.56/~jnz1568/getInfo.php?workbook=13_02.xlsx&amp;sheet=U0&amp;row=341&amp;col=6&amp;number=4.7&amp;sourceID=14","4.7")</f>
        <v>4.7</v>
      </c>
      <c r="G341" s="4" t="str">
        <f>HYPERLINK("http://141.218.60.56/~jnz1568/getInfo.php?workbook=13_02.xlsx&amp;sheet=U0&amp;row=341&amp;col=7&amp;number=0.00016&amp;sourceID=14","0.00016")</f>
        <v>0.00016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HYPERLINK("http://141.218.60.56/~jnz1568/getInfo.php?workbook=13_02.xlsx&amp;sheet=U0&amp;row=342&amp;col=6&amp;number=4.8&amp;sourceID=14","4.8")</f>
        <v>4.8</v>
      </c>
      <c r="G342" s="4" t="str">
        <f>HYPERLINK("http://141.218.60.56/~jnz1568/getInfo.php?workbook=13_02.xlsx&amp;sheet=U0&amp;row=342&amp;col=7&amp;number=0.00016&amp;sourceID=14","0.00016")</f>
        <v>0.00016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HYPERLINK("http://141.218.60.56/~jnz1568/getInfo.php?workbook=13_02.xlsx&amp;sheet=U0&amp;row=343&amp;col=6&amp;number=4.9&amp;sourceID=14","4.9")</f>
        <v>4.9</v>
      </c>
      <c r="G343" s="4" t="str">
        <f>HYPERLINK("http://141.218.60.56/~jnz1568/getInfo.php?workbook=13_02.xlsx&amp;sheet=U0&amp;row=343&amp;col=7&amp;number=0.00016&amp;sourceID=14","0.00016")</f>
        <v>0.00016</v>
      </c>
    </row>
    <row r="344" spans="1:7">
      <c r="A344" s="3">
        <v>13</v>
      </c>
      <c r="B344" s="3">
        <v>2</v>
      </c>
      <c r="C344" s="3" t="s">
        <v>80</v>
      </c>
      <c r="D344" s="3">
        <v>9</v>
      </c>
      <c r="E344" s="3">
        <v>1</v>
      </c>
      <c r="F344" s="4" t="str">
        <f>HYPERLINK("http://141.218.60.56/~jnz1568/getInfo.php?workbook=13_02.xlsx&amp;sheet=U0&amp;row=344&amp;col=6&amp;number=3&amp;sourceID=14","3")</f>
        <v>3</v>
      </c>
      <c r="G344" s="4" t="str">
        <f>HYPERLINK("http://141.218.60.56/~jnz1568/getInfo.php?workbook=13_02.xlsx&amp;sheet=U0&amp;row=344&amp;col=7&amp;number=0.000207&amp;sourceID=14","0.000207")</f>
        <v>0.000207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HYPERLINK("http://141.218.60.56/~jnz1568/getInfo.php?workbook=13_02.xlsx&amp;sheet=U0&amp;row=345&amp;col=6&amp;number=3.1&amp;sourceID=14","3.1")</f>
        <v>3.1</v>
      </c>
      <c r="G345" s="4" t="str">
        <f>HYPERLINK("http://141.218.60.56/~jnz1568/getInfo.php?workbook=13_02.xlsx&amp;sheet=U0&amp;row=345&amp;col=7&amp;number=0.000207&amp;sourceID=14","0.000207")</f>
        <v>0.000207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HYPERLINK("http://141.218.60.56/~jnz1568/getInfo.php?workbook=13_02.xlsx&amp;sheet=U0&amp;row=346&amp;col=6&amp;number=3.2&amp;sourceID=14","3.2")</f>
        <v>3.2</v>
      </c>
      <c r="G346" s="4" t="str">
        <f>HYPERLINK("http://141.218.60.56/~jnz1568/getInfo.php?workbook=13_02.xlsx&amp;sheet=U0&amp;row=346&amp;col=7&amp;number=0.000207&amp;sourceID=14","0.000207")</f>
        <v>0.000207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HYPERLINK("http://141.218.60.56/~jnz1568/getInfo.php?workbook=13_02.xlsx&amp;sheet=U0&amp;row=347&amp;col=6&amp;number=3.3&amp;sourceID=14","3.3")</f>
        <v>3.3</v>
      </c>
      <c r="G347" s="4" t="str">
        <f>HYPERLINK("http://141.218.60.56/~jnz1568/getInfo.php?workbook=13_02.xlsx&amp;sheet=U0&amp;row=347&amp;col=7&amp;number=0.000207&amp;sourceID=14","0.000207")</f>
        <v>0.000207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HYPERLINK("http://141.218.60.56/~jnz1568/getInfo.php?workbook=13_02.xlsx&amp;sheet=U0&amp;row=348&amp;col=6&amp;number=3.4&amp;sourceID=14","3.4")</f>
        <v>3.4</v>
      </c>
      <c r="G348" s="4" t="str">
        <f>HYPERLINK("http://141.218.60.56/~jnz1568/getInfo.php?workbook=13_02.xlsx&amp;sheet=U0&amp;row=348&amp;col=7&amp;number=0.000207&amp;sourceID=14","0.000207")</f>
        <v>0.000207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HYPERLINK("http://141.218.60.56/~jnz1568/getInfo.php?workbook=13_02.xlsx&amp;sheet=U0&amp;row=349&amp;col=6&amp;number=3.5&amp;sourceID=14","3.5")</f>
        <v>3.5</v>
      </c>
      <c r="G349" s="4" t="str">
        <f>HYPERLINK("http://141.218.60.56/~jnz1568/getInfo.php?workbook=13_02.xlsx&amp;sheet=U0&amp;row=349&amp;col=7&amp;number=0.000207&amp;sourceID=14","0.000207")</f>
        <v>0.000207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HYPERLINK("http://141.218.60.56/~jnz1568/getInfo.php?workbook=13_02.xlsx&amp;sheet=U0&amp;row=350&amp;col=6&amp;number=3.6&amp;sourceID=14","3.6")</f>
        <v>3.6</v>
      </c>
      <c r="G350" s="4" t="str">
        <f>HYPERLINK("http://141.218.60.56/~jnz1568/getInfo.php?workbook=13_02.xlsx&amp;sheet=U0&amp;row=350&amp;col=7&amp;number=0.000207&amp;sourceID=14","0.000207")</f>
        <v>0.000207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HYPERLINK("http://141.218.60.56/~jnz1568/getInfo.php?workbook=13_02.xlsx&amp;sheet=U0&amp;row=351&amp;col=6&amp;number=3.7&amp;sourceID=14","3.7")</f>
        <v>3.7</v>
      </c>
      <c r="G351" s="4" t="str">
        <f>HYPERLINK("http://141.218.60.56/~jnz1568/getInfo.php?workbook=13_02.xlsx&amp;sheet=U0&amp;row=351&amp;col=7&amp;number=0.000207&amp;sourceID=14","0.000207")</f>
        <v>0.000207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HYPERLINK("http://141.218.60.56/~jnz1568/getInfo.php?workbook=13_02.xlsx&amp;sheet=U0&amp;row=352&amp;col=6&amp;number=3.8&amp;sourceID=14","3.8")</f>
        <v>3.8</v>
      </c>
      <c r="G352" s="4" t="str">
        <f>HYPERLINK("http://141.218.60.56/~jnz1568/getInfo.php?workbook=13_02.xlsx&amp;sheet=U0&amp;row=352&amp;col=7&amp;number=0.000207&amp;sourceID=14","0.000207")</f>
        <v>0.000207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HYPERLINK("http://141.218.60.56/~jnz1568/getInfo.php?workbook=13_02.xlsx&amp;sheet=U0&amp;row=353&amp;col=6&amp;number=3.9&amp;sourceID=14","3.9")</f>
        <v>3.9</v>
      </c>
      <c r="G353" s="4" t="str">
        <f>HYPERLINK("http://141.218.60.56/~jnz1568/getInfo.php?workbook=13_02.xlsx&amp;sheet=U0&amp;row=353&amp;col=7&amp;number=0.000207&amp;sourceID=14","0.000207")</f>
        <v>0.000207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HYPERLINK("http://141.218.60.56/~jnz1568/getInfo.php?workbook=13_02.xlsx&amp;sheet=U0&amp;row=354&amp;col=6&amp;number=4&amp;sourceID=14","4")</f>
        <v>4</v>
      </c>
      <c r="G354" s="4" t="str">
        <f>HYPERLINK("http://141.218.60.56/~jnz1568/getInfo.php?workbook=13_02.xlsx&amp;sheet=U0&amp;row=354&amp;col=7&amp;number=0.000207&amp;sourceID=14","0.000207")</f>
        <v>0.000207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HYPERLINK("http://141.218.60.56/~jnz1568/getInfo.php?workbook=13_02.xlsx&amp;sheet=U0&amp;row=355&amp;col=6&amp;number=4.1&amp;sourceID=14","4.1")</f>
        <v>4.1</v>
      </c>
      <c r="G355" s="4" t="str">
        <f>HYPERLINK("http://141.218.60.56/~jnz1568/getInfo.php?workbook=13_02.xlsx&amp;sheet=U0&amp;row=355&amp;col=7&amp;number=0.000207&amp;sourceID=14","0.000207")</f>
        <v>0.000207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HYPERLINK("http://141.218.60.56/~jnz1568/getInfo.php?workbook=13_02.xlsx&amp;sheet=U0&amp;row=356&amp;col=6&amp;number=4.2&amp;sourceID=14","4.2")</f>
        <v>4.2</v>
      </c>
      <c r="G356" s="4" t="str">
        <f>HYPERLINK("http://141.218.60.56/~jnz1568/getInfo.php?workbook=13_02.xlsx&amp;sheet=U0&amp;row=356&amp;col=7&amp;number=0.000207&amp;sourceID=14","0.000207")</f>
        <v>0.000207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HYPERLINK("http://141.218.60.56/~jnz1568/getInfo.php?workbook=13_02.xlsx&amp;sheet=U0&amp;row=357&amp;col=6&amp;number=4.3&amp;sourceID=14","4.3")</f>
        <v>4.3</v>
      </c>
      <c r="G357" s="4" t="str">
        <f>HYPERLINK("http://141.218.60.56/~jnz1568/getInfo.php?workbook=13_02.xlsx&amp;sheet=U0&amp;row=357&amp;col=7&amp;number=0.000207&amp;sourceID=14","0.000207")</f>
        <v>0.000207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HYPERLINK("http://141.218.60.56/~jnz1568/getInfo.php?workbook=13_02.xlsx&amp;sheet=U0&amp;row=358&amp;col=6&amp;number=4.4&amp;sourceID=14","4.4")</f>
        <v>4.4</v>
      </c>
      <c r="G358" s="4" t="str">
        <f>HYPERLINK("http://141.218.60.56/~jnz1568/getInfo.php?workbook=13_02.xlsx&amp;sheet=U0&amp;row=358&amp;col=7&amp;number=0.000207&amp;sourceID=14","0.000207")</f>
        <v>0.000207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HYPERLINK("http://141.218.60.56/~jnz1568/getInfo.php?workbook=13_02.xlsx&amp;sheet=U0&amp;row=359&amp;col=6&amp;number=4.5&amp;sourceID=14","4.5")</f>
        <v>4.5</v>
      </c>
      <c r="G359" s="4" t="str">
        <f>HYPERLINK("http://141.218.60.56/~jnz1568/getInfo.php?workbook=13_02.xlsx&amp;sheet=U0&amp;row=359&amp;col=7&amp;number=0.000207&amp;sourceID=14","0.000207")</f>
        <v>0.000207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HYPERLINK("http://141.218.60.56/~jnz1568/getInfo.php?workbook=13_02.xlsx&amp;sheet=U0&amp;row=360&amp;col=6&amp;number=4.6&amp;sourceID=14","4.6")</f>
        <v>4.6</v>
      </c>
      <c r="G360" s="4" t="str">
        <f>HYPERLINK("http://141.218.60.56/~jnz1568/getInfo.php?workbook=13_02.xlsx&amp;sheet=U0&amp;row=360&amp;col=7&amp;number=0.000207&amp;sourceID=14","0.000207")</f>
        <v>0.000207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HYPERLINK("http://141.218.60.56/~jnz1568/getInfo.php?workbook=13_02.xlsx&amp;sheet=U0&amp;row=361&amp;col=6&amp;number=4.7&amp;sourceID=14","4.7")</f>
        <v>4.7</v>
      </c>
      <c r="G361" s="4" t="str">
        <f>HYPERLINK("http://141.218.60.56/~jnz1568/getInfo.php?workbook=13_02.xlsx&amp;sheet=U0&amp;row=361&amp;col=7&amp;number=0.000207&amp;sourceID=14","0.000207")</f>
        <v>0.000207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HYPERLINK("http://141.218.60.56/~jnz1568/getInfo.php?workbook=13_02.xlsx&amp;sheet=U0&amp;row=362&amp;col=6&amp;number=4.8&amp;sourceID=14","4.8")</f>
        <v>4.8</v>
      </c>
      <c r="G362" s="4" t="str">
        <f>HYPERLINK("http://141.218.60.56/~jnz1568/getInfo.php?workbook=13_02.xlsx&amp;sheet=U0&amp;row=362&amp;col=7&amp;number=0.000207&amp;sourceID=14","0.000207")</f>
        <v>0.000207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HYPERLINK("http://141.218.60.56/~jnz1568/getInfo.php?workbook=13_02.xlsx&amp;sheet=U0&amp;row=363&amp;col=6&amp;number=4.9&amp;sourceID=14","4.9")</f>
        <v>4.9</v>
      </c>
      <c r="G363" s="4" t="str">
        <f>HYPERLINK("http://141.218.60.56/~jnz1568/getInfo.php?workbook=13_02.xlsx&amp;sheet=U0&amp;row=363&amp;col=7&amp;number=0.000207&amp;sourceID=14","0.000207")</f>
        <v>0.000207</v>
      </c>
    </row>
    <row r="364" spans="1:7">
      <c r="A364" s="3">
        <v>13</v>
      </c>
      <c r="B364" s="3">
        <v>2</v>
      </c>
      <c r="C364" s="3" t="s">
        <v>81</v>
      </c>
      <c r="D364" s="3">
        <v>0</v>
      </c>
      <c r="E364" s="3">
        <v>1</v>
      </c>
      <c r="F364" s="4" t="str">
        <f>HYPERLINK("http://141.218.60.56/~jnz1568/getInfo.php?workbook=13_02.xlsx&amp;sheet=U0&amp;row=364&amp;col=6&amp;number=3&amp;sourceID=14","3")</f>
        <v>3</v>
      </c>
      <c r="G364" s="4" t="str">
        <f>HYPERLINK("http://141.218.60.56/~jnz1568/getInfo.php?workbook=13_02.xlsx&amp;sheet=U0&amp;row=364&amp;col=7&amp;number=9.76e-05&amp;sourceID=14","9.76e-05")</f>
        <v>9.76e-05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HYPERLINK("http://141.218.60.56/~jnz1568/getInfo.php?workbook=13_02.xlsx&amp;sheet=U0&amp;row=365&amp;col=6&amp;number=3.1&amp;sourceID=14","3.1")</f>
        <v>3.1</v>
      </c>
      <c r="G365" s="4" t="str">
        <f>HYPERLINK("http://141.218.60.56/~jnz1568/getInfo.php?workbook=13_02.xlsx&amp;sheet=U0&amp;row=365&amp;col=7&amp;number=9.76e-05&amp;sourceID=14","9.76e-05")</f>
        <v>9.76e-05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HYPERLINK("http://141.218.60.56/~jnz1568/getInfo.php?workbook=13_02.xlsx&amp;sheet=U0&amp;row=366&amp;col=6&amp;number=3.2&amp;sourceID=14","3.2")</f>
        <v>3.2</v>
      </c>
      <c r="G366" s="4" t="str">
        <f>HYPERLINK("http://141.218.60.56/~jnz1568/getInfo.php?workbook=13_02.xlsx&amp;sheet=U0&amp;row=366&amp;col=7&amp;number=9.76e-05&amp;sourceID=14","9.76e-05")</f>
        <v>9.76e-05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HYPERLINK("http://141.218.60.56/~jnz1568/getInfo.php?workbook=13_02.xlsx&amp;sheet=U0&amp;row=367&amp;col=6&amp;number=3.3&amp;sourceID=14","3.3")</f>
        <v>3.3</v>
      </c>
      <c r="G367" s="4" t="str">
        <f>HYPERLINK("http://141.218.60.56/~jnz1568/getInfo.php?workbook=13_02.xlsx&amp;sheet=U0&amp;row=367&amp;col=7&amp;number=9.76e-05&amp;sourceID=14","9.76e-05")</f>
        <v>9.76e-05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HYPERLINK("http://141.218.60.56/~jnz1568/getInfo.php?workbook=13_02.xlsx&amp;sheet=U0&amp;row=368&amp;col=6&amp;number=3.4&amp;sourceID=14","3.4")</f>
        <v>3.4</v>
      </c>
      <c r="G368" s="4" t="str">
        <f>HYPERLINK("http://141.218.60.56/~jnz1568/getInfo.php?workbook=13_02.xlsx&amp;sheet=U0&amp;row=368&amp;col=7&amp;number=9.76e-05&amp;sourceID=14","9.76e-05")</f>
        <v>9.76e-05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HYPERLINK("http://141.218.60.56/~jnz1568/getInfo.php?workbook=13_02.xlsx&amp;sheet=U0&amp;row=369&amp;col=6&amp;number=3.5&amp;sourceID=14","3.5")</f>
        <v>3.5</v>
      </c>
      <c r="G369" s="4" t="str">
        <f>HYPERLINK("http://141.218.60.56/~jnz1568/getInfo.php?workbook=13_02.xlsx&amp;sheet=U0&amp;row=369&amp;col=7&amp;number=9.76e-05&amp;sourceID=14","9.76e-05")</f>
        <v>9.76e-05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HYPERLINK("http://141.218.60.56/~jnz1568/getInfo.php?workbook=13_02.xlsx&amp;sheet=U0&amp;row=370&amp;col=6&amp;number=3.6&amp;sourceID=14","3.6")</f>
        <v>3.6</v>
      </c>
      <c r="G370" s="4" t="str">
        <f>HYPERLINK("http://141.218.60.56/~jnz1568/getInfo.php?workbook=13_02.xlsx&amp;sheet=U0&amp;row=370&amp;col=7&amp;number=9.76e-05&amp;sourceID=14","9.76e-05")</f>
        <v>9.76e-05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HYPERLINK("http://141.218.60.56/~jnz1568/getInfo.php?workbook=13_02.xlsx&amp;sheet=U0&amp;row=371&amp;col=6&amp;number=3.7&amp;sourceID=14","3.7")</f>
        <v>3.7</v>
      </c>
      <c r="G371" s="4" t="str">
        <f>HYPERLINK("http://141.218.60.56/~jnz1568/getInfo.php?workbook=13_02.xlsx&amp;sheet=U0&amp;row=371&amp;col=7&amp;number=9.76e-05&amp;sourceID=14","9.76e-05")</f>
        <v>9.76e-05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HYPERLINK("http://141.218.60.56/~jnz1568/getInfo.php?workbook=13_02.xlsx&amp;sheet=U0&amp;row=372&amp;col=6&amp;number=3.8&amp;sourceID=14","3.8")</f>
        <v>3.8</v>
      </c>
      <c r="G372" s="4" t="str">
        <f>HYPERLINK("http://141.218.60.56/~jnz1568/getInfo.php?workbook=13_02.xlsx&amp;sheet=U0&amp;row=372&amp;col=7&amp;number=9.75e-05&amp;sourceID=14","9.75e-05")</f>
        <v>9.75e-05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HYPERLINK("http://141.218.60.56/~jnz1568/getInfo.php?workbook=13_02.xlsx&amp;sheet=U0&amp;row=373&amp;col=6&amp;number=3.9&amp;sourceID=14","3.9")</f>
        <v>3.9</v>
      </c>
      <c r="G373" s="4" t="str">
        <f>HYPERLINK("http://141.218.60.56/~jnz1568/getInfo.php?workbook=13_02.xlsx&amp;sheet=U0&amp;row=373&amp;col=7&amp;number=9.75e-05&amp;sourceID=14","9.75e-05")</f>
        <v>9.75e-05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HYPERLINK("http://141.218.60.56/~jnz1568/getInfo.php?workbook=13_02.xlsx&amp;sheet=U0&amp;row=374&amp;col=6&amp;number=4&amp;sourceID=14","4")</f>
        <v>4</v>
      </c>
      <c r="G374" s="4" t="str">
        <f>HYPERLINK("http://141.218.60.56/~jnz1568/getInfo.php?workbook=13_02.xlsx&amp;sheet=U0&amp;row=374&amp;col=7&amp;number=9.75e-05&amp;sourceID=14","9.75e-05")</f>
        <v>9.75e-05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HYPERLINK("http://141.218.60.56/~jnz1568/getInfo.php?workbook=13_02.xlsx&amp;sheet=U0&amp;row=375&amp;col=6&amp;number=4.1&amp;sourceID=14","4.1")</f>
        <v>4.1</v>
      </c>
      <c r="G375" s="4" t="str">
        <f>HYPERLINK("http://141.218.60.56/~jnz1568/getInfo.php?workbook=13_02.xlsx&amp;sheet=U0&amp;row=375&amp;col=7&amp;number=9.75e-05&amp;sourceID=14","9.75e-05")</f>
        <v>9.75e-05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HYPERLINK("http://141.218.60.56/~jnz1568/getInfo.php?workbook=13_02.xlsx&amp;sheet=U0&amp;row=376&amp;col=6&amp;number=4.2&amp;sourceID=14","4.2")</f>
        <v>4.2</v>
      </c>
      <c r="G376" s="4" t="str">
        <f>HYPERLINK("http://141.218.60.56/~jnz1568/getInfo.php?workbook=13_02.xlsx&amp;sheet=U0&amp;row=376&amp;col=7&amp;number=9.75e-05&amp;sourceID=14","9.75e-05")</f>
        <v>9.75e-05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HYPERLINK("http://141.218.60.56/~jnz1568/getInfo.php?workbook=13_02.xlsx&amp;sheet=U0&amp;row=377&amp;col=6&amp;number=4.3&amp;sourceID=14","4.3")</f>
        <v>4.3</v>
      </c>
      <c r="G377" s="4" t="str">
        <f>HYPERLINK("http://141.218.60.56/~jnz1568/getInfo.php?workbook=13_02.xlsx&amp;sheet=U0&amp;row=377&amp;col=7&amp;number=9.75e-05&amp;sourceID=14","9.75e-05")</f>
        <v>9.75e-05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HYPERLINK("http://141.218.60.56/~jnz1568/getInfo.php?workbook=13_02.xlsx&amp;sheet=U0&amp;row=378&amp;col=6&amp;number=4.4&amp;sourceID=14","4.4")</f>
        <v>4.4</v>
      </c>
      <c r="G378" s="4" t="str">
        <f>HYPERLINK("http://141.218.60.56/~jnz1568/getInfo.php?workbook=13_02.xlsx&amp;sheet=U0&amp;row=378&amp;col=7&amp;number=9.74e-05&amp;sourceID=14","9.74e-05")</f>
        <v>9.74e-05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HYPERLINK("http://141.218.60.56/~jnz1568/getInfo.php?workbook=13_02.xlsx&amp;sheet=U0&amp;row=379&amp;col=6&amp;number=4.5&amp;sourceID=14","4.5")</f>
        <v>4.5</v>
      </c>
      <c r="G379" s="4" t="str">
        <f>HYPERLINK("http://141.218.60.56/~jnz1568/getInfo.php?workbook=13_02.xlsx&amp;sheet=U0&amp;row=379&amp;col=7&amp;number=9.74e-05&amp;sourceID=14","9.74e-05")</f>
        <v>9.74e-05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HYPERLINK("http://141.218.60.56/~jnz1568/getInfo.php?workbook=13_02.xlsx&amp;sheet=U0&amp;row=380&amp;col=6&amp;number=4.6&amp;sourceID=14","4.6")</f>
        <v>4.6</v>
      </c>
      <c r="G380" s="4" t="str">
        <f>HYPERLINK("http://141.218.60.56/~jnz1568/getInfo.php?workbook=13_02.xlsx&amp;sheet=U0&amp;row=380&amp;col=7&amp;number=9.73e-05&amp;sourceID=14","9.73e-05")</f>
        <v>9.73e-05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HYPERLINK("http://141.218.60.56/~jnz1568/getInfo.php?workbook=13_02.xlsx&amp;sheet=U0&amp;row=381&amp;col=6&amp;number=4.7&amp;sourceID=14","4.7")</f>
        <v>4.7</v>
      </c>
      <c r="G381" s="4" t="str">
        <f>HYPERLINK("http://141.218.60.56/~jnz1568/getInfo.php?workbook=13_02.xlsx&amp;sheet=U0&amp;row=381&amp;col=7&amp;number=9.73e-05&amp;sourceID=14","9.73e-05")</f>
        <v>9.73e-05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HYPERLINK("http://141.218.60.56/~jnz1568/getInfo.php?workbook=13_02.xlsx&amp;sheet=U0&amp;row=382&amp;col=6&amp;number=4.8&amp;sourceID=14","4.8")</f>
        <v>4.8</v>
      </c>
      <c r="G382" s="4" t="str">
        <f>HYPERLINK("http://141.218.60.56/~jnz1568/getInfo.php?workbook=13_02.xlsx&amp;sheet=U0&amp;row=382&amp;col=7&amp;number=9.72e-05&amp;sourceID=14","9.72e-05")</f>
        <v>9.72e-05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HYPERLINK("http://141.218.60.56/~jnz1568/getInfo.php?workbook=13_02.xlsx&amp;sheet=U0&amp;row=383&amp;col=6&amp;number=4.9&amp;sourceID=14","4.9")</f>
        <v>4.9</v>
      </c>
      <c r="G383" s="4" t="str">
        <f>HYPERLINK("http://141.218.60.56/~jnz1568/getInfo.php?workbook=13_02.xlsx&amp;sheet=U0&amp;row=383&amp;col=7&amp;number=9.71e-05&amp;sourceID=14","9.71e-05")</f>
        <v>9.71e-05</v>
      </c>
    </row>
    <row r="384" spans="1:7">
      <c r="A384" s="3">
        <v>13</v>
      </c>
      <c r="B384" s="3">
        <v>2</v>
      </c>
      <c r="C384" s="3" t="s">
        <v>81</v>
      </c>
      <c r="D384" s="3">
        <v>1</v>
      </c>
      <c r="E384" s="3">
        <v>1</v>
      </c>
      <c r="F384" s="4" t="str">
        <f>HYPERLINK("http://141.218.60.56/~jnz1568/getInfo.php?workbook=13_02.xlsx&amp;sheet=U0&amp;row=384&amp;col=6&amp;number=3&amp;sourceID=14","3")</f>
        <v>3</v>
      </c>
      <c r="G384" s="4" t="str">
        <f>HYPERLINK("http://141.218.60.56/~jnz1568/getInfo.php?workbook=13_02.xlsx&amp;sheet=U0&amp;row=384&amp;col=7&amp;number=0.000294&amp;sourceID=14","0.000294")</f>
        <v>0.000294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HYPERLINK("http://141.218.60.56/~jnz1568/getInfo.php?workbook=13_02.xlsx&amp;sheet=U0&amp;row=385&amp;col=6&amp;number=3.1&amp;sourceID=14","3.1")</f>
        <v>3.1</v>
      </c>
      <c r="G385" s="4" t="str">
        <f>HYPERLINK("http://141.218.60.56/~jnz1568/getInfo.php?workbook=13_02.xlsx&amp;sheet=U0&amp;row=385&amp;col=7&amp;number=0.000294&amp;sourceID=14","0.000294")</f>
        <v>0.000294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HYPERLINK("http://141.218.60.56/~jnz1568/getInfo.php?workbook=13_02.xlsx&amp;sheet=U0&amp;row=386&amp;col=6&amp;number=3.2&amp;sourceID=14","3.2")</f>
        <v>3.2</v>
      </c>
      <c r="G386" s="4" t="str">
        <f>HYPERLINK("http://141.218.60.56/~jnz1568/getInfo.php?workbook=13_02.xlsx&amp;sheet=U0&amp;row=386&amp;col=7&amp;number=0.000294&amp;sourceID=14","0.000294")</f>
        <v>0.000294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HYPERLINK("http://141.218.60.56/~jnz1568/getInfo.php?workbook=13_02.xlsx&amp;sheet=U0&amp;row=387&amp;col=6&amp;number=3.3&amp;sourceID=14","3.3")</f>
        <v>3.3</v>
      </c>
      <c r="G387" s="4" t="str">
        <f>HYPERLINK("http://141.218.60.56/~jnz1568/getInfo.php?workbook=13_02.xlsx&amp;sheet=U0&amp;row=387&amp;col=7&amp;number=0.000294&amp;sourceID=14","0.000294")</f>
        <v>0.000294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HYPERLINK("http://141.218.60.56/~jnz1568/getInfo.php?workbook=13_02.xlsx&amp;sheet=U0&amp;row=388&amp;col=6&amp;number=3.4&amp;sourceID=14","3.4")</f>
        <v>3.4</v>
      </c>
      <c r="G388" s="4" t="str">
        <f>HYPERLINK("http://141.218.60.56/~jnz1568/getInfo.php?workbook=13_02.xlsx&amp;sheet=U0&amp;row=388&amp;col=7&amp;number=0.000294&amp;sourceID=14","0.000294")</f>
        <v>0.000294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HYPERLINK("http://141.218.60.56/~jnz1568/getInfo.php?workbook=13_02.xlsx&amp;sheet=U0&amp;row=389&amp;col=6&amp;number=3.5&amp;sourceID=14","3.5")</f>
        <v>3.5</v>
      </c>
      <c r="G389" s="4" t="str">
        <f>HYPERLINK("http://141.218.60.56/~jnz1568/getInfo.php?workbook=13_02.xlsx&amp;sheet=U0&amp;row=389&amp;col=7&amp;number=0.000294&amp;sourceID=14","0.000294")</f>
        <v>0.000294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HYPERLINK("http://141.218.60.56/~jnz1568/getInfo.php?workbook=13_02.xlsx&amp;sheet=U0&amp;row=390&amp;col=6&amp;number=3.6&amp;sourceID=14","3.6")</f>
        <v>3.6</v>
      </c>
      <c r="G390" s="4" t="str">
        <f>HYPERLINK("http://141.218.60.56/~jnz1568/getInfo.php?workbook=13_02.xlsx&amp;sheet=U0&amp;row=390&amp;col=7&amp;number=0.000294&amp;sourceID=14","0.000294")</f>
        <v>0.000294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HYPERLINK("http://141.218.60.56/~jnz1568/getInfo.php?workbook=13_02.xlsx&amp;sheet=U0&amp;row=391&amp;col=6&amp;number=3.7&amp;sourceID=14","3.7")</f>
        <v>3.7</v>
      </c>
      <c r="G391" s="4" t="str">
        <f>HYPERLINK("http://141.218.60.56/~jnz1568/getInfo.php?workbook=13_02.xlsx&amp;sheet=U0&amp;row=391&amp;col=7&amp;number=0.000294&amp;sourceID=14","0.000294")</f>
        <v>0.000294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HYPERLINK("http://141.218.60.56/~jnz1568/getInfo.php?workbook=13_02.xlsx&amp;sheet=U0&amp;row=392&amp;col=6&amp;number=3.8&amp;sourceID=14","3.8")</f>
        <v>3.8</v>
      </c>
      <c r="G392" s="4" t="str">
        <f>HYPERLINK("http://141.218.60.56/~jnz1568/getInfo.php?workbook=13_02.xlsx&amp;sheet=U0&amp;row=392&amp;col=7&amp;number=0.000294&amp;sourceID=14","0.000294")</f>
        <v>0.000294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HYPERLINK("http://141.218.60.56/~jnz1568/getInfo.php?workbook=13_02.xlsx&amp;sheet=U0&amp;row=393&amp;col=6&amp;number=3.9&amp;sourceID=14","3.9")</f>
        <v>3.9</v>
      </c>
      <c r="G393" s="4" t="str">
        <f>HYPERLINK("http://141.218.60.56/~jnz1568/getInfo.php?workbook=13_02.xlsx&amp;sheet=U0&amp;row=393&amp;col=7&amp;number=0.000294&amp;sourceID=14","0.000294")</f>
        <v>0.000294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HYPERLINK("http://141.218.60.56/~jnz1568/getInfo.php?workbook=13_02.xlsx&amp;sheet=U0&amp;row=394&amp;col=6&amp;number=4&amp;sourceID=14","4")</f>
        <v>4</v>
      </c>
      <c r="G394" s="4" t="str">
        <f>HYPERLINK("http://141.218.60.56/~jnz1568/getInfo.php?workbook=13_02.xlsx&amp;sheet=U0&amp;row=394&amp;col=7&amp;number=0.000294&amp;sourceID=14","0.000294")</f>
        <v>0.000294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HYPERLINK("http://141.218.60.56/~jnz1568/getInfo.php?workbook=13_02.xlsx&amp;sheet=U0&amp;row=395&amp;col=6&amp;number=4.1&amp;sourceID=14","4.1")</f>
        <v>4.1</v>
      </c>
      <c r="G395" s="4" t="str">
        <f>HYPERLINK("http://141.218.60.56/~jnz1568/getInfo.php?workbook=13_02.xlsx&amp;sheet=U0&amp;row=395&amp;col=7&amp;number=0.000294&amp;sourceID=14","0.000294")</f>
        <v>0.000294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HYPERLINK("http://141.218.60.56/~jnz1568/getInfo.php?workbook=13_02.xlsx&amp;sheet=U0&amp;row=396&amp;col=6&amp;number=4.2&amp;sourceID=14","4.2")</f>
        <v>4.2</v>
      </c>
      <c r="G396" s="4" t="str">
        <f>HYPERLINK("http://141.218.60.56/~jnz1568/getInfo.php?workbook=13_02.xlsx&amp;sheet=U0&amp;row=396&amp;col=7&amp;number=0.000294&amp;sourceID=14","0.000294")</f>
        <v>0.000294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HYPERLINK("http://141.218.60.56/~jnz1568/getInfo.php?workbook=13_02.xlsx&amp;sheet=U0&amp;row=397&amp;col=6&amp;number=4.3&amp;sourceID=14","4.3")</f>
        <v>4.3</v>
      </c>
      <c r="G397" s="4" t="str">
        <f>HYPERLINK("http://141.218.60.56/~jnz1568/getInfo.php?workbook=13_02.xlsx&amp;sheet=U0&amp;row=397&amp;col=7&amp;number=0.000294&amp;sourceID=14","0.000294")</f>
        <v>0.000294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HYPERLINK("http://141.218.60.56/~jnz1568/getInfo.php?workbook=13_02.xlsx&amp;sheet=U0&amp;row=398&amp;col=6&amp;number=4.4&amp;sourceID=14","4.4")</f>
        <v>4.4</v>
      </c>
      <c r="G398" s="4" t="str">
        <f>HYPERLINK("http://141.218.60.56/~jnz1568/getInfo.php?workbook=13_02.xlsx&amp;sheet=U0&amp;row=398&amp;col=7&amp;number=0.000294&amp;sourceID=14","0.000294")</f>
        <v>0.000294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HYPERLINK("http://141.218.60.56/~jnz1568/getInfo.php?workbook=13_02.xlsx&amp;sheet=U0&amp;row=399&amp;col=6&amp;number=4.5&amp;sourceID=14","4.5")</f>
        <v>4.5</v>
      </c>
      <c r="G399" s="4" t="str">
        <f>HYPERLINK("http://141.218.60.56/~jnz1568/getInfo.php?workbook=13_02.xlsx&amp;sheet=U0&amp;row=399&amp;col=7&amp;number=0.000294&amp;sourceID=14","0.000294")</f>
        <v>0.000294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HYPERLINK("http://141.218.60.56/~jnz1568/getInfo.php?workbook=13_02.xlsx&amp;sheet=U0&amp;row=400&amp;col=6&amp;number=4.6&amp;sourceID=14","4.6")</f>
        <v>4.6</v>
      </c>
      <c r="G400" s="4" t="str">
        <f>HYPERLINK("http://141.218.60.56/~jnz1568/getInfo.php?workbook=13_02.xlsx&amp;sheet=U0&amp;row=400&amp;col=7&amp;number=0.000293&amp;sourceID=14","0.000293")</f>
        <v>0.000293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HYPERLINK("http://141.218.60.56/~jnz1568/getInfo.php?workbook=13_02.xlsx&amp;sheet=U0&amp;row=401&amp;col=6&amp;number=4.7&amp;sourceID=14","4.7")</f>
        <v>4.7</v>
      </c>
      <c r="G401" s="4" t="str">
        <f>HYPERLINK("http://141.218.60.56/~jnz1568/getInfo.php?workbook=13_02.xlsx&amp;sheet=U0&amp;row=401&amp;col=7&amp;number=0.000293&amp;sourceID=14","0.000293")</f>
        <v>0.000293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HYPERLINK("http://141.218.60.56/~jnz1568/getInfo.php?workbook=13_02.xlsx&amp;sheet=U0&amp;row=402&amp;col=6&amp;number=4.8&amp;sourceID=14","4.8")</f>
        <v>4.8</v>
      </c>
      <c r="G402" s="4" t="str">
        <f>HYPERLINK("http://141.218.60.56/~jnz1568/getInfo.php?workbook=13_02.xlsx&amp;sheet=U0&amp;row=402&amp;col=7&amp;number=0.000293&amp;sourceID=14","0.000293")</f>
        <v>0.000293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HYPERLINK("http://141.218.60.56/~jnz1568/getInfo.php?workbook=13_02.xlsx&amp;sheet=U0&amp;row=403&amp;col=6&amp;number=4.9&amp;sourceID=14","4.9")</f>
        <v>4.9</v>
      </c>
      <c r="G403" s="4" t="str">
        <f>HYPERLINK("http://141.218.60.56/~jnz1568/getInfo.php?workbook=13_02.xlsx&amp;sheet=U0&amp;row=403&amp;col=7&amp;number=0.000293&amp;sourceID=14","0.000293")</f>
        <v>0.000293</v>
      </c>
    </row>
    <row r="404" spans="1:7">
      <c r="A404" s="3">
        <v>13</v>
      </c>
      <c r="B404" s="3">
        <v>2</v>
      </c>
      <c r="C404" s="3" t="s">
        <v>81</v>
      </c>
      <c r="D404" s="3">
        <v>2</v>
      </c>
      <c r="E404" s="3">
        <v>1</v>
      </c>
      <c r="F404" s="4" t="str">
        <f>HYPERLINK("http://141.218.60.56/~jnz1568/getInfo.php?workbook=13_02.xlsx&amp;sheet=U0&amp;row=404&amp;col=6&amp;number=3&amp;sourceID=14","3")</f>
        <v>3</v>
      </c>
      <c r="G404" s="4" t="str">
        <f>HYPERLINK("http://141.218.60.56/~jnz1568/getInfo.php?workbook=13_02.xlsx&amp;sheet=U0&amp;row=404&amp;col=7&amp;number=0.000683&amp;sourceID=14","0.000683")</f>
        <v>0.000683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HYPERLINK("http://141.218.60.56/~jnz1568/getInfo.php?workbook=13_02.xlsx&amp;sheet=U0&amp;row=405&amp;col=6&amp;number=3.1&amp;sourceID=14","3.1")</f>
        <v>3.1</v>
      </c>
      <c r="G405" s="4" t="str">
        <f>HYPERLINK("http://141.218.60.56/~jnz1568/getInfo.php?workbook=13_02.xlsx&amp;sheet=U0&amp;row=405&amp;col=7&amp;number=0.000683&amp;sourceID=14","0.000683")</f>
        <v>0.000683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HYPERLINK("http://141.218.60.56/~jnz1568/getInfo.php?workbook=13_02.xlsx&amp;sheet=U0&amp;row=406&amp;col=6&amp;number=3.2&amp;sourceID=14","3.2")</f>
        <v>3.2</v>
      </c>
      <c r="G406" s="4" t="str">
        <f>HYPERLINK("http://141.218.60.56/~jnz1568/getInfo.php?workbook=13_02.xlsx&amp;sheet=U0&amp;row=406&amp;col=7&amp;number=0.000683&amp;sourceID=14","0.000683")</f>
        <v>0.000683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HYPERLINK("http://141.218.60.56/~jnz1568/getInfo.php?workbook=13_02.xlsx&amp;sheet=U0&amp;row=407&amp;col=6&amp;number=3.3&amp;sourceID=14","3.3")</f>
        <v>3.3</v>
      </c>
      <c r="G407" s="4" t="str">
        <f>HYPERLINK("http://141.218.60.56/~jnz1568/getInfo.php?workbook=13_02.xlsx&amp;sheet=U0&amp;row=407&amp;col=7&amp;number=0.000683&amp;sourceID=14","0.000683")</f>
        <v>0.000683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HYPERLINK("http://141.218.60.56/~jnz1568/getInfo.php?workbook=13_02.xlsx&amp;sheet=U0&amp;row=408&amp;col=6&amp;number=3.4&amp;sourceID=14","3.4")</f>
        <v>3.4</v>
      </c>
      <c r="G408" s="4" t="str">
        <f>HYPERLINK("http://141.218.60.56/~jnz1568/getInfo.php?workbook=13_02.xlsx&amp;sheet=U0&amp;row=408&amp;col=7&amp;number=0.000683&amp;sourceID=14","0.000683")</f>
        <v>0.000683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HYPERLINK("http://141.218.60.56/~jnz1568/getInfo.php?workbook=13_02.xlsx&amp;sheet=U0&amp;row=409&amp;col=6&amp;number=3.5&amp;sourceID=14","3.5")</f>
        <v>3.5</v>
      </c>
      <c r="G409" s="4" t="str">
        <f>HYPERLINK("http://141.218.60.56/~jnz1568/getInfo.php?workbook=13_02.xlsx&amp;sheet=U0&amp;row=409&amp;col=7&amp;number=0.000683&amp;sourceID=14","0.000683")</f>
        <v>0.000683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HYPERLINK("http://141.218.60.56/~jnz1568/getInfo.php?workbook=13_02.xlsx&amp;sheet=U0&amp;row=410&amp;col=6&amp;number=3.6&amp;sourceID=14","3.6")</f>
        <v>3.6</v>
      </c>
      <c r="G410" s="4" t="str">
        <f>HYPERLINK("http://141.218.60.56/~jnz1568/getInfo.php?workbook=13_02.xlsx&amp;sheet=U0&amp;row=410&amp;col=7&amp;number=0.000683&amp;sourceID=14","0.000683")</f>
        <v>0.000683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HYPERLINK("http://141.218.60.56/~jnz1568/getInfo.php?workbook=13_02.xlsx&amp;sheet=U0&amp;row=411&amp;col=6&amp;number=3.7&amp;sourceID=14","3.7")</f>
        <v>3.7</v>
      </c>
      <c r="G411" s="4" t="str">
        <f>HYPERLINK("http://141.218.60.56/~jnz1568/getInfo.php?workbook=13_02.xlsx&amp;sheet=U0&amp;row=411&amp;col=7&amp;number=0.000683&amp;sourceID=14","0.000683")</f>
        <v>0.000683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HYPERLINK("http://141.218.60.56/~jnz1568/getInfo.php?workbook=13_02.xlsx&amp;sheet=U0&amp;row=412&amp;col=6&amp;number=3.8&amp;sourceID=14","3.8")</f>
        <v>3.8</v>
      </c>
      <c r="G412" s="4" t="str">
        <f>HYPERLINK("http://141.218.60.56/~jnz1568/getInfo.php?workbook=13_02.xlsx&amp;sheet=U0&amp;row=412&amp;col=7&amp;number=0.000683&amp;sourceID=14","0.000683")</f>
        <v>0.000683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HYPERLINK("http://141.218.60.56/~jnz1568/getInfo.php?workbook=13_02.xlsx&amp;sheet=U0&amp;row=413&amp;col=6&amp;number=3.9&amp;sourceID=14","3.9")</f>
        <v>3.9</v>
      </c>
      <c r="G413" s="4" t="str">
        <f>HYPERLINK("http://141.218.60.56/~jnz1568/getInfo.php?workbook=13_02.xlsx&amp;sheet=U0&amp;row=413&amp;col=7&amp;number=0.000683&amp;sourceID=14","0.000683")</f>
        <v>0.000683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HYPERLINK("http://141.218.60.56/~jnz1568/getInfo.php?workbook=13_02.xlsx&amp;sheet=U0&amp;row=414&amp;col=6&amp;number=4&amp;sourceID=14","4")</f>
        <v>4</v>
      </c>
      <c r="G414" s="4" t="str">
        <f>HYPERLINK("http://141.218.60.56/~jnz1568/getInfo.php?workbook=13_02.xlsx&amp;sheet=U0&amp;row=414&amp;col=7&amp;number=0.000683&amp;sourceID=14","0.000683")</f>
        <v>0.000683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HYPERLINK("http://141.218.60.56/~jnz1568/getInfo.php?workbook=13_02.xlsx&amp;sheet=U0&amp;row=415&amp;col=6&amp;number=4.1&amp;sourceID=14","4.1")</f>
        <v>4.1</v>
      </c>
      <c r="G415" s="4" t="str">
        <f>HYPERLINK("http://141.218.60.56/~jnz1568/getInfo.php?workbook=13_02.xlsx&amp;sheet=U0&amp;row=415&amp;col=7&amp;number=0.000683&amp;sourceID=14","0.000683")</f>
        <v>0.000683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HYPERLINK("http://141.218.60.56/~jnz1568/getInfo.php?workbook=13_02.xlsx&amp;sheet=U0&amp;row=416&amp;col=6&amp;number=4.2&amp;sourceID=14","4.2")</f>
        <v>4.2</v>
      </c>
      <c r="G416" s="4" t="str">
        <f>HYPERLINK("http://141.218.60.56/~jnz1568/getInfo.php?workbook=13_02.xlsx&amp;sheet=U0&amp;row=416&amp;col=7&amp;number=0.000683&amp;sourceID=14","0.000683")</f>
        <v>0.000683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HYPERLINK("http://141.218.60.56/~jnz1568/getInfo.php?workbook=13_02.xlsx&amp;sheet=U0&amp;row=417&amp;col=6&amp;number=4.3&amp;sourceID=14","4.3")</f>
        <v>4.3</v>
      </c>
      <c r="G417" s="4" t="str">
        <f>HYPERLINK("http://141.218.60.56/~jnz1568/getInfo.php?workbook=13_02.xlsx&amp;sheet=U0&amp;row=417&amp;col=7&amp;number=0.000682&amp;sourceID=14","0.000682")</f>
        <v>0.000682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HYPERLINK("http://141.218.60.56/~jnz1568/getInfo.php?workbook=13_02.xlsx&amp;sheet=U0&amp;row=418&amp;col=6&amp;number=4.4&amp;sourceID=14","4.4")</f>
        <v>4.4</v>
      </c>
      <c r="G418" s="4" t="str">
        <f>HYPERLINK("http://141.218.60.56/~jnz1568/getInfo.php?workbook=13_02.xlsx&amp;sheet=U0&amp;row=418&amp;col=7&amp;number=0.000682&amp;sourceID=14","0.000682")</f>
        <v>0.000682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HYPERLINK("http://141.218.60.56/~jnz1568/getInfo.php?workbook=13_02.xlsx&amp;sheet=U0&amp;row=419&amp;col=6&amp;number=4.5&amp;sourceID=14","4.5")</f>
        <v>4.5</v>
      </c>
      <c r="G419" s="4" t="str">
        <f>HYPERLINK("http://141.218.60.56/~jnz1568/getInfo.php?workbook=13_02.xlsx&amp;sheet=U0&amp;row=419&amp;col=7&amp;number=0.000682&amp;sourceID=14","0.000682")</f>
        <v>0.000682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HYPERLINK("http://141.218.60.56/~jnz1568/getInfo.php?workbook=13_02.xlsx&amp;sheet=U0&amp;row=420&amp;col=6&amp;number=4.6&amp;sourceID=14","4.6")</f>
        <v>4.6</v>
      </c>
      <c r="G420" s="4" t="str">
        <f>HYPERLINK("http://141.218.60.56/~jnz1568/getInfo.php?workbook=13_02.xlsx&amp;sheet=U0&amp;row=420&amp;col=7&amp;number=0.000682&amp;sourceID=14","0.000682")</f>
        <v>0.000682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HYPERLINK("http://141.218.60.56/~jnz1568/getInfo.php?workbook=13_02.xlsx&amp;sheet=U0&amp;row=421&amp;col=6&amp;number=4.7&amp;sourceID=14","4.7")</f>
        <v>4.7</v>
      </c>
      <c r="G421" s="4" t="str">
        <f>HYPERLINK("http://141.218.60.56/~jnz1568/getInfo.php?workbook=13_02.xlsx&amp;sheet=U0&amp;row=421&amp;col=7&amp;number=0.000681&amp;sourceID=14","0.000681")</f>
        <v>0.000681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HYPERLINK("http://141.218.60.56/~jnz1568/getInfo.php?workbook=13_02.xlsx&amp;sheet=U0&amp;row=422&amp;col=6&amp;number=4.8&amp;sourceID=14","4.8")</f>
        <v>4.8</v>
      </c>
      <c r="G422" s="4" t="str">
        <f>HYPERLINK("http://141.218.60.56/~jnz1568/getInfo.php?workbook=13_02.xlsx&amp;sheet=U0&amp;row=422&amp;col=7&amp;number=0.000681&amp;sourceID=14","0.000681")</f>
        <v>0.000681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HYPERLINK("http://141.218.60.56/~jnz1568/getInfo.php?workbook=13_02.xlsx&amp;sheet=U0&amp;row=423&amp;col=6&amp;number=4.9&amp;sourceID=14","4.9")</f>
        <v>4.9</v>
      </c>
      <c r="G423" s="4" t="str">
        <f>HYPERLINK("http://141.218.60.56/~jnz1568/getInfo.php?workbook=13_02.xlsx&amp;sheet=U0&amp;row=423&amp;col=7&amp;number=0.00068&amp;sourceID=14","0.00068")</f>
        <v>0.00068</v>
      </c>
    </row>
    <row r="424" spans="1:7">
      <c r="A424" s="3">
        <v>13</v>
      </c>
      <c r="B424" s="3">
        <v>2</v>
      </c>
      <c r="C424" s="3" t="s">
        <v>81</v>
      </c>
      <c r="D424" s="3">
        <v>3</v>
      </c>
      <c r="E424" s="3">
        <v>1</v>
      </c>
      <c r="F424" s="4" t="str">
        <f>HYPERLINK("http://141.218.60.56/~jnz1568/getInfo.php?workbook=13_02.xlsx&amp;sheet=U0&amp;row=424&amp;col=6&amp;number=3&amp;sourceID=14","3")</f>
        <v>3</v>
      </c>
      <c r="G424" s="4" t="str">
        <f>HYPERLINK("http://141.218.60.56/~jnz1568/getInfo.php?workbook=13_02.xlsx&amp;sheet=U0&amp;row=424&amp;col=7&amp;number=0.000522&amp;sourceID=14","0.000522")</f>
        <v>0.000522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HYPERLINK("http://141.218.60.56/~jnz1568/getInfo.php?workbook=13_02.xlsx&amp;sheet=U0&amp;row=425&amp;col=6&amp;number=3.1&amp;sourceID=14","3.1")</f>
        <v>3.1</v>
      </c>
      <c r="G425" s="4" t="str">
        <f>HYPERLINK("http://141.218.60.56/~jnz1568/getInfo.php?workbook=13_02.xlsx&amp;sheet=U0&amp;row=425&amp;col=7&amp;number=0.000522&amp;sourceID=14","0.000522")</f>
        <v>0.000522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HYPERLINK("http://141.218.60.56/~jnz1568/getInfo.php?workbook=13_02.xlsx&amp;sheet=U0&amp;row=426&amp;col=6&amp;number=3.2&amp;sourceID=14","3.2")</f>
        <v>3.2</v>
      </c>
      <c r="G426" s="4" t="str">
        <f>HYPERLINK("http://141.218.60.56/~jnz1568/getInfo.php?workbook=13_02.xlsx&amp;sheet=U0&amp;row=426&amp;col=7&amp;number=0.000522&amp;sourceID=14","0.000522")</f>
        <v>0.000522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HYPERLINK("http://141.218.60.56/~jnz1568/getInfo.php?workbook=13_02.xlsx&amp;sheet=U0&amp;row=427&amp;col=6&amp;number=3.3&amp;sourceID=14","3.3")</f>
        <v>3.3</v>
      </c>
      <c r="G427" s="4" t="str">
        <f>HYPERLINK("http://141.218.60.56/~jnz1568/getInfo.php?workbook=13_02.xlsx&amp;sheet=U0&amp;row=427&amp;col=7&amp;number=0.000522&amp;sourceID=14","0.000522")</f>
        <v>0.000522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HYPERLINK("http://141.218.60.56/~jnz1568/getInfo.php?workbook=13_02.xlsx&amp;sheet=U0&amp;row=428&amp;col=6&amp;number=3.4&amp;sourceID=14","3.4")</f>
        <v>3.4</v>
      </c>
      <c r="G428" s="4" t="str">
        <f>HYPERLINK("http://141.218.60.56/~jnz1568/getInfo.php?workbook=13_02.xlsx&amp;sheet=U0&amp;row=428&amp;col=7&amp;number=0.000522&amp;sourceID=14","0.000522")</f>
        <v>0.000522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HYPERLINK("http://141.218.60.56/~jnz1568/getInfo.php?workbook=13_02.xlsx&amp;sheet=U0&amp;row=429&amp;col=6&amp;number=3.5&amp;sourceID=14","3.5")</f>
        <v>3.5</v>
      </c>
      <c r="G429" s="4" t="str">
        <f>HYPERLINK("http://141.218.60.56/~jnz1568/getInfo.php?workbook=13_02.xlsx&amp;sheet=U0&amp;row=429&amp;col=7&amp;number=0.000522&amp;sourceID=14","0.000522")</f>
        <v>0.000522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HYPERLINK("http://141.218.60.56/~jnz1568/getInfo.php?workbook=13_02.xlsx&amp;sheet=U0&amp;row=430&amp;col=6&amp;number=3.6&amp;sourceID=14","3.6")</f>
        <v>3.6</v>
      </c>
      <c r="G430" s="4" t="str">
        <f>HYPERLINK("http://141.218.60.56/~jnz1568/getInfo.php?workbook=13_02.xlsx&amp;sheet=U0&amp;row=430&amp;col=7&amp;number=0.000522&amp;sourceID=14","0.000522")</f>
        <v>0.000522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HYPERLINK("http://141.218.60.56/~jnz1568/getInfo.php?workbook=13_02.xlsx&amp;sheet=U0&amp;row=431&amp;col=6&amp;number=3.7&amp;sourceID=14","3.7")</f>
        <v>3.7</v>
      </c>
      <c r="G431" s="4" t="str">
        <f>HYPERLINK("http://141.218.60.56/~jnz1568/getInfo.php?workbook=13_02.xlsx&amp;sheet=U0&amp;row=431&amp;col=7&amp;number=0.000522&amp;sourceID=14","0.000522")</f>
        <v>0.000522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HYPERLINK("http://141.218.60.56/~jnz1568/getInfo.php?workbook=13_02.xlsx&amp;sheet=U0&amp;row=432&amp;col=6&amp;number=3.8&amp;sourceID=14","3.8")</f>
        <v>3.8</v>
      </c>
      <c r="G432" s="4" t="str">
        <f>HYPERLINK("http://141.218.60.56/~jnz1568/getInfo.php?workbook=13_02.xlsx&amp;sheet=U0&amp;row=432&amp;col=7&amp;number=0.000522&amp;sourceID=14","0.000522")</f>
        <v>0.000522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HYPERLINK("http://141.218.60.56/~jnz1568/getInfo.php?workbook=13_02.xlsx&amp;sheet=U0&amp;row=433&amp;col=6&amp;number=3.9&amp;sourceID=14","3.9")</f>
        <v>3.9</v>
      </c>
      <c r="G433" s="4" t="str">
        <f>HYPERLINK("http://141.218.60.56/~jnz1568/getInfo.php?workbook=13_02.xlsx&amp;sheet=U0&amp;row=433&amp;col=7&amp;number=0.000522&amp;sourceID=14","0.000522")</f>
        <v>0.000522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HYPERLINK("http://141.218.60.56/~jnz1568/getInfo.php?workbook=13_02.xlsx&amp;sheet=U0&amp;row=434&amp;col=6&amp;number=4&amp;sourceID=14","4")</f>
        <v>4</v>
      </c>
      <c r="G434" s="4" t="str">
        <f>HYPERLINK("http://141.218.60.56/~jnz1568/getInfo.php?workbook=13_02.xlsx&amp;sheet=U0&amp;row=434&amp;col=7&amp;number=0.000523&amp;sourceID=14","0.000523")</f>
        <v>0.000523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HYPERLINK("http://141.218.60.56/~jnz1568/getInfo.php?workbook=13_02.xlsx&amp;sheet=U0&amp;row=435&amp;col=6&amp;number=4.1&amp;sourceID=14","4.1")</f>
        <v>4.1</v>
      </c>
      <c r="G435" s="4" t="str">
        <f>HYPERLINK("http://141.218.60.56/~jnz1568/getInfo.php?workbook=13_02.xlsx&amp;sheet=U0&amp;row=435&amp;col=7&amp;number=0.000523&amp;sourceID=14","0.000523")</f>
        <v>0.000523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HYPERLINK("http://141.218.60.56/~jnz1568/getInfo.php?workbook=13_02.xlsx&amp;sheet=U0&amp;row=436&amp;col=6&amp;number=4.2&amp;sourceID=14","4.2")</f>
        <v>4.2</v>
      </c>
      <c r="G436" s="4" t="str">
        <f>HYPERLINK("http://141.218.60.56/~jnz1568/getInfo.php?workbook=13_02.xlsx&amp;sheet=U0&amp;row=436&amp;col=7&amp;number=0.000523&amp;sourceID=14","0.000523")</f>
        <v>0.000523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HYPERLINK("http://141.218.60.56/~jnz1568/getInfo.php?workbook=13_02.xlsx&amp;sheet=U0&amp;row=437&amp;col=6&amp;number=4.3&amp;sourceID=14","4.3")</f>
        <v>4.3</v>
      </c>
      <c r="G437" s="4" t="str">
        <f>HYPERLINK("http://141.218.60.56/~jnz1568/getInfo.php?workbook=13_02.xlsx&amp;sheet=U0&amp;row=437&amp;col=7&amp;number=0.000523&amp;sourceID=14","0.000523")</f>
        <v>0.000523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HYPERLINK("http://141.218.60.56/~jnz1568/getInfo.php?workbook=13_02.xlsx&amp;sheet=U0&amp;row=438&amp;col=6&amp;number=4.4&amp;sourceID=14","4.4")</f>
        <v>4.4</v>
      </c>
      <c r="G438" s="4" t="str">
        <f>HYPERLINK("http://141.218.60.56/~jnz1568/getInfo.php?workbook=13_02.xlsx&amp;sheet=U0&amp;row=438&amp;col=7&amp;number=0.000523&amp;sourceID=14","0.000523")</f>
        <v>0.000523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HYPERLINK("http://141.218.60.56/~jnz1568/getInfo.php?workbook=13_02.xlsx&amp;sheet=U0&amp;row=439&amp;col=6&amp;number=4.5&amp;sourceID=14","4.5")</f>
        <v>4.5</v>
      </c>
      <c r="G439" s="4" t="str">
        <f>HYPERLINK("http://141.218.60.56/~jnz1568/getInfo.php?workbook=13_02.xlsx&amp;sheet=U0&amp;row=439&amp;col=7&amp;number=0.000524&amp;sourceID=14","0.000524")</f>
        <v>0.000524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HYPERLINK("http://141.218.60.56/~jnz1568/getInfo.php?workbook=13_02.xlsx&amp;sheet=U0&amp;row=440&amp;col=6&amp;number=4.6&amp;sourceID=14","4.6")</f>
        <v>4.6</v>
      </c>
      <c r="G440" s="4" t="str">
        <f>HYPERLINK("http://141.218.60.56/~jnz1568/getInfo.php?workbook=13_02.xlsx&amp;sheet=U0&amp;row=440&amp;col=7&amp;number=0.000524&amp;sourceID=14","0.000524")</f>
        <v>0.000524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HYPERLINK("http://141.218.60.56/~jnz1568/getInfo.php?workbook=13_02.xlsx&amp;sheet=U0&amp;row=441&amp;col=6&amp;number=4.7&amp;sourceID=14","4.7")</f>
        <v>4.7</v>
      </c>
      <c r="G441" s="4" t="str">
        <f>HYPERLINK("http://141.218.60.56/~jnz1568/getInfo.php?workbook=13_02.xlsx&amp;sheet=U0&amp;row=441&amp;col=7&amp;number=0.000525&amp;sourceID=14","0.000525")</f>
        <v>0.000525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HYPERLINK("http://141.218.60.56/~jnz1568/getInfo.php?workbook=13_02.xlsx&amp;sheet=U0&amp;row=442&amp;col=6&amp;number=4.8&amp;sourceID=14","4.8")</f>
        <v>4.8</v>
      </c>
      <c r="G442" s="4" t="str">
        <f>HYPERLINK("http://141.218.60.56/~jnz1568/getInfo.php?workbook=13_02.xlsx&amp;sheet=U0&amp;row=442&amp;col=7&amp;number=0.000525&amp;sourceID=14","0.000525")</f>
        <v>0.000525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HYPERLINK("http://141.218.60.56/~jnz1568/getInfo.php?workbook=13_02.xlsx&amp;sheet=U0&amp;row=443&amp;col=6&amp;number=4.9&amp;sourceID=14","4.9")</f>
        <v>4.9</v>
      </c>
      <c r="G443" s="4" t="str">
        <f>HYPERLINK("http://141.218.60.56/~jnz1568/getInfo.php?workbook=13_02.xlsx&amp;sheet=U0&amp;row=443&amp;col=7&amp;number=0.000526&amp;sourceID=14","0.000526")</f>
        <v>0.000526</v>
      </c>
    </row>
    <row r="444" spans="1:7">
      <c r="A444" s="3">
        <v>13</v>
      </c>
      <c r="B444" s="3">
        <v>2</v>
      </c>
      <c r="C444" s="3" t="s">
        <v>81</v>
      </c>
      <c r="D444" s="3">
        <v>4</v>
      </c>
      <c r="E444" s="3">
        <v>1</v>
      </c>
      <c r="F444" s="4" t="str">
        <f>HYPERLINK("http://141.218.60.56/~jnz1568/getInfo.php?workbook=13_02.xlsx&amp;sheet=U0&amp;row=444&amp;col=6&amp;number=3&amp;sourceID=14","3")</f>
        <v>3</v>
      </c>
      <c r="G444" s="4" t="str">
        <f>HYPERLINK("http://141.218.60.56/~jnz1568/getInfo.php?workbook=13_02.xlsx&amp;sheet=U0&amp;row=444&amp;col=7&amp;number=5.13e-05&amp;sourceID=14","5.13e-05")</f>
        <v>5.13e-05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HYPERLINK("http://141.218.60.56/~jnz1568/getInfo.php?workbook=13_02.xlsx&amp;sheet=U0&amp;row=445&amp;col=6&amp;number=3.1&amp;sourceID=14","3.1")</f>
        <v>3.1</v>
      </c>
      <c r="G445" s="4" t="str">
        <f>HYPERLINK("http://141.218.60.56/~jnz1568/getInfo.php?workbook=13_02.xlsx&amp;sheet=U0&amp;row=445&amp;col=7&amp;number=5.13e-05&amp;sourceID=14","5.13e-05")</f>
        <v>5.13e-05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HYPERLINK("http://141.218.60.56/~jnz1568/getInfo.php?workbook=13_02.xlsx&amp;sheet=U0&amp;row=446&amp;col=6&amp;number=3.2&amp;sourceID=14","3.2")</f>
        <v>3.2</v>
      </c>
      <c r="G446" s="4" t="str">
        <f>HYPERLINK("http://141.218.60.56/~jnz1568/getInfo.php?workbook=13_02.xlsx&amp;sheet=U0&amp;row=446&amp;col=7&amp;number=5.13e-05&amp;sourceID=14","5.13e-05")</f>
        <v>5.13e-05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HYPERLINK("http://141.218.60.56/~jnz1568/getInfo.php?workbook=13_02.xlsx&amp;sheet=U0&amp;row=447&amp;col=6&amp;number=3.3&amp;sourceID=14","3.3")</f>
        <v>3.3</v>
      </c>
      <c r="G447" s="4" t="str">
        <f>HYPERLINK("http://141.218.60.56/~jnz1568/getInfo.php?workbook=13_02.xlsx&amp;sheet=U0&amp;row=447&amp;col=7&amp;number=5.13e-05&amp;sourceID=14","5.13e-05")</f>
        <v>5.13e-05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HYPERLINK("http://141.218.60.56/~jnz1568/getInfo.php?workbook=13_02.xlsx&amp;sheet=U0&amp;row=448&amp;col=6&amp;number=3.4&amp;sourceID=14","3.4")</f>
        <v>3.4</v>
      </c>
      <c r="G448" s="4" t="str">
        <f>HYPERLINK("http://141.218.60.56/~jnz1568/getInfo.php?workbook=13_02.xlsx&amp;sheet=U0&amp;row=448&amp;col=7&amp;number=5.13e-05&amp;sourceID=14","5.13e-05")</f>
        <v>5.13e-05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HYPERLINK("http://141.218.60.56/~jnz1568/getInfo.php?workbook=13_02.xlsx&amp;sheet=U0&amp;row=449&amp;col=6&amp;number=3.5&amp;sourceID=14","3.5")</f>
        <v>3.5</v>
      </c>
      <c r="G449" s="4" t="str">
        <f>HYPERLINK("http://141.218.60.56/~jnz1568/getInfo.php?workbook=13_02.xlsx&amp;sheet=U0&amp;row=449&amp;col=7&amp;number=5.13e-05&amp;sourceID=14","5.13e-05")</f>
        <v>5.13e-05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HYPERLINK("http://141.218.60.56/~jnz1568/getInfo.php?workbook=13_02.xlsx&amp;sheet=U0&amp;row=450&amp;col=6&amp;number=3.6&amp;sourceID=14","3.6")</f>
        <v>3.6</v>
      </c>
      <c r="G450" s="4" t="str">
        <f>HYPERLINK("http://141.218.60.56/~jnz1568/getInfo.php?workbook=13_02.xlsx&amp;sheet=U0&amp;row=450&amp;col=7&amp;number=5.13e-05&amp;sourceID=14","5.13e-05")</f>
        <v>5.13e-05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HYPERLINK("http://141.218.60.56/~jnz1568/getInfo.php?workbook=13_02.xlsx&amp;sheet=U0&amp;row=451&amp;col=6&amp;number=3.7&amp;sourceID=14","3.7")</f>
        <v>3.7</v>
      </c>
      <c r="G451" s="4" t="str">
        <f>HYPERLINK("http://141.218.60.56/~jnz1568/getInfo.php?workbook=13_02.xlsx&amp;sheet=U0&amp;row=451&amp;col=7&amp;number=5.13e-05&amp;sourceID=14","5.13e-05")</f>
        <v>5.13e-05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HYPERLINK("http://141.218.60.56/~jnz1568/getInfo.php?workbook=13_02.xlsx&amp;sheet=U0&amp;row=452&amp;col=6&amp;number=3.8&amp;sourceID=14","3.8")</f>
        <v>3.8</v>
      </c>
      <c r="G452" s="4" t="str">
        <f>HYPERLINK("http://141.218.60.56/~jnz1568/getInfo.php?workbook=13_02.xlsx&amp;sheet=U0&amp;row=452&amp;col=7&amp;number=5.13e-05&amp;sourceID=14","5.13e-05")</f>
        <v>5.13e-05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HYPERLINK("http://141.218.60.56/~jnz1568/getInfo.php?workbook=13_02.xlsx&amp;sheet=U0&amp;row=453&amp;col=6&amp;number=3.9&amp;sourceID=14","3.9")</f>
        <v>3.9</v>
      </c>
      <c r="G453" s="4" t="str">
        <f>HYPERLINK("http://141.218.60.56/~jnz1568/getInfo.php?workbook=13_02.xlsx&amp;sheet=U0&amp;row=453&amp;col=7&amp;number=5.13e-05&amp;sourceID=14","5.13e-05")</f>
        <v>5.13e-05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HYPERLINK("http://141.218.60.56/~jnz1568/getInfo.php?workbook=13_02.xlsx&amp;sheet=U0&amp;row=454&amp;col=6&amp;number=4&amp;sourceID=14","4")</f>
        <v>4</v>
      </c>
      <c r="G454" s="4" t="str">
        <f>HYPERLINK("http://141.218.60.56/~jnz1568/getInfo.php?workbook=13_02.xlsx&amp;sheet=U0&amp;row=454&amp;col=7&amp;number=5.13e-05&amp;sourceID=14","5.13e-05")</f>
        <v>5.13e-05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HYPERLINK("http://141.218.60.56/~jnz1568/getInfo.php?workbook=13_02.xlsx&amp;sheet=U0&amp;row=455&amp;col=6&amp;number=4.1&amp;sourceID=14","4.1")</f>
        <v>4.1</v>
      </c>
      <c r="G455" s="4" t="str">
        <f>HYPERLINK("http://141.218.60.56/~jnz1568/getInfo.php?workbook=13_02.xlsx&amp;sheet=U0&amp;row=455&amp;col=7&amp;number=5.13e-05&amp;sourceID=14","5.13e-05")</f>
        <v>5.13e-05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HYPERLINK("http://141.218.60.56/~jnz1568/getInfo.php?workbook=13_02.xlsx&amp;sheet=U0&amp;row=456&amp;col=6&amp;number=4.2&amp;sourceID=14","4.2")</f>
        <v>4.2</v>
      </c>
      <c r="G456" s="4" t="str">
        <f>HYPERLINK("http://141.218.60.56/~jnz1568/getInfo.php?workbook=13_02.xlsx&amp;sheet=U0&amp;row=456&amp;col=7&amp;number=5.13e-05&amp;sourceID=14","5.13e-05")</f>
        <v>5.13e-05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HYPERLINK("http://141.218.60.56/~jnz1568/getInfo.php?workbook=13_02.xlsx&amp;sheet=U0&amp;row=457&amp;col=6&amp;number=4.3&amp;sourceID=14","4.3")</f>
        <v>4.3</v>
      </c>
      <c r="G457" s="4" t="str">
        <f>HYPERLINK("http://141.218.60.56/~jnz1568/getInfo.php?workbook=13_02.xlsx&amp;sheet=U0&amp;row=457&amp;col=7&amp;number=5.13e-05&amp;sourceID=14","5.13e-05")</f>
        <v>5.13e-05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HYPERLINK("http://141.218.60.56/~jnz1568/getInfo.php?workbook=13_02.xlsx&amp;sheet=U0&amp;row=458&amp;col=6&amp;number=4.4&amp;sourceID=14","4.4")</f>
        <v>4.4</v>
      </c>
      <c r="G458" s="4" t="str">
        <f>HYPERLINK("http://141.218.60.56/~jnz1568/getInfo.php?workbook=13_02.xlsx&amp;sheet=U0&amp;row=458&amp;col=7&amp;number=5.12e-05&amp;sourceID=14","5.12e-05")</f>
        <v>5.12e-05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HYPERLINK("http://141.218.60.56/~jnz1568/getInfo.php?workbook=13_02.xlsx&amp;sheet=U0&amp;row=459&amp;col=6&amp;number=4.5&amp;sourceID=14","4.5")</f>
        <v>4.5</v>
      </c>
      <c r="G459" s="4" t="str">
        <f>HYPERLINK("http://141.218.60.56/~jnz1568/getInfo.php?workbook=13_02.xlsx&amp;sheet=U0&amp;row=459&amp;col=7&amp;number=5.12e-05&amp;sourceID=14","5.12e-05")</f>
        <v>5.12e-05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HYPERLINK("http://141.218.60.56/~jnz1568/getInfo.php?workbook=13_02.xlsx&amp;sheet=U0&amp;row=460&amp;col=6&amp;number=4.6&amp;sourceID=14","4.6")</f>
        <v>4.6</v>
      </c>
      <c r="G460" s="4" t="str">
        <f>HYPERLINK("http://141.218.60.56/~jnz1568/getInfo.php?workbook=13_02.xlsx&amp;sheet=U0&amp;row=460&amp;col=7&amp;number=5.12e-05&amp;sourceID=14","5.12e-05")</f>
        <v>5.12e-05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HYPERLINK("http://141.218.60.56/~jnz1568/getInfo.php?workbook=13_02.xlsx&amp;sheet=U0&amp;row=461&amp;col=6&amp;number=4.7&amp;sourceID=14","4.7")</f>
        <v>4.7</v>
      </c>
      <c r="G461" s="4" t="str">
        <f>HYPERLINK("http://141.218.60.56/~jnz1568/getInfo.php?workbook=13_02.xlsx&amp;sheet=U0&amp;row=461&amp;col=7&amp;number=5.11e-05&amp;sourceID=14","5.11e-05")</f>
        <v>5.11e-05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HYPERLINK("http://141.218.60.56/~jnz1568/getInfo.php?workbook=13_02.xlsx&amp;sheet=U0&amp;row=462&amp;col=6&amp;number=4.8&amp;sourceID=14","4.8")</f>
        <v>4.8</v>
      </c>
      <c r="G462" s="4" t="str">
        <f>HYPERLINK("http://141.218.60.56/~jnz1568/getInfo.php?workbook=13_02.xlsx&amp;sheet=U0&amp;row=462&amp;col=7&amp;number=5.11e-05&amp;sourceID=14","5.11e-05")</f>
        <v>5.11e-05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HYPERLINK("http://141.218.60.56/~jnz1568/getInfo.php?workbook=13_02.xlsx&amp;sheet=U0&amp;row=463&amp;col=6&amp;number=4.9&amp;sourceID=14","4.9")</f>
        <v>4.9</v>
      </c>
      <c r="G463" s="4" t="str">
        <f>HYPERLINK("http://141.218.60.56/~jnz1568/getInfo.php?workbook=13_02.xlsx&amp;sheet=U0&amp;row=463&amp;col=7&amp;number=5.1e-05&amp;sourceID=14","5.1e-05")</f>
        <v>5.1e-05</v>
      </c>
    </row>
    <row r="464" spans="1:7">
      <c r="A464" s="3">
        <v>13</v>
      </c>
      <c r="B464" s="3">
        <v>2</v>
      </c>
      <c r="C464" s="3" t="s">
        <v>81</v>
      </c>
      <c r="D464" s="3">
        <v>5</v>
      </c>
      <c r="E464" s="3">
        <v>1</v>
      </c>
      <c r="F464" s="4" t="str">
        <f>HYPERLINK("http://141.218.60.56/~jnz1568/getInfo.php?workbook=13_02.xlsx&amp;sheet=U0&amp;row=464&amp;col=6&amp;number=3&amp;sourceID=14","3")</f>
        <v>3</v>
      </c>
      <c r="G464" s="4" t="str">
        <f>HYPERLINK("http://141.218.60.56/~jnz1568/getInfo.php?workbook=13_02.xlsx&amp;sheet=U0&amp;row=464&amp;col=7&amp;number=8.25e-05&amp;sourceID=14","8.25e-05")</f>
        <v>8.25e-05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HYPERLINK("http://141.218.60.56/~jnz1568/getInfo.php?workbook=13_02.xlsx&amp;sheet=U0&amp;row=465&amp;col=6&amp;number=3.1&amp;sourceID=14","3.1")</f>
        <v>3.1</v>
      </c>
      <c r="G465" s="4" t="str">
        <f>HYPERLINK("http://141.218.60.56/~jnz1568/getInfo.php?workbook=13_02.xlsx&amp;sheet=U0&amp;row=465&amp;col=7&amp;number=8.25e-05&amp;sourceID=14","8.25e-05")</f>
        <v>8.25e-05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HYPERLINK("http://141.218.60.56/~jnz1568/getInfo.php?workbook=13_02.xlsx&amp;sheet=U0&amp;row=466&amp;col=6&amp;number=3.2&amp;sourceID=14","3.2")</f>
        <v>3.2</v>
      </c>
      <c r="G466" s="4" t="str">
        <f>HYPERLINK("http://141.218.60.56/~jnz1568/getInfo.php?workbook=13_02.xlsx&amp;sheet=U0&amp;row=466&amp;col=7&amp;number=8.25e-05&amp;sourceID=14","8.25e-05")</f>
        <v>8.25e-05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HYPERLINK("http://141.218.60.56/~jnz1568/getInfo.php?workbook=13_02.xlsx&amp;sheet=U0&amp;row=467&amp;col=6&amp;number=3.3&amp;sourceID=14","3.3")</f>
        <v>3.3</v>
      </c>
      <c r="G467" s="4" t="str">
        <f>HYPERLINK("http://141.218.60.56/~jnz1568/getInfo.php?workbook=13_02.xlsx&amp;sheet=U0&amp;row=467&amp;col=7&amp;number=8.25e-05&amp;sourceID=14","8.25e-05")</f>
        <v>8.25e-05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HYPERLINK("http://141.218.60.56/~jnz1568/getInfo.php?workbook=13_02.xlsx&amp;sheet=U0&amp;row=468&amp;col=6&amp;number=3.4&amp;sourceID=14","3.4")</f>
        <v>3.4</v>
      </c>
      <c r="G468" s="4" t="str">
        <f>HYPERLINK("http://141.218.60.56/~jnz1568/getInfo.php?workbook=13_02.xlsx&amp;sheet=U0&amp;row=468&amp;col=7&amp;number=8.25e-05&amp;sourceID=14","8.25e-05")</f>
        <v>8.25e-05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HYPERLINK("http://141.218.60.56/~jnz1568/getInfo.php?workbook=13_02.xlsx&amp;sheet=U0&amp;row=469&amp;col=6&amp;number=3.5&amp;sourceID=14","3.5")</f>
        <v>3.5</v>
      </c>
      <c r="G469" s="4" t="str">
        <f>HYPERLINK("http://141.218.60.56/~jnz1568/getInfo.php?workbook=13_02.xlsx&amp;sheet=U0&amp;row=469&amp;col=7&amp;number=8.25e-05&amp;sourceID=14","8.25e-05")</f>
        <v>8.25e-05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HYPERLINK("http://141.218.60.56/~jnz1568/getInfo.php?workbook=13_02.xlsx&amp;sheet=U0&amp;row=470&amp;col=6&amp;number=3.6&amp;sourceID=14","3.6")</f>
        <v>3.6</v>
      </c>
      <c r="G470" s="4" t="str">
        <f>HYPERLINK("http://141.218.60.56/~jnz1568/getInfo.php?workbook=13_02.xlsx&amp;sheet=U0&amp;row=470&amp;col=7&amp;number=8.25e-05&amp;sourceID=14","8.25e-05")</f>
        <v>8.25e-05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HYPERLINK("http://141.218.60.56/~jnz1568/getInfo.php?workbook=13_02.xlsx&amp;sheet=U0&amp;row=471&amp;col=6&amp;number=3.7&amp;sourceID=14","3.7")</f>
        <v>3.7</v>
      </c>
      <c r="G471" s="4" t="str">
        <f>HYPERLINK("http://141.218.60.56/~jnz1568/getInfo.php?workbook=13_02.xlsx&amp;sheet=U0&amp;row=471&amp;col=7&amp;number=8.25e-05&amp;sourceID=14","8.25e-05")</f>
        <v>8.25e-05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HYPERLINK("http://141.218.60.56/~jnz1568/getInfo.php?workbook=13_02.xlsx&amp;sheet=U0&amp;row=472&amp;col=6&amp;number=3.8&amp;sourceID=14","3.8")</f>
        <v>3.8</v>
      </c>
      <c r="G472" s="4" t="str">
        <f>HYPERLINK("http://141.218.60.56/~jnz1568/getInfo.php?workbook=13_02.xlsx&amp;sheet=U0&amp;row=472&amp;col=7&amp;number=8.25e-05&amp;sourceID=14","8.25e-05")</f>
        <v>8.25e-05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HYPERLINK("http://141.218.60.56/~jnz1568/getInfo.php?workbook=13_02.xlsx&amp;sheet=U0&amp;row=473&amp;col=6&amp;number=3.9&amp;sourceID=14","3.9")</f>
        <v>3.9</v>
      </c>
      <c r="G473" s="4" t="str">
        <f>HYPERLINK("http://141.218.60.56/~jnz1568/getInfo.php?workbook=13_02.xlsx&amp;sheet=U0&amp;row=473&amp;col=7&amp;number=8.25e-05&amp;sourceID=14","8.25e-05")</f>
        <v>8.25e-05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HYPERLINK("http://141.218.60.56/~jnz1568/getInfo.php?workbook=13_02.xlsx&amp;sheet=U0&amp;row=474&amp;col=6&amp;number=4&amp;sourceID=14","4")</f>
        <v>4</v>
      </c>
      <c r="G474" s="4" t="str">
        <f>HYPERLINK("http://141.218.60.56/~jnz1568/getInfo.php?workbook=13_02.xlsx&amp;sheet=U0&amp;row=474&amp;col=7&amp;number=8.25e-05&amp;sourceID=14","8.25e-05")</f>
        <v>8.25e-05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HYPERLINK("http://141.218.60.56/~jnz1568/getInfo.php?workbook=13_02.xlsx&amp;sheet=U0&amp;row=475&amp;col=6&amp;number=4.1&amp;sourceID=14","4.1")</f>
        <v>4.1</v>
      </c>
      <c r="G475" s="4" t="str">
        <f>HYPERLINK("http://141.218.60.56/~jnz1568/getInfo.php?workbook=13_02.xlsx&amp;sheet=U0&amp;row=475&amp;col=7&amp;number=8.25e-05&amp;sourceID=14","8.25e-05")</f>
        <v>8.25e-05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HYPERLINK("http://141.218.60.56/~jnz1568/getInfo.php?workbook=13_02.xlsx&amp;sheet=U0&amp;row=476&amp;col=6&amp;number=4.2&amp;sourceID=14","4.2")</f>
        <v>4.2</v>
      </c>
      <c r="G476" s="4" t="str">
        <f>HYPERLINK("http://141.218.60.56/~jnz1568/getInfo.php?workbook=13_02.xlsx&amp;sheet=U0&amp;row=476&amp;col=7&amp;number=8.25e-05&amp;sourceID=14","8.25e-05")</f>
        <v>8.25e-05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HYPERLINK("http://141.218.60.56/~jnz1568/getInfo.php?workbook=13_02.xlsx&amp;sheet=U0&amp;row=477&amp;col=6&amp;number=4.3&amp;sourceID=14","4.3")</f>
        <v>4.3</v>
      </c>
      <c r="G477" s="4" t="str">
        <f>HYPERLINK("http://141.218.60.56/~jnz1568/getInfo.php?workbook=13_02.xlsx&amp;sheet=U0&amp;row=477&amp;col=7&amp;number=8.24e-05&amp;sourceID=14","8.24e-05")</f>
        <v>8.24e-05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HYPERLINK("http://141.218.60.56/~jnz1568/getInfo.php?workbook=13_02.xlsx&amp;sheet=U0&amp;row=478&amp;col=6&amp;number=4.4&amp;sourceID=14","4.4")</f>
        <v>4.4</v>
      </c>
      <c r="G478" s="4" t="str">
        <f>HYPERLINK("http://141.218.60.56/~jnz1568/getInfo.php?workbook=13_02.xlsx&amp;sheet=U0&amp;row=478&amp;col=7&amp;number=8.24e-05&amp;sourceID=14","8.24e-05")</f>
        <v>8.24e-05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HYPERLINK("http://141.218.60.56/~jnz1568/getInfo.php?workbook=13_02.xlsx&amp;sheet=U0&amp;row=479&amp;col=6&amp;number=4.5&amp;sourceID=14","4.5")</f>
        <v>4.5</v>
      </c>
      <c r="G479" s="4" t="str">
        <f>HYPERLINK("http://141.218.60.56/~jnz1568/getInfo.php?workbook=13_02.xlsx&amp;sheet=U0&amp;row=479&amp;col=7&amp;number=8.24e-05&amp;sourceID=14","8.24e-05")</f>
        <v>8.24e-05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HYPERLINK("http://141.218.60.56/~jnz1568/getInfo.php?workbook=13_02.xlsx&amp;sheet=U0&amp;row=480&amp;col=6&amp;number=4.6&amp;sourceID=14","4.6")</f>
        <v>4.6</v>
      </c>
      <c r="G480" s="4" t="str">
        <f>HYPERLINK("http://141.218.60.56/~jnz1568/getInfo.php?workbook=13_02.xlsx&amp;sheet=U0&amp;row=480&amp;col=7&amp;number=8.23e-05&amp;sourceID=14","8.23e-05")</f>
        <v>8.23e-05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HYPERLINK("http://141.218.60.56/~jnz1568/getInfo.php?workbook=13_02.xlsx&amp;sheet=U0&amp;row=481&amp;col=6&amp;number=4.7&amp;sourceID=14","4.7")</f>
        <v>4.7</v>
      </c>
      <c r="G481" s="4" t="str">
        <f>HYPERLINK("http://141.218.60.56/~jnz1568/getInfo.php?workbook=13_02.xlsx&amp;sheet=U0&amp;row=481&amp;col=7&amp;number=8.23e-05&amp;sourceID=14","8.23e-05")</f>
        <v>8.23e-05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HYPERLINK("http://141.218.60.56/~jnz1568/getInfo.php?workbook=13_02.xlsx&amp;sheet=U0&amp;row=482&amp;col=6&amp;number=4.8&amp;sourceID=14","4.8")</f>
        <v>4.8</v>
      </c>
      <c r="G482" s="4" t="str">
        <f>HYPERLINK("http://141.218.60.56/~jnz1568/getInfo.php?workbook=13_02.xlsx&amp;sheet=U0&amp;row=482&amp;col=7&amp;number=8.22e-05&amp;sourceID=14","8.22e-05")</f>
        <v>8.22e-05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HYPERLINK("http://141.218.60.56/~jnz1568/getInfo.php?workbook=13_02.xlsx&amp;sheet=U0&amp;row=483&amp;col=6&amp;number=4.9&amp;sourceID=14","4.9")</f>
        <v>4.9</v>
      </c>
      <c r="G483" s="4" t="str">
        <f>HYPERLINK("http://141.218.60.56/~jnz1568/getInfo.php?workbook=13_02.xlsx&amp;sheet=U0&amp;row=483&amp;col=7&amp;number=8.21e-05&amp;sourceID=14","8.21e-05")</f>
        <v>8.21e-05</v>
      </c>
    </row>
    <row r="484" spans="1:7">
      <c r="A484" s="3">
        <v>13</v>
      </c>
      <c r="B484" s="3">
        <v>2</v>
      </c>
      <c r="C484" s="3" t="s">
        <v>81</v>
      </c>
      <c r="D484" s="3">
        <v>6</v>
      </c>
      <c r="E484" s="3">
        <v>1</v>
      </c>
      <c r="F484" s="4" t="str">
        <f>HYPERLINK("http://141.218.60.56/~jnz1568/getInfo.php?workbook=13_02.xlsx&amp;sheet=U0&amp;row=484&amp;col=6&amp;number=3&amp;sourceID=14","3")</f>
        <v>3</v>
      </c>
      <c r="G484" s="4" t="str">
        <f>HYPERLINK("http://141.218.60.56/~jnz1568/getInfo.php?workbook=13_02.xlsx&amp;sheet=U0&amp;row=484&amp;col=7&amp;number=0.00012&amp;sourceID=14","0.00012")</f>
        <v>0.00012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HYPERLINK("http://141.218.60.56/~jnz1568/getInfo.php?workbook=13_02.xlsx&amp;sheet=U0&amp;row=485&amp;col=6&amp;number=3.1&amp;sourceID=14","3.1")</f>
        <v>3.1</v>
      </c>
      <c r="G485" s="4" t="str">
        <f>HYPERLINK("http://141.218.60.56/~jnz1568/getInfo.php?workbook=13_02.xlsx&amp;sheet=U0&amp;row=485&amp;col=7&amp;number=0.00012&amp;sourceID=14","0.00012")</f>
        <v>0.00012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HYPERLINK("http://141.218.60.56/~jnz1568/getInfo.php?workbook=13_02.xlsx&amp;sheet=U0&amp;row=486&amp;col=6&amp;number=3.2&amp;sourceID=14","3.2")</f>
        <v>3.2</v>
      </c>
      <c r="G486" s="4" t="str">
        <f>HYPERLINK("http://141.218.60.56/~jnz1568/getInfo.php?workbook=13_02.xlsx&amp;sheet=U0&amp;row=486&amp;col=7&amp;number=0.00012&amp;sourceID=14","0.00012")</f>
        <v>0.00012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HYPERLINK("http://141.218.60.56/~jnz1568/getInfo.php?workbook=13_02.xlsx&amp;sheet=U0&amp;row=487&amp;col=6&amp;number=3.3&amp;sourceID=14","3.3")</f>
        <v>3.3</v>
      </c>
      <c r="G487" s="4" t="str">
        <f>HYPERLINK("http://141.218.60.56/~jnz1568/getInfo.php?workbook=13_02.xlsx&amp;sheet=U0&amp;row=487&amp;col=7&amp;number=0.00012&amp;sourceID=14","0.00012")</f>
        <v>0.00012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HYPERLINK("http://141.218.60.56/~jnz1568/getInfo.php?workbook=13_02.xlsx&amp;sheet=U0&amp;row=488&amp;col=6&amp;number=3.4&amp;sourceID=14","3.4")</f>
        <v>3.4</v>
      </c>
      <c r="G488" s="4" t="str">
        <f>HYPERLINK("http://141.218.60.56/~jnz1568/getInfo.php?workbook=13_02.xlsx&amp;sheet=U0&amp;row=488&amp;col=7&amp;number=0.00012&amp;sourceID=14","0.00012")</f>
        <v>0.00012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HYPERLINK("http://141.218.60.56/~jnz1568/getInfo.php?workbook=13_02.xlsx&amp;sheet=U0&amp;row=489&amp;col=6&amp;number=3.5&amp;sourceID=14","3.5")</f>
        <v>3.5</v>
      </c>
      <c r="G489" s="4" t="str">
        <f>HYPERLINK("http://141.218.60.56/~jnz1568/getInfo.php?workbook=13_02.xlsx&amp;sheet=U0&amp;row=489&amp;col=7&amp;number=0.00012&amp;sourceID=14","0.00012")</f>
        <v>0.00012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HYPERLINK("http://141.218.60.56/~jnz1568/getInfo.php?workbook=13_02.xlsx&amp;sheet=U0&amp;row=490&amp;col=6&amp;number=3.6&amp;sourceID=14","3.6")</f>
        <v>3.6</v>
      </c>
      <c r="G490" s="4" t="str">
        <f>HYPERLINK("http://141.218.60.56/~jnz1568/getInfo.php?workbook=13_02.xlsx&amp;sheet=U0&amp;row=490&amp;col=7&amp;number=0.00012&amp;sourceID=14","0.00012")</f>
        <v>0.00012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HYPERLINK("http://141.218.60.56/~jnz1568/getInfo.php?workbook=13_02.xlsx&amp;sheet=U0&amp;row=491&amp;col=6&amp;number=3.7&amp;sourceID=14","3.7")</f>
        <v>3.7</v>
      </c>
      <c r="G491" s="4" t="str">
        <f>HYPERLINK("http://141.218.60.56/~jnz1568/getInfo.php?workbook=13_02.xlsx&amp;sheet=U0&amp;row=491&amp;col=7&amp;number=0.00012&amp;sourceID=14","0.00012")</f>
        <v>0.00012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HYPERLINK("http://141.218.60.56/~jnz1568/getInfo.php?workbook=13_02.xlsx&amp;sheet=U0&amp;row=492&amp;col=6&amp;number=3.8&amp;sourceID=14","3.8")</f>
        <v>3.8</v>
      </c>
      <c r="G492" s="4" t="str">
        <f>HYPERLINK("http://141.218.60.56/~jnz1568/getInfo.php?workbook=13_02.xlsx&amp;sheet=U0&amp;row=492&amp;col=7&amp;number=0.00012&amp;sourceID=14","0.00012")</f>
        <v>0.00012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HYPERLINK("http://141.218.60.56/~jnz1568/getInfo.php?workbook=13_02.xlsx&amp;sheet=U0&amp;row=493&amp;col=6&amp;number=3.9&amp;sourceID=14","3.9")</f>
        <v>3.9</v>
      </c>
      <c r="G493" s="4" t="str">
        <f>HYPERLINK("http://141.218.60.56/~jnz1568/getInfo.php?workbook=13_02.xlsx&amp;sheet=U0&amp;row=493&amp;col=7&amp;number=0.00012&amp;sourceID=14","0.00012")</f>
        <v>0.00012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HYPERLINK("http://141.218.60.56/~jnz1568/getInfo.php?workbook=13_02.xlsx&amp;sheet=U0&amp;row=494&amp;col=6&amp;number=4&amp;sourceID=14","4")</f>
        <v>4</v>
      </c>
      <c r="G494" s="4" t="str">
        <f>HYPERLINK("http://141.218.60.56/~jnz1568/getInfo.php?workbook=13_02.xlsx&amp;sheet=U0&amp;row=494&amp;col=7&amp;number=0.00012&amp;sourceID=14","0.00012")</f>
        <v>0.00012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HYPERLINK("http://141.218.60.56/~jnz1568/getInfo.php?workbook=13_02.xlsx&amp;sheet=U0&amp;row=495&amp;col=6&amp;number=4.1&amp;sourceID=14","4.1")</f>
        <v>4.1</v>
      </c>
      <c r="G495" s="4" t="str">
        <f>HYPERLINK("http://141.218.60.56/~jnz1568/getInfo.php?workbook=13_02.xlsx&amp;sheet=U0&amp;row=495&amp;col=7&amp;number=0.00012&amp;sourceID=14","0.00012")</f>
        <v>0.00012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HYPERLINK("http://141.218.60.56/~jnz1568/getInfo.php?workbook=13_02.xlsx&amp;sheet=U0&amp;row=496&amp;col=6&amp;number=4.2&amp;sourceID=14","4.2")</f>
        <v>4.2</v>
      </c>
      <c r="G496" s="4" t="str">
        <f>HYPERLINK("http://141.218.60.56/~jnz1568/getInfo.php?workbook=13_02.xlsx&amp;sheet=U0&amp;row=496&amp;col=7&amp;number=0.00012&amp;sourceID=14","0.00012")</f>
        <v>0.00012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HYPERLINK("http://141.218.60.56/~jnz1568/getInfo.php?workbook=13_02.xlsx&amp;sheet=U0&amp;row=497&amp;col=6&amp;number=4.3&amp;sourceID=14","4.3")</f>
        <v>4.3</v>
      </c>
      <c r="G497" s="4" t="str">
        <f>HYPERLINK("http://141.218.60.56/~jnz1568/getInfo.php?workbook=13_02.xlsx&amp;sheet=U0&amp;row=497&amp;col=7&amp;number=0.00012&amp;sourceID=14","0.00012")</f>
        <v>0.00012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HYPERLINK("http://141.218.60.56/~jnz1568/getInfo.php?workbook=13_02.xlsx&amp;sheet=U0&amp;row=498&amp;col=6&amp;number=4.4&amp;sourceID=14","4.4")</f>
        <v>4.4</v>
      </c>
      <c r="G498" s="4" t="str">
        <f>HYPERLINK("http://141.218.60.56/~jnz1568/getInfo.php?workbook=13_02.xlsx&amp;sheet=U0&amp;row=498&amp;col=7&amp;number=0.00012&amp;sourceID=14","0.00012")</f>
        <v>0.00012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HYPERLINK("http://141.218.60.56/~jnz1568/getInfo.php?workbook=13_02.xlsx&amp;sheet=U0&amp;row=499&amp;col=6&amp;number=4.5&amp;sourceID=14","4.5")</f>
        <v>4.5</v>
      </c>
      <c r="G499" s="4" t="str">
        <f>HYPERLINK("http://141.218.60.56/~jnz1568/getInfo.php?workbook=13_02.xlsx&amp;sheet=U0&amp;row=499&amp;col=7&amp;number=0.000119&amp;sourceID=14","0.000119")</f>
        <v>0.000119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HYPERLINK("http://141.218.60.56/~jnz1568/getInfo.php?workbook=13_02.xlsx&amp;sheet=U0&amp;row=500&amp;col=6&amp;number=4.6&amp;sourceID=14","4.6")</f>
        <v>4.6</v>
      </c>
      <c r="G500" s="4" t="str">
        <f>HYPERLINK("http://141.218.60.56/~jnz1568/getInfo.php?workbook=13_02.xlsx&amp;sheet=U0&amp;row=500&amp;col=7&amp;number=0.000119&amp;sourceID=14","0.000119")</f>
        <v>0.000119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HYPERLINK("http://141.218.60.56/~jnz1568/getInfo.php?workbook=13_02.xlsx&amp;sheet=U0&amp;row=501&amp;col=6&amp;number=4.7&amp;sourceID=14","4.7")</f>
        <v>4.7</v>
      </c>
      <c r="G501" s="4" t="str">
        <f>HYPERLINK("http://141.218.60.56/~jnz1568/getInfo.php?workbook=13_02.xlsx&amp;sheet=U0&amp;row=501&amp;col=7&amp;number=0.000119&amp;sourceID=14","0.000119")</f>
        <v>0.000119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HYPERLINK("http://141.218.60.56/~jnz1568/getInfo.php?workbook=13_02.xlsx&amp;sheet=U0&amp;row=502&amp;col=6&amp;number=4.8&amp;sourceID=14","4.8")</f>
        <v>4.8</v>
      </c>
      <c r="G502" s="4" t="str">
        <f>HYPERLINK("http://141.218.60.56/~jnz1568/getInfo.php?workbook=13_02.xlsx&amp;sheet=U0&amp;row=502&amp;col=7&amp;number=0.000119&amp;sourceID=14","0.000119")</f>
        <v>0.000119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HYPERLINK("http://141.218.60.56/~jnz1568/getInfo.php?workbook=13_02.xlsx&amp;sheet=U0&amp;row=503&amp;col=6&amp;number=4.9&amp;sourceID=14","4.9")</f>
        <v>4.9</v>
      </c>
      <c r="G503" s="4" t="str">
        <f>HYPERLINK("http://141.218.60.56/~jnz1568/getInfo.php?workbook=13_02.xlsx&amp;sheet=U0&amp;row=503&amp;col=7&amp;number=0.000119&amp;sourceID=14","0.000119")</f>
        <v>0.000119</v>
      </c>
    </row>
    <row r="504" spans="1:7">
      <c r="A504" s="3">
        <v>13</v>
      </c>
      <c r="B504" s="3">
        <v>2</v>
      </c>
      <c r="C504" s="3" t="s">
        <v>81</v>
      </c>
      <c r="D504" s="3">
        <v>7</v>
      </c>
      <c r="E504" s="3">
        <v>1</v>
      </c>
      <c r="F504" s="4" t="str">
        <f>HYPERLINK("http://141.218.60.56/~jnz1568/getInfo.php?workbook=13_02.xlsx&amp;sheet=U0&amp;row=504&amp;col=6&amp;number=3&amp;sourceID=14","3")</f>
        <v>3</v>
      </c>
      <c r="G504" s="4" t="str">
        <f>HYPERLINK("http://141.218.60.56/~jnz1568/getInfo.php?workbook=13_02.xlsx&amp;sheet=U0&amp;row=504&amp;col=7&amp;number=4e-05&amp;sourceID=14","4e-05")</f>
        <v>4e-05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HYPERLINK("http://141.218.60.56/~jnz1568/getInfo.php?workbook=13_02.xlsx&amp;sheet=U0&amp;row=505&amp;col=6&amp;number=3.1&amp;sourceID=14","3.1")</f>
        <v>3.1</v>
      </c>
      <c r="G505" s="4" t="str">
        <f>HYPERLINK("http://141.218.60.56/~jnz1568/getInfo.php?workbook=13_02.xlsx&amp;sheet=U0&amp;row=505&amp;col=7&amp;number=4e-05&amp;sourceID=14","4e-05")</f>
        <v>4e-05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HYPERLINK("http://141.218.60.56/~jnz1568/getInfo.php?workbook=13_02.xlsx&amp;sheet=U0&amp;row=506&amp;col=6&amp;number=3.2&amp;sourceID=14","3.2")</f>
        <v>3.2</v>
      </c>
      <c r="G506" s="4" t="str">
        <f>HYPERLINK("http://141.218.60.56/~jnz1568/getInfo.php?workbook=13_02.xlsx&amp;sheet=U0&amp;row=506&amp;col=7&amp;number=4e-05&amp;sourceID=14","4e-05")</f>
        <v>4e-05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HYPERLINK("http://141.218.60.56/~jnz1568/getInfo.php?workbook=13_02.xlsx&amp;sheet=U0&amp;row=507&amp;col=6&amp;number=3.3&amp;sourceID=14","3.3")</f>
        <v>3.3</v>
      </c>
      <c r="G507" s="4" t="str">
        <f>HYPERLINK("http://141.218.60.56/~jnz1568/getInfo.php?workbook=13_02.xlsx&amp;sheet=U0&amp;row=507&amp;col=7&amp;number=4e-05&amp;sourceID=14","4e-05")</f>
        <v>4e-05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HYPERLINK("http://141.218.60.56/~jnz1568/getInfo.php?workbook=13_02.xlsx&amp;sheet=U0&amp;row=508&amp;col=6&amp;number=3.4&amp;sourceID=14","3.4")</f>
        <v>3.4</v>
      </c>
      <c r="G508" s="4" t="str">
        <f>HYPERLINK("http://141.218.60.56/~jnz1568/getInfo.php?workbook=13_02.xlsx&amp;sheet=U0&amp;row=508&amp;col=7&amp;number=4e-05&amp;sourceID=14","4e-05")</f>
        <v>4e-05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HYPERLINK("http://141.218.60.56/~jnz1568/getInfo.php?workbook=13_02.xlsx&amp;sheet=U0&amp;row=509&amp;col=6&amp;number=3.5&amp;sourceID=14","3.5")</f>
        <v>3.5</v>
      </c>
      <c r="G509" s="4" t="str">
        <f>HYPERLINK("http://141.218.60.56/~jnz1568/getInfo.php?workbook=13_02.xlsx&amp;sheet=U0&amp;row=509&amp;col=7&amp;number=4e-05&amp;sourceID=14","4e-05")</f>
        <v>4e-05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HYPERLINK("http://141.218.60.56/~jnz1568/getInfo.php?workbook=13_02.xlsx&amp;sheet=U0&amp;row=510&amp;col=6&amp;number=3.6&amp;sourceID=14","3.6")</f>
        <v>3.6</v>
      </c>
      <c r="G510" s="4" t="str">
        <f>HYPERLINK("http://141.218.60.56/~jnz1568/getInfo.php?workbook=13_02.xlsx&amp;sheet=U0&amp;row=510&amp;col=7&amp;number=4e-05&amp;sourceID=14","4e-05")</f>
        <v>4e-05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HYPERLINK("http://141.218.60.56/~jnz1568/getInfo.php?workbook=13_02.xlsx&amp;sheet=U0&amp;row=511&amp;col=6&amp;number=3.7&amp;sourceID=14","3.7")</f>
        <v>3.7</v>
      </c>
      <c r="G511" s="4" t="str">
        <f>HYPERLINK("http://141.218.60.56/~jnz1568/getInfo.php?workbook=13_02.xlsx&amp;sheet=U0&amp;row=511&amp;col=7&amp;number=4e-05&amp;sourceID=14","4e-05")</f>
        <v>4e-05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HYPERLINK("http://141.218.60.56/~jnz1568/getInfo.php?workbook=13_02.xlsx&amp;sheet=U0&amp;row=512&amp;col=6&amp;number=3.8&amp;sourceID=14","3.8")</f>
        <v>3.8</v>
      </c>
      <c r="G512" s="4" t="str">
        <f>HYPERLINK("http://141.218.60.56/~jnz1568/getInfo.php?workbook=13_02.xlsx&amp;sheet=U0&amp;row=512&amp;col=7&amp;number=4e-05&amp;sourceID=14","4e-05")</f>
        <v>4e-05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HYPERLINK("http://141.218.60.56/~jnz1568/getInfo.php?workbook=13_02.xlsx&amp;sheet=U0&amp;row=513&amp;col=6&amp;number=3.9&amp;sourceID=14","3.9")</f>
        <v>3.9</v>
      </c>
      <c r="G513" s="4" t="str">
        <f>HYPERLINK("http://141.218.60.56/~jnz1568/getInfo.php?workbook=13_02.xlsx&amp;sheet=U0&amp;row=513&amp;col=7&amp;number=4.01e-05&amp;sourceID=14","4.01e-05")</f>
        <v>4.01e-05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HYPERLINK("http://141.218.60.56/~jnz1568/getInfo.php?workbook=13_02.xlsx&amp;sheet=U0&amp;row=514&amp;col=6&amp;number=4&amp;sourceID=14","4")</f>
        <v>4</v>
      </c>
      <c r="G514" s="4" t="str">
        <f>HYPERLINK("http://141.218.60.56/~jnz1568/getInfo.php?workbook=13_02.xlsx&amp;sheet=U0&amp;row=514&amp;col=7&amp;number=4.01e-05&amp;sourceID=14","4.01e-05")</f>
        <v>4.01e-05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HYPERLINK("http://141.218.60.56/~jnz1568/getInfo.php?workbook=13_02.xlsx&amp;sheet=U0&amp;row=515&amp;col=6&amp;number=4.1&amp;sourceID=14","4.1")</f>
        <v>4.1</v>
      </c>
      <c r="G515" s="4" t="str">
        <f>HYPERLINK("http://141.218.60.56/~jnz1568/getInfo.php?workbook=13_02.xlsx&amp;sheet=U0&amp;row=515&amp;col=7&amp;number=4.01e-05&amp;sourceID=14","4.01e-05")</f>
        <v>4.01e-05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HYPERLINK("http://141.218.60.56/~jnz1568/getInfo.php?workbook=13_02.xlsx&amp;sheet=U0&amp;row=516&amp;col=6&amp;number=4.2&amp;sourceID=14","4.2")</f>
        <v>4.2</v>
      </c>
      <c r="G516" s="4" t="str">
        <f>HYPERLINK("http://141.218.60.56/~jnz1568/getInfo.php?workbook=13_02.xlsx&amp;sheet=U0&amp;row=516&amp;col=7&amp;number=4.01e-05&amp;sourceID=14","4.01e-05")</f>
        <v>4.01e-05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HYPERLINK("http://141.218.60.56/~jnz1568/getInfo.php?workbook=13_02.xlsx&amp;sheet=U0&amp;row=517&amp;col=6&amp;number=4.3&amp;sourceID=14","4.3")</f>
        <v>4.3</v>
      </c>
      <c r="G517" s="4" t="str">
        <f>HYPERLINK("http://141.218.60.56/~jnz1568/getInfo.php?workbook=13_02.xlsx&amp;sheet=U0&amp;row=517&amp;col=7&amp;number=4.01e-05&amp;sourceID=14","4.01e-05")</f>
        <v>4.01e-05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HYPERLINK("http://141.218.60.56/~jnz1568/getInfo.php?workbook=13_02.xlsx&amp;sheet=U0&amp;row=518&amp;col=6&amp;number=4.4&amp;sourceID=14","4.4")</f>
        <v>4.4</v>
      </c>
      <c r="G518" s="4" t="str">
        <f>HYPERLINK("http://141.218.60.56/~jnz1568/getInfo.php?workbook=13_02.xlsx&amp;sheet=U0&amp;row=518&amp;col=7&amp;number=4.01e-05&amp;sourceID=14","4.01e-05")</f>
        <v>4.01e-05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HYPERLINK("http://141.218.60.56/~jnz1568/getInfo.php?workbook=13_02.xlsx&amp;sheet=U0&amp;row=519&amp;col=6&amp;number=4.5&amp;sourceID=14","4.5")</f>
        <v>4.5</v>
      </c>
      <c r="G519" s="4" t="str">
        <f>HYPERLINK("http://141.218.60.56/~jnz1568/getInfo.php?workbook=13_02.xlsx&amp;sheet=U0&amp;row=519&amp;col=7&amp;number=4.02e-05&amp;sourceID=14","4.02e-05")</f>
        <v>4.02e-05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HYPERLINK("http://141.218.60.56/~jnz1568/getInfo.php?workbook=13_02.xlsx&amp;sheet=U0&amp;row=520&amp;col=6&amp;number=4.6&amp;sourceID=14","4.6")</f>
        <v>4.6</v>
      </c>
      <c r="G520" s="4" t="str">
        <f>HYPERLINK("http://141.218.60.56/~jnz1568/getInfo.php?workbook=13_02.xlsx&amp;sheet=U0&amp;row=520&amp;col=7&amp;number=4.02e-05&amp;sourceID=14","4.02e-05")</f>
        <v>4.02e-05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HYPERLINK("http://141.218.60.56/~jnz1568/getInfo.php?workbook=13_02.xlsx&amp;sheet=U0&amp;row=521&amp;col=6&amp;number=4.7&amp;sourceID=14","4.7")</f>
        <v>4.7</v>
      </c>
      <c r="G521" s="4" t="str">
        <f>HYPERLINK("http://141.218.60.56/~jnz1568/getInfo.php?workbook=13_02.xlsx&amp;sheet=U0&amp;row=521&amp;col=7&amp;number=4.03e-05&amp;sourceID=14","4.03e-05")</f>
        <v>4.03e-05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HYPERLINK("http://141.218.60.56/~jnz1568/getInfo.php?workbook=13_02.xlsx&amp;sheet=U0&amp;row=522&amp;col=6&amp;number=4.8&amp;sourceID=14","4.8")</f>
        <v>4.8</v>
      </c>
      <c r="G522" s="4" t="str">
        <f>HYPERLINK("http://141.218.60.56/~jnz1568/getInfo.php?workbook=13_02.xlsx&amp;sheet=U0&amp;row=522&amp;col=7&amp;number=4.03e-05&amp;sourceID=14","4.03e-05")</f>
        <v>4.03e-05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HYPERLINK("http://141.218.60.56/~jnz1568/getInfo.php?workbook=13_02.xlsx&amp;sheet=U0&amp;row=523&amp;col=6&amp;number=4.9&amp;sourceID=14","4.9")</f>
        <v>4.9</v>
      </c>
      <c r="G523" s="4" t="str">
        <f>HYPERLINK("http://141.218.60.56/~jnz1568/getInfo.php?workbook=13_02.xlsx&amp;sheet=U0&amp;row=523&amp;col=7&amp;number=4.04e-05&amp;sourceID=14","4.04e-05")</f>
        <v>4.04e-05</v>
      </c>
    </row>
    <row r="524" spans="1:7">
      <c r="A524" s="3">
        <v>13</v>
      </c>
      <c r="B524" s="3">
        <v>2</v>
      </c>
      <c r="C524" s="3" t="s">
        <v>81</v>
      </c>
      <c r="D524" s="3">
        <v>8</v>
      </c>
      <c r="E524" s="3">
        <v>1</v>
      </c>
      <c r="F524" s="4" t="str">
        <f>HYPERLINK("http://141.218.60.56/~jnz1568/getInfo.php?workbook=13_02.xlsx&amp;sheet=U0&amp;row=524&amp;col=6&amp;number=3&amp;sourceID=14","3")</f>
        <v>3</v>
      </c>
      <c r="G524" s="4" t="str">
        <f>HYPERLINK("http://141.218.60.56/~jnz1568/getInfo.php?workbook=13_02.xlsx&amp;sheet=U0&amp;row=524&amp;col=7&amp;number=4.03e-06&amp;sourceID=14","4.03e-06")</f>
        <v>4.03e-06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HYPERLINK("http://141.218.60.56/~jnz1568/getInfo.php?workbook=13_02.xlsx&amp;sheet=U0&amp;row=525&amp;col=6&amp;number=3.1&amp;sourceID=14","3.1")</f>
        <v>3.1</v>
      </c>
      <c r="G525" s="4" t="str">
        <f>HYPERLINK("http://141.218.60.56/~jnz1568/getInfo.php?workbook=13_02.xlsx&amp;sheet=U0&amp;row=525&amp;col=7&amp;number=4.03e-06&amp;sourceID=14","4.03e-06")</f>
        <v>4.03e-06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HYPERLINK("http://141.218.60.56/~jnz1568/getInfo.php?workbook=13_02.xlsx&amp;sheet=U0&amp;row=526&amp;col=6&amp;number=3.2&amp;sourceID=14","3.2")</f>
        <v>3.2</v>
      </c>
      <c r="G526" s="4" t="str">
        <f>HYPERLINK("http://141.218.60.56/~jnz1568/getInfo.php?workbook=13_02.xlsx&amp;sheet=U0&amp;row=526&amp;col=7&amp;number=4.03e-06&amp;sourceID=14","4.03e-06")</f>
        <v>4.03e-06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HYPERLINK("http://141.218.60.56/~jnz1568/getInfo.php?workbook=13_02.xlsx&amp;sheet=U0&amp;row=527&amp;col=6&amp;number=3.3&amp;sourceID=14","3.3")</f>
        <v>3.3</v>
      </c>
      <c r="G527" s="4" t="str">
        <f>HYPERLINK("http://141.218.60.56/~jnz1568/getInfo.php?workbook=13_02.xlsx&amp;sheet=U0&amp;row=527&amp;col=7&amp;number=4.03e-06&amp;sourceID=14","4.03e-06")</f>
        <v>4.03e-06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HYPERLINK("http://141.218.60.56/~jnz1568/getInfo.php?workbook=13_02.xlsx&amp;sheet=U0&amp;row=528&amp;col=6&amp;number=3.4&amp;sourceID=14","3.4")</f>
        <v>3.4</v>
      </c>
      <c r="G528" s="4" t="str">
        <f>HYPERLINK("http://141.218.60.56/~jnz1568/getInfo.php?workbook=13_02.xlsx&amp;sheet=U0&amp;row=528&amp;col=7&amp;number=4.03e-06&amp;sourceID=14","4.03e-06")</f>
        <v>4.03e-06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HYPERLINK("http://141.218.60.56/~jnz1568/getInfo.php?workbook=13_02.xlsx&amp;sheet=U0&amp;row=529&amp;col=6&amp;number=3.5&amp;sourceID=14","3.5")</f>
        <v>3.5</v>
      </c>
      <c r="G529" s="4" t="str">
        <f>HYPERLINK("http://141.218.60.56/~jnz1568/getInfo.php?workbook=13_02.xlsx&amp;sheet=U0&amp;row=529&amp;col=7&amp;number=4.03e-06&amp;sourceID=14","4.03e-06")</f>
        <v>4.03e-06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HYPERLINK("http://141.218.60.56/~jnz1568/getInfo.php?workbook=13_02.xlsx&amp;sheet=U0&amp;row=530&amp;col=6&amp;number=3.6&amp;sourceID=14","3.6")</f>
        <v>3.6</v>
      </c>
      <c r="G530" s="4" t="str">
        <f>HYPERLINK("http://141.218.60.56/~jnz1568/getInfo.php?workbook=13_02.xlsx&amp;sheet=U0&amp;row=530&amp;col=7&amp;number=4.03e-06&amp;sourceID=14","4.03e-06")</f>
        <v>4.03e-06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HYPERLINK("http://141.218.60.56/~jnz1568/getInfo.php?workbook=13_02.xlsx&amp;sheet=U0&amp;row=531&amp;col=6&amp;number=3.7&amp;sourceID=14","3.7")</f>
        <v>3.7</v>
      </c>
      <c r="G531" s="4" t="str">
        <f>HYPERLINK("http://141.218.60.56/~jnz1568/getInfo.php?workbook=13_02.xlsx&amp;sheet=U0&amp;row=531&amp;col=7&amp;number=4.03e-06&amp;sourceID=14","4.03e-06")</f>
        <v>4.03e-06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HYPERLINK("http://141.218.60.56/~jnz1568/getInfo.php?workbook=13_02.xlsx&amp;sheet=U0&amp;row=532&amp;col=6&amp;number=3.8&amp;sourceID=14","3.8")</f>
        <v>3.8</v>
      </c>
      <c r="G532" s="4" t="str">
        <f>HYPERLINK("http://141.218.60.56/~jnz1568/getInfo.php?workbook=13_02.xlsx&amp;sheet=U0&amp;row=532&amp;col=7&amp;number=4.03e-06&amp;sourceID=14","4.03e-06")</f>
        <v>4.03e-06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HYPERLINK("http://141.218.60.56/~jnz1568/getInfo.php?workbook=13_02.xlsx&amp;sheet=U0&amp;row=533&amp;col=6&amp;number=3.9&amp;sourceID=14","3.9")</f>
        <v>3.9</v>
      </c>
      <c r="G533" s="4" t="str">
        <f>HYPERLINK("http://141.218.60.56/~jnz1568/getInfo.php?workbook=13_02.xlsx&amp;sheet=U0&amp;row=533&amp;col=7&amp;number=4.03e-06&amp;sourceID=14","4.03e-06")</f>
        <v>4.03e-06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HYPERLINK("http://141.218.60.56/~jnz1568/getInfo.php?workbook=13_02.xlsx&amp;sheet=U0&amp;row=534&amp;col=6&amp;number=4&amp;sourceID=14","4")</f>
        <v>4</v>
      </c>
      <c r="G534" s="4" t="str">
        <f>HYPERLINK("http://141.218.60.56/~jnz1568/getInfo.php?workbook=13_02.xlsx&amp;sheet=U0&amp;row=534&amp;col=7&amp;number=4.03e-06&amp;sourceID=14","4.03e-06")</f>
        <v>4.03e-06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HYPERLINK("http://141.218.60.56/~jnz1568/getInfo.php?workbook=13_02.xlsx&amp;sheet=U0&amp;row=535&amp;col=6&amp;number=4.1&amp;sourceID=14","4.1")</f>
        <v>4.1</v>
      </c>
      <c r="G535" s="4" t="str">
        <f>HYPERLINK("http://141.218.60.56/~jnz1568/getInfo.php?workbook=13_02.xlsx&amp;sheet=U0&amp;row=535&amp;col=7&amp;number=4.03e-06&amp;sourceID=14","4.03e-06")</f>
        <v>4.03e-06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HYPERLINK("http://141.218.60.56/~jnz1568/getInfo.php?workbook=13_02.xlsx&amp;sheet=U0&amp;row=536&amp;col=6&amp;number=4.2&amp;sourceID=14","4.2")</f>
        <v>4.2</v>
      </c>
      <c r="G536" s="4" t="str">
        <f>HYPERLINK("http://141.218.60.56/~jnz1568/getInfo.php?workbook=13_02.xlsx&amp;sheet=U0&amp;row=536&amp;col=7&amp;number=4.03e-06&amp;sourceID=14","4.03e-06")</f>
        <v>4.03e-06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HYPERLINK("http://141.218.60.56/~jnz1568/getInfo.php?workbook=13_02.xlsx&amp;sheet=U0&amp;row=537&amp;col=6&amp;number=4.3&amp;sourceID=14","4.3")</f>
        <v>4.3</v>
      </c>
      <c r="G537" s="4" t="str">
        <f>HYPERLINK("http://141.218.60.56/~jnz1568/getInfo.php?workbook=13_02.xlsx&amp;sheet=U0&amp;row=537&amp;col=7&amp;number=4.03e-06&amp;sourceID=14","4.03e-06")</f>
        <v>4.03e-06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HYPERLINK("http://141.218.60.56/~jnz1568/getInfo.php?workbook=13_02.xlsx&amp;sheet=U0&amp;row=538&amp;col=6&amp;number=4.4&amp;sourceID=14","4.4")</f>
        <v>4.4</v>
      </c>
      <c r="G538" s="4" t="str">
        <f>HYPERLINK("http://141.218.60.56/~jnz1568/getInfo.php?workbook=13_02.xlsx&amp;sheet=U0&amp;row=538&amp;col=7&amp;number=4.02e-06&amp;sourceID=14","4.02e-06")</f>
        <v>4.02e-06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HYPERLINK("http://141.218.60.56/~jnz1568/getInfo.php?workbook=13_02.xlsx&amp;sheet=U0&amp;row=539&amp;col=6&amp;number=4.5&amp;sourceID=14","4.5")</f>
        <v>4.5</v>
      </c>
      <c r="G539" s="4" t="str">
        <f>HYPERLINK("http://141.218.60.56/~jnz1568/getInfo.php?workbook=13_02.xlsx&amp;sheet=U0&amp;row=539&amp;col=7&amp;number=4.02e-06&amp;sourceID=14","4.02e-06")</f>
        <v>4.02e-06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HYPERLINK("http://141.218.60.56/~jnz1568/getInfo.php?workbook=13_02.xlsx&amp;sheet=U0&amp;row=540&amp;col=6&amp;number=4.6&amp;sourceID=14","4.6")</f>
        <v>4.6</v>
      </c>
      <c r="G540" s="4" t="str">
        <f>HYPERLINK("http://141.218.60.56/~jnz1568/getInfo.php?workbook=13_02.xlsx&amp;sheet=U0&amp;row=540&amp;col=7&amp;number=4.02e-06&amp;sourceID=14","4.02e-06")</f>
        <v>4.02e-06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HYPERLINK("http://141.218.60.56/~jnz1568/getInfo.php?workbook=13_02.xlsx&amp;sheet=U0&amp;row=541&amp;col=6&amp;number=4.7&amp;sourceID=14","4.7")</f>
        <v>4.7</v>
      </c>
      <c r="G541" s="4" t="str">
        <f>HYPERLINK("http://141.218.60.56/~jnz1568/getInfo.php?workbook=13_02.xlsx&amp;sheet=U0&amp;row=541&amp;col=7&amp;number=4.02e-06&amp;sourceID=14","4.02e-06")</f>
        <v>4.02e-06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HYPERLINK("http://141.218.60.56/~jnz1568/getInfo.php?workbook=13_02.xlsx&amp;sheet=U0&amp;row=542&amp;col=6&amp;number=4.8&amp;sourceID=14","4.8")</f>
        <v>4.8</v>
      </c>
      <c r="G542" s="4" t="str">
        <f>HYPERLINK("http://141.218.60.56/~jnz1568/getInfo.php?workbook=13_02.xlsx&amp;sheet=U0&amp;row=542&amp;col=7&amp;number=4.01e-06&amp;sourceID=14","4.01e-06")</f>
        <v>4.01e-06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HYPERLINK("http://141.218.60.56/~jnz1568/getInfo.php?workbook=13_02.xlsx&amp;sheet=U0&amp;row=543&amp;col=6&amp;number=4.9&amp;sourceID=14","4.9")</f>
        <v>4.9</v>
      </c>
      <c r="G543" s="4" t="str">
        <f>HYPERLINK("http://141.218.60.56/~jnz1568/getInfo.php?workbook=13_02.xlsx&amp;sheet=U0&amp;row=543&amp;col=7&amp;number=4e-06&amp;sourceID=14","4e-06")</f>
        <v>4e-06</v>
      </c>
    </row>
    <row r="544" spans="1:7">
      <c r="A544" s="3">
        <v>13</v>
      </c>
      <c r="B544" s="3">
        <v>2</v>
      </c>
      <c r="C544" s="3" t="s">
        <v>81</v>
      </c>
      <c r="D544" s="3">
        <v>9</v>
      </c>
      <c r="E544" s="3">
        <v>1</v>
      </c>
      <c r="F544" s="4" t="str">
        <f>HYPERLINK("http://141.218.60.56/~jnz1568/getInfo.php?workbook=13_02.xlsx&amp;sheet=U0&amp;row=544&amp;col=6&amp;number=3&amp;sourceID=14","3")</f>
        <v>3</v>
      </c>
      <c r="G544" s="4" t="str">
        <f>HYPERLINK("http://141.218.60.56/~jnz1568/getInfo.php?workbook=13_02.xlsx&amp;sheet=U0&amp;row=544&amp;col=7&amp;number=4.76e-06&amp;sourceID=14","4.76e-06")</f>
        <v>4.76e-06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HYPERLINK("http://141.218.60.56/~jnz1568/getInfo.php?workbook=13_02.xlsx&amp;sheet=U0&amp;row=545&amp;col=6&amp;number=3.1&amp;sourceID=14","3.1")</f>
        <v>3.1</v>
      </c>
      <c r="G545" s="4" t="str">
        <f>HYPERLINK("http://141.218.60.56/~jnz1568/getInfo.php?workbook=13_02.xlsx&amp;sheet=U0&amp;row=545&amp;col=7&amp;number=4.76e-06&amp;sourceID=14","4.76e-06")</f>
        <v>4.76e-06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HYPERLINK("http://141.218.60.56/~jnz1568/getInfo.php?workbook=13_02.xlsx&amp;sheet=U0&amp;row=546&amp;col=6&amp;number=3.2&amp;sourceID=14","3.2")</f>
        <v>3.2</v>
      </c>
      <c r="G546" s="4" t="str">
        <f>HYPERLINK("http://141.218.60.56/~jnz1568/getInfo.php?workbook=13_02.xlsx&amp;sheet=U0&amp;row=546&amp;col=7&amp;number=4.76e-06&amp;sourceID=14","4.76e-06")</f>
        <v>4.76e-06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HYPERLINK("http://141.218.60.56/~jnz1568/getInfo.php?workbook=13_02.xlsx&amp;sheet=U0&amp;row=547&amp;col=6&amp;number=3.3&amp;sourceID=14","3.3")</f>
        <v>3.3</v>
      </c>
      <c r="G547" s="4" t="str">
        <f>HYPERLINK("http://141.218.60.56/~jnz1568/getInfo.php?workbook=13_02.xlsx&amp;sheet=U0&amp;row=547&amp;col=7&amp;number=4.76e-06&amp;sourceID=14","4.76e-06")</f>
        <v>4.76e-06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HYPERLINK("http://141.218.60.56/~jnz1568/getInfo.php?workbook=13_02.xlsx&amp;sheet=U0&amp;row=548&amp;col=6&amp;number=3.4&amp;sourceID=14","3.4")</f>
        <v>3.4</v>
      </c>
      <c r="G548" s="4" t="str">
        <f>HYPERLINK("http://141.218.60.56/~jnz1568/getInfo.php?workbook=13_02.xlsx&amp;sheet=U0&amp;row=548&amp;col=7&amp;number=4.76e-06&amp;sourceID=14","4.76e-06")</f>
        <v>4.76e-06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HYPERLINK("http://141.218.60.56/~jnz1568/getInfo.php?workbook=13_02.xlsx&amp;sheet=U0&amp;row=549&amp;col=6&amp;number=3.5&amp;sourceID=14","3.5")</f>
        <v>3.5</v>
      </c>
      <c r="G549" s="4" t="str">
        <f>HYPERLINK("http://141.218.60.56/~jnz1568/getInfo.php?workbook=13_02.xlsx&amp;sheet=U0&amp;row=549&amp;col=7&amp;number=4.76e-06&amp;sourceID=14","4.76e-06")</f>
        <v>4.76e-06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HYPERLINK("http://141.218.60.56/~jnz1568/getInfo.php?workbook=13_02.xlsx&amp;sheet=U0&amp;row=550&amp;col=6&amp;number=3.6&amp;sourceID=14","3.6")</f>
        <v>3.6</v>
      </c>
      <c r="G550" s="4" t="str">
        <f>HYPERLINK("http://141.218.60.56/~jnz1568/getInfo.php?workbook=13_02.xlsx&amp;sheet=U0&amp;row=550&amp;col=7&amp;number=4.76e-06&amp;sourceID=14","4.76e-06")</f>
        <v>4.76e-06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HYPERLINK("http://141.218.60.56/~jnz1568/getInfo.php?workbook=13_02.xlsx&amp;sheet=U0&amp;row=551&amp;col=6&amp;number=3.7&amp;sourceID=14","3.7")</f>
        <v>3.7</v>
      </c>
      <c r="G551" s="4" t="str">
        <f>HYPERLINK("http://141.218.60.56/~jnz1568/getInfo.php?workbook=13_02.xlsx&amp;sheet=U0&amp;row=551&amp;col=7&amp;number=4.76e-06&amp;sourceID=14","4.76e-06")</f>
        <v>4.76e-06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HYPERLINK("http://141.218.60.56/~jnz1568/getInfo.php?workbook=13_02.xlsx&amp;sheet=U0&amp;row=552&amp;col=6&amp;number=3.8&amp;sourceID=14","3.8")</f>
        <v>3.8</v>
      </c>
      <c r="G552" s="4" t="str">
        <f>HYPERLINK("http://141.218.60.56/~jnz1568/getInfo.php?workbook=13_02.xlsx&amp;sheet=U0&amp;row=552&amp;col=7&amp;number=4.76e-06&amp;sourceID=14","4.76e-06")</f>
        <v>4.76e-06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HYPERLINK("http://141.218.60.56/~jnz1568/getInfo.php?workbook=13_02.xlsx&amp;sheet=U0&amp;row=553&amp;col=6&amp;number=3.9&amp;sourceID=14","3.9")</f>
        <v>3.9</v>
      </c>
      <c r="G553" s="4" t="str">
        <f>HYPERLINK("http://141.218.60.56/~jnz1568/getInfo.php?workbook=13_02.xlsx&amp;sheet=U0&amp;row=553&amp;col=7&amp;number=4.76e-06&amp;sourceID=14","4.76e-06")</f>
        <v>4.76e-06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HYPERLINK("http://141.218.60.56/~jnz1568/getInfo.php?workbook=13_02.xlsx&amp;sheet=U0&amp;row=554&amp;col=6&amp;number=4&amp;sourceID=14","4")</f>
        <v>4</v>
      </c>
      <c r="G554" s="4" t="str">
        <f>HYPERLINK("http://141.218.60.56/~jnz1568/getInfo.php?workbook=13_02.xlsx&amp;sheet=U0&amp;row=554&amp;col=7&amp;number=4.76e-06&amp;sourceID=14","4.76e-06")</f>
        <v>4.76e-06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HYPERLINK("http://141.218.60.56/~jnz1568/getInfo.php?workbook=13_02.xlsx&amp;sheet=U0&amp;row=555&amp;col=6&amp;number=4.1&amp;sourceID=14","4.1")</f>
        <v>4.1</v>
      </c>
      <c r="G555" s="4" t="str">
        <f>HYPERLINK("http://141.218.60.56/~jnz1568/getInfo.php?workbook=13_02.xlsx&amp;sheet=U0&amp;row=555&amp;col=7&amp;number=4.76e-06&amp;sourceID=14","4.76e-06")</f>
        <v>4.76e-06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HYPERLINK("http://141.218.60.56/~jnz1568/getInfo.php?workbook=13_02.xlsx&amp;sheet=U0&amp;row=556&amp;col=6&amp;number=4.2&amp;sourceID=14","4.2")</f>
        <v>4.2</v>
      </c>
      <c r="G556" s="4" t="str">
        <f>HYPERLINK("http://141.218.60.56/~jnz1568/getInfo.php?workbook=13_02.xlsx&amp;sheet=U0&amp;row=556&amp;col=7&amp;number=4.76e-06&amp;sourceID=14","4.76e-06")</f>
        <v>4.76e-06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HYPERLINK("http://141.218.60.56/~jnz1568/getInfo.php?workbook=13_02.xlsx&amp;sheet=U0&amp;row=557&amp;col=6&amp;number=4.3&amp;sourceID=14","4.3")</f>
        <v>4.3</v>
      </c>
      <c r="G557" s="4" t="str">
        <f>HYPERLINK("http://141.218.60.56/~jnz1568/getInfo.php?workbook=13_02.xlsx&amp;sheet=U0&amp;row=557&amp;col=7&amp;number=4.76e-06&amp;sourceID=14","4.76e-06")</f>
        <v>4.76e-06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HYPERLINK("http://141.218.60.56/~jnz1568/getInfo.php?workbook=13_02.xlsx&amp;sheet=U0&amp;row=558&amp;col=6&amp;number=4.4&amp;sourceID=14","4.4")</f>
        <v>4.4</v>
      </c>
      <c r="G558" s="4" t="str">
        <f>HYPERLINK("http://141.218.60.56/~jnz1568/getInfo.php?workbook=13_02.xlsx&amp;sheet=U0&amp;row=558&amp;col=7&amp;number=4.76e-06&amp;sourceID=14","4.76e-06")</f>
        <v>4.76e-06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HYPERLINK("http://141.218.60.56/~jnz1568/getInfo.php?workbook=13_02.xlsx&amp;sheet=U0&amp;row=559&amp;col=6&amp;number=4.5&amp;sourceID=14","4.5")</f>
        <v>4.5</v>
      </c>
      <c r="G559" s="4" t="str">
        <f>HYPERLINK("http://141.218.60.56/~jnz1568/getInfo.php?workbook=13_02.xlsx&amp;sheet=U0&amp;row=559&amp;col=7&amp;number=4.75e-06&amp;sourceID=14","4.75e-06")</f>
        <v>4.75e-06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HYPERLINK("http://141.218.60.56/~jnz1568/getInfo.php?workbook=13_02.xlsx&amp;sheet=U0&amp;row=560&amp;col=6&amp;number=4.6&amp;sourceID=14","4.6")</f>
        <v>4.6</v>
      </c>
      <c r="G560" s="4" t="str">
        <f>HYPERLINK("http://141.218.60.56/~jnz1568/getInfo.php?workbook=13_02.xlsx&amp;sheet=U0&amp;row=560&amp;col=7&amp;number=4.75e-06&amp;sourceID=14","4.75e-06")</f>
        <v>4.75e-06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HYPERLINK("http://141.218.60.56/~jnz1568/getInfo.php?workbook=13_02.xlsx&amp;sheet=U0&amp;row=561&amp;col=6&amp;number=4.7&amp;sourceID=14","4.7")</f>
        <v>4.7</v>
      </c>
      <c r="G561" s="4" t="str">
        <f>HYPERLINK("http://141.218.60.56/~jnz1568/getInfo.php?workbook=13_02.xlsx&amp;sheet=U0&amp;row=561&amp;col=7&amp;number=4.75e-06&amp;sourceID=14","4.75e-06")</f>
        <v>4.75e-06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HYPERLINK("http://141.218.60.56/~jnz1568/getInfo.php?workbook=13_02.xlsx&amp;sheet=U0&amp;row=562&amp;col=6&amp;number=4.8&amp;sourceID=14","4.8")</f>
        <v>4.8</v>
      </c>
      <c r="G562" s="4" t="str">
        <f>HYPERLINK("http://141.218.60.56/~jnz1568/getInfo.php?workbook=13_02.xlsx&amp;sheet=U0&amp;row=562&amp;col=7&amp;number=4.74e-06&amp;sourceID=14","4.74e-06")</f>
        <v>4.74e-06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HYPERLINK("http://141.218.60.56/~jnz1568/getInfo.php?workbook=13_02.xlsx&amp;sheet=U0&amp;row=563&amp;col=6&amp;number=4.9&amp;sourceID=14","4.9")</f>
        <v>4.9</v>
      </c>
      <c r="G563" s="4" t="str">
        <f>HYPERLINK("http://141.218.60.56/~jnz1568/getInfo.php?workbook=13_02.xlsx&amp;sheet=U0&amp;row=563&amp;col=7&amp;number=4.74e-06&amp;sourceID=14","4.74e-06")</f>
        <v>4.74e-06</v>
      </c>
    </row>
    <row r="564" spans="1:7">
      <c r="A564" s="3">
        <v>13</v>
      </c>
      <c r="B564" s="3">
        <v>2</v>
      </c>
      <c r="C564" s="3" t="s">
        <v>82</v>
      </c>
      <c r="D564" s="3">
        <v>0</v>
      </c>
      <c r="E564" s="3">
        <v>1</v>
      </c>
      <c r="F564" s="4" t="str">
        <f>HYPERLINK("http://141.218.60.56/~jnz1568/getInfo.php?workbook=13_02.xlsx&amp;sheet=U0&amp;row=564&amp;col=6&amp;number=3&amp;sourceID=14","3")</f>
        <v>3</v>
      </c>
      <c r="G564" s="4" t="str">
        <f>HYPERLINK("http://141.218.60.56/~jnz1568/getInfo.php?workbook=13_02.xlsx&amp;sheet=U0&amp;row=564&amp;col=7&amp;number=7.26e-06&amp;sourceID=14","7.26e-06")</f>
        <v>7.26e-06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HYPERLINK("http://141.218.60.56/~jnz1568/getInfo.php?workbook=13_02.xlsx&amp;sheet=U0&amp;row=565&amp;col=6&amp;number=3.1&amp;sourceID=14","3.1")</f>
        <v>3.1</v>
      </c>
      <c r="G565" s="4" t="str">
        <f>HYPERLINK("http://141.218.60.56/~jnz1568/getInfo.php?workbook=13_02.xlsx&amp;sheet=U0&amp;row=565&amp;col=7&amp;number=7.26e-06&amp;sourceID=14","7.26e-06")</f>
        <v>7.26e-06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HYPERLINK("http://141.218.60.56/~jnz1568/getInfo.php?workbook=13_02.xlsx&amp;sheet=U0&amp;row=566&amp;col=6&amp;number=3.2&amp;sourceID=14","3.2")</f>
        <v>3.2</v>
      </c>
      <c r="G566" s="4" t="str">
        <f>HYPERLINK("http://141.218.60.56/~jnz1568/getInfo.php?workbook=13_02.xlsx&amp;sheet=U0&amp;row=566&amp;col=7&amp;number=7.26e-06&amp;sourceID=14","7.26e-06")</f>
        <v>7.26e-06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HYPERLINK("http://141.218.60.56/~jnz1568/getInfo.php?workbook=13_02.xlsx&amp;sheet=U0&amp;row=567&amp;col=6&amp;number=3.3&amp;sourceID=14","3.3")</f>
        <v>3.3</v>
      </c>
      <c r="G567" s="4" t="str">
        <f>HYPERLINK("http://141.218.60.56/~jnz1568/getInfo.php?workbook=13_02.xlsx&amp;sheet=U0&amp;row=567&amp;col=7&amp;number=7.26e-06&amp;sourceID=14","7.26e-06")</f>
        <v>7.26e-06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HYPERLINK("http://141.218.60.56/~jnz1568/getInfo.php?workbook=13_02.xlsx&amp;sheet=U0&amp;row=568&amp;col=6&amp;number=3.4&amp;sourceID=14","3.4")</f>
        <v>3.4</v>
      </c>
      <c r="G568" s="4" t="str">
        <f>HYPERLINK("http://141.218.60.56/~jnz1568/getInfo.php?workbook=13_02.xlsx&amp;sheet=U0&amp;row=568&amp;col=7&amp;number=7.26e-06&amp;sourceID=14","7.26e-06")</f>
        <v>7.26e-06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HYPERLINK("http://141.218.60.56/~jnz1568/getInfo.php?workbook=13_02.xlsx&amp;sheet=U0&amp;row=569&amp;col=6&amp;number=3.5&amp;sourceID=14","3.5")</f>
        <v>3.5</v>
      </c>
      <c r="G569" s="4" t="str">
        <f>HYPERLINK("http://141.218.60.56/~jnz1568/getInfo.php?workbook=13_02.xlsx&amp;sheet=U0&amp;row=569&amp;col=7&amp;number=7.26e-06&amp;sourceID=14","7.26e-06")</f>
        <v>7.26e-06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HYPERLINK("http://141.218.60.56/~jnz1568/getInfo.php?workbook=13_02.xlsx&amp;sheet=U0&amp;row=570&amp;col=6&amp;number=3.6&amp;sourceID=14","3.6")</f>
        <v>3.6</v>
      </c>
      <c r="G570" s="4" t="str">
        <f>HYPERLINK("http://141.218.60.56/~jnz1568/getInfo.php?workbook=13_02.xlsx&amp;sheet=U0&amp;row=570&amp;col=7&amp;number=7.26e-06&amp;sourceID=14","7.26e-06")</f>
        <v>7.26e-06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HYPERLINK("http://141.218.60.56/~jnz1568/getInfo.php?workbook=13_02.xlsx&amp;sheet=U0&amp;row=571&amp;col=6&amp;number=3.7&amp;sourceID=14","3.7")</f>
        <v>3.7</v>
      </c>
      <c r="G571" s="4" t="str">
        <f>HYPERLINK("http://141.218.60.56/~jnz1568/getInfo.php?workbook=13_02.xlsx&amp;sheet=U0&amp;row=571&amp;col=7&amp;number=7.26e-06&amp;sourceID=14","7.26e-06")</f>
        <v>7.26e-06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HYPERLINK("http://141.218.60.56/~jnz1568/getInfo.php?workbook=13_02.xlsx&amp;sheet=U0&amp;row=572&amp;col=6&amp;number=3.8&amp;sourceID=14","3.8")</f>
        <v>3.8</v>
      </c>
      <c r="G572" s="4" t="str">
        <f>HYPERLINK("http://141.218.60.56/~jnz1568/getInfo.php?workbook=13_02.xlsx&amp;sheet=U0&amp;row=572&amp;col=7&amp;number=7.26e-06&amp;sourceID=14","7.26e-06")</f>
        <v>7.26e-06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HYPERLINK("http://141.218.60.56/~jnz1568/getInfo.php?workbook=13_02.xlsx&amp;sheet=U0&amp;row=573&amp;col=6&amp;number=3.9&amp;sourceID=14","3.9")</f>
        <v>3.9</v>
      </c>
      <c r="G573" s="4" t="str">
        <f>HYPERLINK("http://141.218.60.56/~jnz1568/getInfo.php?workbook=13_02.xlsx&amp;sheet=U0&amp;row=573&amp;col=7&amp;number=7.26e-06&amp;sourceID=14","7.26e-06")</f>
        <v>7.26e-06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HYPERLINK("http://141.218.60.56/~jnz1568/getInfo.php?workbook=13_02.xlsx&amp;sheet=U0&amp;row=574&amp;col=6&amp;number=4&amp;sourceID=14","4")</f>
        <v>4</v>
      </c>
      <c r="G574" s="4" t="str">
        <f>HYPERLINK("http://141.218.60.56/~jnz1568/getInfo.php?workbook=13_02.xlsx&amp;sheet=U0&amp;row=574&amp;col=7&amp;number=7.25e-06&amp;sourceID=14","7.25e-06")</f>
        <v>7.25e-06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HYPERLINK("http://141.218.60.56/~jnz1568/getInfo.php?workbook=13_02.xlsx&amp;sheet=U0&amp;row=575&amp;col=6&amp;number=4.1&amp;sourceID=14","4.1")</f>
        <v>4.1</v>
      </c>
      <c r="G575" s="4" t="str">
        <f>HYPERLINK("http://141.218.60.56/~jnz1568/getInfo.php?workbook=13_02.xlsx&amp;sheet=U0&amp;row=575&amp;col=7&amp;number=7.25e-06&amp;sourceID=14","7.25e-06")</f>
        <v>7.25e-06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HYPERLINK("http://141.218.60.56/~jnz1568/getInfo.php?workbook=13_02.xlsx&amp;sheet=U0&amp;row=576&amp;col=6&amp;number=4.2&amp;sourceID=14","4.2")</f>
        <v>4.2</v>
      </c>
      <c r="G576" s="4" t="str">
        <f>HYPERLINK("http://141.218.60.56/~jnz1568/getInfo.php?workbook=13_02.xlsx&amp;sheet=U0&amp;row=576&amp;col=7&amp;number=7.25e-06&amp;sourceID=14","7.25e-06")</f>
        <v>7.25e-06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HYPERLINK("http://141.218.60.56/~jnz1568/getInfo.php?workbook=13_02.xlsx&amp;sheet=U0&amp;row=577&amp;col=6&amp;number=4.3&amp;sourceID=14","4.3")</f>
        <v>4.3</v>
      </c>
      <c r="G577" s="4" t="str">
        <f>HYPERLINK("http://141.218.60.56/~jnz1568/getInfo.php?workbook=13_02.xlsx&amp;sheet=U0&amp;row=577&amp;col=7&amp;number=7.25e-06&amp;sourceID=14","7.25e-06")</f>
        <v>7.25e-06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HYPERLINK("http://141.218.60.56/~jnz1568/getInfo.php?workbook=13_02.xlsx&amp;sheet=U0&amp;row=578&amp;col=6&amp;number=4.4&amp;sourceID=14","4.4")</f>
        <v>4.4</v>
      </c>
      <c r="G578" s="4" t="str">
        <f>HYPERLINK("http://141.218.60.56/~jnz1568/getInfo.php?workbook=13_02.xlsx&amp;sheet=U0&amp;row=578&amp;col=7&amp;number=7.24e-06&amp;sourceID=14","7.24e-06")</f>
        <v>7.24e-06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HYPERLINK("http://141.218.60.56/~jnz1568/getInfo.php?workbook=13_02.xlsx&amp;sheet=U0&amp;row=579&amp;col=6&amp;number=4.5&amp;sourceID=14","4.5")</f>
        <v>4.5</v>
      </c>
      <c r="G579" s="4" t="str">
        <f>HYPERLINK("http://141.218.60.56/~jnz1568/getInfo.php?workbook=13_02.xlsx&amp;sheet=U0&amp;row=579&amp;col=7&amp;number=7.24e-06&amp;sourceID=14","7.24e-06")</f>
        <v>7.24e-06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HYPERLINK("http://141.218.60.56/~jnz1568/getInfo.php?workbook=13_02.xlsx&amp;sheet=U0&amp;row=580&amp;col=6&amp;number=4.6&amp;sourceID=14","4.6")</f>
        <v>4.6</v>
      </c>
      <c r="G580" s="4" t="str">
        <f>HYPERLINK("http://141.218.60.56/~jnz1568/getInfo.php?workbook=13_02.xlsx&amp;sheet=U0&amp;row=580&amp;col=7&amp;number=7.23e-06&amp;sourceID=14","7.23e-06")</f>
        <v>7.23e-06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HYPERLINK("http://141.218.60.56/~jnz1568/getInfo.php?workbook=13_02.xlsx&amp;sheet=U0&amp;row=581&amp;col=6&amp;number=4.7&amp;sourceID=14","4.7")</f>
        <v>4.7</v>
      </c>
      <c r="G581" s="4" t="str">
        <f>HYPERLINK("http://141.218.60.56/~jnz1568/getInfo.php?workbook=13_02.xlsx&amp;sheet=U0&amp;row=581&amp;col=7&amp;number=7.23e-06&amp;sourceID=14","7.23e-06")</f>
        <v>7.23e-06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HYPERLINK("http://141.218.60.56/~jnz1568/getInfo.php?workbook=13_02.xlsx&amp;sheet=U0&amp;row=582&amp;col=6&amp;number=4.8&amp;sourceID=14","4.8")</f>
        <v>4.8</v>
      </c>
      <c r="G582" s="4" t="str">
        <f>HYPERLINK("http://141.218.60.56/~jnz1568/getInfo.php?workbook=13_02.xlsx&amp;sheet=U0&amp;row=582&amp;col=7&amp;number=7.22e-06&amp;sourceID=14","7.22e-06")</f>
        <v>7.22e-06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HYPERLINK("http://141.218.60.56/~jnz1568/getInfo.php?workbook=13_02.xlsx&amp;sheet=U0&amp;row=583&amp;col=6&amp;number=4.9&amp;sourceID=14","4.9")</f>
        <v>4.9</v>
      </c>
      <c r="G583" s="4" t="str">
        <f>HYPERLINK("http://141.218.60.56/~jnz1568/getInfo.php?workbook=13_02.xlsx&amp;sheet=U0&amp;row=583&amp;col=7&amp;number=7.21e-06&amp;sourceID=14","7.21e-06")</f>
        <v>7.21e-06</v>
      </c>
    </row>
    <row r="584" spans="1:7">
      <c r="A584" s="3">
        <v>13</v>
      </c>
      <c r="B584" s="3">
        <v>2</v>
      </c>
      <c r="C584" s="3" t="s">
        <v>82</v>
      </c>
      <c r="D584" s="3">
        <v>1</v>
      </c>
      <c r="E584" s="3">
        <v>1</v>
      </c>
      <c r="F584" s="4" t="str">
        <f>HYPERLINK("http://141.218.60.56/~jnz1568/getInfo.php?workbook=13_02.xlsx&amp;sheet=U0&amp;row=584&amp;col=6&amp;number=3&amp;sourceID=14","3")</f>
        <v>3</v>
      </c>
      <c r="G584" s="4" t="str">
        <f>HYPERLINK("http://141.218.60.56/~jnz1568/getInfo.php?workbook=13_02.xlsx&amp;sheet=U0&amp;row=584&amp;col=7&amp;number=4.28e-06&amp;sourceID=14","4.28e-06")</f>
        <v>4.28e-06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HYPERLINK("http://141.218.60.56/~jnz1568/getInfo.php?workbook=13_02.xlsx&amp;sheet=U0&amp;row=585&amp;col=6&amp;number=3.1&amp;sourceID=14","3.1")</f>
        <v>3.1</v>
      </c>
      <c r="G585" s="4" t="str">
        <f>HYPERLINK("http://141.218.60.56/~jnz1568/getInfo.php?workbook=13_02.xlsx&amp;sheet=U0&amp;row=585&amp;col=7&amp;number=4.28e-06&amp;sourceID=14","4.28e-06")</f>
        <v>4.28e-06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HYPERLINK("http://141.218.60.56/~jnz1568/getInfo.php?workbook=13_02.xlsx&amp;sheet=U0&amp;row=586&amp;col=6&amp;number=3.2&amp;sourceID=14","3.2")</f>
        <v>3.2</v>
      </c>
      <c r="G586" s="4" t="str">
        <f>HYPERLINK("http://141.218.60.56/~jnz1568/getInfo.php?workbook=13_02.xlsx&amp;sheet=U0&amp;row=586&amp;col=7&amp;number=4.28e-06&amp;sourceID=14","4.28e-06")</f>
        <v>4.28e-06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HYPERLINK("http://141.218.60.56/~jnz1568/getInfo.php?workbook=13_02.xlsx&amp;sheet=U0&amp;row=587&amp;col=6&amp;number=3.3&amp;sourceID=14","3.3")</f>
        <v>3.3</v>
      </c>
      <c r="G587" s="4" t="str">
        <f>HYPERLINK("http://141.218.60.56/~jnz1568/getInfo.php?workbook=13_02.xlsx&amp;sheet=U0&amp;row=587&amp;col=7&amp;number=4.28e-06&amp;sourceID=14","4.28e-06")</f>
        <v>4.28e-06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HYPERLINK("http://141.218.60.56/~jnz1568/getInfo.php?workbook=13_02.xlsx&amp;sheet=U0&amp;row=588&amp;col=6&amp;number=3.4&amp;sourceID=14","3.4")</f>
        <v>3.4</v>
      </c>
      <c r="G588" s="4" t="str">
        <f>HYPERLINK("http://141.218.60.56/~jnz1568/getInfo.php?workbook=13_02.xlsx&amp;sheet=U0&amp;row=588&amp;col=7&amp;number=4.28e-06&amp;sourceID=14","4.28e-06")</f>
        <v>4.28e-06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HYPERLINK("http://141.218.60.56/~jnz1568/getInfo.php?workbook=13_02.xlsx&amp;sheet=U0&amp;row=589&amp;col=6&amp;number=3.5&amp;sourceID=14","3.5")</f>
        <v>3.5</v>
      </c>
      <c r="G589" s="4" t="str">
        <f>HYPERLINK("http://141.218.60.56/~jnz1568/getInfo.php?workbook=13_02.xlsx&amp;sheet=U0&amp;row=589&amp;col=7&amp;number=4.28e-06&amp;sourceID=14","4.28e-06")</f>
        <v>4.28e-06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HYPERLINK("http://141.218.60.56/~jnz1568/getInfo.php?workbook=13_02.xlsx&amp;sheet=U0&amp;row=590&amp;col=6&amp;number=3.6&amp;sourceID=14","3.6")</f>
        <v>3.6</v>
      </c>
      <c r="G590" s="4" t="str">
        <f>HYPERLINK("http://141.218.60.56/~jnz1568/getInfo.php?workbook=13_02.xlsx&amp;sheet=U0&amp;row=590&amp;col=7&amp;number=4.28e-06&amp;sourceID=14","4.28e-06")</f>
        <v>4.28e-06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HYPERLINK("http://141.218.60.56/~jnz1568/getInfo.php?workbook=13_02.xlsx&amp;sheet=U0&amp;row=591&amp;col=6&amp;number=3.7&amp;sourceID=14","3.7")</f>
        <v>3.7</v>
      </c>
      <c r="G591" s="4" t="str">
        <f>HYPERLINK("http://141.218.60.56/~jnz1568/getInfo.php?workbook=13_02.xlsx&amp;sheet=U0&amp;row=591&amp;col=7&amp;number=4.28e-06&amp;sourceID=14","4.28e-06")</f>
        <v>4.28e-06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HYPERLINK("http://141.218.60.56/~jnz1568/getInfo.php?workbook=13_02.xlsx&amp;sheet=U0&amp;row=592&amp;col=6&amp;number=3.8&amp;sourceID=14","3.8")</f>
        <v>3.8</v>
      </c>
      <c r="G592" s="4" t="str">
        <f>HYPERLINK("http://141.218.60.56/~jnz1568/getInfo.php?workbook=13_02.xlsx&amp;sheet=U0&amp;row=592&amp;col=7&amp;number=4.28e-06&amp;sourceID=14","4.28e-06")</f>
        <v>4.28e-06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HYPERLINK("http://141.218.60.56/~jnz1568/getInfo.php?workbook=13_02.xlsx&amp;sheet=U0&amp;row=593&amp;col=6&amp;number=3.9&amp;sourceID=14","3.9")</f>
        <v>3.9</v>
      </c>
      <c r="G593" s="4" t="str">
        <f>HYPERLINK("http://141.218.60.56/~jnz1568/getInfo.php?workbook=13_02.xlsx&amp;sheet=U0&amp;row=593&amp;col=7&amp;number=4.28e-06&amp;sourceID=14","4.28e-06")</f>
        <v>4.28e-06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HYPERLINK("http://141.218.60.56/~jnz1568/getInfo.php?workbook=13_02.xlsx&amp;sheet=U0&amp;row=594&amp;col=6&amp;number=4&amp;sourceID=14","4")</f>
        <v>4</v>
      </c>
      <c r="G594" s="4" t="str">
        <f>HYPERLINK("http://141.218.60.56/~jnz1568/getInfo.php?workbook=13_02.xlsx&amp;sheet=U0&amp;row=594&amp;col=7&amp;number=4.28e-06&amp;sourceID=14","4.28e-06")</f>
        <v>4.28e-06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HYPERLINK("http://141.218.60.56/~jnz1568/getInfo.php?workbook=13_02.xlsx&amp;sheet=U0&amp;row=595&amp;col=6&amp;number=4.1&amp;sourceID=14","4.1")</f>
        <v>4.1</v>
      </c>
      <c r="G595" s="4" t="str">
        <f>HYPERLINK("http://141.218.60.56/~jnz1568/getInfo.php?workbook=13_02.xlsx&amp;sheet=U0&amp;row=595&amp;col=7&amp;number=4.28e-06&amp;sourceID=14","4.28e-06")</f>
        <v>4.28e-06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HYPERLINK("http://141.218.60.56/~jnz1568/getInfo.php?workbook=13_02.xlsx&amp;sheet=U0&amp;row=596&amp;col=6&amp;number=4.2&amp;sourceID=14","4.2")</f>
        <v>4.2</v>
      </c>
      <c r="G596" s="4" t="str">
        <f>HYPERLINK("http://141.218.60.56/~jnz1568/getInfo.php?workbook=13_02.xlsx&amp;sheet=U0&amp;row=596&amp;col=7&amp;number=4.28e-06&amp;sourceID=14","4.28e-06")</f>
        <v>4.28e-06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HYPERLINK("http://141.218.60.56/~jnz1568/getInfo.php?workbook=13_02.xlsx&amp;sheet=U0&amp;row=597&amp;col=6&amp;number=4.3&amp;sourceID=14","4.3")</f>
        <v>4.3</v>
      </c>
      <c r="G597" s="4" t="str">
        <f>HYPERLINK("http://141.218.60.56/~jnz1568/getInfo.php?workbook=13_02.xlsx&amp;sheet=U0&amp;row=597&amp;col=7&amp;number=4.28e-06&amp;sourceID=14","4.28e-06")</f>
        <v>4.28e-06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HYPERLINK("http://141.218.60.56/~jnz1568/getInfo.php?workbook=13_02.xlsx&amp;sheet=U0&amp;row=598&amp;col=6&amp;number=4.4&amp;sourceID=14","4.4")</f>
        <v>4.4</v>
      </c>
      <c r="G598" s="4" t="str">
        <f>HYPERLINK("http://141.218.60.56/~jnz1568/getInfo.php?workbook=13_02.xlsx&amp;sheet=U0&amp;row=598&amp;col=7&amp;number=4.28e-06&amp;sourceID=14","4.28e-06")</f>
        <v>4.28e-06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HYPERLINK("http://141.218.60.56/~jnz1568/getInfo.php?workbook=13_02.xlsx&amp;sheet=U0&amp;row=599&amp;col=6&amp;number=4.5&amp;sourceID=14","4.5")</f>
        <v>4.5</v>
      </c>
      <c r="G599" s="4" t="str">
        <f>HYPERLINK("http://141.218.60.56/~jnz1568/getInfo.php?workbook=13_02.xlsx&amp;sheet=U0&amp;row=599&amp;col=7&amp;number=4.27e-06&amp;sourceID=14","4.27e-06")</f>
        <v>4.27e-06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HYPERLINK("http://141.218.60.56/~jnz1568/getInfo.php?workbook=13_02.xlsx&amp;sheet=U0&amp;row=600&amp;col=6&amp;number=4.6&amp;sourceID=14","4.6")</f>
        <v>4.6</v>
      </c>
      <c r="G600" s="4" t="str">
        <f>HYPERLINK("http://141.218.60.56/~jnz1568/getInfo.php?workbook=13_02.xlsx&amp;sheet=U0&amp;row=600&amp;col=7&amp;number=4.27e-06&amp;sourceID=14","4.27e-06")</f>
        <v>4.27e-06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HYPERLINK("http://141.218.60.56/~jnz1568/getInfo.php?workbook=13_02.xlsx&amp;sheet=U0&amp;row=601&amp;col=6&amp;number=4.7&amp;sourceID=14","4.7")</f>
        <v>4.7</v>
      </c>
      <c r="G601" s="4" t="str">
        <f>HYPERLINK("http://141.218.60.56/~jnz1568/getInfo.php?workbook=13_02.xlsx&amp;sheet=U0&amp;row=601&amp;col=7&amp;number=4.27e-06&amp;sourceID=14","4.27e-06")</f>
        <v>4.27e-06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HYPERLINK("http://141.218.60.56/~jnz1568/getInfo.php?workbook=13_02.xlsx&amp;sheet=U0&amp;row=602&amp;col=6&amp;number=4.8&amp;sourceID=14","4.8")</f>
        <v>4.8</v>
      </c>
      <c r="G602" s="4" t="str">
        <f>HYPERLINK("http://141.218.60.56/~jnz1568/getInfo.php?workbook=13_02.xlsx&amp;sheet=U0&amp;row=602&amp;col=7&amp;number=4.27e-06&amp;sourceID=14","4.27e-06")</f>
        <v>4.27e-06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HYPERLINK("http://141.218.60.56/~jnz1568/getInfo.php?workbook=13_02.xlsx&amp;sheet=U0&amp;row=603&amp;col=6&amp;number=4.9&amp;sourceID=14","4.9")</f>
        <v>4.9</v>
      </c>
      <c r="G603" s="4" t="str">
        <f>HYPERLINK("http://141.218.60.56/~jnz1568/getInfo.php?workbook=13_02.xlsx&amp;sheet=U0&amp;row=603&amp;col=7&amp;number=4.26e-06&amp;sourceID=14","4.26e-06")</f>
        <v>4.26e-06</v>
      </c>
    </row>
    <row r="604" spans="1:7">
      <c r="A604" s="3">
        <v>13</v>
      </c>
      <c r="B604" s="3">
        <v>2</v>
      </c>
      <c r="C604" s="3" t="s">
        <v>82</v>
      </c>
      <c r="D604" s="3">
        <v>2</v>
      </c>
      <c r="E604" s="3">
        <v>1</v>
      </c>
      <c r="F604" s="4" t="str">
        <f>HYPERLINK("http://141.218.60.56/~jnz1568/getInfo.php?workbook=13_02.xlsx&amp;sheet=U0&amp;row=604&amp;col=6&amp;number=3&amp;sourceID=14","3")</f>
        <v>3</v>
      </c>
      <c r="G604" s="4" t="str">
        <f>HYPERLINK("http://141.218.60.56/~jnz1568/getInfo.php?workbook=13_02.xlsx&amp;sheet=U0&amp;row=604&amp;col=7&amp;number=8.1e-05&amp;sourceID=14","8.1e-05")</f>
        <v>8.1e-05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HYPERLINK("http://141.218.60.56/~jnz1568/getInfo.php?workbook=13_02.xlsx&amp;sheet=U0&amp;row=605&amp;col=6&amp;number=3.1&amp;sourceID=14","3.1")</f>
        <v>3.1</v>
      </c>
      <c r="G605" s="4" t="str">
        <f>HYPERLINK("http://141.218.60.56/~jnz1568/getInfo.php?workbook=13_02.xlsx&amp;sheet=U0&amp;row=605&amp;col=7&amp;number=8.1e-05&amp;sourceID=14","8.1e-05")</f>
        <v>8.1e-05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HYPERLINK("http://141.218.60.56/~jnz1568/getInfo.php?workbook=13_02.xlsx&amp;sheet=U0&amp;row=606&amp;col=6&amp;number=3.2&amp;sourceID=14","3.2")</f>
        <v>3.2</v>
      </c>
      <c r="G606" s="4" t="str">
        <f>HYPERLINK("http://141.218.60.56/~jnz1568/getInfo.php?workbook=13_02.xlsx&amp;sheet=U0&amp;row=606&amp;col=7&amp;number=8.1e-05&amp;sourceID=14","8.1e-05")</f>
        <v>8.1e-05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HYPERLINK("http://141.218.60.56/~jnz1568/getInfo.php?workbook=13_02.xlsx&amp;sheet=U0&amp;row=607&amp;col=6&amp;number=3.3&amp;sourceID=14","3.3")</f>
        <v>3.3</v>
      </c>
      <c r="G607" s="4" t="str">
        <f>HYPERLINK("http://141.218.60.56/~jnz1568/getInfo.php?workbook=13_02.xlsx&amp;sheet=U0&amp;row=607&amp;col=7&amp;number=8.1e-05&amp;sourceID=14","8.1e-05")</f>
        <v>8.1e-05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HYPERLINK("http://141.218.60.56/~jnz1568/getInfo.php?workbook=13_02.xlsx&amp;sheet=U0&amp;row=608&amp;col=6&amp;number=3.4&amp;sourceID=14","3.4")</f>
        <v>3.4</v>
      </c>
      <c r="G608" s="4" t="str">
        <f>HYPERLINK("http://141.218.60.56/~jnz1568/getInfo.php?workbook=13_02.xlsx&amp;sheet=U0&amp;row=608&amp;col=7&amp;number=8.1e-05&amp;sourceID=14","8.1e-05")</f>
        <v>8.1e-05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HYPERLINK("http://141.218.60.56/~jnz1568/getInfo.php?workbook=13_02.xlsx&amp;sheet=U0&amp;row=609&amp;col=6&amp;number=3.5&amp;sourceID=14","3.5")</f>
        <v>3.5</v>
      </c>
      <c r="G609" s="4" t="str">
        <f>HYPERLINK("http://141.218.60.56/~jnz1568/getInfo.php?workbook=13_02.xlsx&amp;sheet=U0&amp;row=609&amp;col=7&amp;number=8.1e-05&amp;sourceID=14","8.1e-05")</f>
        <v>8.1e-05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HYPERLINK("http://141.218.60.56/~jnz1568/getInfo.php?workbook=13_02.xlsx&amp;sheet=U0&amp;row=610&amp;col=6&amp;number=3.6&amp;sourceID=14","3.6")</f>
        <v>3.6</v>
      </c>
      <c r="G610" s="4" t="str">
        <f>HYPERLINK("http://141.218.60.56/~jnz1568/getInfo.php?workbook=13_02.xlsx&amp;sheet=U0&amp;row=610&amp;col=7&amp;number=8.1e-05&amp;sourceID=14","8.1e-05")</f>
        <v>8.1e-05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HYPERLINK("http://141.218.60.56/~jnz1568/getInfo.php?workbook=13_02.xlsx&amp;sheet=U0&amp;row=611&amp;col=6&amp;number=3.7&amp;sourceID=14","3.7")</f>
        <v>3.7</v>
      </c>
      <c r="G611" s="4" t="str">
        <f>HYPERLINK("http://141.218.60.56/~jnz1568/getInfo.php?workbook=13_02.xlsx&amp;sheet=U0&amp;row=611&amp;col=7&amp;number=8.1e-05&amp;sourceID=14","8.1e-05")</f>
        <v>8.1e-05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HYPERLINK("http://141.218.60.56/~jnz1568/getInfo.php?workbook=13_02.xlsx&amp;sheet=U0&amp;row=612&amp;col=6&amp;number=3.8&amp;sourceID=14","3.8")</f>
        <v>3.8</v>
      </c>
      <c r="G612" s="4" t="str">
        <f>HYPERLINK("http://141.218.60.56/~jnz1568/getInfo.php?workbook=13_02.xlsx&amp;sheet=U0&amp;row=612&amp;col=7&amp;number=8.1e-05&amp;sourceID=14","8.1e-05")</f>
        <v>8.1e-05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HYPERLINK("http://141.218.60.56/~jnz1568/getInfo.php?workbook=13_02.xlsx&amp;sheet=U0&amp;row=613&amp;col=6&amp;number=3.9&amp;sourceID=14","3.9")</f>
        <v>3.9</v>
      </c>
      <c r="G613" s="4" t="str">
        <f>HYPERLINK("http://141.218.60.56/~jnz1568/getInfo.php?workbook=13_02.xlsx&amp;sheet=U0&amp;row=613&amp;col=7&amp;number=8.1e-05&amp;sourceID=14","8.1e-05")</f>
        <v>8.1e-05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HYPERLINK("http://141.218.60.56/~jnz1568/getInfo.php?workbook=13_02.xlsx&amp;sheet=U0&amp;row=614&amp;col=6&amp;number=4&amp;sourceID=14","4")</f>
        <v>4</v>
      </c>
      <c r="G614" s="4" t="str">
        <f>HYPERLINK("http://141.218.60.56/~jnz1568/getInfo.php?workbook=13_02.xlsx&amp;sheet=U0&amp;row=614&amp;col=7&amp;number=8.1e-05&amp;sourceID=14","8.1e-05")</f>
        <v>8.1e-05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HYPERLINK("http://141.218.60.56/~jnz1568/getInfo.php?workbook=13_02.xlsx&amp;sheet=U0&amp;row=615&amp;col=6&amp;number=4.1&amp;sourceID=14","4.1")</f>
        <v>4.1</v>
      </c>
      <c r="G615" s="4" t="str">
        <f>HYPERLINK("http://141.218.60.56/~jnz1568/getInfo.php?workbook=13_02.xlsx&amp;sheet=U0&amp;row=615&amp;col=7&amp;number=8.1e-05&amp;sourceID=14","8.1e-05")</f>
        <v>8.1e-05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HYPERLINK("http://141.218.60.56/~jnz1568/getInfo.php?workbook=13_02.xlsx&amp;sheet=U0&amp;row=616&amp;col=6&amp;number=4.2&amp;sourceID=14","4.2")</f>
        <v>4.2</v>
      </c>
      <c r="G616" s="4" t="str">
        <f>HYPERLINK("http://141.218.60.56/~jnz1568/getInfo.php?workbook=13_02.xlsx&amp;sheet=U0&amp;row=616&amp;col=7&amp;number=8.09e-05&amp;sourceID=14","8.09e-05")</f>
        <v>8.09e-05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HYPERLINK("http://141.218.60.56/~jnz1568/getInfo.php?workbook=13_02.xlsx&amp;sheet=U0&amp;row=617&amp;col=6&amp;number=4.3&amp;sourceID=14","4.3")</f>
        <v>4.3</v>
      </c>
      <c r="G617" s="4" t="str">
        <f>HYPERLINK("http://141.218.60.56/~jnz1568/getInfo.php?workbook=13_02.xlsx&amp;sheet=U0&amp;row=617&amp;col=7&amp;number=8.09e-05&amp;sourceID=14","8.09e-05")</f>
        <v>8.09e-05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HYPERLINK("http://141.218.60.56/~jnz1568/getInfo.php?workbook=13_02.xlsx&amp;sheet=U0&amp;row=618&amp;col=6&amp;number=4.4&amp;sourceID=14","4.4")</f>
        <v>4.4</v>
      </c>
      <c r="G618" s="4" t="str">
        <f>HYPERLINK("http://141.218.60.56/~jnz1568/getInfo.php?workbook=13_02.xlsx&amp;sheet=U0&amp;row=618&amp;col=7&amp;number=8.09e-05&amp;sourceID=14","8.09e-05")</f>
        <v>8.09e-05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HYPERLINK("http://141.218.60.56/~jnz1568/getInfo.php?workbook=13_02.xlsx&amp;sheet=U0&amp;row=619&amp;col=6&amp;number=4.5&amp;sourceID=14","4.5")</f>
        <v>4.5</v>
      </c>
      <c r="G619" s="4" t="str">
        <f>HYPERLINK("http://141.218.60.56/~jnz1568/getInfo.php?workbook=13_02.xlsx&amp;sheet=U0&amp;row=619&amp;col=7&amp;number=8.09e-05&amp;sourceID=14","8.09e-05")</f>
        <v>8.09e-05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HYPERLINK("http://141.218.60.56/~jnz1568/getInfo.php?workbook=13_02.xlsx&amp;sheet=U0&amp;row=620&amp;col=6&amp;number=4.6&amp;sourceID=14","4.6")</f>
        <v>4.6</v>
      </c>
      <c r="G620" s="4" t="str">
        <f>HYPERLINK("http://141.218.60.56/~jnz1568/getInfo.php?workbook=13_02.xlsx&amp;sheet=U0&amp;row=620&amp;col=7&amp;number=8.09e-05&amp;sourceID=14","8.09e-05")</f>
        <v>8.09e-05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HYPERLINK("http://141.218.60.56/~jnz1568/getInfo.php?workbook=13_02.xlsx&amp;sheet=U0&amp;row=621&amp;col=6&amp;number=4.7&amp;sourceID=14","4.7")</f>
        <v>4.7</v>
      </c>
      <c r="G621" s="4" t="str">
        <f>HYPERLINK("http://141.218.60.56/~jnz1568/getInfo.php?workbook=13_02.xlsx&amp;sheet=U0&amp;row=621&amp;col=7&amp;number=8.08e-05&amp;sourceID=14","8.08e-05")</f>
        <v>8.08e-05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HYPERLINK("http://141.218.60.56/~jnz1568/getInfo.php?workbook=13_02.xlsx&amp;sheet=U0&amp;row=622&amp;col=6&amp;number=4.8&amp;sourceID=14","4.8")</f>
        <v>4.8</v>
      </c>
      <c r="G622" s="4" t="str">
        <f>HYPERLINK("http://141.218.60.56/~jnz1568/getInfo.php?workbook=13_02.xlsx&amp;sheet=U0&amp;row=622&amp;col=7&amp;number=8.08e-05&amp;sourceID=14","8.08e-05")</f>
        <v>8.08e-05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HYPERLINK("http://141.218.60.56/~jnz1568/getInfo.php?workbook=13_02.xlsx&amp;sheet=U0&amp;row=623&amp;col=6&amp;number=4.9&amp;sourceID=14","4.9")</f>
        <v>4.9</v>
      </c>
      <c r="G623" s="4" t="str">
        <f>HYPERLINK("http://141.218.60.56/~jnz1568/getInfo.php?workbook=13_02.xlsx&amp;sheet=U0&amp;row=623&amp;col=7&amp;number=8.07e-05&amp;sourceID=14","8.07e-05")</f>
        <v>8.07e-05</v>
      </c>
    </row>
    <row r="624" spans="1:7">
      <c r="A624" s="3">
        <v>13</v>
      </c>
      <c r="B624" s="3">
        <v>2</v>
      </c>
      <c r="C624" s="3" t="s">
        <v>82</v>
      </c>
      <c r="D624" s="3">
        <v>3</v>
      </c>
      <c r="E624" s="3">
        <v>1</v>
      </c>
      <c r="F624" s="4" t="str">
        <f>HYPERLINK("http://141.218.60.56/~jnz1568/getInfo.php?workbook=13_02.xlsx&amp;sheet=U0&amp;row=624&amp;col=6&amp;number=3&amp;sourceID=14","3")</f>
        <v>3</v>
      </c>
      <c r="G624" s="4" t="str">
        <f>HYPERLINK("http://141.218.60.56/~jnz1568/getInfo.php?workbook=13_02.xlsx&amp;sheet=U0&amp;row=624&amp;col=7&amp;number=9.74e-05&amp;sourceID=14","9.74e-05")</f>
        <v>9.74e-05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HYPERLINK("http://141.218.60.56/~jnz1568/getInfo.php?workbook=13_02.xlsx&amp;sheet=U0&amp;row=625&amp;col=6&amp;number=3.1&amp;sourceID=14","3.1")</f>
        <v>3.1</v>
      </c>
      <c r="G625" s="4" t="str">
        <f>HYPERLINK("http://141.218.60.56/~jnz1568/getInfo.php?workbook=13_02.xlsx&amp;sheet=U0&amp;row=625&amp;col=7&amp;number=9.74e-05&amp;sourceID=14","9.74e-05")</f>
        <v>9.74e-05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HYPERLINK("http://141.218.60.56/~jnz1568/getInfo.php?workbook=13_02.xlsx&amp;sheet=U0&amp;row=626&amp;col=6&amp;number=3.2&amp;sourceID=14","3.2")</f>
        <v>3.2</v>
      </c>
      <c r="G626" s="4" t="str">
        <f>HYPERLINK("http://141.218.60.56/~jnz1568/getInfo.php?workbook=13_02.xlsx&amp;sheet=U0&amp;row=626&amp;col=7&amp;number=9.74e-05&amp;sourceID=14","9.74e-05")</f>
        <v>9.74e-05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HYPERLINK("http://141.218.60.56/~jnz1568/getInfo.php?workbook=13_02.xlsx&amp;sheet=U0&amp;row=627&amp;col=6&amp;number=3.3&amp;sourceID=14","3.3")</f>
        <v>3.3</v>
      </c>
      <c r="G627" s="4" t="str">
        <f>HYPERLINK("http://141.218.60.56/~jnz1568/getInfo.php?workbook=13_02.xlsx&amp;sheet=U0&amp;row=627&amp;col=7&amp;number=9.74e-05&amp;sourceID=14","9.74e-05")</f>
        <v>9.74e-05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HYPERLINK("http://141.218.60.56/~jnz1568/getInfo.php?workbook=13_02.xlsx&amp;sheet=U0&amp;row=628&amp;col=6&amp;number=3.4&amp;sourceID=14","3.4")</f>
        <v>3.4</v>
      </c>
      <c r="G628" s="4" t="str">
        <f>HYPERLINK("http://141.218.60.56/~jnz1568/getInfo.php?workbook=13_02.xlsx&amp;sheet=U0&amp;row=628&amp;col=7&amp;number=9.74e-05&amp;sourceID=14","9.74e-05")</f>
        <v>9.74e-05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HYPERLINK("http://141.218.60.56/~jnz1568/getInfo.php?workbook=13_02.xlsx&amp;sheet=U0&amp;row=629&amp;col=6&amp;number=3.5&amp;sourceID=14","3.5")</f>
        <v>3.5</v>
      </c>
      <c r="G629" s="4" t="str">
        <f>HYPERLINK("http://141.218.60.56/~jnz1568/getInfo.php?workbook=13_02.xlsx&amp;sheet=U0&amp;row=629&amp;col=7&amp;number=9.74e-05&amp;sourceID=14","9.74e-05")</f>
        <v>9.74e-05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HYPERLINK("http://141.218.60.56/~jnz1568/getInfo.php?workbook=13_02.xlsx&amp;sheet=U0&amp;row=630&amp;col=6&amp;number=3.6&amp;sourceID=14","3.6")</f>
        <v>3.6</v>
      </c>
      <c r="G630" s="4" t="str">
        <f>HYPERLINK("http://141.218.60.56/~jnz1568/getInfo.php?workbook=13_02.xlsx&amp;sheet=U0&amp;row=630&amp;col=7&amp;number=9.74e-05&amp;sourceID=14","9.74e-05")</f>
        <v>9.74e-05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HYPERLINK("http://141.218.60.56/~jnz1568/getInfo.php?workbook=13_02.xlsx&amp;sheet=U0&amp;row=631&amp;col=6&amp;number=3.7&amp;sourceID=14","3.7")</f>
        <v>3.7</v>
      </c>
      <c r="G631" s="4" t="str">
        <f>HYPERLINK("http://141.218.60.56/~jnz1568/getInfo.php?workbook=13_02.xlsx&amp;sheet=U0&amp;row=631&amp;col=7&amp;number=9.74e-05&amp;sourceID=14","9.74e-05")</f>
        <v>9.74e-05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HYPERLINK("http://141.218.60.56/~jnz1568/getInfo.php?workbook=13_02.xlsx&amp;sheet=U0&amp;row=632&amp;col=6&amp;number=3.8&amp;sourceID=14","3.8")</f>
        <v>3.8</v>
      </c>
      <c r="G632" s="4" t="str">
        <f>HYPERLINK("http://141.218.60.56/~jnz1568/getInfo.php?workbook=13_02.xlsx&amp;sheet=U0&amp;row=632&amp;col=7&amp;number=9.74e-05&amp;sourceID=14","9.74e-05")</f>
        <v>9.74e-05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HYPERLINK("http://141.218.60.56/~jnz1568/getInfo.php?workbook=13_02.xlsx&amp;sheet=U0&amp;row=633&amp;col=6&amp;number=3.9&amp;sourceID=14","3.9")</f>
        <v>3.9</v>
      </c>
      <c r="G633" s="4" t="str">
        <f>HYPERLINK("http://141.218.60.56/~jnz1568/getInfo.php?workbook=13_02.xlsx&amp;sheet=U0&amp;row=633&amp;col=7&amp;number=9.74e-05&amp;sourceID=14","9.74e-05")</f>
        <v>9.74e-05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HYPERLINK("http://141.218.60.56/~jnz1568/getInfo.php?workbook=13_02.xlsx&amp;sheet=U0&amp;row=634&amp;col=6&amp;number=4&amp;sourceID=14","4")</f>
        <v>4</v>
      </c>
      <c r="G634" s="4" t="str">
        <f>HYPERLINK("http://141.218.60.56/~jnz1568/getInfo.php?workbook=13_02.xlsx&amp;sheet=U0&amp;row=634&amp;col=7&amp;number=9.74e-05&amp;sourceID=14","9.74e-05")</f>
        <v>9.74e-05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HYPERLINK("http://141.218.60.56/~jnz1568/getInfo.php?workbook=13_02.xlsx&amp;sheet=U0&amp;row=635&amp;col=6&amp;number=4.1&amp;sourceID=14","4.1")</f>
        <v>4.1</v>
      </c>
      <c r="G635" s="4" t="str">
        <f>HYPERLINK("http://141.218.60.56/~jnz1568/getInfo.php?workbook=13_02.xlsx&amp;sheet=U0&amp;row=635&amp;col=7&amp;number=9.74e-05&amp;sourceID=14","9.74e-05")</f>
        <v>9.74e-05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HYPERLINK("http://141.218.60.56/~jnz1568/getInfo.php?workbook=13_02.xlsx&amp;sheet=U0&amp;row=636&amp;col=6&amp;number=4.2&amp;sourceID=14","4.2")</f>
        <v>4.2</v>
      </c>
      <c r="G636" s="4" t="str">
        <f>HYPERLINK("http://141.218.60.56/~jnz1568/getInfo.php?workbook=13_02.xlsx&amp;sheet=U0&amp;row=636&amp;col=7&amp;number=9.74e-05&amp;sourceID=14","9.74e-05")</f>
        <v>9.74e-05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HYPERLINK("http://141.218.60.56/~jnz1568/getInfo.php?workbook=13_02.xlsx&amp;sheet=U0&amp;row=637&amp;col=6&amp;number=4.3&amp;sourceID=14","4.3")</f>
        <v>4.3</v>
      </c>
      <c r="G637" s="4" t="str">
        <f>HYPERLINK("http://141.218.60.56/~jnz1568/getInfo.php?workbook=13_02.xlsx&amp;sheet=U0&amp;row=637&amp;col=7&amp;number=9.74e-05&amp;sourceID=14","9.74e-05")</f>
        <v>9.74e-05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HYPERLINK("http://141.218.60.56/~jnz1568/getInfo.php?workbook=13_02.xlsx&amp;sheet=U0&amp;row=638&amp;col=6&amp;number=4.4&amp;sourceID=14","4.4")</f>
        <v>4.4</v>
      </c>
      <c r="G638" s="4" t="str">
        <f>HYPERLINK("http://141.218.60.56/~jnz1568/getInfo.php?workbook=13_02.xlsx&amp;sheet=U0&amp;row=638&amp;col=7&amp;number=9.74e-05&amp;sourceID=14","9.74e-05")</f>
        <v>9.74e-05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HYPERLINK("http://141.218.60.56/~jnz1568/getInfo.php?workbook=13_02.xlsx&amp;sheet=U0&amp;row=639&amp;col=6&amp;number=4.5&amp;sourceID=14","4.5")</f>
        <v>4.5</v>
      </c>
      <c r="G639" s="4" t="str">
        <f>HYPERLINK("http://141.218.60.56/~jnz1568/getInfo.php?workbook=13_02.xlsx&amp;sheet=U0&amp;row=639&amp;col=7&amp;number=9.75e-05&amp;sourceID=14","9.75e-05")</f>
        <v>9.75e-05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HYPERLINK("http://141.218.60.56/~jnz1568/getInfo.php?workbook=13_02.xlsx&amp;sheet=U0&amp;row=640&amp;col=6&amp;number=4.6&amp;sourceID=14","4.6")</f>
        <v>4.6</v>
      </c>
      <c r="G640" s="4" t="str">
        <f>HYPERLINK("http://141.218.60.56/~jnz1568/getInfo.php?workbook=13_02.xlsx&amp;sheet=U0&amp;row=640&amp;col=7&amp;number=9.75e-05&amp;sourceID=14","9.75e-05")</f>
        <v>9.75e-05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HYPERLINK("http://141.218.60.56/~jnz1568/getInfo.php?workbook=13_02.xlsx&amp;sheet=U0&amp;row=641&amp;col=6&amp;number=4.7&amp;sourceID=14","4.7")</f>
        <v>4.7</v>
      </c>
      <c r="G641" s="4" t="str">
        <f>HYPERLINK("http://141.218.60.56/~jnz1568/getInfo.php?workbook=13_02.xlsx&amp;sheet=U0&amp;row=641&amp;col=7&amp;number=9.75e-05&amp;sourceID=14","9.75e-05")</f>
        <v>9.75e-05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HYPERLINK("http://141.218.60.56/~jnz1568/getInfo.php?workbook=13_02.xlsx&amp;sheet=U0&amp;row=642&amp;col=6&amp;number=4.8&amp;sourceID=14","4.8")</f>
        <v>4.8</v>
      </c>
      <c r="G642" s="4" t="str">
        <f>HYPERLINK("http://141.218.60.56/~jnz1568/getInfo.php?workbook=13_02.xlsx&amp;sheet=U0&amp;row=642&amp;col=7&amp;number=9.75e-05&amp;sourceID=14","9.75e-05")</f>
        <v>9.75e-05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HYPERLINK("http://141.218.60.56/~jnz1568/getInfo.php?workbook=13_02.xlsx&amp;sheet=U0&amp;row=643&amp;col=6&amp;number=4.9&amp;sourceID=14","4.9")</f>
        <v>4.9</v>
      </c>
      <c r="G643" s="4" t="str">
        <f>HYPERLINK("http://141.218.60.56/~jnz1568/getInfo.php?workbook=13_02.xlsx&amp;sheet=U0&amp;row=643&amp;col=7&amp;number=9.76e-05&amp;sourceID=14","9.76e-05")</f>
        <v>9.76e-05</v>
      </c>
    </row>
    <row r="644" spans="1:7">
      <c r="A644" s="3">
        <v>13</v>
      </c>
      <c r="B644" s="3">
        <v>2</v>
      </c>
      <c r="C644" s="3" t="s">
        <v>82</v>
      </c>
      <c r="D644" s="3">
        <v>4</v>
      </c>
      <c r="E644" s="3">
        <v>1</v>
      </c>
      <c r="F644" s="4" t="str">
        <f>HYPERLINK("http://141.218.60.56/~jnz1568/getInfo.php?workbook=13_02.xlsx&amp;sheet=U0&amp;row=644&amp;col=6&amp;number=3&amp;sourceID=14","3")</f>
        <v>3</v>
      </c>
      <c r="G644" s="4" t="str">
        <f>HYPERLINK("http://141.218.60.56/~jnz1568/getInfo.php?workbook=13_02.xlsx&amp;sheet=U0&amp;row=644&amp;col=7&amp;number=4.92e-05&amp;sourceID=14","4.92e-05")</f>
        <v>4.92e-05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HYPERLINK("http://141.218.60.56/~jnz1568/getInfo.php?workbook=13_02.xlsx&amp;sheet=U0&amp;row=645&amp;col=6&amp;number=3.1&amp;sourceID=14","3.1")</f>
        <v>3.1</v>
      </c>
      <c r="G645" s="4" t="str">
        <f>HYPERLINK("http://141.218.60.56/~jnz1568/getInfo.php?workbook=13_02.xlsx&amp;sheet=U0&amp;row=645&amp;col=7&amp;number=4.92e-05&amp;sourceID=14","4.92e-05")</f>
        <v>4.92e-05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HYPERLINK("http://141.218.60.56/~jnz1568/getInfo.php?workbook=13_02.xlsx&amp;sheet=U0&amp;row=646&amp;col=6&amp;number=3.2&amp;sourceID=14","3.2")</f>
        <v>3.2</v>
      </c>
      <c r="G646" s="4" t="str">
        <f>HYPERLINK("http://141.218.60.56/~jnz1568/getInfo.php?workbook=13_02.xlsx&amp;sheet=U0&amp;row=646&amp;col=7&amp;number=4.92e-05&amp;sourceID=14","4.92e-05")</f>
        <v>4.92e-05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HYPERLINK("http://141.218.60.56/~jnz1568/getInfo.php?workbook=13_02.xlsx&amp;sheet=U0&amp;row=647&amp;col=6&amp;number=3.3&amp;sourceID=14","3.3")</f>
        <v>3.3</v>
      </c>
      <c r="G647" s="4" t="str">
        <f>HYPERLINK("http://141.218.60.56/~jnz1568/getInfo.php?workbook=13_02.xlsx&amp;sheet=U0&amp;row=647&amp;col=7&amp;number=4.92e-05&amp;sourceID=14","4.92e-05")</f>
        <v>4.92e-05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HYPERLINK("http://141.218.60.56/~jnz1568/getInfo.php?workbook=13_02.xlsx&amp;sheet=U0&amp;row=648&amp;col=6&amp;number=3.4&amp;sourceID=14","3.4")</f>
        <v>3.4</v>
      </c>
      <c r="G648" s="4" t="str">
        <f>HYPERLINK("http://141.218.60.56/~jnz1568/getInfo.php?workbook=13_02.xlsx&amp;sheet=U0&amp;row=648&amp;col=7&amp;number=4.92e-05&amp;sourceID=14","4.92e-05")</f>
        <v>4.92e-05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HYPERLINK("http://141.218.60.56/~jnz1568/getInfo.php?workbook=13_02.xlsx&amp;sheet=U0&amp;row=649&amp;col=6&amp;number=3.5&amp;sourceID=14","3.5")</f>
        <v>3.5</v>
      </c>
      <c r="G649" s="4" t="str">
        <f>HYPERLINK("http://141.218.60.56/~jnz1568/getInfo.php?workbook=13_02.xlsx&amp;sheet=U0&amp;row=649&amp;col=7&amp;number=4.92e-05&amp;sourceID=14","4.92e-05")</f>
        <v>4.92e-05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HYPERLINK("http://141.218.60.56/~jnz1568/getInfo.php?workbook=13_02.xlsx&amp;sheet=U0&amp;row=650&amp;col=6&amp;number=3.6&amp;sourceID=14","3.6")</f>
        <v>3.6</v>
      </c>
      <c r="G650" s="4" t="str">
        <f>HYPERLINK("http://141.218.60.56/~jnz1568/getInfo.php?workbook=13_02.xlsx&amp;sheet=U0&amp;row=650&amp;col=7&amp;number=4.91e-05&amp;sourceID=14","4.91e-05")</f>
        <v>4.91e-05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HYPERLINK("http://141.218.60.56/~jnz1568/getInfo.php?workbook=13_02.xlsx&amp;sheet=U0&amp;row=651&amp;col=6&amp;number=3.7&amp;sourceID=14","3.7")</f>
        <v>3.7</v>
      </c>
      <c r="G651" s="4" t="str">
        <f>HYPERLINK("http://141.218.60.56/~jnz1568/getInfo.php?workbook=13_02.xlsx&amp;sheet=U0&amp;row=651&amp;col=7&amp;number=4.91e-05&amp;sourceID=14","4.91e-05")</f>
        <v>4.91e-05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HYPERLINK("http://141.218.60.56/~jnz1568/getInfo.php?workbook=13_02.xlsx&amp;sheet=U0&amp;row=652&amp;col=6&amp;number=3.8&amp;sourceID=14","3.8")</f>
        <v>3.8</v>
      </c>
      <c r="G652" s="4" t="str">
        <f>HYPERLINK("http://141.218.60.56/~jnz1568/getInfo.php?workbook=13_02.xlsx&amp;sheet=U0&amp;row=652&amp;col=7&amp;number=4.91e-05&amp;sourceID=14","4.91e-05")</f>
        <v>4.91e-05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HYPERLINK("http://141.218.60.56/~jnz1568/getInfo.php?workbook=13_02.xlsx&amp;sheet=U0&amp;row=653&amp;col=6&amp;number=3.9&amp;sourceID=14","3.9")</f>
        <v>3.9</v>
      </c>
      <c r="G653" s="4" t="str">
        <f>HYPERLINK("http://141.218.60.56/~jnz1568/getInfo.php?workbook=13_02.xlsx&amp;sheet=U0&amp;row=653&amp;col=7&amp;number=4.91e-05&amp;sourceID=14","4.91e-05")</f>
        <v>4.91e-05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HYPERLINK("http://141.218.60.56/~jnz1568/getInfo.php?workbook=13_02.xlsx&amp;sheet=U0&amp;row=654&amp;col=6&amp;number=4&amp;sourceID=14","4")</f>
        <v>4</v>
      </c>
      <c r="G654" s="4" t="str">
        <f>HYPERLINK("http://141.218.60.56/~jnz1568/getInfo.php?workbook=13_02.xlsx&amp;sheet=U0&amp;row=654&amp;col=7&amp;number=4.91e-05&amp;sourceID=14","4.91e-05")</f>
        <v>4.91e-05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HYPERLINK("http://141.218.60.56/~jnz1568/getInfo.php?workbook=13_02.xlsx&amp;sheet=U0&amp;row=655&amp;col=6&amp;number=4.1&amp;sourceID=14","4.1")</f>
        <v>4.1</v>
      </c>
      <c r="G655" s="4" t="str">
        <f>HYPERLINK("http://141.218.60.56/~jnz1568/getInfo.php?workbook=13_02.xlsx&amp;sheet=U0&amp;row=655&amp;col=7&amp;number=4.91e-05&amp;sourceID=14","4.91e-05")</f>
        <v>4.91e-05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HYPERLINK("http://141.218.60.56/~jnz1568/getInfo.php?workbook=13_02.xlsx&amp;sheet=U0&amp;row=656&amp;col=6&amp;number=4.2&amp;sourceID=14","4.2")</f>
        <v>4.2</v>
      </c>
      <c r="G656" s="4" t="str">
        <f>HYPERLINK("http://141.218.60.56/~jnz1568/getInfo.php?workbook=13_02.xlsx&amp;sheet=U0&amp;row=656&amp;col=7&amp;number=4.91e-05&amp;sourceID=14","4.91e-05")</f>
        <v>4.91e-05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HYPERLINK("http://141.218.60.56/~jnz1568/getInfo.php?workbook=13_02.xlsx&amp;sheet=U0&amp;row=657&amp;col=6&amp;number=4.3&amp;sourceID=14","4.3")</f>
        <v>4.3</v>
      </c>
      <c r="G657" s="4" t="str">
        <f>HYPERLINK("http://141.218.60.56/~jnz1568/getInfo.php?workbook=13_02.xlsx&amp;sheet=U0&amp;row=657&amp;col=7&amp;number=4.91e-05&amp;sourceID=14","4.91e-05")</f>
        <v>4.91e-05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HYPERLINK("http://141.218.60.56/~jnz1568/getInfo.php?workbook=13_02.xlsx&amp;sheet=U0&amp;row=658&amp;col=6&amp;number=4.4&amp;sourceID=14","4.4")</f>
        <v>4.4</v>
      </c>
      <c r="G658" s="4" t="str">
        <f>HYPERLINK("http://141.218.60.56/~jnz1568/getInfo.php?workbook=13_02.xlsx&amp;sheet=U0&amp;row=658&amp;col=7&amp;number=4.91e-05&amp;sourceID=14","4.91e-05")</f>
        <v>4.91e-05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HYPERLINK("http://141.218.60.56/~jnz1568/getInfo.php?workbook=13_02.xlsx&amp;sheet=U0&amp;row=659&amp;col=6&amp;number=4.5&amp;sourceID=14","4.5")</f>
        <v>4.5</v>
      </c>
      <c r="G659" s="4" t="str">
        <f>HYPERLINK("http://141.218.60.56/~jnz1568/getInfo.php?workbook=13_02.xlsx&amp;sheet=U0&amp;row=659&amp;col=7&amp;number=4.91e-05&amp;sourceID=14","4.91e-05")</f>
        <v>4.91e-05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HYPERLINK("http://141.218.60.56/~jnz1568/getInfo.php?workbook=13_02.xlsx&amp;sheet=U0&amp;row=660&amp;col=6&amp;number=4.6&amp;sourceID=14","4.6")</f>
        <v>4.6</v>
      </c>
      <c r="G660" s="4" t="str">
        <f>HYPERLINK("http://141.218.60.56/~jnz1568/getInfo.php?workbook=13_02.xlsx&amp;sheet=U0&amp;row=660&amp;col=7&amp;number=4.9e-05&amp;sourceID=14","4.9e-05")</f>
        <v>4.9e-05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HYPERLINK("http://141.218.60.56/~jnz1568/getInfo.php?workbook=13_02.xlsx&amp;sheet=U0&amp;row=661&amp;col=6&amp;number=4.7&amp;sourceID=14","4.7")</f>
        <v>4.7</v>
      </c>
      <c r="G661" s="4" t="str">
        <f>HYPERLINK("http://141.218.60.56/~jnz1568/getInfo.php?workbook=13_02.xlsx&amp;sheet=U0&amp;row=661&amp;col=7&amp;number=4.9e-05&amp;sourceID=14","4.9e-05")</f>
        <v>4.9e-05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HYPERLINK("http://141.218.60.56/~jnz1568/getInfo.php?workbook=13_02.xlsx&amp;sheet=U0&amp;row=662&amp;col=6&amp;number=4.8&amp;sourceID=14","4.8")</f>
        <v>4.8</v>
      </c>
      <c r="G662" s="4" t="str">
        <f>HYPERLINK("http://141.218.60.56/~jnz1568/getInfo.php?workbook=13_02.xlsx&amp;sheet=U0&amp;row=662&amp;col=7&amp;number=4.9e-05&amp;sourceID=14","4.9e-05")</f>
        <v>4.9e-05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HYPERLINK("http://141.218.60.56/~jnz1568/getInfo.php?workbook=13_02.xlsx&amp;sheet=U0&amp;row=663&amp;col=6&amp;number=4.9&amp;sourceID=14","4.9")</f>
        <v>4.9</v>
      </c>
      <c r="G663" s="4" t="str">
        <f>HYPERLINK("http://141.218.60.56/~jnz1568/getInfo.php?workbook=13_02.xlsx&amp;sheet=U0&amp;row=663&amp;col=7&amp;number=4.89e-05&amp;sourceID=14","4.89e-05")</f>
        <v>4.89e-05</v>
      </c>
    </row>
    <row r="664" spans="1:7">
      <c r="A664" s="3">
        <v>13</v>
      </c>
      <c r="B664" s="3">
        <v>2</v>
      </c>
      <c r="C664" s="3" t="s">
        <v>82</v>
      </c>
      <c r="D664" s="3">
        <v>5</v>
      </c>
      <c r="E664" s="3">
        <v>1</v>
      </c>
      <c r="F664" s="4" t="str">
        <f>HYPERLINK("http://141.218.60.56/~jnz1568/getInfo.php?workbook=13_02.xlsx&amp;sheet=U0&amp;row=664&amp;col=6&amp;number=3&amp;sourceID=14","3")</f>
        <v>3</v>
      </c>
      <c r="G664" s="4" t="str">
        <f>HYPERLINK("http://141.218.60.56/~jnz1568/getInfo.php?workbook=13_02.xlsx&amp;sheet=U0&amp;row=664&amp;col=7&amp;number=0.000148&amp;sourceID=14","0.000148")</f>
        <v>0.000148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HYPERLINK("http://141.218.60.56/~jnz1568/getInfo.php?workbook=13_02.xlsx&amp;sheet=U0&amp;row=665&amp;col=6&amp;number=3.1&amp;sourceID=14","3.1")</f>
        <v>3.1</v>
      </c>
      <c r="G665" s="4" t="str">
        <f>HYPERLINK("http://141.218.60.56/~jnz1568/getInfo.php?workbook=13_02.xlsx&amp;sheet=U0&amp;row=665&amp;col=7&amp;number=0.000148&amp;sourceID=14","0.000148")</f>
        <v>0.000148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HYPERLINK("http://141.218.60.56/~jnz1568/getInfo.php?workbook=13_02.xlsx&amp;sheet=U0&amp;row=666&amp;col=6&amp;number=3.2&amp;sourceID=14","3.2")</f>
        <v>3.2</v>
      </c>
      <c r="G666" s="4" t="str">
        <f>HYPERLINK("http://141.218.60.56/~jnz1568/getInfo.php?workbook=13_02.xlsx&amp;sheet=U0&amp;row=666&amp;col=7&amp;number=0.000148&amp;sourceID=14","0.000148")</f>
        <v>0.000148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HYPERLINK("http://141.218.60.56/~jnz1568/getInfo.php?workbook=13_02.xlsx&amp;sheet=U0&amp;row=667&amp;col=6&amp;number=3.3&amp;sourceID=14","3.3")</f>
        <v>3.3</v>
      </c>
      <c r="G667" s="4" t="str">
        <f>HYPERLINK("http://141.218.60.56/~jnz1568/getInfo.php?workbook=13_02.xlsx&amp;sheet=U0&amp;row=667&amp;col=7&amp;number=0.000148&amp;sourceID=14","0.000148")</f>
        <v>0.000148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HYPERLINK("http://141.218.60.56/~jnz1568/getInfo.php?workbook=13_02.xlsx&amp;sheet=U0&amp;row=668&amp;col=6&amp;number=3.4&amp;sourceID=14","3.4")</f>
        <v>3.4</v>
      </c>
      <c r="G668" s="4" t="str">
        <f>HYPERLINK("http://141.218.60.56/~jnz1568/getInfo.php?workbook=13_02.xlsx&amp;sheet=U0&amp;row=668&amp;col=7&amp;number=0.000148&amp;sourceID=14","0.000148")</f>
        <v>0.000148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HYPERLINK("http://141.218.60.56/~jnz1568/getInfo.php?workbook=13_02.xlsx&amp;sheet=U0&amp;row=669&amp;col=6&amp;number=3.5&amp;sourceID=14","3.5")</f>
        <v>3.5</v>
      </c>
      <c r="G669" s="4" t="str">
        <f>HYPERLINK("http://141.218.60.56/~jnz1568/getInfo.php?workbook=13_02.xlsx&amp;sheet=U0&amp;row=669&amp;col=7&amp;number=0.000148&amp;sourceID=14","0.000148")</f>
        <v>0.000148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HYPERLINK("http://141.218.60.56/~jnz1568/getInfo.php?workbook=13_02.xlsx&amp;sheet=U0&amp;row=670&amp;col=6&amp;number=3.6&amp;sourceID=14","3.6")</f>
        <v>3.6</v>
      </c>
      <c r="G670" s="4" t="str">
        <f>HYPERLINK("http://141.218.60.56/~jnz1568/getInfo.php?workbook=13_02.xlsx&amp;sheet=U0&amp;row=670&amp;col=7&amp;number=0.000148&amp;sourceID=14","0.000148")</f>
        <v>0.000148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HYPERLINK("http://141.218.60.56/~jnz1568/getInfo.php?workbook=13_02.xlsx&amp;sheet=U0&amp;row=671&amp;col=6&amp;number=3.7&amp;sourceID=14","3.7")</f>
        <v>3.7</v>
      </c>
      <c r="G671" s="4" t="str">
        <f>HYPERLINK("http://141.218.60.56/~jnz1568/getInfo.php?workbook=13_02.xlsx&amp;sheet=U0&amp;row=671&amp;col=7&amp;number=0.000148&amp;sourceID=14","0.000148")</f>
        <v>0.000148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HYPERLINK("http://141.218.60.56/~jnz1568/getInfo.php?workbook=13_02.xlsx&amp;sheet=U0&amp;row=672&amp;col=6&amp;number=3.8&amp;sourceID=14","3.8")</f>
        <v>3.8</v>
      </c>
      <c r="G672" s="4" t="str">
        <f>HYPERLINK("http://141.218.60.56/~jnz1568/getInfo.php?workbook=13_02.xlsx&amp;sheet=U0&amp;row=672&amp;col=7&amp;number=0.000148&amp;sourceID=14","0.000148")</f>
        <v>0.000148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HYPERLINK("http://141.218.60.56/~jnz1568/getInfo.php?workbook=13_02.xlsx&amp;sheet=U0&amp;row=673&amp;col=6&amp;number=3.9&amp;sourceID=14","3.9")</f>
        <v>3.9</v>
      </c>
      <c r="G673" s="4" t="str">
        <f>HYPERLINK("http://141.218.60.56/~jnz1568/getInfo.php?workbook=13_02.xlsx&amp;sheet=U0&amp;row=673&amp;col=7&amp;number=0.000148&amp;sourceID=14","0.000148")</f>
        <v>0.000148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HYPERLINK("http://141.218.60.56/~jnz1568/getInfo.php?workbook=13_02.xlsx&amp;sheet=U0&amp;row=674&amp;col=6&amp;number=4&amp;sourceID=14","4")</f>
        <v>4</v>
      </c>
      <c r="G674" s="4" t="str">
        <f>HYPERLINK("http://141.218.60.56/~jnz1568/getInfo.php?workbook=13_02.xlsx&amp;sheet=U0&amp;row=674&amp;col=7&amp;number=0.000148&amp;sourceID=14","0.000148")</f>
        <v>0.000148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HYPERLINK("http://141.218.60.56/~jnz1568/getInfo.php?workbook=13_02.xlsx&amp;sheet=U0&amp;row=675&amp;col=6&amp;number=4.1&amp;sourceID=14","4.1")</f>
        <v>4.1</v>
      </c>
      <c r="G675" s="4" t="str">
        <f>HYPERLINK("http://141.218.60.56/~jnz1568/getInfo.php?workbook=13_02.xlsx&amp;sheet=U0&amp;row=675&amp;col=7&amp;number=0.000148&amp;sourceID=14","0.000148")</f>
        <v>0.000148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HYPERLINK("http://141.218.60.56/~jnz1568/getInfo.php?workbook=13_02.xlsx&amp;sheet=U0&amp;row=676&amp;col=6&amp;number=4.2&amp;sourceID=14","4.2")</f>
        <v>4.2</v>
      </c>
      <c r="G676" s="4" t="str">
        <f>HYPERLINK("http://141.218.60.56/~jnz1568/getInfo.php?workbook=13_02.xlsx&amp;sheet=U0&amp;row=676&amp;col=7&amp;number=0.000148&amp;sourceID=14","0.000148")</f>
        <v>0.000148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HYPERLINK("http://141.218.60.56/~jnz1568/getInfo.php?workbook=13_02.xlsx&amp;sheet=U0&amp;row=677&amp;col=6&amp;number=4.3&amp;sourceID=14","4.3")</f>
        <v>4.3</v>
      </c>
      <c r="G677" s="4" t="str">
        <f>HYPERLINK("http://141.218.60.56/~jnz1568/getInfo.php?workbook=13_02.xlsx&amp;sheet=U0&amp;row=677&amp;col=7&amp;number=0.000148&amp;sourceID=14","0.000148")</f>
        <v>0.000148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HYPERLINK("http://141.218.60.56/~jnz1568/getInfo.php?workbook=13_02.xlsx&amp;sheet=U0&amp;row=678&amp;col=6&amp;number=4.4&amp;sourceID=14","4.4")</f>
        <v>4.4</v>
      </c>
      <c r="G678" s="4" t="str">
        <f>HYPERLINK("http://141.218.60.56/~jnz1568/getInfo.php?workbook=13_02.xlsx&amp;sheet=U0&amp;row=678&amp;col=7&amp;number=0.000148&amp;sourceID=14","0.000148")</f>
        <v>0.000148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HYPERLINK("http://141.218.60.56/~jnz1568/getInfo.php?workbook=13_02.xlsx&amp;sheet=U0&amp;row=679&amp;col=6&amp;number=4.5&amp;sourceID=14","4.5")</f>
        <v>4.5</v>
      </c>
      <c r="G679" s="4" t="str">
        <f>HYPERLINK("http://141.218.60.56/~jnz1568/getInfo.php?workbook=13_02.xlsx&amp;sheet=U0&amp;row=679&amp;col=7&amp;number=0.000148&amp;sourceID=14","0.000148")</f>
        <v>0.000148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HYPERLINK("http://141.218.60.56/~jnz1568/getInfo.php?workbook=13_02.xlsx&amp;sheet=U0&amp;row=680&amp;col=6&amp;number=4.6&amp;sourceID=14","4.6")</f>
        <v>4.6</v>
      </c>
      <c r="G680" s="4" t="str">
        <f>HYPERLINK("http://141.218.60.56/~jnz1568/getInfo.php?workbook=13_02.xlsx&amp;sheet=U0&amp;row=680&amp;col=7&amp;number=0.000148&amp;sourceID=14","0.000148")</f>
        <v>0.000148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HYPERLINK("http://141.218.60.56/~jnz1568/getInfo.php?workbook=13_02.xlsx&amp;sheet=U0&amp;row=681&amp;col=6&amp;number=4.7&amp;sourceID=14","4.7")</f>
        <v>4.7</v>
      </c>
      <c r="G681" s="4" t="str">
        <f>HYPERLINK("http://141.218.60.56/~jnz1568/getInfo.php?workbook=13_02.xlsx&amp;sheet=U0&amp;row=681&amp;col=7&amp;number=0.000148&amp;sourceID=14","0.000148")</f>
        <v>0.000148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HYPERLINK("http://141.218.60.56/~jnz1568/getInfo.php?workbook=13_02.xlsx&amp;sheet=U0&amp;row=682&amp;col=6&amp;number=4.8&amp;sourceID=14","4.8")</f>
        <v>4.8</v>
      </c>
      <c r="G682" s="4" t="str">
        <f>HYPERLINK("http://141.218.60.56/~jnz1568/getInfo.php?workbook=13_02.xlsx&amp;sheet=U0&amp;row=682&amp;col=7&amp;number=0.000148&amp;sourceID=14","0.000148")</f>
        <v>0.000148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HYPERLINK("http://141.218.60.56/~jnz1568/getInfo.php?workbook=13_02.xlsx&amp;sheet=U0&amp;row=683&amp;col=6&amp;number=4.9&amp;sourceID=14","4.9")</f>
        <v>4.9</v>
      </c>
      <c r="G683" s="4" t="str">
        <f>HYPERLINK("http://141.218.60.56/~jnz1568/getInfo.php?workbook=13_02.xlsx&amp;sheet=U0&amp;row=683&amp;col=7&amp;number=0.000148&amp;sourceID=14","0.000148")</f>
        <v>0.000148</v>
      </c>
    </row>
    <row r="684" spans="1:7">
      <c r="A684" s="3">
        <v>13</v>
      </c>
      <c r="B684" s="3">
        <v>2</v>
      </c>
      <c r="C684" s="3" t="s">
        <v>82</v>
      </c>
      <c r="D684" s="3">
        <v>6</v>
      </c>
      <c r="E684" s="3">
        <v>1</v>
      </c>
      <c r="F684" s="4" t="str">
        <f>HYPERLINK("http://141.218.60.56/~jnz1568/getInfo.php?workbook=13_02.xlsx&amp;sheet=U0&amp;row=684&amp;col=6&amp;number=3&amp;sourceID=14","3")</f>
        <v>3</v>
      </c>
      <c r="G684" s="4" t="str">
        <f>HYPERLINK("http://141.218.60.56/~jnz1568/getInfo.php?workbook=13_02.xlsx&amp;sheet=U0&amp;row=684&amp;col=7&amp;number=0.000344&amp;sourceID=14","0.000344")</f>
        <v>0.000344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HYPERLINK("http://141.218.60.56/~jnz1568/getInfo.php?workbook=13_02.xlsx&amp;sheet=U0&amp;row=685&amp;col=6&amp;number=3.1&amp;sourceID=14","3.1")</f>
        <v>3.1</v>
      </c>
      <c r="G685" s="4" t="str">
        <f>HYPERLINK("http://141.218.60.56/~jnz1568/getInfo.php?workbook=13_02.xlsx&amp;sheet=U0&amp;row=685&amp;col=7&amp;number=0.000344&amp;sourceID=14","0.000344")</f>
        <v>0.000344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HYPERLINK("http://141.218.60.56/~jnz1568/getInfo.php?workbook=13_02.xlsx&amp;sheet=U0&amp;row=686&amp;col=6&amp;number=3.2&amp;sourceID=14","3.2")</f>
        <v>3.2</v>
      </c>
      <c r="G686" s="4" t="str">
        <f>HYPERLINK("http://141.218.60.56/~jnz1568/getInfo.php?workbook=13_02.xlsx&amp;sheet=U0&amp;row=686&amp;col=7&amp;number=0.000344&amp;sourceID=14","0.000344")</f>
        <v>0.000344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HYPERLINK("http://141.218.60.56/~jnz1568/getInfo.php?workbook=13_02.xlsx&amp;sheet=U0&amp;row=687&amp;col=6&amp;number=3.3&amp;sourceID=14","3.3")</f>
        <v>3.3</v>
      </c>
      <c r="G687" s="4" t="str">
        <f>HYPERLINK("http://141.218.60.56/~jnz1568/getInfo.php?workbook=13_02.xlsx&amp;sheet=U0&amp;row=687&amp;col=7&amp;number=0.000344&amp;sourceID=14","0.000344")</f>
        <v>0.000344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HYPERLINK("http://141.218.60.56/~jnz1568/getInfo.php?workbook=13_02.xlsx&amp;sheet=U0&amp;row=688&amp;col=6&amp;number=3.4&amp;sourceID=14","3.4")</f>
        <v>3.4</v>
      </c>
      <c r="G688" s="4" t="str">
        <f>HYPERLINK("http://141.218.60.56/~jnz1568/getInfo.php?workbook=13_02.xlsx&amp;sheet=U0&amp;row=688&amp;col=7&amp;number=0.000344&amp;sourceID=14","0.000344")</f>
        <v>0.000344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HYPERLINK("http://141.218.60.56/~jnz1568/getInfo.php?workbook=13_02.xlsx&amp;sheet=U0&amp;row=689&amp;col=6&amp;number=3.5&amp;sourceID=14","3.5")</f>
        <v>3.5</v>
      </c>
      <c r="G689" s="4" t="str">
        <f>HYPERLINK("http://141.218.60.56/~jnz1568/getInfo.php?workbook=13_02.xlsx&amp;sheet=U0&amp;row=689&amp;col=7&amp;number=0.000344&amp;sourceID=14","0.000344")</f>
        <v>0.000344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HYPERLINK("http://141.218.60.56/~jnz1568/getInfo.php?workbook=13_02.xlsx&amp;sheet=U0&amp;row=690&amp;col=6&amp;number=3.6&amp;sourceID=14","3.6")</f>
        <v>3.6</v>
      </c>
      <c r="G690" s="4" t="str">
        <f>HYPERLINK("http://141.218.60.56/~jnz1568/getInfo.php?workbook=13_02.xlsx&amp;sheet=U0&amp;row=690&amp;col=7&amp;number=0.000344&amp;sourceID=14","0.000344")</f>
        <v>0.000344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HYPERLINK("http://141.218.60.56/~jnz1568/getInfo.php?workbook=13_02.xlsx&amp;sheet=U0&amp;row=691&amp;col=6&amp;number=3.7&amp;sourceID=14","3.7")</f>
        <v>3.7</v>
      </c>
      <c r="G691" s="4" t="str">
        <f>HYPERLINK("http://141.218.60.56/~jnz1568/getInfo.php?workbook=13_02.xlsx&amp;sheet=U0&amp;row=691&amp;col=7&amp;number=0.000344&amp;sourceID=14","0.000344")</f>
        <v>0.000344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HYPERLINK("http://141.218.60.56/~jnz1568/getInfo.php?workbook=13_02.xlsx&amp;sheet=U0&amp;row=692&amp;col=6&amp;number=3.8&amp;sourceID=14","3.8")</f>
        <v>3.8</v>
      </c>
      <c r="G692" s="4" t="str">
        <f>HYPERLINK("http://141.218.60.56/~jnz1568/getInfo.php?workbook=13_02.xlsx&amp;sheet=U0&amp;row=692&amp;col=7&amp;number=0.000344&amp;sourceID=14","0.000344")</f>
        <v>0.000344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HYPERLINK("http://141.218.60.56/~jnz1568/getInfo.php?workbook=13_02.xlsx&amp;sheet=U0&amp;row=693&amp;col=6&amp;number=3.9&amp;sourceID=14","3.9")</f>
        <v>3.9</v>
      </c>
      <c r="G693" s="4" t="str">
        <f>HYPERLINK("http://141.218.60.56/~jnz1568/getInfo.php?workbook=13_02.xlsx&amp;sheet=U0&amp;row=693&amp;col=7&amp;number=0.000344&amp;sourceID=14","0.000344")</f>
        <v>0.000344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HYPERLINK("http://141.218.60.56/~jnz1568/getInfo.php?workbook=13_02.xlsx&amp;sheet=U0&amp;row=694&amp;col=6&amp;number=4&amp;sourceID=14","4")</f>
        <v>4</v>
      </c>
      <c r="G694" s="4" t="str">
        <f>HYPERLINK("http://141.218.60.56/~jnz1568/getInfo.php?workbook=13_02.xlsx&amp;sheet=U0&amp;row=694&amp;col=7&amp;number=0.000344&amp;sourceID=14","0.000344")</f>
        <v>0.000344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HYPERLINK("http://141.218.60.56/~jnz1568/getInfo.php?workbook=13_02.xlsx&amp;sheet=U0&amp;row=695&amp;col=6&amp;number=4.1&amp;sourceID=14","4.1")</f>
        <v>4.1</v>
      </c>
      <c r="G695" s="4" t="str">
        <f>HYPERLINK("http://141.218.60.56/~jnz1568/getInfo.php?workbook=13_02.xlsx&amp;sheet=U0&amp;row=695&amp;col=7&amp;number=0.000344&amp;sourceID=14","0.000344")</f>
        <v>0.000344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HYPERLINK("http://141.218.60.56/~jnz1568/getInfo.php?workbook=13_02.xlsx&amp;sheet=U0&amp;row=696&amp;col=6&amp;number=4.2&amp;sourceID=14","4.2")</f>
        <v>4.2</v>
      </c>
      <c r="G696" s="4" t="str">
        <f>HYPERLINK("http://141.218.60.56/~jnz1568/getInfo.php?workbook=13_02.xlsx&amp;sheet=U0&amp;row=696&amp;col=7&amp;number=0.000344&amp;sourceID=14","0.000344")</f>
        <v>0.000344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HYPERLINK("http://141.218.60.56/~jnz1568/getInfo.php?workbook=13_02.xlsx&amp;sheet=U0&amp;row=697&amp;col=6&amp;number=4.3&amp;sourceID=14","4.3")</f>
        <v>4.3</v>
      </c>
      <c r="G697" s="4" t="str">
        <f>HYPERLINK("http://141.218.60.56/~jnz1568/getInfo.php?workbook=13_02.xlsx&amp;sheet=U0&amp;row=697&amp;col=7&amp;number=0.000344&amp;sourceID=14","0.000344")</f>
        <v>0.000344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HYPERLINK("http://141.218.60.56/~jnz1568/getInfo.php?workbook=13_02.xlsx&amp;sheet=U0&amp;row=698&amp;col=6&amp;number=4.4&amp;sourceID=14","4.4")</f>
        <v>4.4</v>
      </c>
      <c r="G698" s="4" t="str">
        <f>HYPERLINK("http://141.218.60.56/~jnz1568/getInfo.php?workbook=13_02.xlsx&amp;sheet=U0&amp;row=698&amp;col=7&amp;number=0.000344&amp;sourceID=14","0.000344")</f>
        <v>0.000344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HYPERLINK("http://141.218.60.56/~jnz1568/getInfo.php?workbook=13_02.xlsx&amp;sheet=U0&amp;row=699&amp;col=6&amp;number=4.5&amp;sourceID=14","4.5")</f>
        <v>4.5</v>
      </c>
      <c r="G699" s="4" t="str">
        <f>HYPERLINK("http://141.218.60.56/~jnz1568/getInfo.php?workbook=13_02.xlsx&amp;sheet=U0&amp;row=699&amp;col=7&amp;number=0.000344&amp;sourceID=14","0.000344")</f>
        <v>0.000344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HYPERLINK("http://141.218.60.56/~jnz1568/getInfo.php?workbook=13_02.xlsx&amp;sheet=U0&amp;row=700&amp;col=6&amp;number=4.6&amp;sourceID=14","4.6")</f>
        <v>4.6</v>
      </c>
      <c r="G700" s="4" t="str">
        <f>HYPERLINK("http://141.218.60.56/~jnz1568/getInfo.php?workbook=13_02.xlsx&amp;sheet=U0&amp;row=700&amp;col=7&amp;number=0.000343&amp;sourceID=14","0.000343")</f>
        <v>0.000343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HYPERLINK("http://141.218.60.56/~jnz1568/getInfo.php?workbook=13_02.xlsx&amp;sheet=U0&amp;row=701&amp;col=6&amp;number=4.7&amp;sourceID=14","4.7")</f>
        <v>4.7</v>
      </c>
      <c r="G701" s="4" t="str">
        <f>HYPERLINK("http://141.218.60.56/~jnz1568/getInfo.php?workbook=13_02.xlsx&amp;sheet=U0&amp;row=701&amp;col=7&amp;number=0.000343&amp;sourceID=14","0.000343")</f>
        <v>0.000343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HYPERLINK("http://141.218.60.56/~jnz1568/getInfo.php?workbook=13_02.xlsx&amp;sheet=U0&amp;row=702&amp;col=6&amp;number=4.8&amp;sourceID=14","4.8")</f>
        <v>4.8</v>
      </c>
      <c r="G702" s="4" t="str">
        <f>HYPERLINK("http://141.218.60.56/~jnz1568/getInfo.php?workbook=13_02.xlsx&amp;sheet=U0&amp;row=702&amp;col=7&amp;number=0.000343&amp;sourceID=14","0.000343")</f>
        <v>0.000343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HYPERLINK("http://141.218.60.56/~jnz1568/getInfo.php?workbook=13_02.xlsx&amp;sheet=U0&amp;row=703&amp;col=6&amp;number=4.9&amp;sourceID=14","4.9")</f>
        <v>4.9</v>
      </c>
      <c r="G703" s="4" t="str">
        <f>HYPERLINK("http://141.218.60.56/~jnz1568/getInfo.php?workbook=13_02.xlsx&amp;sheet=U0&amp;row=703&amp;col=7&amp;number=0.000343&amp;sourceID=14","0.000343")</f>
        <v>0.000343</v>
      </c>
    </row>
    <row r="704" spans="1:7">
      <c r="A704" s="3">
        <v>13</v>
      </c>
      <c r="B704" s="3">
        <v>2</v>
      </c>
      <c r="C704" s="3" t="s">
        <v>82</v>
      </c>
      <c r="D704" s="3">
        <v>7</v>
      </c>
      <c r="E704" s="3">
        <v>1</v>
      </c>
      <c r="F704" s="4" t="str">
        <f>HYPERLINK("http://141.218.60.56/~jnz1568/getInfo.php?workbook=13_02.xlsx&amp;sheet=U0&amp;row=704&amp;col=6&amp;number=3&amp;sourceID=14","3")</f>
        <v>3</v>
      </c>
      <c r="G704" s="4" t="str">
        <f>HYPERLINK("http://141.218.60.56/~jnz1568/getInfo.php?workbook=13_02.xlsx&amp;sheet=U0&amp;row=704&amp;col=7&amp;number=0.000245&amp;sourceID=14","0.000245")</f>
        <v>0.000245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HYPERLINK("http://141.218.60.56/~jnz1568/getInfo.php?workbook=13_02.xlsx&amp;sheet=U0&amp;row=705&amp;col=6&amp;number=3.1&amp;sourceID=14","3.1")</f>
        <v>3.1</v>
      </c>
      <c r="G705" s="4" t="str">
        <f>HYPERLINK("http://141.218.60.56/~jnz1568/getInfo.php?workbook=13_02.xlsx&amp;sheet=U0&amp;row=705&amp;col=7&amp;number=0.000245&amp;sourceID=14","0.000245")</f>
        <v>0.000245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HYPERLINK("http://141.218.60.56/~jnz1568/getInfo.php?workbook=13_02.xlsx&amp;sheet=U0&amp;row=706&amp;col=6&amp;number=3.2&amp;sourceID=14","3.2")</f>
        <v>3.2</v>
      </c>
      <c r="G706" s="4" t="str">
        <f>HYPERLINK("http://141.218.60.56/~jnz1568/getInfo.php?workbook=13_02.xlsx&amp;sheet=U0&amp;row=706&amp;col=7&amp;number=0.000245&amp;sourceID=14","0.000245")</f>
        <v>0.000245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HYPERLINK("http://141.218.60.56/~jnz1568/getInfo.php?workbook=13_02.xlsx&amp;sheet=U0&amp;row=707&amp;col=6&amp;number=3.3&amp;sourceID=14","3.3")</f>
        <v>3.3</v>
      </c>
      <c r="G707" s="4" t="str">
        <f>HYPERLINK("http://141.218.60.56/~jnz1568/getInfo.php?workbook=13_02.xlsx&amp;sheet=U0&amp;row=707&amp;col=7&amp;number=0.000245&amp;sourceID=14","0.000245")</f>
        <v>0.000245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HYPERLINK("http://141.218.60.56/~jnz1568/getInfo.php?workbook=13_02.xlsx&amp;sheet=U0&amp;row=708&amp;col=6&amp;number=3.4&amp;sourceID=14","3.4")</f>
        <v>3.4</v>
      </c>
      <c r="G708" s="4" t="str">
        <f>HYPERLINK("http://141.218.60.56/~jnz1568/getInfo.php?workbook=13_02.xlsx&amp;sheet=U0&amp;row=708&amp;col=7&amp;number=0.000245&amp;sourceID=14","0.000245")</f>
        <v>0.000245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HYPERLINK("http://141.218.60.56/~jnz1568/getInfo.php?workbook=13_02.xlsx&amp;sheet=U0&amp;row=709&amp;col=6&amp;number=3.5&amp;sourceID=14","3.5")</f>
        <v>3.5</v>
      </c>
      <c r="G709" s="4" t="str">
        <f>HYPERLINK("http://141.218.60.56/~jnz1568/getInfo.php?workbook=13_02.xlsx&amp;sheet=U0&amp;row=709&amp;col=7&amp;number=0.000245&amp;sourceID=14","0.000245")</f>
        <v>0.000245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HYPERLINK("http://141.218.60.56/~jnz1568/getInfo.php?workbook=13_02.xlsx&amp;sheet=U0&amp;row=710&amp;col=6&amp;number=3.6&amp;sourceID=14","3.6")</f>
        <v>3.6</v>
      </c>
      <c r="G710" s="4" t="str">
        <f>HYPERLINK("http://141.218.60.56/~jnz1568/getInfo.php?workbook=13_02.xlsx&amp;sheet=U0&amp;row=710&amp;col=7&amp;number=0.000245&amp;sourceID=14","0.000245")</f>
        <v>0.000245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HYPERLINK("http://141.218.60.56/~jnz1568/getInfo.php?workbook=13_02.xlsx&amp;sheet=U0&amp;row=711&amp;col=6&amp;number=3.7&amp;sourceID=14","3.7")</f>
        <v>3.7</v>
      </c>
      <c r="G711" s="4" t="str">
        <f>HYPERLINK("http://141.218.60.56/~jnz1568/getInfo.php?workbook=13_02.xlsx&amp;sheet=U0&amp;row=711&amp;col=7&amp;number=0.000245&amp;sourceID=14","0.000245")</f>
        <v>0.000245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HYPERLINK("http://141.218.60.56/~jnz1568/getInfo.php?workbook=13_02.xlsx&amp;sheet=U0&amp;row=712&amp;col=6&amp;number=3.8&amp;sourceID=14","3.8")</f>
        <v>3.8</v>
      </c>
      <c r="G712" s="4" t="str">
        <f>HYPERLINK("http://141.218.60.56/~jnz1568/getInfo.php?workbook=13_02.xlsx&amp;sheet=U0&amp;row=712&amp;col=7&amp;number=0.000245&amp;sourceID=14","0.000245")</f>
        <v>0.000245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HYPERLINK("http://141.218.60.56/~jnz1568/getInfo.php?workbook=13_02.xlsx&amp;sheet=U0&amp;row=713&amp;col=6&amp;number=3.9&amp;sourceID=14","3.9")</f>
        <v>3.9</v>
      </c>
      <c r="G713" s="4" t="str">
        <f>HYPERLINK("http://141.218.60.56/~jnz1568/getInfo.php?workbook=13_02.xlsx&amp;sheet=U0&amp;row=713&amp;col=7&amp;number=0.000245&amp;sourceID=14","0.000245")</f>
        <v>0.000245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HYPERLINK("http://141.218.60.56/~jnz1568/getInfo.php?workbook=13_02.xlsx&amp;sheet=U0&amp;row=714&amp;col=6&amp;number=4&amp;sourceID=14","4")</f>
        <v>4</v>
      </c>
      <c r="G714" s="4" t="str">
        <f>HYPERLINK("http://141.218.60.56/~jnz1568/getInfo.php?workbook=13_02.xlsx&amp;sheet=U0&amp;row=714&amp;col=7&amp;number=0.000245&amp;sourceID=14","0.000245")</f>
        <v>0.000245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HYPERLINK("http://141.218.60.56/~jnz1568/getInfo.php?workbook=13_02.xlsx&amp;sheet=U0&amp;row=715&amp;col=6&amp;number=4.1&amp;sourceID=14","4.1")</f>
        <v>4.1</v>
      </c>
      <c r="G715" s="4" t="str">
        <f>HYPERLINK("http://141.218.60.56/~jnz1568/getInfo.php?workbook=13_02.xlsx&amp;sheet=U0&amp;row=715&amp;col=7&amp;number=0.000245&amp;sourceID=14","0.000245")</f>
        <v>0.000245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HYPERLINK("http://141.218.60.56/~jnz1568/getInfo.php?workbook=13_02.xlsx&amp;sheet=U0&amp;row=716&amp;col=6&amp;number=4.2&amp;sourceID=14","4.2")</f>
        <v>4.2</v>
      </c>
      <c r="G716" s="4" t="str">
        <f>HYPERLINK("http://141.218.60.56/~jnz1568/getInfo.php?workbook=13_02.xlsx&amp;sheet=U0&amp;row=716&amp;col=7&amp;number=0.000245&amp;sourceID=14","0.000245")</f>
        <v>0.000245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HYPERLINK("http://141.218.60.56/~jnz1568/getInfo.php?workbook=13_02.xlsx&amp;sheet=U0&amp;row=717&amp;col=6&amp;number=4.3&amp;sourceID=14","4.3")</f>
        <v>4.3</v>
      </c>
      <c r="G717" s="4" t="str">
        <f>HYPERLINK("http://141.218.60.56/~jnz1568/getInfo.php?workbook=13_02.xlsx&amp;sheet=U0&amp;row=717&amp;col=7&amp;number=0.000245&amp;sourceID=14","0.000245")</f>
        <v>0.000245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HYPERLINK("http://141.218.60.56/~jnz1568/getInfo.php?workbook=13_02.xlsx&amp;sheet=U0&amp;row=718&amp;col=6&amp;number=4.4&amp;sourceID=14","4.4")</f>
        <v>4.4</v>
      </c>
      <c r="G718" s="4" t="str">
        <f>HYPERLINK("http://141.218.60.56/~jnz1568/getInfo.php?workbook=13_02.xlsx&amp;sheet=U0&amp;row=718&amp;col=7&amp;number=0.000245&amp;sourceID=14","0.000245")</f>
        <v>0.000245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HYPERLINK("http://141.218.60.56/~jnz1568/getInfo.php?workbook=13_02.xlsx&amp;sheet=U0&amp;row=719&amp;col=6&amp;number=4.5&amp;sourceID=14","4.5")</f>
        <v>4.5</v>
      </c>
      <c r="G719" s="4" t="str">
        <f>HYPERLINK("http://141.218.60.56/~jnz1568/getInfo.php?workbook=13_02.xlsx&amp;sheet=U0&amp;row=719&amp;col=7&amp;number=0.000245&amp;sourceID=14","0.000245")</f>
        <v>0.000245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HYPERLINK("http://141.218.60.56/~jnz1568/getInfo.php?workbook=13_02.xlsx&amp;sheet=U0&amp;row=720&amp;col=6&amp;number=4.6&amp;sourceID=14","4.6")</f>
        <v>4.6</v>
      </c>
      <c r="G720" s="4" t="str">
        <f>HYPERLINK("http://141.218.60.56/~jnz1568/getInfo.php?workbook=13_02.xlsx&amp;sheet=U0&amp;row=720&amp;col=7&amp;number=0.000246&amp;sourceID=14","0.000246")</f>
        <v>0.000246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HYPERLINK("http://141.218.60.56/~jnz1568/getInfo.php?workbook=13_02.xlsx&amp;sheet=U0&amp;row=721&amp;col=6&amp;number=4.7&amp;sourceID=14","4.7")</f>
        <v>4.7</v>
      </c>
      <c r="G721" s="4" t="str">
        <f>HYPERLINK("http://141.218.60.56/~jnz1568/getInfo.php?workbook=13_02.xlsx&amp;sheet=U0&amp;row=721&amp;col=7&amp;number=0.000246&amp;sourceID=14","0.000246")</f>
        <v>0.000246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HYPERLINK("http://141.218.60.56/~jnz1568/getInfo.php?workbook=13_02.xlsx&amp;sheet=U0&amp;row=722&amp;col=6&amp;number=4.8&amp;sourceID=14","4.8")</f>
        <v>4.8</v>
      </c>
      <c r="G722" s="4" t="str">
        <f>HYPERLINK("http://141.218.60.56/~jnz1568/getInfo.php?workbook=13_02.xlsx&amp;sheet=U0&amp;row=722&amp;col=7&amp;number=0.000246&amp;sourceID=14","0.000246")</f>
        <v>0.000246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HYPERLINK("http://141.218.60.56/~jnz1568/getInfo.php?workbook=13_02.xlsx&amp;sheet=U0&amp;row=723&amp;col=6&amp;number=4.9&amp;sourceID=14","4.9")</f>
        <v>4.9</v>
      </c>
      <c r="G723" s="4" t="str">
        <f>HYPERLINK("http://141.218.60.56/~jnz1568/getInfo.php?workbook=13_02.xlsx&amp;sheet=U0&amp;row=723&amp;col=7&amp;number=0.000247&amp;sourceID=14","0.000247")</f>
        <v>0.000247</v>
      </c>
    </row>
    <row r="724" spans="1:7">
      <c r="A724" s="3">
        <v>13</v>
      </c>
      <c r="B724" s="3">
        <v>2</v>
      </c>
      <c r="C724" s="3" t="s">
        <v>82</v>
      </c>
      <c r="D724" s="3">
        <v>8</v>
      </c>
      <c r="E724" s="3">
        <v>1</v>
      </c>
      <c r="F724" s="4" t="str">
        <f>HYPERLINK("http://141.218.60.56/~jnz1568/getInfo.php?workbook=13_02.xlsx&amp;sheet=U0&amp;row=724&amp;col=6&amp;number=3&amp;sourceID=14","3")</f>
        <v>3</v>
      </c>
      <c r="G724" s="4" t="str">
        <f>HYPERLINK("http://141.218.60.56/~jnz1568/getInfo.php?workbook=13_02.xlsx&amp;sheet=U0&amp;row=724&amp;col=7&amp;number=2.83e-05&amp;sourceID=14","2.83e-05")</f>
        <v>2.83e-05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HYPERLINK("http://141.218.60.56/~jnz1568/getInfo.php?workbook=13_02.xlsx&amp;sheet=U0&amp;row=725&amp;col=6&amp;number=3.1&amp;sourceID=14","3.1")</f>
        <v>3.1</v>
      </c>
      <c r="G725" s="4" t="str">
        <f>HYPERLINK("http://141.218.60.56/~jnz1568/getInfo.php?workbook=13_02.xlsx&amp;sheet=U0&amp;row=725&amp;col=7&amp;number=2.83e-05&amp;sourceID=14","2.83e-05")</f>
        <v>2.83e-05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HYPERLINK("http://141.218.60.56/~jnz1568/getInfo.php?workbook=13_02.xlsx&amp;sheet=U0&amp;row=726&amp;col=6&amp;number=3.2&amp;sourceID=14","3.2")</f>
        <v>3.2</v>
      </c>
      <c r="G726" s="4" t="str">
        <f>HYPERLINK("http://141.218.60.56/~jnz1568/getInfo.php?workbook=13_02.xlsx&amp;sheet=U0&amp;row=726&amp;col=7&amp;number=2.83e-05&amp;sourceID=14","2.83e-05")</f>
        <v>2.83e-05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HYPERLINK("http://141.218.60.56/~jnz1568/getInfo.php?workbook=13_02.xlsx&amp;sheet=U0&amp;row=727&amp;col=6&amp;number=3.3&amp;sourceID=14","3.3")</f>
        <v>3.3</v>
      </c>
      <c r="G727" s="4" t="str">
        <f>HYPERLINK("http://141.218.60.56/~jnz1568/getInfo.php?workbook=13_02.xlsx&amp;sheet=U0&amp;row=727&amp;col=7&amp;number=2.83e-05&amp;sourceID=14","2.83e-05")</f>
        <v>2.83e-05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HYPERLINK("http://141.218.60.56/~jnz1568/getInfo.php?workbook=13_02.xlsx&amp;sheet=U0&amp;row=728&amp;col=6&amp;number=3.4&amp;sourceID=14","3.4")</f>
        <v>3.4</v>
      </c>
      <c r="G728" s="4" t="str">
        <f>HYPERLINK("http://141.218.60.56/~jnz1568/getInfo.php?workbook=13_02.xlsx&amp;sheet=U0&amp;row=728&amp;col=7&amp;number=2.83e-05&amp;sourceID=14","2.83e-05")</f>
        <v>2.83e-05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HYPERLINK("http://141.218.60.56/~jnz1568/getInfo.php?workbook=13_02.xlsx&amp;sheet=U0&amp;row=729&amp;col=6&amp;number=3.5&amp;sourceID=14","3.5")</f>
        <v>3.5</v>
      </c>
      <c r="G729" s="4" t="str">
        <f>HYPERLINK("http://141.218.60.56/~jnz1568/getInfo.php?workbook=13_02.xlsx&amp;sheet=U0&amp;row=729&amp;col=7&amp;number=2.83e-05&amp;sourceID=14","2.83e-05")</f>
        <v>2.83e-05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HYPERLINK("http://141.218.60.56/~jnz1568/getInfo.php?workbook=13_02.xlsx&amp;sheet=U0&amp;row=730&amp;col=6&amp;number=3.6&amp;sourceID=14","3.6")</f>
        <v>3.6</v>
      </c>
      <c r="G730" s="4" t="str">
        <f>HYPERLINK("http://141.218.60.56/~jnz1568/getInfo.php?workbook=13_02.xlsx&amp;sheet=U0&amp;row=730&amp;col=7&amp;number=2.83e-05&amp;sourceID=14","2.83e-05")</f>
        <v>2.83e-05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HYPERLINK("http://141.218.60.56/~jnz1568/getInfo.php?workbook=13_02.xlsx&amp;sheet=U0&amp;row=731&amp;col=6&amp;number=3.7&amp;sourceID=14","3.7")</f>
        <v>3.7</v>
      </c>
      <c r="G731" s="4" t="str">
        <f>HYPERLINK("http://141.218.60.56/~jnz1568/getInfo.php?workbook=13_02.xlsx&amp;sheet=U0&amp;row=731&amp;col=7&amp;number=2.83e-05&amp;sourceID=14","2.83e-05")</f>
        <v>2.83e-05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HYPERLINK("http://141.218.60.56/~jnz1568/getInfo.php?workbook=13_02.xlsx&amp;sheet=U0&amp;row=732&amp;col=6&amp;number=3.8&amp;sourceID=14","3.8")</f>
        <v>3.8</v>
      </c>
      <c r="G732" s="4" t="str">
        <f>HYPERLINK("http://141.218.60.56/~jnz1568/getInfo.php?workbook=13_02.xlsx&amp;sheet=U0&amp;row=732&amp;col=7&amp;number=2.83e-05&amp;sourceID=14","2.83e-05")</f>
        <v>2.83e-05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HYPERLINK("http://141.218.60.56/~jnz1568/getInfo.php?workbook=13_02.xlsx&amp;sheet=U0&amp;row=733&amp;col=6&amp;number=3.9&amp;sourceID=14","3.9")</f>
        <v>3.9</v>
      </c>
      <c r="G733" s="4" t="str">
        <f>HYPERLINK("http://141.218.60.56/~jnz1568/getInfo.php?workbook=13_02.xlsx&amp;sheet=U0&amp;row=733&amp;col=7&amp;number=2.83e-05&amp;sourceID=14","2.83e-05")</f>
        <v>2.83e-05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HYPERLINK("http://141.218.60.56/~jnz1568/getInfo.php?workbook=13_02.xlsx&amp;sheet=U0&amp;row=734&amp;col=6&amp;number=4&amp;sourceID=14","4")</f>
        <v>4</v>
      </c>
      <c r="G734" s="4" t="str">
        <f>HYPERLINK("http://141.218.60.56/~jnz1568/getInfo.php?workbook=13_02.xlsx&amp;sheet=U0&amp;row=734&amp;col=7&amp;number=2.83e-05&amp;sourceID=14","2.83e-05")</f>
        <v>2.83e-05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HYPERLINK("http://141.218.60.56/~jnz1568/getInfo.php?workbook=13_02.xlsx&amp;sheet=U0&amp;row=735&amp;col=6&amp;number=4.1&amp;sourceID=14","4.1")</f>
        <v>4.1</v>
      </c>
      <c r="G735" s="4" t="str">
        <f>HYPERLINK("http://141.218.60.56/~jnz1568/getInfo.php?workbook=13_02.xlsx&amp;sheet=U0&amp;row=735&amp;col=7&amp;number=2.83e-05&amp;sourceID=14","2.83e-05")</f>
        <v>2.83e-05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HYPERLINK("http://141.218.60.56/~jnz1568/getInfo.php?workbook=13_02.xlsx&amp;sheet=U0&amp;row=736&amp;col=6&amp;number=4.2&amp;sourceID=14","4.2")</f>
        <v>4.2</v>
      </c>
      <c r="G736" s="4" t="str">
        <f>HYPERLINK("http://141.218.60.56/~jnz1568/getInfo.php?workbook=13_02.xlsx&amp;sheet=U0&amp;row=736&amp;col=7&amp;number=2.83e-05&amp;sourceID=14","2.83e-05")</f>
        <v>2.83e-05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HYPERLINK("http://141.218.60.56/~jnz1568/getInfo.php?workbook=13_02.xlsx&amp;sheet=U0&amp;row=737&amp;col=6&amp;number=4.3&amp;sourceID=14","4.3")</f>
        <v>4.3</v>
      </c>
      <c r="G737" s="4" t="str">
        <f>HYPERLINK("http://141.218.60.56/~jnz1568/getInfo.php?workbook=13_02.xlsx&amp;sheet=U0&amp;row=737&amp;col=7&amp;number=2.82e-05&amp;sourceID=14","2.82e-05")</f>
        <v>2.82e-05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HYPERLINK("http://141.218.60.56/~jnz1568/getInfo.php?workbook=13_02.xlsx&amp;sheet=U0&amp;row=738&amp;col=6&amp;number=4.4&amp;sourceID=14","4.4")</f>
        <v>4.4</v>
      </c>
      <c r="G738" s="4" t="str">
        <f>HYPERLINK("http://141.218.60.56/~jnz1568/getInfo.php?workbook=13_02.xlsx&amp;sheet=U0&amp;row=738&amp;col=7&amp;number=2.82e-05&amp;sourceID=14","2.82e-05")</f>
        <v>2.82e-05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HYPERLINK("http://141.218.60.56/~jnz1568/getInfo.php?workbook=13_02.xlsx&amp;sheet=U0&amp;row=739&amp;col=6&amp;number=4.5&amp;sourceID=14","4.5")</f>
        <v>4.5</v>
      </c>
      <c r="G739" s="4" t="str">
        <f>HYPERLINK("http://141.218.60.56/~jnz1568/getInfo.php?workbook=13_02.xlsx&amp;sheet=U0&amp;row=739&amp;col=7&amp;number=2.82e-05&amp;sourceID=14","2.82e-05")</f>
        <v>2.82e-05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HYPERLINK("http://141.218.60.56/~jnz1568/getInfo.php?workbook=13_02.xlsx&amp;sheet=U0&amp;row=740&amp;col=6&amp;number=4.6&amp;sourceID=14","4.6")</f>
        <v>4.6</v>
      </c>
      <c r="G740" s="4" t="str">
        <f>HYPERLINK("http://141.218.60.56/~jnz1568/getInfo.php?workbook=13_02.xlsx&amp;sheet=U0&amp;row=740&amp;col=7&amp;number=2.82e-05&amp;sourceID=14","2.82e-05")</f>
        <v>2.82e-05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HYPERLINK("http://141.218.60.56/~jnz1568/getInfo.php?workbook=13_02.xlsx&amp;sheet=U0&amp;row=741&amp;col=6&amp;number=4.7&amp;sourceID=14","4.7")</f>
        <v>4.7</v>
      </c>
      <c r="G741" s="4" t="str">
        <f>HYPERLINK("http://141.218.60.56/~jnz1568/getInfo.php?workbook=13_02.xlsx&amp;sheet=U0&amp;row=741&amp;col=7&amp;number=2.82e-05&amp;sourceID=14","2.82e-05")</f>
        <v>2.82e-05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HYPERLINK("http://141.218.60.56/~jnz1568/getInfo.php?workbook=13_02.xlsx&amp;sheet=U0&amp;row=742&amp;col=6&amp;number=4.8&amp;sourceID=14","4.8")</f>
        <v>4.8</v>
      </c>
      <c r="G742" s="4" t="str">
        <f>HYPERLINK("http://141.218.60.56/~jnz1568/getInfo.php?workbook=13_02.xlsx&amp;sheet=U0&amp;row=742&amp;col=7&amp;number=2.82e-05&amp;sourceID=14","2.82e-05")</f>
        <v>2.82e-05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HYPERLINK("http://141.218.60.56/~jnz1568/getInfo.php?workbook=13_02.xlsx&amp;sheet=U0&amp;row=743&amp;col=6&amp;number=4.9&amp;sourceID=14","4.9")</f>
        <v>4.9</v>
      </c>
      <c r="G743" s="4" t="str">
        <f>HYPERLINK("http://141.218.60.56/~jnz1568/getInfo.php?workbook=13_02.xlsx&amp;sheet=U0&amp;row=743&amp;col=7&amp;number=2.81e-05&amp;sourceID=14","2.81e-05")</f>
        <v>2.81e-05</v>
      </c>
    </row>
    <row r="744" spans="1:7">
      <c r="A744" s="3">
        <v>13</v>
      </c>
      <c r="B744" s="3">
        <v>2</v>
      </c>
      <c r="C744" s="3" t="s">
        <v>82</v>
      </c>
      <c r="D744" s="3">
        <v>9</v>
      </c>
      <c r="E744" s="3">
        <v>1</v>
      </c>
      <c r="F744" s="4" t="str">
        <f>HYPERLINK("http://141.218.60.56/~jnz1568/getInfo.php?workbook=13_02.xlsx&amp;sheet=U0&amp;row=744&amp;col=6&amp;number=3&amp;sourceID=14","3")</f>
        <v>3</v>
      </c>
      <c r="G744" s="4" t="str">
        <f>HYPERLINK("http://141.218.60.56/~jnz1568/getInfo.php?workbook=13_02.xlsx&amp;sheet=U0&amp;row=744&amp;col=7&amp;number=4.61e-05&amp;sourceID=14","4.61e-05")</f>
        <v>4.61e-05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HYPERLINK("http://141.218.60.56/~jnz1568/getInfo.php?workbook=13_02.xlsx&amp;sheet=U0&amp;row=745&amp;col=6&amp;number=3.1&amp;sourceID=14","3.1")</f>
        <v>3.1</v>
      </c>
      <c r="G745" s="4" t="str">
        <f>HYPERLINK("http://141.218.60.56/~jnz1568/getInfo.php?workbook=13_02.xlsx&amp;sheet=U0&amp;row=745&amp;col=7&amp;number=4.61e-05&amp;sourceID=14","4.61e-05")</f>
        <v>4.61e-05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HYPERLINK("http://141.218.60.56/~jnz1568/getInfo.php?workbook=13_02.xlsx&amp;sheet=U0&amp;row=746&amp;col=6&amp;number=3.2&amp;sourceID=14","3.2")</f>
        <v>3.2</v>
      </c>
      <c r="G746" s="4" t="str">
        <f>HYPERLINK("http://141.218.60.56/~jnz1568/getInfo.php?workbook=13_02.xlsx&amp;sheet=U0&amp;row=746&amp;col=7&amp;number=4.61e-05&amp;sourceID=14","4.61e-05")</f>
        <v>4.61e-05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HYPERLINK("http://141.218.60.56/~jnz1568/getInfo.php?workbook=13_02.xlsx&amp;sheet=U0&amp;row=747&amp;col=6&amp;number=3.3&amp;sourceID=14","3.3")</f>
        <v>3.3</v>
      </c>
      <c r="G747" s="4" t="str">
        <f>HYPERLINK("http://141.218.60.56/~jnz1568/getInfo.php?workbook=13_02.xlsx&amp;sheet=U0&amp;row=747&amp;col=7&amp;number=4.61e-05&amp;sourceID=14","4.61e-05")</f>
        <v>4.61e-05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HYPERLINK("http://141.218.60.56/~jnz1568/getInfo.php?workbook=13_02.xlsx&amp;sheet=U0&amp;row=748&amp;col=6&amp;number=3.4&amp;sourceID=14","3.4")</f>
        <v>3.4</v>
      </c>
      <c r="G748" s="4" t="str">
        <f>HYPERLINK("http://141.218.60.56/~jnz1568/getInfo.php?workbook=13_02.xlsx&amp;sheet=U0&amp;row=748&amp;col=7&amp;number=4.61e-05&amp;sourceID=14","4.61e-05")</f>
        <v>4.61e-05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HYPERLINK("http://141.218.60.56/~jnz1568/getInfo.php?workbook=13_02.xlsx&amp;sheet=U0&amp;row=749&amp;col=6&amp;number=3.5&amp;sourceID=14","3.5")</f>
        <v>3.5</v>
      </c>
      <c r="G749" s="4" t="str">
        <f>HYPERLINK("http://141.218.60.56/~jnz1568/getInfo.php?workbook=13_02.xlsx&amp;sheet=U0&amp;row=749&amp;col=7&amp;number=4.61e-05&amp;sourceID=14","4.61e-05")</f>
        <v>4.61e-05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HYPERLINK("http://141.218.60.56/~jnz1568/getInfo.php?workbook=13_02.xlsx&amp;sheet=U0&amp;row=750&amp;col=6&amp;number=3.6&amp;sourceID=14","3.6")</f>
        <v>3.6</v>
      </c>
      <c r="G750" s="4" t="str">
        <f>HYPERLINK("http://141.218.60.56/~jnz1568/getInfo.php?workbook=13_02.xlsx&amp;sheet=U0&amp;row=750&amp;col=7&amp;number=4.61e-05&amp;sourceID=14","4.61e-05")</f>
        <v>4.61e-05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HYPERLINK("http://141.218.60.56/~jnz1568/getInfo.php?workbook=13_02.xlsx&amp;sheet=U0&amp;row=751&amp;col=6&amp;number=3.7&amp;sourceID=14","3.7")</f>
        <v>3.7</v>
      </c>
      <c r="G751" s="4" t="str">
        <f>HYPERLINK("http://141.218.60.56/~jnz1568/getInfo.php?workbook=13_02.xlsx&amp;sheet=U0&amp;row=751&amp;col=7&amp;number=4.61e-05&amp;sourceID=14","4.61e-05")</f>
        <v>4.61e-05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HYPERLINK("http://141.218.60.56/~jnz1568/getInfo.php?workbook=13_02.xlsx&amp;sheet=U0&amp;row=752&amp;col=6&amp;number=3.8&amp;sourceID=14","3.8")</f>
        <v>3.8</v>
      </c>
      <c r="G752" s="4" t="str">
        <f>HYPERLINK("http://141.218.60.56/~jnz1568/getInfo.php?workbook=13_02.xlsx&amp;sheet=U0&amp;row=752&amp;col=7&amp;number=4.6e-05&amp;sourceID=14","4.6e-05")</f>
        <v>4.6e-05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HYPERLINK("http://141.218.60.56/~jnz1568/getInfo.php?workbook=13_02.xlsx&amp;sheet=U0&amp;row=753&amp;col=6&amp;number=3.9&amp;sourceID=14","3.9")</f>
        <v>3.9</v>
      </c>
      <c r="G753" s="4" t="str">
        <f>HYPERLINK("http://141.218.60.56/~jnz1568/getInfo.php?workbook=13_02.xlsx&amp;sheet=U0&amp;row=753&amp;col=7&amp;number=4.6e-05&amp;sourceID=14","4.6e-05")</f>
        <v>4.6e-05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HYPERLINK("http://141.218.60.56/~jnz1568/getInfo.php?workbook=13_02.xlsx&amp;sheet=U0&amp;row=754&amp;col=6&amp;number=4&amp;sourceID=14","4")</f>
        <v>4</v>
      </c>
      <c r="G754" s="4" t="str">
        <f>HYPERLINK("http://141.218.60.56/~jnz1568/getInfo.php?workbook=13_02.xlsx&amp;sheet=U0&amp;row=754&amp;col=7&amp;number=4.6e-05&amp;sourceID=14","4.6e-05")</f>
        <v>4.6e-05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HYPERLINK("http://141.218.60.56/~jnz1568/getInfo.php?workbook=13_02.xlsx&amp;sheet=U0&amp;row=755&amp;col=6&amp;number=4.1&amp;sourceID=14","4.1")</f>
        <v>4.1</v>
      </c>
      <c r="G755" s="4" t="str">
        <f>HYPERLINK("http://141.218.60.56/~jnz1568/getInfo.php?workbook=13_02.xlsx&amp;sheet=U0&amp;row=755&amp;col=7&amp;number=4.6e-05&amp;sourceID=14","4.6e-05")</f>
        <v>4.6e-05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HYPERLINK("http://141.218.60.56/~jnz1568/getInfo.php?workbook=13_02.xlsx&amp;sheet=U0&amp;row=756&amp;col=6&amp;number=4.2&amp;sourceID=14","4.2")</f>
        <v>4.2</v>
      </c>
      <c r="G756" s="4" t="str">
        <f>HYPERLINK("http://141.218.60.56/~jnz1568/getInfo.php?workbook=13_02.xlsx&amp;sheet=U0&amp;row=756&amp;col=7&amp;number=4.6e-05&amp;sourceID=14","4.6e-05")</f>
        <v>4.6e-05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HYPERLINK("http://141.218.60.56/~jnz1568/getInfo.php?workbook=13_02.xlsx&amp;sheet=U0&amp;row=757&amp;col=6&amp;number=4.3&amp;sourceID=14","4.3")</f>
        <v>4.3</v>
      </c>
      <c r="G757" s="4" t="str">
        <f>HYPERLINK("http://141.218.60.56/~jnz1568/getInfo.php?workbook=13_02.xlsx&amp;sheet=U0&amp;row=757&amp;col=7&amp;number=4.6e-05&amp;sourceID=14","4.6e-05")</f>
        <v>4.6e-05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HYPERLINK("http://141.218.60.56/~jnz1568/getInfo.php?workbook=13_02.xlsx&amp;sheet=U0&amp;row=758&amp;col=6&amp;number=4.4&amp;sourceID=14","4.4")</f>
        <v>4.4</v>
      </c>
      <c r="G758" s="4" t="str">
        <f>HYPERLINK("http://141.218.60.56/~jnz1568/getInfo.php?workbook=13_02.xlsx&amp;sheet=U0&amp;row=758&amp;col=7&amp;number=4.6e-05&amp;sourceID=14","4.6e-05")</f>
        <v>4.6e-05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HYPERLINK("http://141.218.60.56/~jnz1568/getInfo.php?workbook=13_02.xlsx&amp;sheet=U0&amp;row=759&amp;col=6&amp;number=4.5&amp;sourceID=14","4.5")</f>
        <v>4.5</v>
      </c>
      <c r="G759" s="4" t="str">
        <f>HYPERLINK("http://141.218.60.56/~jnz1568/getInfo.php?workbook=13_02.xlsx&amp;sheet=U0&amp;row=759&amp;col=7&amp;number=4.6e-05&amp;sourceID=14","4.6e-05")</f>
        <v>4.6e-05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HYPERLINK("http://141.218.60.56/~jnz1568/getInfo.php?workbook=13_02.xlsx&amp;sheet=U0&amp;row=760&amp;col=6&amp;number=4.6&amp;sourceID=14","4.6")</f>
        <v>4.6</v>
      </c>
      <c r="G760" s="4" t="str">
        <f>HYPERLINK("http://141.218.60.56/~jnz1568/getInfo.php?workbook=13_02.xlsx&amp;sheet=U0&amp;row=760&amp;col=7&amp;number=4.59e-05&amp;sourceID=14","4.59e-05")</f>
        <v>4.59e-05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HYPERLINK("http://141.218.60.56/~jnz1568/getInfo.php?workbook=13_02.xlsx&amp;sheet=U0&amp;row=761&amp;col=6&amp;number=4.7&amp;sourceID=14","4.7")</f>
        <v>4.7</v>
      </c>
      <c r="G761" s="4" t="str">
        <f>HYPERLINK("http://141.218.60.56/~jnz1568/getInfo.php?workbook=13_02.xlsx&amp;sheet=U0&amp;row=761&amp;col=7&amp;number=4.59e-05&amp;sourceID=14","4.59e-05")</f>
        <v>4.59e-05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HYPERLINK("http://141.218.60.56/~jnz1568/getInfo.php?workbook=13_02.xlsx&amp;sheet=U0&amp;row=762&amp;col=6&amp;number=4.8&amp;sourceID=14","4.8")</f>
        <v>4.8</v>
      </c>
      <c r="G762" s="4" t="str">
        <f>HYPERLINK("http://141.218.60.56/~jnz1568/getInfo.php?workbook=13_02.xlsx&amp;sheet=U0&amp;row=762&amp;col=7&amp;number=4.59e-05&amp;sourceID=14","4.59e-05")</f>
        <v>4.59e-05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HYPERLINK("http://141.218.60.56/~jnz1568/getInfo.php?workbook=13_02.xlsx&amp;sheet=U0&amp;row=763&amp;col=6&amp;number=4.9&amp;sourceID=14","4.9")</f>
        <v>4.9</v>
      </c>
      <c r="G763" s="4" t="str">
        <f>HYPERLINK("http://141.218.60.56/~jnz1568/getInfo.php?workbook=13_02.xlsx&amp;sheet=U0&amp;row=763&amp;col=7&amp;number=4.58e-05&amp;sourceID=14","4.58e-05")</f>
        <v>4.58e-05</v>
      </c>
    </row>
    <row r="764" spans="1:7">
      <c r="A764" s="3">
        <v>13</v>
      </c>
      <c r="B764" s="3">
        <v>2</v>
      </c>
      <c r="C764" s="3" t="s">
        <v>83</v>
      </c>
      <c r="D764" s="3">
        <v>0</v>
      </c>
      <c r="E764" s="3">
        <v>1</v>
      </c>
      <c r="F764" s="4" t="str">
        <f>HYPERLINK("http://141.218.60.56/~jnz1568/getInfo.php?workbook=13_02.xlsx&amp;sheet=U0&amp;row=764&amp;col=6&amp;number=3&amp;sourceID=14","3")</f>
        <v>3</v>
      </c>
      <c r="G764" s="4" t="str">
        <f>HYPERLINK("http://141.218.60.56/~jnz1568/getInfo.php?workbook=13_02.xlsx&amp;sheet=U0&amp;row=764&amp;col=7&amp;number=6.6e-05&amp;sourceID=14","6.6e-05")</f>
        <v>6.6e-05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HYPERLINK("http://141.218.60.56/~jnz1568/getInfo.php?workbook=13_02.xlsx&amp;sheet=U0&amp;row=765&amp;col=6&amp;number=3.1&amp;sourceID=14","3.1")</f>
        <v>3.1</v>
      </c>
      <c r="G765" s="4" t="str">
        <f>HYPERLINK("http://141.218.60.56/~jnz1568/getInfo.php?workbook=13_02.xlsx&amp;sheet=U0&amp;row=765&amp;col=7&amp;number=6.6e-05&amp;sourceID=14","6.6e-05")</f>
        <v>6.6e-05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HYPERLINK("http://141.218.60.56/~jnz1568/getInfo.php?workbook=13_02.xlsx&amp;sheet=U0&amp;row=766&amp;col=6&amp;number=3.2&amp;sourceID=14","3.2")</f>
        <v>3.2</v>
      </c>
      <c r="G766" s="4" t="str">
        <f>HYPERLINK("http://141.218.60.56/~jnz1568/getInfo.php?workbook=13_02.xlsx&amp;sheet=U0&amp;row=766&amp;col=7&amp;number=6.6e-05&amp;sourceID=14","6.6e-05")</f>
        <v>6.6e-05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HYPERLINK("http://141.218.60.56/~jnz1568/getInfo.php?workbook=13_02.xlsx&amp;sheet=U0&amp;row=767&amp;col=6&amp;number=3.3&amp;sourceID=14","3.3")</f>
        <v>3.3</v>
      </c>
      <c r="G767" s="4" t="str">
        <f>HYPERLINK("http://141.218.60.56/~jnz1568/getInfo.php?workbook=13_02.xlsx&amp;sheet=U0&amp;row=767&amp;col=7&amp;number=6.6e-05&amp;sourceID=14","6.6e-05")</f>
        <v>6.6e-05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HYPERLINK("http://141.218.60.56/~jnz1568/getInfo.php?workbook=13_02.xlsx&amp;sheet=U0&amp;row=768&amp;col=6&amp;number=3.4&amp;sourceID=14","3.4")</f>
        <v>3.4</v>
      </c>
      <c r="G768" s="4" t="str">
        <f>HYPERLINK("http://141.218.60.56/~jnz1568/getInfo.php?workbook=13_02.xlsx&amp;sheet=U0&amp;row=768&amp;col=7&amp;number=6.6e-05&amp;sourceID=14","6.6e-05")</f>
        <v>6.6e-05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HYPERLINK("http://141.218.60.56/~jnz1568/getInfo.php?workbook=13_02.xlsx&amp;sheet=U0&amp;row=769&amp;col=6&amp;number=3.5&amp;sourceID=14","3.5")</f>
        <v>3.5</v>
      </c>
      <c r="G769" s="4" t="str">
        <f>HYPERLINK("http://141.218.60.56/~jnz1568/getInfo.php?workbook=13_02.xlsx&amp;sheet=U0&amp;row=769&amp;col=7&amp;number=6.6e-05&amp;sourceID=14","6.6e-05")</f>
        <v>6.6e-05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HYPERLINK("http://141.218.60.56/~jnz1568/getInfo.php?workbook=13_02.xlsx&amp;sheet=U0&amp;row=770&amp;col=6&amp;number=3.6&amp;sourceID=14","3.6")</f>
        <v>3.6</v>
      </c>
      <c r="G770" s="4" t="str">
        <f>HYPERLINK("http://141.218.60.56/~jnz1568/getInfo.php?workbook=13_02.xlsx&amp;sheet=U0&amp;row=770&amp;col=7&amp;number=6.6e-05&amp;sourceID=14","6.6e-05")</f>
        <v>6.6e-05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HYPERLINK("http://141.218.60.56/~jnz1568/getInfo.php?workbook=13_02.xlsx&amp;sheet=U0&amp;row=771&amp;col=6&amp;number=3.7&amp;sourceID=14","3.7")</f>
        <v>3.7</v>
      </c>
      <c r="G771" s="4" t="str">
        <f>HYPERLINK("http://141.218.60.56/~jnz1568/getInfo.php?workbook=13_02.xlsx&amp;sheet=U0&amp;row=771&amp;col=7&amp;number=6.6e-05&amp;sourceID=14","6.6e-05")</f>
        <v>6.6e-05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HYPERLINK("http://141.218.60.56/~jnz1568/getInfo.php?workbook=13_02.xlsx&amp;sheet=U0&amp;row=772&amp;col=6&amp;number=3.8&amp;sourceID=14","3.8")</f>
        <v>3.8</v>
      </c>
      <c r="G772" s="4" t="str">
        <f>HYPERLINK("http://141.218.60.56/~jnz1568/getInfo.php?workbook=13_02.xlsx&amp;sheet=U0&amp;row=772&amp;col=7&amp;number=6.6e-05&amp;sourceID=14","6.6e-05")</f>
        <v>6.6e-05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HYPERLINK("http://141.218.60.56/~jnz1568/getInfo.php?workbook=13_02.xlsx&amp;sheet=U0&amp;row=773&amp;col=6&amp;number=3.9&amp;sourceID=14","3.9")</f>
        <v>3.9</v>
      </c>
      <c r="G773" s="4" t="str">
        <f>HYPERLINK("http://141.218.60.56/~jnz1568/getInfo.php?workbook=13_02.xlsx&amp;sheet=U0&amp;row=773&amp;col=7&amp;number=6.6e-05&amp;sourceID=14","6.6e-05")</f>
        <v>6.6e-05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HYPERLINK("http://141.218.60.56/~jnz1568/getInfo.php?workbook=13_02.xlsx&amp;sheet=U0&amp;row=774&amp;col=6&amp;number=4&amp;sourceID=14","4")</f>
        <v>4</v>
      </c>
      <c r="G774" s="4" t="str">
        <f>HYPERLINK("http://141.218.60.56/~jnz1568/getInfo.php?workbook=13_02.xlsx&amp;sheet=U0&amp;row=774&amp;col=7&amp;number=6.6e-05&amp;sourceID=14","6.6e-05")</f>
        <v>6.6e-05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HYPERLINK("http://141.218.60.56/~jnz1568/getInfo.php?workbook=13_02.xlsx&amp;sheet=U0&amp;row=775&amp;col=6&amp;number=4.1&amp;sourceID=14","4.1")</f>
        <v>4.1</v>
      </c>
      <c r="G775" s="4" t="str">
        <f>HYPERLINK("http://141.218.60.56/~jnz1568/getInfo.php?workbook=13_02.xlsx&amp;sheet=U0&amp;row=775&amp;col=7&amp;number=6.59e-05&amp;sourceID=14","6.59e-05")</f>
        <v>6.59e-05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HYPERLINK("http://141.218.60.56/~jnz1568/getInfo.php?workbook=13_02.xlsx&amp;sheet=U0&amp;row=776&amp;col=6&amp;number=4.2&amp;sourceID=14","4.2")</f>
        <v>4.2</v>
      </c>
      <c r="G776" s="4" t="str">
        <f>HYPERLINK("http://141.218.60.56/~jnz1568/getInfo.php?workbook=13_02.xlsx&amp;sheet=U0&amp;row=776&amp;col=7&amp;number=6.59e-05&amp;sourceID=14","6.59e-05")</f>
        <v>6.59e-05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HYPERLINK("http://141.218.60.56/~jnz1568/getInfo.php?workbook=13_02.xlsx&amp;sheet=U0&amp;row=777&amp;col=6&amp;number=4.3&amp;sourceID=14","4.3")</f>
        <v>4.3</v>
      </c>
      <c r="G777" s="4" t="str">
        <f>HYPERLINK("http://141.218.60.56/~jnz1568/getInfo.php?workbook=13_02.xlsx&amp;sheet=U0&amp;row=777&amp;col=7&amp;number=6.59e-05&amp;sourceID=14","6.59e-05")</f>
        <v>6.59e-05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HYPERLINK("http://141.218.60.56/~jnz1568/getInfo.php?workbook=13_02.xlsx&amp;sheet=U0&amp;row=778&amp;col=6&amp;number=4.4&amp;sourceID=14","4.4")</f>
        <v>4.4</v>
      </c>
      <c r="G778" s="4" t="str">
        <f>HYPERLINK("http://141.218.60.56/~jnz1568/getInfo.php?workbook=13_02.xlsx&amp;sheet=U0&amp;row=778&amp;col=7&amp;number=6.59e-05&amp;sourceID=14","6.59e-05")</f>
        <v>6.59e-05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HYPERLINK("http://141.218.60.56/~jnz1568/getInfo.php?workbook=13_02.xlsx&amp;sheet=U0&amp;row=779&amp;col=6&amp;number=4.5&amp;sourceID=14","4.5")</f>
        <v>4.5</v>
      </c>
      <c r="G779" s="4" t="str">
        <f>HYPERLINK("http://141.218.60.56/~jnz1568/getInfo.php?workbook=13_02.xlsx&amp;sheet=U0&amp;row=779&amp;col=7&amp;number=6.58e-05&amp;sourceID=14","6.58e-05")</f>
        <v>6.58e-05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HYPERLINK("http://141.218.60.56/~jnz1568/getInfo.php?workbook=13_02.xlsx&amp;sheet=U0&amp;row=780&amp;col=6&amp;number=4.6&amp;sourceID=14","4.6")</f>
        <v>4.6</v>
      </c>
      <c r="G780" s="4" t="str">
        <f>HYPERLINK("http://141.218.60.56/~jnz1568/getInfo.php?workbook=13_02.xlsx&amp;sheet=U0&amp;row=780&amp;col=7&amp;number=6.58e-05&amp;sourceID=14","6.58e-05")</f>
        <v>6.58e-05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HYPERLINK("http://141.218.60.56/~jnz1568/getInfo.php?workbook=13_02.xlsx&amp;sheet=U0&amp;row=781&amp;col=6&amp;number=4.7&amp;sourceID=14","4.7")</f>
        <v>4.7</v>
      </c>
      <c r="G781" s="4" t="str">
        <f>HYPERLINK("http://141.218.60.56/~jnz1568/getInfo.php?workbook=13_02.xlsx&amp;sheet=U0&amp;row=781&amp;col=7&amp;number=6.58e-05&amp;sourceID=14","6.58e-05")</f>
        <v>6.58e-05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HYPERLINK("http://141.218.60.56/~jnz1568/getInfo.php?workbook=13_02.xlsx&amp;sheet=U0&amp;row=782&amp;col=6&amp;number=4.8&amp;sourceID=14","4.8")</f>
        <v>4.8</v>
      </c>
      <c r="G782" s="4" t="str">
        <f>HYPERLINK("http://141.218.60.56/~jnz1568/getInfo.php?workbook=13_02.xlsx&amp;sheet=U0&amp;row=782&amp;col=7&amp;number=6.57e-05&amp;sourceID=14","6.57e-05")</f>
        <v>6.57e-05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HYPERLINK("http://141.218.60.56/~jnz1568/getInfo.php?workbook=13_02.xlsx&amp;sheet=U0&amp;row=783&amp;col=6&amp;number=4.9&amp;sourceID=14","4.9")</f>
        <v>4.9</v>
      </c>
      <c r="G783" s="4" t="str">
        <f>HYPERLINK("http://141.218.60.56/~jnz1568/getInfo.php?workbook=13_02.xlsx&amp;sheet=U0&amp;row=783&amp;col=7&amp;number=6.56e-05&amp;sourceID=14","6.56e-05")</f>
        <v>6.56e-05</v>
      </c>
    </row>
    <row r="784" spans="1:7">
      <c r="A784" s="3">
        <v>13</v>
      </c>
      <c r="B784" s="3">
        <v>2</v>
      </c>
      <c r="C784" s="3" t="s">
        <v>83</v>
      </c>
      <c r="D784" s="3">
        <v>1</v>
      </c>
      <c r="E784" s="3">
        <v>1</v>
      </c>
      <c r="F784" s="4" t="str">
        <f>HYPERLINK("http://141.218.60.56/~jnz1568/getInfo.php?workbook=13_02.xlsx&amp;sheet=U0&amp;row=784&amp;col=6&amp;number=3&amp;sourceID=14","3")</f>
        <v>3</v>
      </c>
      <c r="G784" s="4" t="str">
        <f>HYPERLINK("http://141.218.60.56/~jnz1568/getInfo.php?workbook=13_02.xlsx&amp;sheet=U0&amp;row=784&amp;col=7&amp;number=2.08e-05&amp;sourceID=14","2.08e-05")</f>
        <v>2.08e-05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HYPERLINK("http://141.218.60.56/~jnz1568/getInfo.php?workbook=13_02.xlsx&amp;sheet=U0&amp;row=785&amp;col=6&amp;number=3.1&amp;sourceID=14","3.1")</f>
        <v>3.1</v>
      </c>
      <c r="G785" s="4" t="str">
        <f>HYPERLINK("http://141.218.60.56/~jnz1568/getInfo.php?workbook=13_02.xlsx&amp;sheet=U0&amp;row=785&amp;col=7&amp;number=2.08e-05&amp;sourceID=14","2.08e-05")</f>
        <v>2.08e-05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HYPERLINK("http://141.218.60.56/~jnz1568/getInfo.php?workbook=13_02.xlsx&amp;sheet=U0&amp;row=786&amp;col=6&amp;number=3.2&amp;sourceID=14","3.2")</f>
        <v>3.2</v>
      </c>
      <c r="G786" s="4" t="str">
        <f>HYPERLINK("http://141.218.60.56/~jnz1568/getInfo.php?workbook=13_02.xlsx&amp;sheet=U0&amp;row=786&amp;col=7&amp;number=2.08e-05&amp;sourceID=14","2.08e-05")</f>
        <v>2.08e-05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HYPERLINK("http://141.218.60.56/~jnz1568/getInfo.php?workbook=13_02.xlsx&amp;sheet=U0&amp;row=787&amp;col=6&amp;number=3.3&amp;sourceID=14","3.3")</f>
        <v>3.3</v>
      </c>
      <c r="G787" s="4" t="str">
        <f>HYPERLINK("http://141.218.60.56/~jnz1568/getInfo.php?workbook=13_02.xlsx&amp;sheet=U0&amp;row=787&amp;col=7&amp;number=2.08e-05&amp;sourceID=14","2.08e-05")</f>
        <v>2.08e-05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HYPERLINK("http://141.218.60.56/~jnz1568/getInfo.php?workbook=13_02.xlsx&amp;sheet=U0&amp;row=788&amp;col=6&amp;number=3.4&amp;sourceID=14","3.4")</f>
        <v>3.4</v>
      </c>
      <c r="G788" s="4" t="str">
        <f>HYPERLINK("http://141.218.60.56/~jnz1568/getInfo.php?workbook=13_02.xlsx&amp;sheet=U0&amp;row=788&amp;col=7&amp;number=2.08e-05&amp;sourceID=14","2.08e-05")</f>
        <v>2.08e-05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HYPERLINK("http://141.218.60.56/~jnz1568/getInfo.php?workbook=13_02.xlsx&amp;sheet=U0&amp;row=789&amp;col=6&amp;number=3.5&amp;sourceID=14","3.5")</f>
        <v>3.5</v>
      </c>
      <c r="G789" s="4" t="str">
        <f>HYPERLINK("http://141.218.60.56/~jnz1568/getInfo.php?workbook=13_02.xlsx&amp;sheet=U0&amp;row=789&amp;col=7&amp;number=2.08e-05&amp;sourceID=14","2.08e-05")</f>
        <v>2.08e-05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HYPERLINK("http://141.218.60.56/~jnz1568/getInfo.php?workbook=13_02.xlsx&amp;sheet=U0&amp;row=790&amp;col=6&amp;number=3.6&amp;sourceID=14","3.6")</f>
        <v>3.6</v>
      </c>
      <c r="G790" s="4" t="str">
        <f>HYPERLINK("http://141.218.60.56/~jnz1568/getInfo.php?workbook=13_02.xlsx&amp;sheet=U0&amp;row=790&amp;col=7&amp;number=2.09e-05&amp;sourceID=14","2.09e-05")</f>
        <v>2.09e-05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HYPERLINK("http://141.218.60.56/~jnz1568/getInfo.php?workbook=13_02.xlsx&amp;sheet=U0&amp;row=791&amp;col=6&amp;number=3.7&amp;sourceID=14","3.7")</f>
        <v>3.7</v>
      </c>
      <c r="G791" s="4" t="str">
        <f>HYPERLINK("http://141.218.60.56/~jnz1568/getInfo.php?workbook=13_02.xlsx&amp;sheet=U0&amp;row=791&amp;col=7&amp;number=2.09e-05&amp;sourceID=14","2.09e-05")</f>
        <v>2.09e-05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HYPERLINK("http://141.218.60.56/~jnz1568/getInfo.php?workbook=13_02.xlsx&amp;sheet=U0&amp;row=792&amp;col=6&amp;number=3.8&amp;sourceID=14","3.8")</f>
        <v>3.8</v>
      </c>
      <c r="G792" s="4" t="str">
        <f>HYPERLINK("http://141.218.60.56/~jnz1568/getInfo.php?workbook=13_02.xlsx&amp;sheet=U0&amp;row=792&amp;col=7&amp;number=2.09e-05&amp;sourceID=14","2.09e-05")</f>
        <v>2.09e-05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HYPERLINK("http://141.218.60.56/~jnz1568/getInfo.php?workbook=13_02.xlsx&amp;sheet=U0&amp;row=793&amp;col=6&amp;number=3.9&amp;sourceID=14","3.9")</f>
        <v>3.9</v>
      </c>
      <c r="G793" s="4" t="str">
        <f>HYPERLINK("http://141.218.60.56/~jnz1568/getInfo.php?workbook=13_02.xlsx&amp;sheet=U0&amp;row=793&amp;col=7&amp;number=2.09e-05&amp;sourceID=14","2.09e-05")</f>
        <v>2.09e-05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HYPERLINK("http://141.218.60.56/~jnz1568/getInfo.php?workbook=13_02.xlsx&amp;sheet=U0&amp;row=794&amp;col=6&amp;number=4&amp;sourceID=14","4")</f>
        <v>4</v>
      </c>
      <c r="G794" s="4" t="str">
        <f>HYPERLINK("http://141.218.60.56/~jnz1568/getInfo.php?workbook=13_02.xlsx&amp;sheet=U0&amp;row=794&amp;col=7&amp;number=2.09e-05&amp;sourceID=14","2.09e-05")</f>
        <v>2.09e-05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HYPERLINK("http://141.218.60.56/~jnz1568/getInfo.php?workbook=13_02.xlsx&amp;sheet=U0&amp;row=795&amp;col=6&amp;number=4.1&amp;sourceID=14","4.1")</f>
        <v>4.1</v>
      </c>
      <c r="G795" s="4" t="str">
        <f>HYPERLINK("http://141.218.60.56/~jnz1568/getInfo.php?workbook=13_02.xlsx&amp;sheet=U0&amp;row=795&amp;col=7&amp;number=2.09e-05&amp;sourceID=14","2.09e-05")</f>
        <v>2.09e-05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HYPERLINK("http://141.218.60.56/~jnz1568/getInfo.php?workbook=13_02.xlsx&amp;sheet=U0&amp;row=796&amp;col=6&amp;number=4.2&amp;sourceID=14","4.2")</f>
        <v>4.2</v>
      </c>
      <c r="G796" s="4" t="str">
        <f>HYPERLINK("http://141.218.60.56/~jnz1568/getInfo.php?workbook=13_02.xlsx&amp;sheet=U0&amp;row=796&amp;col=7&amp;number=2.09e-05&amp;sourceID=14","2.09e-05")</f>
        <v>2.09e-05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HYPERLINK("http://141.218.60.56/~jnz1568/getInfo.php?workbook=13_02.xlsx&amp;sheet=U0&amp;row=797&amp;col=6&amp;number=4.3&amp;sourceID=14","4.3")</f>
        <v>4.3</v>
      </c>
      <c r="G797" s="4" t="str">
        <f>HYPERLINK("http://141.218.60.56/~jnz1568/getInfo.php?workbook=13_02.xlsx&amp;sheet=U0&amp;row=797&amp;col=7&amp;number=2.09e-05&amp;sourceID=14","2.09e-05")</f>
        <v>2.09e-05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HYPERLINK("http://141.218.60.56/~jnz1568/getInfo.php?workbook=13_02.xlsx&amp;sheet=U0&amp;row=798&amp;col=6&amp;number=4.4&amp;sourceID=14","4.4")</f>
        <v>4.4</v>
      </c>
      <c r="G798" s="4" t="str">
        <f>HYPERLINK("http://141.218.60.56/~jnz1568/getInfo.php?workbook=13_02.xlsx&amp;sheet=U0&amp;row=798&amp;col=7&amp;number=2.09e-05&amp;sourceID=14","2.09e-05")</f>
        <v>2.09e-05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HYPERLINK("http://141.218.60.56/~jnz1568/getInfo.php?workbook=13_02.xlsx&amp;sheet=U0&amp;row=799&amp;col=6&amp;number=4.5&amp;sourceID=14","4.5")</f>
        <v>4.5</v>
      </c>
      <c r="G799" s="4" t="str">
        <f>HYPERLINK("http://141.218.60.56/~jnz1568/getInfo.php?workbook=13_02.xlsx&amp;sheet=U0&amp;row=799&amp;col=7&amp;number=2.09e-05&amp;sourceID=14","2.09e-05")</f>
        <v>2.09e-05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HYPERLINK("http://141.218.60.56/~jnz1568/getInfo.php?workbook=13_02.xlsx&amp;sheet=U0&amp;row=800&amp;col=6&amp;number=4.6&amp;sourceID=14","4.6")</f>
        <v>4.6</v>
      </c>
      <c r="G800" s="4" t="str">
        <f>HYPERLINK("http://141.218.60.56/~jnz1568/getInfo.php?workbook=13_02.xlsx&amp;sheet=U0&amp;row=800&amp;col=7&amp;number=2.09e-05&amp;sourceID=14","2.09e-05")</f>
        <v>2.09e-05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HYPERLINK("http://141.218.60.56/~jnz1568/getInfo.php?workbook=13_02.xlsx&amp;sheet=U0&amp;row=801&amp;col=6&amp;number=4.7&amp;sourceID=14","4.7")</f>
        <v>4.7</v>
      </c>
      <c r="G801" s="4" t="str">
        <f>HYPERLINK("http://141.218.60.56/~jnz1568/getInfo.php?workbook=13_02.xlsx&amp;sheet=U0&amp;row=801&amp;col=7&amp;number=2.1e-05&amp;sourceID=14","2.1e-05")</f>
        <v>2.1e-05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HYPERLINK("http://141.218.60.56/~jnz1568/getInfo.php?workbook=13_02.xlsx&amp;sheet=U0&amp;row=802&amp;col=6&amp;number=4.8&amp;sourceID=14","4.8")</f>
        <v>4.8</v>
      </c>
      <c r="G802" s="4" t="str">
        <f>HYPERLINK("http://141.218.60.56/~jnz1568/getInfo.php?workbook=13_02.xlsx&amp;sheet=U0&amp;row=802&amp;col=7&amp;number=2.1e-05&amp;sourceID=14","2.1e-05")</f>
        <v>2.1e-05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HYPERLINK("http://141.218.60.56/~jnz1568/getInfo.php?workbook=13_02.xlsx&amp;sheet=U0&amp;row=803&amp;col=6&amp;number=4.9&amp;sourceID=14","4.9")</f>
        <v>4.9</v>
      </c>
      <c r="G803" s="4" t="str">
        <f>HYPERLINK("http://141.218.60.56/~jnz1568/getInfo.php?workbook=13_02.xlsx&amp;sheet=U0&amp;row=803&amp;col=7&amp;number=2.11e-05&amp;sourceID=14","2.11e-05")</f>
        <v>2.11e-05</v>
      </c>
    </row>
    <row r="804" spans="1:7">
      <c r="A804" s="3">
        <v>13</v>
      </c>
      <c r="B804" s="3">
        <v>2</v>
      </c>
      <c r="C804" s="3" t="s">
        <v>83</v>
      </c>
      <c r="D804" s="3">
        <v>2</v>
      </c>
      <c r="E804" s="3">
        <v>1</v>
      </c>
      <c r="F804" s="4" t="str">
        <f>HYPERLINK("http://141.218.60.56/~jnz1568/getInfo.php?workbook=13_02.xlsx&amp;sheet=U0&amp;row=804&amp;col=6&amp;number=3&amp;sourceID=14","3")</f>
        <v>3</v>
      </c>
      <c r="G804" s="4" t="str">
        <f>HYPERLINK("http://141.218.60.56/~jnz1568/getInfo.php?workbook=13_02.xlsx&amp;sheet=U0&amp;row=804&amp;col=7&amp;number=3.23e-06&amp;sourceID=14","3.23e-06")</f>
        <v>3.23e-06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HYPERLINK("http://141.218.60.56/~jnz1568/getInfo.php?workbook=13_02.xlsx&amp;sheet=U0&amp;row=805&amp;col=6&amp;number=3.1&amp;sourceID=14","3.1")</f>
        <v>3.1</v>
      </c>
      <c r="G805" s="4" t="str">
        <f>HYPERLINK("http://141.218.60.56/~jnz1568/getInfo.php?workbook=13_02.xlsx&amp;sheet=U0&amp;row=805&amp;col=7&amp;number=3.23e-06&amp;sourceID=14","3.23e-06")</f>
        <v>3.23e-06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HYPERLINK("http://141.218.60.56/~jnz1568/getInfo.php?workbook=13_02.xlsx&amp;sheet=U0&amp;row=806&amp;col=6&amp;number=3.2&amp;sourceID=14","3.2")</f>
        <v>3.2</v>
      </c>
      <c r="G806" s="4" t="str">
        <f>HYPERLINK("http://141.218.60.56/~jnz1568/getInfo.php?workbook=13_02.xlsx&amp;sheet=U0&amp;row=806&amp;col=7&amp;number=3.23e-06&amp;sourceID=14","3.23e-06")</f>
        <v>3.23e-06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HYPERLINK("http://141.218.60.56/~jnz1568/getInfo.php?workbook=13_02.xlsx&amp;sheet=U0&amp;row=807&amp;col=6&amp;number=3.3&amp;sourceID=14","3.3")</f>
        <v>3.3</v>
      </c>
      <c r="G807" s="4" t="str">
        <f>HYPERLINK("http://141.218.60.56/~jnz1568/getInfo.php?workbook=13_02.xlsx&amp;sheet=U0&amp;row=807&amp;col=7&amp;number=3.23e-06&amp;sourceID=14","3.23e-06")</f>
        <v>3.23e-06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HYPERLINK("http://141.218.60.56/~jnz1568/getInfo.php?workbook=13_02.xlsx&amp;sheet=U0&amp;row=808&amp;col=6&amp;number=3.4&amp;sourceID=14","3.4")</f>
        <v>3.4</v>
      </c>
      <c r="G808" s="4" t="str">
        <f>HYPERLINK("http://141.218.60.56/~jnz1568/getInfo.php?workbook=13_02.xlsx&amp;sheet=U0&amp;row=808&amp;col=7&amp;number=3.23e-06&amp;sourceID=14","3.23e-06")</f>
        <v>3.23e-06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HYPERLINK("http://141.218.60.56/~jnz1568/getInfo.php?workbook=13_02.xlsx&amp;sheet=U0&amp;row=809&amp;col=6&amp;number=3.5&amp;sourceID=14","3.5")</f>
        <v>3.5</v>
      </c>
      <c r="G809" s="4" t="str">
        <f>HYPERLINK("http://141.218.60.56/~jnz1568/getInfo.php?workbook=13_02.xlsx&amp;sheet=U0&amp;row=809&amp;col=7&amp;number=3.23e-06&amp;sourceID=14","3.23e-06")</f>
        <v>3.23e-06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HYPERLINK("http://141.218.60.56/~jnz1568/getInfo.php?workbook=13_02.xlsx&amp;sheet=U0&amp;row=810&amp;col=6&amp;number=3.6&amp;sourceID=14","3.6")</f>
        <v>3.6</v>
      </c>
      <c r="G810" s="4" t="str">
        <f>HYPERLINK("http://141.218.60.56/~jnz1568/getInfo.php?workbook=13_02.xlsx&amp;sheet=U0&amp;row=810&amp;col=7&amp;number=3.23e-06&amp;sourceID=14","3.23e-06")</f>
        <v>3.23e-06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HYPERLINK("http://141.218.60.56/~jnz1568/getInfo.php?workbook=13_02.xlsx&amp;sheet=U0&amp;row=811&amp;col=6&amp;number=3.7&amp;sourceID=14","3.7")</f>
        <v>3.7</v>
      </c>
      <c r="G811" s="4" t="str">
        <f>HYPERLINK("http://141.218.60.56/~jnz1568/getInfo.php?workbook=13_02.xlsx&amp;sheet=U0&amp;row=811&amp;col=7&amp;number=3.23e-06&amp;sourceID=14","3.23e-06")</f>
        <v>3.23e-06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HYPERLINK("http://141.218.60.56/~jnz1568/getInfo.php?workbook=13_02.xlsx&amp;sheet=U0&amp;row=812&amp;col=6&amp;number=3.8&amp;sourceID=14","3.8")</f>
        <v>3.8</v>
      </c>
      <c r="G812" s="4" t="str">
        <f>HYPERLINK("http://141.218.60.56/~jnz1568/getInfo.php?workbook=13_02.xlsx&amp;sheet=U0&amp;row=812&amp;col=7&amp;number=3.23e-06&amp;sourceID=14","3.23e-06")</f>
        <v>3.23e-06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HYPERLINK("http://141.218.60.56/~jnz1568/getInfo.php?workbook=13_02.xlsx&amp;sheet=U0&amp;row=813&amp;col=6&amp;number=3.9&amp;sourceID=14","3.9")</f>
        <v>3.9</v>
      </c>
      <c r="G813" s="4" t="str">
        <f>HYPERLINK("http://141.218.60.56/~jnz1568/getInfo.php?workbook=13_02.xlsx&amp;sheet=U0&amp;row=813&amp;col=7&amp;number=3.23e-06&amp;sourceID=14","3.23e-06")</f>
        <v>3.23e-06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HYPERLINK("http://141.218.60.56/~jnz1568/getInfo.php?workbook=13_02.xlsx&amp;sheet=U0&amp;row=814&amp;col=6&amp;number=4&amp;sourceID=14","4")</f>
        <v>4</v>
      </c>
      <c r="G814" s="4" t="str">
        <f>HYPERLINK("http://141.218.60.56/~jnz1568/getInfo.php?workbook=13_02.xlsx&amp;sheet=U0&amp;row=814&amp;col=7&amp;number=3.23e-06&amp;sourceID=14","3.23e-06")</f>
        <v>3.23e-06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HYPERLINK("http://141.218.60.56/~jnz1568/getInfo.php?workbook=13_02.xlsx&amp;sheet=U0&amp;row=815&amp;col=6&amp;number=4.1&amp;sourceID=14","4.1")</f>
        <v>4.1</v>
      </c>
      <c r="G815" s="4" t="str">
        <f>HYPERLINK("http://141.218.60.56/~jnz1568/getInfo.php?workbook=13_02.xlsx&amp;sheet=U0&amp;row=815&amp;col=7&amp;number=3.22e-06&amp;sourceID=14","3.22e-06")</f>
        <v>3.22e-06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HYPERLINK("http://141.218.60.56/~jnz1568/getInfo.php?workbook=13_02.xlsx&amp;sheet=U0&amp;row=816&amp;col=6&amp;number=4.2&amp;sourceID=14","4.2")</f>
        <v>4.2</v>
      </c>
      <c r="G816" s="4" t="str">
        <f>HYPERLINK("http://141.218.60.56/~jnz1568/getInfo.php?workbook=13_02.xlsx&amp;sheet=U0&amp;row=816&amp;col=7&amp;number=3.22e-06&amp;sourceID=14","3.22e-06")</f>
        <v>3.22e-06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HYPERLINK("http://141.218.60.56/~jnz1568/getInfo.php?workbook=13_02.xlsx&amp;sheet=U0&amp;row=817&amp;col=6&amp;number=4.3&amp;sourceID=14","4.3")</f>
        <v>4.3</v>
      </c>
      <c r="G817" s="4" t="str">
        <f>HYPERLINK("http://141.218.60.56/~jnz1568/getInfo.php?workbook=13_02.xlsx&amp;sheet=U0&amp;row=817&amp;col=7&amp;number=3.22e-06&amp;sourceID=14","3.22e-06")</f>
        <v>3.22e-06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HYPERLINK("http://141.218.60.56/~jnz1568/getInfo.php?workbook=13_02.xlsx&amp;sheet=U0&amp;row=818&amp;col=6&amp;number=4.4&amp;sourceID=14","4.4")</f>
        <v>4.4</v>
      </c>
      <c r="G818" s="4" t="str">
        <f>HYPERLINK("http://141.218.60.56/~jnz1568/getInfo.php?workbook=13_02.xlsx&amp;sheet=U0&amp;row=818&amp;col=7&amp;number=3.22e-06&amp;sourceID=14","3.22e-06")</f>
        <v>3.22e-06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HYPERLINK("http://141.218.60.56/~jnz1568/getInfo.php?workbook=13_02.xlsx&amp;sheet=U0&amp;row=819&amp;col=6&amp;number=4.5&amp;sourceID=14","4.5")</f>
        <v>4.5</v>
      </c>
      <c r="G819" s="4" t="str">
        <f>HYPERLINK("http://141.218.60.56/~jnz1568/getInfo.php?workbook=13_02.xlsx&amp;sheet=U0&amp;row=819&amp;col=7&amp;number=3.22e-06&amp;sourceID=14","3.22e-06")</f>
        <v>3.22e-06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HYPERLINK("http://141.218.60.56/~jnz1568/getInfo.php?workbook=13_02.xlsx&amp;sheet=U0&amp;row=820&amp;col=6&amp;number=4.6&amp;sourceID=14","4.6")</f>
        <v>4.6</v>
      </c>
      <c r="G820" s="4" t="str">
        <f>HYPERLINK("http://141.218.60.56/~jnz1568/getInfo.php?workbook=13_02.xlsx&amp;sheet=U0&amp;row=820&amp;col=7&amp;number=3.22e-06&amp;sourceID=14","3.22e-06")</f>
        <v>3.22e-06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HYPERLINK("http://141.218.60.56/~jnz1568/getInfo.php?workbook=13_02.xlsx&amp;sheet=U0&amp;row=821&amp;col=6&amp;number=4.7&amp;sourceID=14","4.7")</f>
        <v>4.7</v>
      </c>
      <c r="G821" s="4" t="str">
        <f>HYPERLINK("http://141.218.60.56/~jnz1568/getInfo.php?workbook=13_02.xlsx&amp;sheet=U0&amp;row=821&amp;col=7&amp;number=3.21e-06&amp;sourceID=14","3.21e-06")</f>
        <v>3.21e-06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HYPERLINK("http://141.218.60.56/~jnz1568/getInfo.php?workbook=13_02.xlsx&amp;sheet=U0&amp;row=822&amp;col=6&amp;number=4.8&amp;sourceID=14","4.8")</f>
        <v>4.8</v>
      </c>
      <c r="G822" s="4" t="str">
        <f>HYPERLINK("http://141.218.60.56/~jnz1568/getInfo.php?workbook=13_02.xlsx&amp;sheet=U0&amp;row=822&amp;col=7&amp;number=3.21e-06&amp;sourceID=14","3.21e-06")</f>
        <v>3.21e-06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HYPERLINK("http://141.218.60.56/~jnz1568/getInfo.php?workbook=13_02.xlsx&amp;sheet=U0&amp;row=823&amp;col=6&amp;number=4.9&amp;sourceID=14","4.9")</f>
        <v>4.9</v>
      </c>
      <c r="G823" s="4" t="str">
        <f>HYPERLINK("http://141.218.60.56/~jnz1568/getInfo.php?workbook=13_02.xlsx&amp;sheet=U0&amp;row=823&amp;col=7&amp;number=3.2e-06&amp;sourceID=14","3.2e-06")</f>
        <v>3.2e-06</v>
      </c>
    </row>
    <row r="824" spans="1:7">
      <c r="A824" s="3">
        <v>13</v>
      </c>
      <c r="B824" s="3">
        <v>2</v>
      </c>
      <c r="C824" s="3" t="s">
        <v>83</v>
      </c>
      <c r="D824" s="3">
        <v>3</v>
      </c>
      <c r="E824" s="3">
        <v>1</v>
      </c>
      <c r="F824" s="4" t="str">
        <f>HYPERLINK("http://141.218.60.56/~jnz1568/getInfo.php?workbook=13_02.xlsx&amp;sheet=U0&amp;row=824&amp;col=6&amp;number=3&amp;sourceID=14","3")</f>
        <v>3</v>
      </c>
      <c r="G824" s="4" t="str">
        <f>HYPERLINK("http://141.218.60.56/~jnz1568/getInfo.php?workbook=13_02.xlsx&amp;sheet=U0&amp;row=824&amp;col=7&amp;number=3.71e-06&amp;sourceID=14","3.71e-06")</f>
        <v>3.71e-06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HYPERLINK("http://141.218.60.56/~jnz1568/getInfo.php?workbook=13_02.xlsx&amp;sheet=U0&amp;row=825&amp;col=6&amp;number=3.1&amp;sourceID=14","3.1")</f>
        <v>3.1</v>
      </c>
      <c r="G825" s="4" t="str">
        <f>HYPERLINK("http://141.218.60.56/~jnz1568/getInfo.php?workbook=13_02.xlsx&amp;sheet=U0&amp;row=825&amp;col=7&amp;number=3.71e-06&amp;sourceID=14","3.71e-06")</f>
        <v>3.71e-06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HYPERLINK("http://141.218.60.56/~jnz1568/getInfo.php?workbook=13_02.xlsx&amp;sheet=U0&amp;row=826&amp;col=6&amp;number=3.2&amp;sourceID=14","3.2")</f>
        <v>3.2</v>
      </c>
      <c r="G826" s="4" t="str">
        <f>HYPERLINK("http://141.218.60.56/~jnz1568/getInfo.php?workbook=13_02.xlsx&amp;sheet=U0&amp;row=826&amp;col=7&amp;number=3.71e-06&amp;sourceID=14","3.71e-06")</f>
        <v>3.71e-06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HYPERLINK("http://141.218.60.56/~jnz1568/getInfo.php?workbook=13_02.xlsx&amp;sheet=U0&amp;row=827&amp;col=6&amp;number=3.3&amp;sourceID=14","3.3")</f>
        <v>3.3</v>
      </c>
      <c r="G827" s="4" t="str">
        <f>HYPERLINK("http://141.218.60.56/~jnz1568/getInfo.php?workbook=13_02.xlsx&amp;sheet=U0&amp;row=827&amp;col=7&amp;number=3.71e-06&amp;sourceID=14","3.71e-06")</f>
        <v>3.71e-06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HYPERLINK("http://141.218.60.56/~jnz1568/getInfo.php?workbook=13_02.xlsx&amp;sheet=U0&amp;row=828&amp;col=6&amp;number=3.4&amp;sourceID=14","3.4")</f>
        <v>3.4</v>
      </c>
      <c r="G828" s="4" t="str">
        <f>HYPERLINK("http://141.218.60.56/~jnz1568/getInfo.php?workbook=13_02.xlsx&amp;sheet=U0&amp;row=828&amp;col=7&amp;number=3.71e-06&amp;sourceID=14","3.71e-06")</f>
        <v>3.71e-06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HYPERLINK("http://141.218.60.56/~jnz1568/getInfo.php?workbook=13_02.xlsx&amp;sheet=U0&amp;row=829&amp;col=6&amp;number=3.5&amp;sourceID=14","3.5")</f>
        <v>3.5</v>
      </c>
      <c r="G829" s="4" t="str">
        <f>HYPERLINK("http://141.218.60.56/~jnz1568/getInfo.php?workbook=13_02.xlsx&amp;sheet=U0&amp;row=829&amp;col=7&amp;number=3.71e-06&amp;sourceID=14","3.71e-06")</f>
        <v>3.71e-06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HYPERLINK("http://141.218.60.56/~jnz1568/getInfo.php?workbook=13_02.xlsx&amp;sheet=U0&amp;row=830&amp;col=6&amp;number=3.6&amp;sourceID=14","3.6")</f>
        <v>3.6</v>
      </c>
      <c r="G830" s="4" t="str">
        <f>HYPERLINK("http://141.218.60.56/~jnz1568/getInfo.php?workbook=13_02.xlsx&amp;sheet=U0&amp;row=830&amp;col=7&amp;number=3.71e-06&amp;sourceID=14","3.71e-06")</f>
        <v>3.71e-06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HYPERLINK("http://141.218.60.56/~jnz1568/getInfo.php?workbook=13_02.xlsx&amp;sheet=U0&amp;row=831&amp;col=6&amp;number=3.7&amp;sourceID=14","3.7")</f>
        <v>3.7</v>
      </c>
      <c r="G831" s="4" t="str">
        <f>HYPERLINK("http://141.218.60.56/~jnz1568/getInfo.php?workbook=13_02.xlsx&amp;sheet=U0&amp;row=831&amp;col=7&amp;number=3.71e-06&amp;sourceID=14","3.71e-06")</f>
        <v>3.71e-06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HYPERLINK("http://141.218.60.56/~jnz1568/getInfo.php?workbook=13_02.xlsx&amp;sheet=U0&amp;row=832&amp;col=6&amp;number=3.8&amp;sourceID=14","3.8")</f>
        <v>3.8</v>
      </c>
      <c r="G832" s="4" t="str">
        <f>HYPERLINK("http://141.218.60.56/~jnz1568/getInfo.php?workbook=13_02.xlsx&amp;sheet=U0&amp;row=832&amp;col=7&amp;number=3.71e-06&amp;sourceID=14","3.71e-06")</f>
        <v>3.71e-06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HYPERLINK("http://141.218.60.56/~jnz1568/getInfo.php?workbook=13_02.xlsx&amp;sheet=U0&amp;row=833&amp;col=6&amp;number=3.9&amp;sourceID=14","3.9")</f>
        <v>3.9</v>
      </c>
      <c r="G833" s="4" t="str">
        <f>HYPERLINK("http://141.218.60.56/~jnz1568/getInfo.php?workbook=13_02.xlsx&amp;sheet=U0&amp;row=833&amp;col=7&amp;number=3.71e-06&amp;sourceID=14","3.71e-06")</f>
        <v>3.71e-06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HYPERLINK("http://141.218.60.56/~jnz1568/getInfo.php?workbook=13_02.xlsx&amp;sheet=U0&amp;row=834&amp;col=6&amp;number=4&amp;sourceID=14","4")</f>
        <v>4</v>
      </c>
      <c r="G834" s="4" t="str">
        <f>HYPERLINK("http://141.218.60.56/~jnz1568/getInfo.php?workbook=13_02.xlsx&amp;sheet=U0&amp;row=834&amp;col=7&amp;number=3.71e-06&amp;sourceID=14","3.71e-06")</f>
        <v>3.71e-06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HYPERLINK("http://141.218.60.56/~jnz1568/getInfo.php?workbook=13_02.xlsx&amp;sheet=U0&amp;row=835&amp;col=6&amp;number=4.1&amp;sourceID=14","4.1")</f>
        <v>4.1</v>
      </c>
      <c r="G835" s="4" t="str">
        <f>HYPERLINK("http://141.218.60.56/~jnz1568/getInfo.php?workbook=13_02.xlsx&amp;sheet=U0&amp;row=835&amp;col=7&amp;number=3.71e-06&amp;sourceID=14","3.71e-06")</f>
        <v>3.71e-06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HYPERLINK("http://141.218.60.56/~jnz1568/getInfo.php?workbook=13_02.xlsx&amp;sheet=U0&amp;row=836&amp;col=6&amp;number=4.2&amp;sourceID=14","4.2")</f>
        <v>4.2</v>
      </c>
      <c r="G836" s="4" t="str">
        <f>HYPERLINK("http://141.218.60.56/~jnz1568/getInfo.php?workbook=13_02.xlsx&amp;sheet=U0&amp;row=836&amp;col=7&amp;number=3.71e-06&amp;sourceID=14","3.71e-06")</f>
        <v>3.71e-06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HYPERLINK("http://141.218.60.56/~jnz1568/getInfo.php?workbook=13_02.xlsx&amp;sheet=U0&amp;row=837&amp;col=6&amp;number=4.3&amp;sourceID=14","4.3")</f>
        <v>4.3</v>
      </c>
      <c r="G837" s="4" t="str">
        <f>HYPERLINK("http://141.218.60.56/~jnz1568/getInfo.php?workbook=13_02.xlsx&amp;sheet=U0&amp;row=837&amp;col=7&amp;number=3.71e-06&amp;sourceID=14","3.71e-06")</f>
        <v>3.71e-06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HYPERLINK("http://141.218.60.56/~jnz1568/getInfo.php?workbook=13_02.xlsx&amp;sheet=U0&amp;row=838&amp;col=6&amp;number=4.4&amp;sourceID=14","4.4")</f>
        <v>4.4</v>
      </c>
      <c r="G838" s="4" t="str">
        <f>HYPERLINK("http://141.218.60.56/~jnz1568/getInfo.php?workbook=13_02.xlsx&amp;sheet=U0&amp;row=838&amp;col=7&amp;number=3.7e-06&amp;sourceID=14","3.7e-06")</f>
        <v>3.7e-06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HYPERLINK("http://141.218.60.56/~jnz1568/getInfo.php?workbook=13_02.xlsx&amp;sheet=U0&amp;row=839&amp;col=6&amp;number=4.5&amp;sourceID=14","4.5")</f>
        <v>4.5</v>
      </c>
      <c r="G839" s="4" t="str">
        <f>HYPERLINK("http://141.218.60.56/~jnz1568/getInfo.php?workbook=13_02.xlsx&amp;sheet=U0&amp;row=839&amp;col=7&amp;number=3.7e-06&amp;sourceID=14","3.7e-06")</f>
        <v>3.7e-06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HYPERLINK("http://141.218.60.56/~jnz1568/getInfo.php?workbook=13_02.xlsx&amp;sheet=U0&amp;row=840&amp;col=6&amp;number=4.6&amp;sourceID=14","4.6")</f>
        <v>4.6</v>
      </c>
      <c r="G840" s="4" t="str">
        <f>HYPERLINK("http://141.218.60.56/~jnz1568/getInfo.php?workbook=13_02.xlsx&amp;sheet=U0&amp;row=840&amp;col=7&amp;number=3.7e-06&amp;sourceID=14","3.7e-06")</f>
        <v>3.7e-06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HYPERLINK("http://141.218.60.56/~jnz1568/getInfo.php?workbook=13_02.xlsx&amp;sheet=U0&amp;row=841&amp;col=6&amp;number=4.7&amp;sourceID=14","4.7")</f>
        <v>4.7</v>
      </c>
      <c r="G841" s="4" t="str">
        <f>HYPERLINK("http://141.218.60.56/~jnz1568/getInfo.php?workbook=13_02.xlsx&amp;sheet=U0&amp;row=841&amp;col=7&amp;number=3.7e-06&amp;sourceID=14","3.7e-06")</f>
        <v>3.7e-06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HYPERLINK("http://141.218.60.56/~jnz1568/getInfo.php?workbook=13_02.xlsx&amp;sheet=U0&amp;row=842&amp;col=6&amp;number=4.8&amp;sourceID=14","4.8")</f>
        <v>4.8</v>
      </c>
      <c r="G842" s="4" t="str">
        <f>HYPERLINK("http://141.218.60.56/~jnz1568/getInfo.php?workbook=13_02.xlsx&amp;sheet=U0&amp;row=842&amp;col=7&amp;number=3.69e-06&amp;sourceID=14","3.69e-06")</f>
        <v>3.69e-06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HYPERLINK("http://141.218.60.56/~jnz1568/getInfo.php?workbook=13_02.xlsx&amp;sheet=U0&amp;row=843&amp;col=6&amp;number=4.9&amp;sourceID=14","4.9")</f>
        <v>4.9</v>
      </c>
      <c r="G843" s="4" t="str">
        <f>HYPERLINK("http://141.218.60.56/~jnz1568/getInfo.php?workbook=13_02.xlsx&amp;sheet=U0&amp;row=843&amp;col=7&amp;number=3.69e-06&amp;sourceID=14","3.69e-06")</f>
        <v>3.69e-06</v>
      </c>
    </row>
    <row r="844" spans="1:7">
      <c r="A844" s="3">
        <v>13</v>
      </c>
      <c r="B844" s="3">
        <v>2</v>
      </c>
      <c r="C844" s="3" t="s">
        <v>83</v>
      </c>
      <c r="D844" s="3">
        <v>4</v>
      </c>
      <c r="E844" s="3">
        <v>1</v>
      </c>
      <c r="F844" s="4" t="str">
        <f>HYPERLINK("http://141.218.60.56/~jnz1568/getInfo.php?workbook=13_02.xlsx&amp;sheet=U0&amp;row=844&amp;col=6&amp;number=3&amp;sourceID=14","3")</f>
        <v>3</v>
      </c>
      <c r="G844" s="4" t="str">
        <f>HYPERLINK("http://141.218.60.56/~jnz1568/getInfo.php?workbook=13_02.xlsx&amp;sheet=U0&amp;row=844&amp;col=7&amp;number=5.88e-06&amp;sourceID=14","5.88e-06")</f>
        <v>5.88e-06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HYPERLINK("http://141.218.60.56/~jnz1568/getInfo.php?workbook=13_02.xlsx&amp;sheet=U0&amp;row=845&amp;col=6&amp;number=3.1&amp;sourceID=14","3.1")</f>
        <v>3.1</v>
      </c>
      <c r="G845" s="4" t="str">
        <f>HYPERLINK("http://141.218.60.56/~jnz1568/getInfo.php?workbook=13_02.xlsx&amp;sheet=U0&amp;row=845&amp;col=7&amp;number=5.88e-06&amp;sourceID=14","5.88e-06")</f>
        <v>5.88e-06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HYPERLINK("http://141.218.60.56/~jnz1568/getInfo.php?workbook=13_02.xlsx&amp;sheet=U0&amp;row=846&amp;col=6&amp;number=3.2&amp;sourceID=14","3.2")</f>
        <v>3.2</v>
      </c>
      <c r="G846" s="4" t="str">
        <f>HYPERLINK("http://141.218.60.56/~jnz1568/getInfo.php?workbook=13_02.xlsx&amp;sheet=U0&amp;row=846&amp;col=7&amp;number=5.88e-06&amp;sourceID=14","5.88e-06")</f>
        <v>5.88e-06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HYPERLINK("http://141.218.60.56/~jnz1568/getInfo.php?workbook=13_02.xlsx&amp;sheet=U0&amp;row=847&amp;col=6&amp;number=3.3&amp;sourceID=14","3.3")</f>
        <v>3.3</v>
      </c>
      <c r="G847" s="4" t="str">
        <f>HYPERLINK("http://141.218.60.56/~jnz1568/getInfo.php?workbook=13_02.xlsx&amp;sheet=U0&amp;row=847&amp;col=7&amp;number=5.88e-06&amp;sourceID=14","5.88e-06")</f>
        <v>5.88e-06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HYPERLINK("http://141.218.60.56/~jnz1568/getInfo.php?workbook=13_02.xlsx&amp;sheet=U0&amp;row=848&amp;col=6&amp;number=3.4&amp;sourceID=14","3.4")</f>
        <v>3.4</v>
      </c>
      <c r="G848" s="4" t="str">
        <f>HYPERLINK("http://141.218.60.56/~jnz1568/getInfo.php?workbook=13_02.xlsx&amp;sheet=U0&amp;row=848&amp;col=7&amp;number=5.88e-06&amp;sourceID=14","5.88e-06")</f>
        <v>5.88e-06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HYPERLINK("http://141.218.60.56/~jnz1568/getInfo.php?workbook=13_02.xlsx&amp;sheet=U0&amp;row=849&amp;col=6&amp;number=3.5&amp;sourceID=14","3.5")</f>
        <v>3.5</v>
      </c>
      <c r="G849" s="4" t="str">
        <f>HYPERLINK("http://141.218.60.56/~jnz1568/getInfo.php?workbook=13_02.xlsx&amp;sheet=U0&amp;row=849&amp;col=7&amp;number=5.88e-06&amp;sourceID=14","5.88e-06")</f>
        <v>5.88e-06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HYPERLINK("http://141.218.60.56/~jnz1568/getInfo.php?workbook=13_02.xlsx&amp;sheet=U0&amp;row=850&amp;col=6&amp;number=3.6&amp;sourceID=14","3.6")</f>
        <v>3.6</v>
      </c>
      <c r="G850" s="4" t="str">
        <f>HYPERLINK("http://141.218.60.56/~jnz1568/getInfo.php?workbook=13_02.xlsx&amp;sheet=U0&amp;row=850&amp;col=7&amp;number=5.87e-06&amp;sourceID=14","5.87e-06")</f>
        <v>5.87e-06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HYPERLINK("http://141.218.60.56/~jnz1568/getInfo.php?workbook=13_02.xlsx&amp;sheet=U0&amp;row=851&amp;col=6&amp;number=3.7&amp;sourceID=14","3.7")</f>
        <v>3.7</v>
      </c>
      <c r="G851" s="4" t="str">
        <f>HYPERLINK("http://141.218.60.56/~jnz1568/getInfo.php?workbook=13_02.xlsx&amp;sheet=U0&amp;row=851&amp;col=7&amp;number=5.87e-06&amp;sourceID=14","5.87e-06")</f>
        <v>5.87e-06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HYPERLINK("http://141.218.60.56/~jnz1568/getInfo.php?workbook=13_02.xlsx&amp;sheet=U0&amp;row=852&amp;col=6&amp;number=3.8&amp;sourceID=14","3.8")</f>
        <v>3.8</v>
      </c>
      <c r="G852" s="4" t="str">
        <f>HYPERLINK("http://141.218.60.56/~jnz1568/getInfo.php?workbook=13_02.xlsx&amp;sheet=U0&amp;row=852&amp;col=7&amp;number=5.87e-06&amp;sourceID=14","5.87e-06")</f>
        <v>5.87e-06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HYPERLINK("http://141.218.60.56/~jnz1568/getInfo.php?workbook=13_02.xlsx&amp;sheet=U0&amp;row=853&amp;col=6&amp;number=3.9&amp;sourceID=14","3.9")</f>
        <v>3.9</v>
      </c>
      <c r="G853" s="4" t="str">
        <f>HYPERLINK("http://141.218.60.56/~jnz1568/getInfo.php?workbook=13_02.xlsx&amp;sheet=U0&amp;row=853&amp;col=7&amp;number=5.87e-06&amp;sourceID=14","5.87e-06")</f>
        <v>5.87e-06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HYPERLINK("http://141.218.60.56/~jnz1568/getInfo.php?workbook=13_02.xlsx&amp;sheet=U0&amp;row=854&amp;col=6&amp;number=4&amp;sourceID=14","4")</f>
        <v>4</v>
      </c>
      <c r="G854" s="4" t="str">
        <f>HYPERLINK("http://141.218.60.56/~jnz1568/getInfo.php?workbook=13_02.xlsx&amp;sheet=U0&amp;row=854&amp;col=7&amp;number=5.87e-06&amp;sourceID=14","5.87e-06")</f>
        <v>5.87e-06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HYPERLINK("http://141.218.60.56/~jnz1568/getInfo.php?workbook=13_02.xlsx&amp;sheet=U0&amp;row=855&amp;col=6&amp;number=4.1&amp;sourceID=14","4.1")</f>
        <v>4.1</v>
      </c>
      <c r="G855" s="4" t="str">
        <f>HYPERLINK("http://141.218.60.56/~jnz1568/getInfo.php?workbook=13_02.xlsx&amp;sheet=U0&amp;row=855&amp;col=7&amp;number=5.87e-06&amp;sourceID=14","5.87e-06")</f>
        <v>5.87e-06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HYPERLINK("http://141.218.60.56/~jnz1568/getInfo.php?workbook=13_02.xlsx&amp;sheet=U0&amp;row=856&amp;col=6&amp;number=4.2&amp;sourceID=14","4.2")</f>
        <v>4.2</v>
      </c>
      <c r="G856" s="4" t="str">
        <f>HYPERLINK("http://141.218.60.56/~jnz1568/getInfo.php?workbook=13_02.xlsx&amp;sheet=U0&amp;row=856&amp;col=7&amp;number=5.87e-06&amp;sourceID=14","5.87e-06")</f>
        <v>5.87e-06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HYPERLINK("http://141.218.60.56/~jnz1568/getInfo.php?workbook=13_02.xlsx&amp;sheet=U0&amp;row=857&amp;col=6&amp;number=4.3&amp;sourceID=14","4.3")</f>
        <v>4.3</v>
      </c>
      <c r="G857" s="4" t="str">
        <f>HYPERLINK("http://141.218.60.56/~jnz1568/getInfo.php?workbook=13_02.xlsx&amp;sheet=U0&amp;row=857&amp;col=7&amp;number=5.86e-06&amp;sourceID=14","5.86e-06")</f>
        <v>5.86e-06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HYPERLINK("http://141.218.60.56/~jnz1568/getInfo.php?workbook=13_02.xlsx&amp;sheet=U0&amp;row=858&amp;col=6&amp;number=4.4&amp;sourceID=14","4.4")</f>
        <v>4.4</v>
      </c>
      <c r="G858" s="4" t="str">
        <f>HYPERLINK("http://141.218.60.56/~jnz1568/getInfo.php?workbook=13_02.xlsx&amp;sheet=U0&amp;row=858&amp;col=7&amp;number=5.86e-06&amp;sourceID=14","5.86e-06")</f>
        <v>5.86e-06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HYPERLINK("http://141.218.60.56/~jnz1568/getInfo.php?workbook=13_02.xlsx&amp;sheet=U0&amp;row=859&amp;col=6&amp;number=4.5&amp;sourceID=14","4.5")</f>
        <v>4.5</v>
      </c>
      <c r="G859" s="4" t="str">
        <f>HYPERLINK("http://141.218.60.56/~jnz1568/getInfo.php?workbook=13_02.xlsx&amp;sheet=U0&amp;row=859&amp;col=7&amp;number=5.86e-06&amp;sourceID=14","5.86e-06")</f>
        <v>5.86e-06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HYPERLINK("http://141.218.60.56/~jnz1568/getInfo.php?workbook=13_02.xlsx&amp;sheet=U0&amp;row=860&amp;col=6&amp;number=4.6&amp;sourceID=14","4.6")</f>
        <v>4.6</v>
      </c>
      <c r="G860" s="4" t="str">
        <f>HYPERLINK("http://141.218.60.56/~jnz1568/getInfo.php?workbook=13_02.xlsx&amp;sheet=U0&amp;row=860&amp;col=7&amp;number=5.85e-06&amp;sourceID=14","5.85e-06")</f>
        <v>5.85e-06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HYPERLINK("http://141.218.60.56/~jnz1568/getInfo.php?workbook=13_02.xlsx&amp;sheet=U0&amp;row=861&amp;col=6&amp;number=4.7&amp;sourceID=14","4.7")</f>
        <v>4.7</v>
      </c>
      <c r="G861" s="4" t="str">
        <f>HYPERLINK("http://141.218.60.56/~jnz1568/getInfo.php?workbook=13_02.xlsx&amp;sheet=U0&amp;row=861&amp;col=7&amp;number=5.85e-06&amp;sourceID=14","5.85e-06")</f>
        <v>5.85e-06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HYPERLINK("http://141.218.60.56/~jnz1568/getInfo.php?workbook=13_02.xlsx&amp;sheet=U0&amp;row=862&amp;col=6&amp;number=4.8&amp;sourceID=14","4.8")</f>
        <v>4.8</v>
      </c>
      <c r="G862" s="4" t="str">
        <f>HYPERLINK("http://141.218.60.56/~jnz1568/getInfo.php?workbook=13_02.xlsx&amp;sheet=U0&amp;row=862&amp;col=7&amp;number=5.84e-06&amp;sourceID=14","5.84e-06")</f>
        <v>5.84e-06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HYPERLINK("http://141.218.60.56/~jnz1568/getInfo.php?workbook=13_02.xlsx&amp;sheet=U0&amp;row=863&amp;col=6&amp;number=4.9&amp;sourceID=14","4.9")</f>
        <v>4.9</v>
      </c>
      <c r="G863" s="4" t="str">
        <f>HYPERLINK("http://141.218.60.56/~jnz1568/getInfo.php?workbook=13_02.xlsx&amp;sheet=U0&amp;row=863&amp;col=7&amp;number=5.83e-06&amp;sourceID=14","5.83e-06")</f>
        <v>5.83e-06</v>
      </c>
    </row>
    <row r="864" spans="1:7">
      <c r="A864" s="3">
        <v>13</v>
      </c>
      <c r="B864" s="3">
        <v>2</v>
      </c>
      <c r="C864" s="3" t="s">
        <v>83</v>
      </c>
      <c r="D864" s="3">
        <v>5</v>
      </c>
      <c r="E864" s="3">
        <v>1</v>
      </c>
      <c r="F864" s="4" t="str">
        <f>HYPERLINK("http://141.218.60.56/~jnz1568/getInfo.php?workbook=13_02.xlsx&amp;sheet=U0&amp;row=864&amp;col=6&amp;number=3&amp;sourceID=14","3")</f>
        <v>3</v>
      </c>
      <c r="G864" s="4" t="str">
        <f>HYPERLINK("http://141.218.60.56/~jnz1568/getInfo.php?workbook=13_02.xlsx&amp;sheet=U0&amp;row=864&amp;col=7&amp;number=3.33e-06&amp;sourceID=14","3.33e-06")</f>
        <v>3.33e-06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HYPERLINK("http://141.218.60.56/~jnz1568/getInfo.php?workbook=13_02.xlsx&amp;sheet=U0&amp;row=865&amp;col=6&amp;number=3.1&amp;sourceID=14","3.1")</f>
        <v>3.1</v>
      </c>
      <c r="G865" s="4" t="str">
        <f>HYPERLINK("http://141.218.60.56/~jnz1568/getInfo.php?workbook=13_02.xlsx&amp;sheet=U0&amp;row=865&amp;col=7&amp;number=3.33e-06&amp;sourceID=14","3.33e-06")</f>
        <v>3.33e-06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HYPERLINK("http://141.218.60.56/~jnz1568/getInfo.php?workbook=13_02.xlsx&amp;sheet=U0&amp;row=866&amp;col=6&amp;number=3.2&amp;sourceID=14","3.2")</f>
        <v>3.2</v>
      </c>
      <c r="G866" s="4" t="str">
        <f>HYPERLINK("http://141.218.60.56/~jnz1568/getInfo.php?workbook=13_02.xlsx&amp;sheet=U0&amp;row=866&amp;col=7&amp;number=3.33e-06&amp;sourceID=14","3.33e-06")</f>
        <v>3.33e-06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HYPERLINK("http://141.218.60.56/~jnz1568/getInfo.php?workbook=13_02.xlsx&amp;sheet=U0&amp;row=867&amp;col=6&amp;number=3.3&amp;sourceID=14","3.3")</f>
        <v>3.3</v>
      </c>
      <c r="G867" s="4" t="str">
        <f>HYPERLINK("http://141.218.60.56/~jnz1568/getInfo.php?workbook=13_02.xlsx&amp;sheet=U0&amp;row=867&amp;col=7&amp;number=3.33e-06&amp;sourceID=14","3.33e-06")</f>
        <v>3.33e-06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HYPERLINK("http://141.218.60.56/~jnz1568/getInfo.php?workbook=13_02.xlsx&amp;sheet=U0&amp;row=868&amp;col=6&amp;number=3.4&amp;sourceID=14","3.4")</f>
        <v>3.4</v>
      </c>
      <c r="G868" s="4" t="str">
        <f>HYPERLINK("http://141.218.60.56/~jnz1568/getInfo.php?workbook=13_02.xlsx&amp;sheet=U0&amp;row=868&amp;col=7&amp;number=3.33e-06&amp;sourceID=14","3.33e-06")</f>
        <v>3.33e-06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HYPERLINK("http://141.218.60.56/~jnz1568/getInfo.php?workbook=13_02.xlsx&amp;sheet=U0&amp;row=869&amp;col=6&amp;number=3.5&amp;sourceID=14","3.5")</f>
        <v>3.5</v>
      </c>
      <c r="G869" s="4" t="str">
        <f>HYPERLINK("http://141.218.60.56/~jnz1568/getInfo.php?workbook=13_02.xlsx&amp;sheet=U0&amp;row=869&amp;col=7&amp;number=3.33e-06&amp;sourceID=14","3.33e-06")</f>
        <v>3.33e-06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HYPERLINK("http://141.218.60.56/~jnz1568/getInfo.php?workbook=13_02.xlsx&amp;sheet=U0&amp;row=870&amp;col=6&amp;number=3.6&amp;sourceID=14","3.6")</f>
        <v>3.6</v>
      </c>
      <c r="G870" s="4" t="str">
        <f>HYPERLINK("http://141.218.60.56/~jnz1568/getInfo.php?workbook=13_02.xlsx&amp;sheet=U0&amp;row=870&amp;col=7&amp;number=3.33e-06&amp;sourceID=14","3.33e-06")</f>
        <v>3.33e-06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HYPERLINK("http://141.218.60.56/~jnz1568/getInfo.php?workbook=13_02.xlsx&amp;sheet=U0&amp;row=871&amp;col=6&amp;number=3.7&amp;sourceID=14","3.7")</f>
        <v>3.7</v>
      </c>
      <c r="G871" s="4" t="str">
        <f>HYPERLINK("http://141.218.60.56/~jnz1568/getInfo.php?workbook=13_02.xlsx&amp;sheet=U0&amp;row=871&amp;col=7&amp;number=3.33e-06&amp;sourceID=14","3.33e-06")</f>
        <v>3.33e-06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HYPERLINK("http://141.218.60.56/~jnz1568/getInfo.php?workbook=13_02.xlsx&amp;sheet=U0&amp;row=872&amp;col=6&amp;number=3.8&amp;sourceID=14","3.8")</f>
        <v>3.8</v>
      </c>
      <c r="G872" s="4" t="str">
        <f>HYPERLINK("http://141.218.60.56/~jnz1568/getInfo.php?workbook=13_02.xlsx&amp;sheet=U0&amp;row=872&amp;col=7&amp;number=3.33e-06&amp;sourceID=14","3.33e-06")</f>
        <v>3.33e-06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HYPERLINK("http://141.218.60.56/~jnz1568/getInfo.php?workbook=13_02.xlsx&amp;sheet=U0&amp;row=873&amp;col=6&amp;number=3.9&amp;sourceID=14","3.9")</f>
        <v>3.9</v>
      </c>
      <c r="G873" s="4" t="str">
        <f>HYPERLINK("http://141.218.60.56/~jnz1568/getInfo.php?workbook=13_02.xlsx&amp;sheet=U0&amp;row=873&amp;col=7&amp;number=3.33e-06&amp;sourceID=14","3.33e-06")</f>
        <v>3.33e-06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HYPERLINK("http://141.218.60.56/~jnz1568/getInfo.php?workbook=13_02.xlsx&amp;sheet=U0&amp;row=874&amp;col=6&amp;number=4&amp;sourceID=14","4")</f>
        <v>4</v>
      </c>
      <c r="G874" s="4" t="str">
        <f>HYPERLINK("http://141.218.60.56/~jnz1568/getInfo.php?workbook=13_02.xlsx&amp;sheet=U0&amp;row=874&amp;col=7&amp;number=3.33e-06&amp;sourceID=14","3.33e-06")</f>
        <v>3.33e-06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HYPERLINK("http://141.218.60.56/~jnz1568/getInfo.php?workbook=13_02.xlsx&amp;sheet=U0&amp;row=875&amp;col=6&amp;number=4.1&amp;sourceID=14","4.1")</f>
        <v>4.1</v>
      </c>
      <c r="G875" s="4" t="str">
        <f>HYPERLINK("http://141.218.60.56/~jnz1568/getInfo.php?workbook=13_02.xlsx&amp;sheet=U0&amp;row=875&amp;col=7&amp;number=3.33e-06&amp;sourceID=14","3.33e-06")</f>
        <v>3.33e-06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HYPERLINK("http://141.218.60.56/~jnz1568/getInfo.php?workbook=13_02.xlsx&amp;sheet=U0&amp;row=876&amp;col=6&amp;number=4.2&amp;sourceID=14","4.2")</f>
        <v>4.2</v>
      </c>
      <c r="G876" s="4" t="str">
        <f>HYPERLINK("http://141.218.60.56/~jnz1568/getInfo.php?workbook=13_02.xlsx&amp;sheet=U0&amp;row=876&amp;col=7&amp;number=3.33e-06&amp;sourceID=14","3.33e-06")</f>
        <v>3.33e-06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HYPERLINK("http://141.218.60.56/~jnz1568/getInfo.php?workbook=13_02.xlsx&amp;sheet=U0&amp;row=877&amp;col=6&amp;number=4.3&amp;sourceID=14","4.3")</f>
        <v>4.3</v>
      </c>
      <c r="G877" s="4" t="str">
        <f>HYPERLINK("http://141.218.60.56/~jnz1568/getInfo.php?workbook=13_02.xlsx&amp;sheet=U0&amp;row=877&amp;col=7&amp;number=3.33e-06&amp;sourceID=14","3.33e-06")</f>
        <v>3.33e-06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HYPERLINK("http://141.218.60.56/~jnz1568/getInfo.php?workbook=13_02.xlsx&amp;sheet=U0&amp;row=878&amp;col=6&amp;number=4.4&amp;sourceID=14","4.4")</f>
        <v>4.4</v>
      </c>
      <c r="G878" s="4" t="str">
        <f>HYPERLINK("http://141.218.60.56/~jnz1568/getInfo.php?workbook=13_02.xlsx&amp;sheet=U0&amp;row=878&amp;col=7&amp;number=3.33e-06&amp;sourceID=14","3.33e-06")</f>
        <v>3.33e-06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HYPERLINK("http://141.218.60.56/~jnz1568/getInfo.php?workbook=13_02.xlsx&amp;sheet=U0&amp;row=879&amp;col=6&amp;number=4.5&amp;sourceID=14","4.5")</f>
        <v>4.5</v>
      </c>
      <c r="G879" s="4" t="str">
        <f>HYPERLINK("http://141.218.60.56/~jnz1568/getInfo.php?workbook=13_02.xlsx&amp;sheet=U0&amp;row=879&amp;col=7&amp;number=3.32e-06&amp;sourceID=14","3.32e-06")</f>
        <v>3.32e-06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HYPERLINK("http://141.218.60.56/~jnz1568/getInfo.php?workbook=13_02.xlsx&amp;sheet=U0&amp;row=880&amp;col=6&amp;number=4.6&amp;sourceID=14","4.6")</f>
        <v>4.6</v>
      </c>
      <c r="G880" s="4" t="str">
        <f>HYPERLINK("http://141.218.60.56/~jnz1568/getInfo.php?workbook=13_02.xlsx&amp;sheet=U0&amp;row=880&amp;col=7&amp;number=3.32e-06&amp;sourceID=14","3.32e-06")</f>
        <v>3.32e-06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HYPERLINK("http://141.218.60.56/~jnz1568/getInfo.php?workbook=13_02.xlsx&amp;sheet=U0&amp;row=881&amp;col=6&amp;number=4.7&amp;sourceID=14","4.7")</f>
        <v>4.7</v>
      </c>
      <c r="G881" s="4" t="str">
        <f>HYPERLINK("http://141.218.60.56/~jnz1568/getInfo.php?workbook=13_02.xlsx&amp;sheet=U0&amp;row=881&amp;col=7&amp;number=3.32e-06&amp;sourceID=14","3.32e-06")</f>
        <v>3.32e-06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HYPERLINK("http://141.218.60.56/~jnz1568/getInfo.php?workbook=13_02.xlsx&amp;sheet=U0&amp;row=882&amp;col=6&amp;number=4.8&amp;sourceID=14","4.8")</f>
        <v>4.8</v>
      </c>
      <c r="G882" s="4" t="str">
        <f>HYPERLINK("http://141.218.60.56/~jnz1568/getInfo.php?workbook=13_02.xlsx&amp;sheet=U0&amp;row=882&amp;col=7&amp;number=3.32e-06&amp;sourceID=14","3.32e-06")</f>
        <v>3.32e-06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HYPERLINK("http://141.218.60.56/~jnz1568/getInfo.php?workbook=13_02.xlsx&amp;sheet=U0&amp;row=883&amp;col=6&amp;number=4.9&amp;sourceID=14","4.9")</f>
        <v>4.9</v>
      </c>
      <c r="G883" s="4" t="str">
        <f>HYPERLINK("http://141.218.60.56/~jnz1568/getInfo.php?workbook=13_02.xlsx&amp;sheet=U0&amp;row=883&amp;col=7&amp;number=3.32e-06&amp;sourceID=14","3.32e-06")</f>
        <v>3.32e-06</v>
      </c>
    </row>
    <row r="884" spans="1:7">
      <c r="A884" s="3">
        <v>13</v>
      </c>
      <c r="B884" s="3">
        <v>2</v>
      </c>
      <c r="C884" s="3" t="s">
        <v>83</v>
      </c>
      <c r="D884" s="3">
        <v>6</v>
      </c>
      <c r="E884" s="3">
        <v>1</v>
      </c>
      <c r="F884" s="4" t="str">
        <f>HYPERLINK("http://141.218.60.56/~jnz1568/getInfo.php?workbook=13_02.xlsx&amp;sheet=U0&amp;row=884&amp;col=6&amp;number=3&amp;sourceID=14","3")</f>
        <v>3</v>
      </c>
      <c r="G884" s="4" t="str">
        <f>HYPERLINK("http://141.218.60.56/~jnz1568/getInfo.php?workbook=13_02.xlsx&amp;sheet=U0&amp;row=884&amp;col=7&amp;number=7.77e-08&amp;sourceID=14","7.77e-08")</f>
        <v>7.77e-08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HYPERLINK("http://141.218.60.56/~jnz1568/getInfo.php?workbook=13_02.xlsx&amp;sheet=U0&amp;row=885&amp;col=6&amp;number=3.1&amp;sourceID=14","3.1")</f>
        <v>3.1</v>
      </c>
      <c r="G885" s="4" t="str">
        <f>HYPERLINK("http://141.218.60.56/~jnz1568/getInfo.php?workbook=13_02.xlsx&amp;sheet=U0&amp;row=885&amp;col=7&amp;number=7.77e-08&amp;sourceID=14","7.77e-08")</f>
        <v>7.77e-08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HYPERLINK("http://141.218.60.56/~jnz1568/getInfo.php?workbook=13_02.xlsx&amp;sheet=U0&amp;row=886&amp;col=6&amp;number=3.2&amp;sourceID=14","3.2")</f>
        <v>3.2</v>
      </c>
      <c r="G886" s="4" t="str">
        <f>HYPERLINK("http://141.218.60.56/~jnz1568/getInfo.php?workbook=13_02.xlsx&amp;sheet=U0&amp;row=886&amp;col=7&amp;number=7.77e-08&amp;sourceID=14","7.77e-08")</f>
        <v>7.77e-08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HYPERLINK("http://141.218.60.56/~jnz1568/getInfo.php?workbook=13_02.xlsx&amp;sheet=U0&amp;row=887&amp;col=6&amp;number=3.3&amp;sourceID=14","3.3")</f>
        <v>3.3</v>
      </c>
      <c r="G887" s="4" t="str">
        <f>HYPERLINK("http://141.218.60.56/~jnz1568/getInfo.php?workbook=13_02.xlsx&amp;sheet=U0&amp;row=887&amp;col=7&amp;number=7.77e-08&amp;sourceID=14","7.77e-08")</f>
        <v>7.77e-08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HYPERLINK("http://141.218.60.56/~jnz1568/getInfo.php?workbook=13_02.xlsx&amp;sheet=U0&amp;row=888&amp;col=6&amp;number=3.4&amp;sourceID=14","3.4")</f>
        <v>3.4</v>
      </c>
      <c r="G888" s="4" t="str">
        <f>HYPERLINK("http://141.218.60.56/~jnz1568/getInfo.php?workbook=13_02.xlsx&amp;sheet=U0&amp;row=888&amp;col=7&amp;number=7.77e-08&amp;sourceID=14","7.77e-08")</f>
        <v>7.77e-08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HYPERLINK("http://141.218.60.56/~jnz1568/getInfo.php?workbook=13_02.xlsx&amp;sheet=U0&amp;row=889&amp;col=6&amp;number=3.5&amp;sourceID=14","3.5")</f>
        <v>3.5</v>
      </c>
      <c r="G889" s="4" t="str">
        <f>HYPERLINK("http://141.218.60.56/~jnz1568/getInfo.php?workbook=13_02.xlsx&amp;sheet=U0&amp;row=889&amp;col=7&amp;number=7.77e-08&amp;sourceID=14","7.77e-08")</f>
        <v>7.77e-08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HYPERLINK("http://141.218.60.56/~jnz1568/getInfo.php?workbook=13_02.xlsx&amp;sheet=U0&amp;row=890&amp;col=6&amp;number=3.6&amp;sourceID=14","3.6")</f>
        <v>3.6</v>
      </c>
      <c r="G890" s="4" t="str">
        <f>HYPERLINK("http://141.218.60.56/~jnz1568/getInfo.php?workbook=13_02.xlsx&amp;sheet=U0&amp;row=890&amp;col=7&amp;number=7.77e-08&amp;sourceID=14","7.77e-08")</f>
        <v>7.77e-08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HYPERLINK("http://141.218.60.56/~jnz1568/getInfo.php?workbook=13_02.xlsx&amp;sheet=U0&amp;row=891&amp;col=6&amp;number=3.7&amp;sourceID=14","3.7")</f>
        <v>3.7</v>
      </c>
      <c r="G891" s="4" t="str">
        <f>HYPERLINK("http://141.218.60.56/~jnz1568/getInfo.php?workbook=13_02.xlsx&amp;sheet=U0&amp;row=891&amp;col=7&amp;number=7.77e-08&amp;sourceID=14","7.77e-08")</f>
        <v>7.77e-08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HYPERLINK("http://141.218.60.56/~jnz1568/getInfo.php?workbook=13_02.xlsx&amp;sheet=U0&amp;row=892&amp;col=6&amp;number=3.8&amp;sourceID=14","3.8")</f>
        <v>3.8</v>
      </c>
      <c r="G892" s="4" t="str">
        <f>HYPERLINK("http://141.218.60.56/~jnz1568/getInfo.php?workbook=13_02.xlsx&amp;sheet=U0&amp;row=892&amp;col=7&amp;number=7.77e-08&amp;sourceID=14","7.77e-08")</f>
        <v>7.77e-08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HYPERLINK("http://141.218.60.56/~jnz1568/getInfo.php?workbook=13_02.xlsx&amp;sheet=U0&amp;row=893&amp;col=6&amp;number=3.9&amp;sourceID=14","3.9")</f>
        <v>3.9</v>
      </c>
      <c r="G893" s="4" t="str">
        <f>HYPERLINK("http://141.218.60.56/~jnz1568/getInfo.php?workbook=13_02.xlsx&amp;sheet=U0&amp;row=893&amp;col=7&amp;number=7.77e-08&amp;sourceID=14","7.77e-08")</f>
        <v>7.77e-08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HYPERLINK("http://141.218.60.56/~jnz1568/getInfo.php?workbook=13_02.xlsx&amp;sheet=U0&amp;row=894&amp;col=6&amp;number=4&amp;sourceID=14","4")</f>
        <v>4</v>
      </c>
      <c r="G894" s="4" t="str">
        <f>HYPERLINK("http://141.218.60.56/~jnz1568/getInfo.php?workbook=13_02.xlsx&amp;sheet=U0&amp;row=894&amp;col=7&amp;number=7.77e-08&amp;sourceID=14","7.77e-08")</f>
        <v>7.77e-08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HYPERLINK("http://141.218.60.56/~jnz1568/getInfo.php?workbook=13_02.xlsx&amp;sheet=U0&amp;row=895&amp;col=6&amp;number=4.1&amp;sourceID=14","4.1")</f>
        <v>4.1</v>
      </c>
      <c r="G895" s="4" t="str">
        <f>HYPERLINK("http://141.218.60.56/~jnz1568/getInfo.php?workbook=13_02.xlsx&amp;sheet=U0&amp;row=895&amp;col=7&amp;number=7.76e-08&amp;sourceID=14","7.76e-08")</f>
        <v>7.76e-08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HYPERLINK("http://141.218.60.56/~jnz1568/getInfo.php?workbook=13_02.xlsx&amp;sheet=U0&amp;row=896&amp;col=6&amp;number=4.2&amp;sourceID=14","4.2")</f>
        <v>4.2</v>
      </c>
      <c r="G896" s="4" t="str">
        <f>HYPERLINK("http://141.218.60.56/~jnz1568/getInfo.php?workbook=13_02.xlsx&amp;sheet=U0&amp;row=896&amp;col=7&amp;number=7.76e-08&amp;sourceID=14","7.76e-08")</f>
        <v>7.76e-08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HYPERLINK("http://141.218.60.56/~jnz1568/getInfo.php?workbook=13_02.xlsx&amp;sheet=U0&amp;row=897&amp;col=6&amp;number=4.3&amp;sourceID=14","4.3")</f>
        <v>4.3</v>
      </c>
      <c r="G897" s="4" t="str">
        <f>HYPERLINK("http://141.218.60.56/~jnz1568/getInfo.php?workbook=13_02.xlsx&amp;sheet=U0&amp;row=897&amp;col=7&amp;number=7.76e-08&amp;sourceID=14","7.76e-08")</f>
        <v>7.76e-08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HYPERLINK("http://141.218.60.56/~jnz1568/getInfo.php?workbook=13_02.xlsx&amp;sheet=U0&amp;row=898&amp;col=6&amp;number=4.4&amp;sourceID=14","4.4")</f>
        <v>4.4</v>
      </c>
      <c r="G898" s="4" t="str">
        <f>HYPERLINK("http://141.218.60.56/~jnz1568/getInfo.php?workbook=13_02.xlsx&amp;sheet=U0&amp;row=898&amp;col=7&amp;number=7.76e-08&amp;sourceID=14","7.76e-08")</f>
        <v>7.76e-08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HYPERLINK("http://141.218.60.56/~jnz1568/getInfo.php?workbook=13_02.xlsx&amp;sheet=U0&amp;row=899&amp;col=6&amp;number=4.5&amp;sourceID=14","4.5")</f>
        <v>4.5</v>
      </c>
      <c r="G899" s="4" t="str">
        <f>HYPERLINK("http://141.218.60.56/~jnz1568/getInfo.php?workbook=13_02.xlsx&amp;sheet=U0&amp;row=899&amp;col=7&amp;number=7.75e-08&amp;sourceID=14","7.75e-08")</f>
        <v>7.75e-08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HYPERLINK("http://141.218.60.56/~jnz1568/getInfo.php?workbook=13_02.xlsx&amp;sheet=U0&amp;row=900&amp;col=6&amp;number=4.6&amp;sourceID=14","4.6")</f>
        <v>4.6</v>
      </c>
      <c r="G900" s="4" t="str">
        <f>HYPERLINK("http://141.218.60.56/~jnz1568/getInfo.php?workbook=13_02.xlsx&amp;sheet=U0&amp;row=900&amp;col=7&amp;number=7.75e-08&amp;sourceID=14","7.75e-08")</f>
        <v>7.75e-08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HYPERLINK("http://141.218.60.56/~jnz1568/getInfo.php?workbook=13_02.xlsx&amp;sheet=U0&amp;row=901&amp;col=6&amp;number=4.7&amp;sourceID=14","4.7")</f>
        <v>4.7</v>
      </c>
      <c r="G901" s="4" t="str">
        <f>HYPERLINK("http://141.218.60.56/~jnz1568/getInfo.php?workbook=13_02.xlsx&amp;sheet=U0&amp;row=901&amp;col=7&amp;number=7.74e-08&amp;sourceID=14","7.74e-08")</f>
        <v>7.74e-08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HYPERLINK("http://141.218.60.56/~jnz1568/getInfo.php?workbook=13_02.xlsx&amp;sheet=U0&amp;row=902&amp;col=6&amp;number=4.8&amp;sourceID=14","4.8")</f>
        <v>4.8</v>
      </c>
      <c r="G902" s="4" t="str">
        <f>HYPERLINK("http://141.218.60.56/~jnz1568/getInfo.php?workbook=13_02.xlsx&amp;sheet=U0&amp;row=902&amp;col=7&amp;number=7.73e-08&amp;sourceID=14","7.73e-08")</f>
        <v>7.73e-08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HYPERLINK("http://141.218.60.56/~jnz1568/getInfo.php?workbook=13_02.xlsx&amp;sheet=U0&amp;row=903&amp;col=6&amp;number=4.9&amp;sourceID=14","4.9")</f>
        <v>4.9</v>
      </c>
      <c r="G903" s="4" t="str">
        <f>HYPERLINK("http://141.218.60.56/~jnz1568/getInfo.php?workbook=13_02.xlsx&amp;sheet=U0&amp;row=903&amp;col=7&amp;number=7.72e-08&amp;sourceID=14","7.72e-08")</f>
        <v>7.72e-08</v>
      </c>
    </row>
    <row r="904" spans="1:7">
      <c r="A904" s="3">
        <v>13</v>
      </c>
      <c r="B904" s="3">
        <v>2</v>
      </c>
      <c r="C904" s="3" t="s">
        <v>83</v>
      </c>
      <c r="D904" s="3">
        <v>7</v>
      </c>
      <c r="E904" s="3">
        <v>1</v>
      </c>
      <c r="F904" s="4" t="str">
        <f>HYPERLINK("http://141.218.60.56/~jnz1568/getInfo.php?workbook=13_02.xlsx&amp;sheet=U0&amp;row=904&amp;col=6&amp;number=3&amp;sourceID=14","3")</f>
        <v>3</v>
      </c>
      <c r="G904" s="4" t="str">
        <f>HYPERLINK("http://141.218.60.56/~jnz1568/getInfo.php?workbook=13_02.xlsx&amp;sheet=U0&amp;row=904&amp;col=7&amp;number=8.87e-08&amp;sourceID=14","8.87e-08")</f>
        <v>8.87e-08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HYPERLINK("http://141.218.60.56/~jnz1568/getInfo.php?workbook=13_02.xlsx&amp;sheet=U0&amp;row=905&amp;col=6&amp;number=3.1&amp;sourceID=14","3.1")</f>
        <v>3.1</v>
      </c>
      <c r="G905" s="4" t="str">
        <f>HYPERLINK("http://141.218.60.56/~jnz1568/getInfo.php?workbook=13_02.xlsx&amp;sheet=U0&amp;row=905&amp;col=7&amp;number=8.87e-08&amp;sourceID=14","8.87e-08")</f>
        <v>8.87e-08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HYPERLINK("http://141.218.60.56/~jnz1568/getInfo.php?workbook=13_02.xlsx&amp;sheet=U0&amp;row=906&amp;col=6&amp;number=3.2&amp;sourceID=14","3.2")</f>
        <v>3.2</v>
      </c>
      <c r="G906" s="4" t="str">
        <f>HYPERLINK("http://141.218.60.56/~jnz1568/getInfo.php?workbook=13_02.xlsx&amp;sheet=U0&amp;row=906&amp;col=7&amp;number=8.87e-08&amp;sourceID=14","8.87e-08")</f>
        <v>8.87e-08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HYPERLINK("http://141.218.60.56/~jnz1568/getInfo.php?workbook=13_02.xlsx&amp;sheet=U0&amp;row=907&amp;col=6&amp;number=3.3&amp;sourceID=14","3.3")</f>
        <v>3.3</v>
      </c>
      <c r="G907" s="4" t="str">
        <f>HYPERLINK("http://141.218.60.56/~jnz1568/getInfo.php?workbook=13_02.xlsx&amp;sheet=U0&amp;row=907&amp;col=7&amp;number=8.87e-08&amp;sourceID=14","8.87e-08")</f>
        <v>8.87e-08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HYPERLINK("http://141.218.60.56/~jnz1568/getInfo.php?workbook=13_02.xlsx&amp;sheet=U0&amp;row=908&amp;col=6&amp;number=3.4&amp;sourceID=14","3.4")</f>
        <v>3.4</v>
      </c>
      <c r="G908" s="4" t="str">
        <f>HYPERLINK("http://141.218.60.56/~jnz1568/getInfo.php?workbook=13_02.xlsx&amp;sheet=U0&amp;row=908&amp;col=7&amp;number=8.87e-08&amp;sourceID=14","8.87e-08")</f>
        <v>8.87e-08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HYPERLINK("http://141.218.60.56/~jnz1568/getInfo.php?workbook=13_02.xlsx&amp;sheet=U0&amp;row=909&amp;col=6&amp;number=3.5&amp;sourceID=14","3.5")</f>
        <v>3.5</v>
      </c>
      <c r="G909" s="4" t="str">
        <f>HYPERLINK("http://141.218.60.56/~jnz1568/getInfo.php?workbook=13_02.xlsx&amp;sheet=U0&amp;row=909&amp;col=7&amp;number=8.87e-08&amp;sourceID=14","8.87e-08")</f>
        <v>8.87e-08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HYPERLINK("http://141.218.60.56/~jnz1568/getInfo.php?workbook=13_02.xlsx&amp;sheet=U0&amp;row=910&amp;col=6&amp;number=3.6&amp;sourceID=14","3.6")</f>
        <v>3.6</v>
      </c>
      <c r="G910" s="4" t="str">
        <f>HYPERLINK("http://141.218.60.56/~jnz1568/getInfo.php?workbook=13_02.xlsx&amp;sheet=U0&amp;row=910&amp;col=7&amp;number=8.87e-08&amp;sourceID=14","8.87e-08")</f>
        <v>8.87e-08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HYPERLINK("http://141.218.60.56/~jnz1568/getInfo.php?workbook=13_02.xlsx&amp;sheet=U0&amp;row=911&amp;col=6&amp;number=3.7&amp;sourceID=14","3.7")</f>
        <v>3.7</v>
      </c>
      <c r="G911" s="4" t="str">
        <f>HYPERLINK("http://141.218.60.56/~jnz1568/getInfo.php?workbook=13_02.xlsx&amp;sheet=U0&amp;row=911&amp;col=7&amp;number=8.87e-08&amp;sourceID=14","8.87e-08")</f>
        <v>8.87e-08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HYPERLINK("http://141.218.60.56/~jnz1568/getInfo.php?workbook=13_02.xlsx&amp;sheet=U0&amp;row=912&amp;col=6&amp;number=3.8&amp;sourceID=14","3.8")</f>
        <v>3.8</v>
      </c>
      <c r="G912" s="4" t="str">
        <f>HYPERLINK("http://141.218.60.56/~jnz1568/getInfo.php?workbook=13_02.xlsx&amp;sheet=U0&amp;row=912&amp;col=7&amp;number=8.87e-08&amp;sourceID=14","8.87e-08")</f>
        <v>8.87e-08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HYPERLINK("http://141.218.60.56/~jnz1568/getInfo.php?workbook=13_02.xlsx&amp;sheet=U0&amp;row=913&amp;col=6&amp;number=3.9&amp;sourceID=14","3.9")</f>
        <v>3.9</v>
      </c>
      <c r="G913" s="4" t="str">
        <f>HYPERLINK("http://141.218.60.56/~jnz1568/getInfo.php?workbook=13_02.xlsx&amp;sheet=U0&amp;row=913&amp;col=7&amp;number=8.87e-08&amp;sourceID=14","8.87e-08")</f>
        <v>8.87e-08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HYPERLINK("http://141.218.60.56/~jnz1568/getInfo.php?workbook=13_02.xlsx&amp;sheet=U0&amp;row=914&amp;col=6&amp;number=4&amp;sourceID=14","4")</f>
        <v>4</v>
      </c>
      <c r="G914" s="4" t="str">
        <f>HYPERLINK("http://141.218.60.56/~jnz1568/getInfo.php?workbook=13_02.xlsx&amp;sheet=U0&amp;row=914&amp;col=7&amp;number=8.86e-08&amp;sourceID=14","8.86e-08")</f>
        <v>8.86e-08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HYPERLINK("http://141.218.60.56/~jnz1568/getInfo.php?workbook=13_02.xlsx&amp;sheet=U0&amp;row=915&amp;col=6&amp;number=4.1&amp;sourceID=14","4.1")</f>
        <v>4.1</v>
      </c>
      <c r="G915" s="4" t="str">
        <f>HYPERLINK("http://141.218.60.56/~jnz1568/getInfo.php?workbook=13_02.xlsx&amp;sheet=U0&amp;row=915&amp;col=7&amp;number=8.86e-08&amp;sourceID=14","8.86e-08")</f>
        <v>8.86e-08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HYPERLINK("http://141.218.60.56/~jnz1568/getInfo.php?workbook=13_02.xlsx&amp;sheet=U0&amp;row=916&amp;col=6&amp;number=4.2&amp;sourceID=14","4.2")</f>
        <v>4.2</v>
      </c>
      <c r="G916" s="4" t="str">
        <f>HYPERLINK("http://141.218.60.56/~jnz1568/getInfo.php?workbook=13_02.xlsx&amp;sheet=U0&amp;row=916&amp;col=7&amp;number=8.86e-08&amp;sourceID=14","8.86e-08")</f>
        <v>8.86e-08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HYPERLINK("http://141.218.60.56/~jnz1568/getInfo.php?workbook=13_02.xlsx&amp;sheet=U0&amp;row=917&amp;col=6&amp;number=4.3&amp;sourceID=14","4.3")</f>
        <v>4.3</v>
      </c>
      <c r="G917" s="4" t="str">
        <f>HYPERLINK("http://141.218.60.56/~jnz1568/getInfo.php?workbook=13_02.xlsx&amp;sheet=U0&amp;row=917&amp;col=7&amp;number=8.85e-08&amp;sourceID=14","8.85e-08")</f>
        <v>8.85e-08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HYPERLINK("http://141.218.60.56/~jnz1568/getInfo.php?workbook=13_02.xlsx&amp;sheet=U0&amp;row=918&amp;col=6&amp;number=4.4&amp;sourceID=14","4.4")</f>
        <v>4.4</v>
      </c>
      <c r="G918" s="4" t="str">
        <f>HYPERLINK("http://141.218.60.56/~jnz1568/getInfo.php?workbook=13_02.xlsx&amp;sheet=U0&amp;row=918&amp;col=7&amp;number=8.84e-08&amp;sourceID=14","8.84e-08")</f>
        <v>8.84e-08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HYPERLINK("http://141.218.60.56/~jnz1568/getInfo.php?workbook=13_02.xlsx&amp;sheet=U0&amp;row=919&amp;col=6&amp;number=4.5&amp;sourceID=14","4.5")</f>
        <v>4.5</v>
      </c>
      <c r="G919" s="4" t="str">
        <f>HYPERLINK("http://141.218.60.56/~jnz1568/getInfo.php?workbook=13_02.xlsx&amp;sheet=U0&amp;row=919&amp;col=7&amp;number=8.84e-08&amp;sourceID=14","8.84e-08")</f>
        <v>8.84e-08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HYPERLINK("http://141.218.60.56/~jnz1568/getInfo.php?workbook=13_02.xlsx&amp;sheet=U0&amp;row=920&amp;col=6&amp;number=4.6&amp;sourceID=14","4.6")</f>
        <v>4.6</v>
      </c>
      <c r="G920" s="4" t="str">
        <f>HYPERLINK("http://141.218.60.56/~jnz1568/getInfo.php?workbook=13_02.xlsx&amp;sheet=U0&amp;row=920&amp;col=7&amp;number=8.83e-08&amp;sourceID=14","8.83e-08")</f>
        <v>8.83e-08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HYPERLINK("http://141.218.60.56/~jnz1568/getInfo.php?workbook=13_02.xlsx&amp;sheet=U0&amp;row=921&amp;col=6&amp;number=4.7&amp;sourceID=14","4.7")</f>
        <v>4.7</v>
      </c>
      <c r="G921" s="4" t="str">
        <f>HYPERLINK("http://141.218.60.56/~jnz1568/getInfo.php?workbook=13_02.xlsx&amp;sheet=U0&amp;row=921&amp;col=7&amp;number=8.81e-08&amp;sourceID=14","8.81e-08")</f>
        <v>8.81e-08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HYPERLINK("http://141.218.60.56/~jnz1568/getInfo.php?workbook=13_02.xlsx&amp;sheet=U0&amp;row=922&amp;col=6&amp;number=4.8&amp;sourceID=14","4.8")</f>
        <v>4.8</v>
      </c>
      <c r="G922" s="4" t="str">
        <f>HYPERLINK("http://141.218.60.56/~jnz1568/getInfo.php?workbook=13_02.xlsx&amp;sheet=U0&amp;row=922&amp;col=7&amp;number=8.8e-08&amp;sourceID=14","8.8e-08")</f>
        <v>8.8e-08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HYPERLINK("http://141.218.60.56/~jnz1568/getInfo.php?workbook=13_02.xlsx&amp;sheet=U0&amp;row=923&amp;col=6&amp;number=4.9&amp;sourceID=14","4.9")</f>
        <v>4.9</v>
      </c>
      <c r="G923" s="4" t="str">
        <f>HYPERLINK("http://141.218.60.56/~jnz1568/getInfo.php?workbook=13_02.xlsx&amp;sheet=U0&amp;row=923&amp;col=7&amp;number=8.78e-08&amp;sourceID=14","8.78e-08")</f>
        <v>8.78e-08</v>
      </c>
    </row>
    <row r="924" spans="1:7">
      <c r="A924" s="3">
        <v>13</v>
      </c>
      <c r="B924" s="3">
        <v>2</v>
      </c>
      <c r="C924" s="3" t="s">
        <v>83</v>
      </c>
      <c r="D924" s="3">
        <v>8</v>
      </c>
      <c r="E924" s="3">
        <v>1</v>
      </c>
      <c r="F924" s="4" t="str">
        <f>HYPERLINK("http://141.218.60.56/~jnz1568/getInfo.php?workbook=13_02.xlsx&amp;sheet=U0&amp;row=924&amp;col=6&amp;number=3&amp;sourceID=14","3")</f>
        <v>3</v>
      </c>
      <c r="G924" s="4" t="str">
        <f>HYPERLINK("http://141.218.60.56/~jnz1568/getInfo.php?workbook=13_02.xlsx&amp;sheet=U0&amp;row=924&amp;col=7&amp;number=1.39e-07&amp;sourceID=14","1.39e-07")</f>
        <v>1.39e-07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HYPERLINK("http://141.218.60.56/~jnz1568/getInfo.php?workbook=13_02.xlsx&amp;sheet=U0&amp;row=925&amp;col=6&amp;number=3.1&amp;sourceID=14","3.1")</f>
        <v>3.1</v>
      </c>
      <c r="G925" s="4" t="str">
        <f>HYPERLINK("http://141.218.60.56/~jnz1568/getInfo.php?workbook=13_02.xlsx&amp;sheet=U0&amp;row=925&amp;col=7&amp;number=1.39e-07&amp;sourceID=14","1.39e-07")</f>
        <v>1.39e-07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HYPERLINK("http://141.218.60.56/~jnz1568/getInfo.php?workbook=13_02.xlsx&amp;sheet=U0&amp;row=926&amp;col=6&amp;number=3.2&amp;sourceID=14","3.2")</f>
        <v>3.2</v>
      </c>
      <c r="G926" s="4" t="str">
        <f>HYPERLINK("http://141.218.60.56/~jnz1568/getInfo.php?workbook=13_02.xlsx&amp;sheet=U0&amp;row=926&amp;col=7&amp;number=1.39e-07&amp;sourceID=14","1.39e-07")</f>
        <v>1.39e-07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HYPERLINK("http://141.218.60.56/~jnz1568/getInfo.php?workbook=13_02.xlsx&amp;sheet=U0&amp;row=927&amp;col=6&amp;number=3.3&amp;sourceID=14","3.3")</f>
        <v>3.3</v>
      </c>
      <c r="G927" s="4" t="str">
        <f>HYPERLINK("http://141.218.60.56/~jnz1568/getInfo.php?workbook=13_02.xlsx&amp;sheet=U0&amp;row=927&amp;col=7&amp;number=1.39e-07&amp;sourceID=14","1.39e-07")</f>
        <v>1.39e-07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HYPERLINK("http://141.218.60.56/~jnz1568/getInfo.php?workbook=13_02.xlsx&amp;sheet=U0&amp;row=928&amp;col=6&amp;number=3.4&amp;sourceID=14","3.4")</f>
        <v>3.4</v>
      </c>
      <c r="G928" s="4" t="str">
        <f>HYPERLINK("http://141.218.60.56/~jnz1568/getInfo.php?workbook=13_02.xlsx&amp;sheet=U0&amp;row=928&amp;col=7&amp;number=1.39e-07&amp;sourceID=14","1.39e-07")</f>
        <v>1.39e-07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HYPERLINK("http://141.218.60.56/~jnz1568/getInfo.php?workbook=13_02.xlsx&amp;sheet=U0&amp;row=929&amp;col=6&amp;number=3.5&amp;sourceID=14","3.5")</f>
        <v>3.5</v>
      </c>
      <c r="G929" s="4" t="str">
        <f>HYPERLINK("http://141.218.60.56/~jnz1568/getInfo.php?workbook=13_02.xlsx&amp;sheet=U0&amp;row=929&amp;col=7&amp;number=1.39e-07&amp;sourceID=14","1.39e-07")</f>
        <v>1.39e-07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HYPERLINK("http://141.218.60.56/~jnz1568/getInfo.php?workbook=13_02.xlsx&amp;sheet=U0&amp;row=930&amp;col=6&amp;number=3.6&amp;sourceID=14","3.6")</f>
        <v>3.6</v>
      </c>
      <c r="G930" s="4" t="str">
        <f>HYPERLINK("http://141.218.60.56/~jnz1568/getInfo.php?workbook=13_02.xlsx&amp;sheet=U0&amp;row=930&amp;col=7&amp;number=1.39e-07&amp;sourceID=14","1.39e-07")</f>
        <v>1.39e-07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HYPERLINK("http://141.218.60.56/~jnz1568/getInfo.php?workbook=13_02.xlsx&amp;sheet=U0&amp;row=931&amp;col=6&amp;number=3.7&amp;sourceID=14","3.7")</f>
        <v>3.7</v>
      </c>
      <c r="G931" s="4" t="str">
        <f>HYPERLINK("http://141.218.60.56/~jnz1568/getInfo.php?workbook=13_02.xlsx&amp;sheet=U0&amp;row=931&amp;col=7&amp;number=1.39e-07&amp;sourceID=14","1.39e-07")</f>
        <v>1.39e-07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HYPERLINK("http://141.218.60.56/~jnz1568/getInfo.php?workbook=13_02.xlsx&amp;sheet=U0&amp;row=932&amp;col=6&amp;number=3.8&amp;sourceID=14","3.8")</f>
        <v>3.8</v>
      </c>
      <c r="G932" s="4" t="str">
        <f>HYPERLINK("http://141.218.60.56/~jnz1568/getInfo.php?workbook=13_02.xlsx&amp;sheet=U0&amp;row=932&amp;col=7&amp;number=1.39e-07&amp;sourceID=14","1.39e-07")</f>
        <v>1.39e-07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HYPERLINK("http://141.218.60.56/~jnz1568/getInfo.php?workbook=13_02.xlsx&amp;sheet=U0&amp;row=933&amp;col=6&amp;number=3.9&amp;sourceID=14","3.9")</f>
        <v>3.9</v>
      </c>
      <c r="G933" s="4" t="str">
        <f>HYPERLINK("http://141.218.60.56/~jnz1568/getInfo.php?workbook=13_02.xlsx&amp;sheet=U0&amp;row=933&amp;col=7&amp;number=1.39e-07&amp;sourceID=14","1.39e-07")</f>
        <v>1.39e-07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HYPERLINK("http://141.218.60.56/~jnz1568/getInfo.php?workbook=13_02.xlsx&amp;sheet=U0&amp;row=934&amp;col=6&amp;number=4&amp;sourceID=14","4")</f>
        <v>4</v>
      </c>
      <c r="G934" s="4" t="str">
        <f>HYPERLINK("http://141.218.60.56/~jnz1568/getInfo.php?workbook=13_02.xlsx&amp;sheet=U0&amp;row=934&amp;col=7&amp;number=1.39e-07&amp;sourceID=14","1.39e-07")</f>
        <v>1.39e-07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HYPERLINK("http://141.218.60.56/~jnz1568/getInfo.php?workbook=13_02.xlsx&amp;sheet=U0&amp;row=935&amp;col=6&amp;number=4.1&amp;sourceID=14","4.1")</f>
        <v>4.1</v>
      </c>
      <c r="G935" s="4" t="str">
        <f>HYPERLINK("http://141.218.60.56/~jnz1568/getInfo.php?workbook=13_02.xlsx&amp;sheet=U0&amp;row=935&amp;col=7&amp;number=1.39e-07&amp;sourceID=14","1.39e-07")</f>
        <v>1.39e-07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HYPERLINK("http://141.218.60.56/~jnz1568/getInfo.php?workbook=13_02.xlsx&amp;sheet=U0&amp;row=936&amp;col=6&amp;number=4.2&amp;sourceID=14","4.2")</f>
        <v>4.2</v>
      </c>
      <c r="G936" s="4" t="str">
        <f>HYPERLINK("http://141.218.60.56/~jnz1568/getInfo.php?workbook=13_02.xlsx&amp;sheet=U0&amp;row=936&amp;col=7&amp;number=1.39e-07&amp;sourceID=14","1.39e-07")</f>
        <v>1.39e-07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HYPERLINK("http://141.218.60.56/~jnz1568/getInfo.php?workbook=13_02.xlsx&amp;sheet=U0&amp;row=937&amp;col=6&amp;number=4.3&amp;sourceID=14","4.3")</f>
        <v>4.3</v>
      </c>
      <c r="G937" s="4" t="str">
        <f>HYPERLINK("http://141.218.60.56/~jnz1568/getInfo.php?workbook=13_02.xlsx&amp;sheet=U0&amp;row=937&amp;col=7&amp;number=1.39e-07&amp;sourceID=14","1.39e-07")</f>
        <v>1.39e-07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HYPERLINK("http://141.218.60.56/~jnz1568/getInfo.php?workbook=13_02.xlsx&amp;sheet=U0&amp;row=938&amp;col=6&amp;number=4.4&amp;sourceID=14","4.4")</f>
        <v>4.4</v>
      </c>
      <c r="G938" s="4" t="str">
        <f>HYPERLINK("http://141.218.60.56/~jnz1568/getInfo.php?workbook=13_02.xlsx&amp;sheet=U0&amp;row=938&amp;col=7&amp;number=1.39e-07&amp;sourceID=14","1.39e-07")</f>
        <v>1.39e-07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HYPERLINK("http://141.218.60.56/~jnz1568/getInfo.php?workbook=13_02.xlsx&amp;sheet=U0&amp;row=939&amp;col=6&amp;number=4.5&amp;sourceID=14","4.5")</f>
        <v>4.5</v>
      </c>
      <c r="G939" s="4" t="str">
        <f>HYPERLINK("http://141.218.60.56/~jnz1568/getInfo.php?workbook=13_02.xlsx&amp;sheet=U0&amp;row=939&amp;col=7&amp;number=1.39e-07&amp;sourceID=14","1.39e-07")</f>
        <v>1.39e-07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HYPERLINK("http://141.218.60.56/~jnz1568/getInfo.php?workbook=13_02.xlsx&amp;sheet=U0&amp;row=940&amp;col=6&amp;number=4.6&amp;sourceID=14","4.6")</f>
        <v>4.6</v>
      </c>
      <c r="G940" s="4" t="str">
        <f>HYPERLINK("http://141.218.60.56/~jnz1568/getInfo.php?workbook=13_02.xlsx&amp;sheet=U0&amp;row=940&amp;col=7&amp;number=1.39e-07&amp;sourceID=14","1.39e-07")</f>
        <v>1.39e-07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HYPERLINK("http://141.218.60.56/~jnz1568/getInfo.php?workbook=13_02.xlsx&amp;sheet=U0&amp;row=941&amp;col=6&amp;number=4.7&amp;sourceID=14","4.7")</f>
        <v>4.7</v>
      </c>
      <c r="G941" s="4" t="str">
        <f>HYPERLINK("http://141.218.60.56/~jnz1568/getInfo.php?workbook=13_02.xlsx&amp;sheet=U0&amp;row=941&amp;col=7&amp;number=1.39e-07&amp;sourceID=14","1.39e-07")</f>
        <v>1.39e-07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HYPERLINK("http://141.218.60.56/~jnz1568/getInfo.php?workbook=13_02.xlsx&amp;sheet=U0&amp;row=942&amp;col=6&amp;number=4.8&amp;sourceID=14","4.8")</f>
        <v>4.8</v>
      </c>
      <c r="G942" s="4" t="str">
        <f>HYPERLINK("http://141.218.60.56/~jnz1568/getInfo.php?workbook=13_02.xlsx&amp;sheet=U0&amp;row=942&amp;col=7&amp;number=1.38e-07&amp;sourceID=14","1.38e-07")</f>
        <v>1.38e-07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HYPERLINK("http://141.218.60.56/~jnz1568/getInfo.php?workbook=13_02.xlsx&amp;sheet=U0&amp;row=943&amp;col=6&amp;number=4.9&amp;sourceID=14","4.9")</f>
        <v>4.9</v>
      </c>
      <c r="G943" s="4" t="str">
        <f>HYPERLINK("http://141.218.60.56/~jnz1568/getInfo.php?workbook=13_02.xlsx&amp;sheet=U0&amp;row=943&amp;col=7&amp;number=1.38e-07&amp;sourceID=14","1.38e-07")</f>
        <v>1.38e-07</v>
      </c>
    </row>
    <row r="944" spans="1:7">
      <c r="A944" s="3">
        <v>13</v>
      </c>
      <c r="B944" s="3">
        <v>2</v>
      </c>
      <c r="C944" s="3" t="s">
        <v>83</v>
      </c>
      <c r="D944" s="3">
        <v>9</v>
      </c>
      <c r="E944" s="3">
        <v>1</v>
      </c>
      <c r="F944" s="4" t="str">
        <f>HYPERLINK("http://141.218.60.56/~jnz1568/getInfo.php?workbook=13_02.xlsx&amp;sheet=U0&amp;row=944&amp;col=6&amp;number=3&amp;sourceID=14","3")</f>
        <v>3</v>
      </c>
      <c r="G944" s="4" t="str">
        <f>HYPERLINK("http://141.218.60.56/~jnz1568/getInfo.php?workbook=13_02.xlsx&amp;sheet=U0&amp;row=944&amp;col=7&amp;number=9.92e-08&amp;sourceID=14","9.92e-08")</f>
        <v>9.92e-08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HYPERLINK("http://141.218.60.56/~jnz1568/getInfo.php?workbook=13_02.xlsx&amp;sheet=U0&amp;row=945&amp;col=6&amp;number=3.1&amp;sourceID=14","3.1")</f>
        <v>3.1</v>
      </c>
      <c r="G945" s="4" t="str">
        <f>HYPERLINK("http://141.218.60.56/~jnz1568/getInfo.php?workbook=13_02.xlsx&amp;sheet=U0&amp;row=945&amp;col=7&amp;number=9.92e-08&amp;sourceID=14","9.92e-08")</f>
        <v>9.92e-08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HYPERLINK("http://141.218.60.56/~jnz1568/getInfo.php?workbook=13_02.xlsx&amp;sheet=U0&amp;row=946&amp;col=6&amp;number=3.2&amp;sourceID=14","3.2")</f>
        <v>3.2</v>
      </c>
      <c r="G946" s="4" t="str">
        <f>HYPERLINK("http://141.218.60.56/~jnz1568/getInfo.php?workbook=13_02.xlsx&amp;sheet=U0&amp;row=946&amp;col=7&amp;number=9.92e-08&amp;sourceID=14","9.92e-08")</f>
        <v>9.92e-08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HYPERLINK("http://141.218.60.56/~jnz1568/getInfo.php?workbook=13_02.xlsx&amp;sheet=U0&amp;row=947&amp;col=6&amp;number=3.3&amp;sourceID=14","3.3")</f>
        <v>3.3</v>
      </c>
      <c r="G947" s="4" t="str">
        <f>HYPERLINK("http://141.218.60.56/~jnz1568/getInfo.php?workbook=13_02.xlsx&amp;sheet=U0&amp;row=947&amp;col=7&amp;number=9.92e-08&amp;sourceID=14","9.92e-08")</f>
        <v>9.92e-08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HYPERLINK("http://141.218.60.56/~jnz1568/getInfo.php?workbook=13_02.xlsx&amp;sheet=U0&amp;row=948&amp;col=6&amp;number=3.4&amp;sourceID=14","3.4")</f>
        <v>3.4</v>
      </c>
      <c r="G948" s="4" t="str">
        <f>HYPERLINK("http://141.218.60.56/~jnz1568/getInfo.php?workbook=13_02.xlsx&amp;sheet=U0&amp;row=948&amp;col=7&amp;number=9.92e-08&amp;sourceID=14","9.92e-08")</f>
        <v>9.92e-08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HYPERLINK("http://141.218.60.56/~jnz1568/getInfo.php?workbook=13_02.xlsx&amp;sheet=U0&amp;row=949&amp;col=6&amp;number=3.5&amp;sourceID=14","3.5")</f>
        <v>3.5</v>
      </c>
      <c r="G949" s="4" t="str">
        <f>HYPERLINK("http://141.218.60.56/~jnz1568/getInfo.php?workbook=13_02.xlsx&amp;sheet=U0&amp;row=949&amp;col=7&amp;number=9.92e-08&amp;sourceID=14","9.92e-08")</f>
        <v>9.92e-08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HYPERLINK("http://141.218.60.56/~jnz1568/getInfo.php?workbook=13_02.xlsx&amp;sheet=U0&amp;row=950&amp;col=6&amp;number=3.6&amp;sourceID=14","3.6")</f>
        <v>3.6</v>
      </c>
      <c r="G950" s="4" t="str">
        <f>HYPERLINK("http://141.218.60.56/~jnz1568/getInfo.php?workbook=13_02.xlsx&amp;sheet=U0&amp;row=950&amp;col=7&amp;number=9.91e-08&amp;sourceID=14","9.91e-08")</f>
        <v>9.91e-08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HYPERLINK("http://141.218.60.56/~jnz1568/getInfo.php?workbook=13_02.xlsx&amp;sheet=U0&amp;row=951&amp;col=6&amp;number=3.7&amp;sourceID=14","3.7")</f>
        <v>3.7</v>
      </c>
      <c r="G951" s="4" t="str">
        <f>HYPERLINK("http://141.218.60.56/~jnz1568/getInfo.php?workbook=13_02.xlsx&amp;sheet=U0&amp;row=951&amp;col=7&amp;number=9.91e-08&amp;sourceID=14","9.91e-08")</f>
        <v>9.91e-08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HYPERLINK("http://141.218.60.56/~jnz1568/getInfo.php?workbook=13_02.xlsx&amp;sheet=U0&amp;row=952&amp;col=6&amp;number=3.8&amp;sourceID=14","3.8")</f>
        <v>3.8</v>
      </c>
      <c r="G952" s="4" t="str">
        <f>HYPERLINK("http://141.218.60.56/~jnz1568/getInfo.php?workbook=13_02.xlsx&amp;sheet=U0&amp;row=952&amp;col=7&amp;number=9.91e-08&amp;sourceID=14","9.91e-08")</f>
        <v>9.91e-08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HYPERLINK("http://141.218.60.56/~jnz1568/getInfo.php?workbook=13_02.xlsx&amp;sheet=U0&amp;row=953&amp;col=6&amp;number=3.9&amp;sourceID=14","3.9")</f>
        <v>3.9</v>
      </c>
      <c r="G953" s="4" t="str">
        <f>HYPERLINK("http://141.218.60.56/~jnz1568/getInfo.php?workbook=13_02.xlsx&amp;sheet=U0&amp;row=953&amp;col=7&amp;number=9.91e-08&amp;sourceID=14","9.91e-08")</f>
        <v>9.91e-08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HYPERLINK("http://141.218.60.56/~jnz1568/getInfo.php?workbook=13_02.xlsx&amp;sheet=U0&amp;row=954&amp;col=6&amp;number=4&amp;sourceID=14","4")</f>
        <v>4</v>
      </c>
      <c r="G954" s="4" t="str">
        <f>HYPERLINK("http://141.218.60.56/~jnz1568/getInfo.php?workbook=13_02.xlsx&amp;sheet=U0&amp;row=954&amp;col=7&amp;number=9.91e-08&amp;sourceID=14","9.91e-08")</f>
        <v>9.91e-08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HYPERLINK("http://141.218.60.56/~jnz1568/getInfo.php?workbook=13_02.xlsx&amp;sheet=U0&amp;row=955&amp;col=6&amp;number=4.1&amp;sourceID=14","4.1")</f>
        <v>4.1</v>
      </c>
      <c r="G955" s="4" t="str">
        <f>HYPERLINK("http://141.218.60.56/~jnz1568/getInfo.php?workbook=13_02.xlsx&amp;sheet=U0&amp;row=955&amp;col=7&amp;number=9.9e-08&amp;sourceID=14","9.9e-08")</f>
        <v>9.9e-08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HYPERLINK("http://141.218.60.56/~jnz1568/getInfo.php?workbook=13_02.xlsx&amp;sheet=U0&amp;row=956&amp;col=6&amp;number=4.2&amp;sourceID=14","4.2")</f>
        <v>4.2</v>
      </c>
      <c r="G956" s="4" t="str">
        <f>HYPERLINK("http://141.218.60.56/~jnz1568/getInfo.php?workbook=13_02.xlsx&amp;sheet=U0&amp;row=956&amp;col=7&amp;number=9.9e-08&amp;sourceID=14","9.9e-08")</f>
        <v>9.9e-08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HYPERLINK("http://141.218.60.56/~jnz1568/getInfo.php?workbook=13_02.xlsx&amp;sheet=U0&amp;row=957&amp;col=6&amp;number=4.3&amp;sourceID=14","4.3")</f>
        <v>4.3</v>
      </c>
      <c r="G957" s="4" t="str">
        <f>HYPERLINK("http://141.218.60.56/~jnz1568/getInfo.php?workbook=13_02.xlsx&amp;sheet=U0&amp;row=957&amp;col=7&amp;number=9.89e-08&amp;sourceID=14","9.89e-08")</f>
        <v>9.89e-08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HYPERLINK("http://141.218.60.56/~jnz1568/getInfo.php?workbook=13_02.xlsx&amp;sheet=U0&amp;row=958&amp;col=6&amp;number=4.4&amp;sourceID=14","4.4")</f>
        <v>4.4</v>
      </c>
      <c r="G958" s="4" t="str">
        <f>HYPERLINK("http://141.218.60.56/~jnz1568/getInfo.php?workbook=13_02.xlsx&amp;sheet=U0&amp;row=958&amp;col=7&amp;number=9.89e-08&amp;sourceID=14","9.89e-08")</f>
        <v>9.89e-08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HYPERLINK("http://141.218.60.56/~jnz1568/getInfo.php?workbook=13_02.xlsx&amp;sheet=U0&amp;row=959&amp;col=6&amp;number=4.5&amp;sourceID=14","4.5")</f>
        <v>4.5</v>
      </c>
      <c r="G959" s="4" t="str">
        <f>HYPERLINK("http://141.218.60.56/~jnz1568/getInfo.php?workbook=13_02.xlsx&amp;sheet=U0&amp;row=959&amp;col=7&amp;number=9.88e-08&amp;sourceID=14","9.88e-08")</f>
        <v>9.88e-08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HYPERLINK("http://141.218.60.56/~jnz1568/getInfo.php?workbook=13_02.xlsx&amp;sheet=U0&amp;row=960&amp;col=6&amp;number=4.6&amp;sourceID=14","4.6")</f>
        <v>4.6</v>
      </c>
      <c r="G960" s="4" t="str">
        <f>HYPERLINK("http://141.218.60.56/~jnz1568/getInfo.php?workbook=13_02.xlsx&amp;sheet=U0&amp;row=960&amp;col=7&amp;number=9.87e-08&amp;sourceID=14","9.87e-08")</f>
        <v>9.87e-08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HYPERLINK("http://141.218.60.56/~jnz1568/getInfo.php?workbook=13_02.xlsx&amp;sheet=U0&amp;row=961&amp;col=6&amp;number=4.7&amp;sourceID=14","4.7")</f>
        <v>4.7</v>
      </c>
      <c r="G961" s="4" t="str">
        <f>HYPERLINK("http://141.218.60.56/~jnz1568/getInfo.php?workbook=13_02.xlsx&amp;sheet=U0&amp;row=961&amp;col=7&amp;number=9.86e-08&amp;sourceID=14","9.86e-08")</f>
        <v>9.86e-08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HYPERLINK("http://141.218.60.56/~jnz1568/getInfo.php?workbook=13_02.xlsx&amp;sheet=U0&amp;row=962&amp;col=6&amp;number=4.8&amp;sourceID=14","4.8")</f>
        <v>4.8</v>
      </c>
      <c r="G962" s="4" t="str">
        <f>HYPERLINK("http://141.218.60.56/~jnz1568/getInfo.php?workbook=13_02.xlsx&amp;sheet=U0&amp;row=962&amp;col=7&amp;number=9.84e-08&amp;sourceID=14","9.84e-08")</f>
        <v>9.84e-08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HYPERLINK("http://141.218.60.56/~jnz1568/getInfo.php?workbook=13_02.xlsx&amp;sheet=U0&amp;row=963&amp;col=6&amp;number=4.9&amp;sourceID=14","4.9")</f>
        <v>4.9</v>
      </c>
      <c r="G963" s="4" t="str">
        <f>HYPERLINK("http://141.218.60.56/~jnz1568/getInfo.php?workbook=13_02.xlsx&amp;sheet=U0&amp;row=963&amp;col=7&amp;number=9.82e-08&amp;sourceID=14","9.82e-08")</f>
        <v>9.82e-08</v>
      </c>
    </row>
    <row r="964" spans="1:7">
      <c r="A964" s="3">
        <v>13</v>
      </c>
      <c r="B964" s="3">
        <v>2</v>
      </c>
      <c r="C964" s="3">
        <v>2</v>
      </c>
      <c r="D964" s="3">
        <v>8</v>
      </c>
      <c r="E964" s="3">
        <v>1</v>
      </c>
      <c r="F964" s="4" t="str">
        <f>HYPERLINK("http://141.218.60.56/~jnz1568/getInfo.php?workbook=13_02.xlsx&amp;sheet=U0&amp;row=964&amp;col=6&amp;number=3&amp;sourceID=14","3")</f>
        <v>3</v>
      </c>
      <c r="G964" s="4" t="str">
        <f>HYPERLINK("http://141.218.60.56/~jnz1568/getInfo.php?workbook=13_02.xlsx&amp;sheet=U0&amp;row=964&amp;col=7&amp;number=0.086&amp;sourceID=14","0.086")</f>
        <v>0.086</v>
      </c>
    </row>
    <row r="965" spans="1:7">
      <c r="A965" s="3"/>
      <c r="B965" s="3"/>
      <c r="C965" s="3"/>
      <c r="D965" s="3"/>
      <c r="E965" s="3">
        <v>2</v>
      </c>
      <c r="F965" s="4" t="str">
        <f>HYPERLINK("http://141.218.60.56/~jnz1568/getInfo.php?workbook=13_02.xlsx&amp;sheet=U0&amp;row=965&amp;col=6&amp;number=3.1&amp;sourceID=14","3.1")</f>
        <v>3.1</v>
      </c>
      <c r="G965" s="4" t="str">
        <f>HYPERLINK("http://141.218.60.56/~jnz1568/getInfo.php?workbook=13_02.xlsx&amp;sheet=U0&amp;row=965&amp;col=7&amp;number=0.086&amp;sourceID=14","0.086")</f>
        <v>0.086</v>
      </c>
    </row>
    <row r="966" spans="1:7">
      <c r="A966" s="3"/>
      <c r="B966" s="3"/>
      <c r="C966" s="3"/>
      <c r="D966" s="3"/>
      <c r="E966" s="3">
        <v>3</v>
      </c>
      <c r="F966" s="4" t="str">
        <f>HYPERLINK("http://141.218.60.56/~jnz1568/getInfo.php?workbook=13_02.xlsx&amp;sheet=U0&amp;row=966&amp;col=6&amp;number=3.2&amp;sourceID=14","3.2")</f>
        <v>3.2</v>
      </c>
      <c r="G966" s="4" t="str">
        <f>HYPERLINK("http://141.218.60.56/~jnz1568/getInfo.php?workbook=13_02.xlsx&amp;sheet=U0&amp;row=966&amp;col=7&amp;number=0.086&amp;sourceID=14","0.086")</f>
        <v>0.086</v>
      </c>
    </row>
    <row r="967" spans="1:7">
      <c r="A967" s="3"/>
      <c r="B967" s="3"/>
      <c r="C967" s="3"/>
      <c r="D967" s="3"/>
      <c r="E967" s="3">
        <v>4</v>
      </c>
      <c r="F967" s="4" t="str">
        <f>HYPERLINK("http://141.218.60.56/~jnz1568/getInfo.php?workbook=13_02.xlsx&amp;sheet=U0&amp;row=967&amp;col=6&amp;number=3.3&amp;sourceID=14","3.3")</f>
        <v>3.3</v>
      </c>
      <c r="G967" s="4" t="str">
        <f>HYPERLINK("http://141.218.60.56/~jnz1568/getInfo.php?workbook=13_02.xlsx&amp;sheet=U0&amp;row=967&amp;col=7&amp;number=0.086&amp;sourceID=14","0.086")</f>
        <v>0.086</v>
      </c>
    </row>
    <row r="968" spans="1:7">
      <c r="A968" s="3"/>
      <c r="B968" s="3"/>
      <c r="C968" s="3"/>
      <c r="D968" s="3"/>
      <c r="E968" s="3">
        <v>5</v>
      </c>
      <c r="F968" s="4" t="str">
        <f>HYPERLINK("http://141.218.60.56/~jnz1568/getInfo.php?workbook=13_02.xlsx&amp;sheet=U0&amp;row=968&amp;col=6&amp;number=3.4&amp;sourceID=14","3.4")</f>
        <v>3.4</v>
      </c>
      <c r="G968" s="4" t="str">
        <f>HYPERLINK("http://141.218.60.56/~jnz1568/getInfo.php?workbook=13_02.xlsx&amp;sheet=U0&amp;row=968&amp;col=7&amp;number=0.086&amp;sourceID=14","0.086")</f>
        <v>0.086</v>
      </c>
    </row>
    <row r="969" spans="1:7">
      <c r="A969" s="3"/>
      <c r="B969" s="3"/>
      <c r="C969" s="3"/>
      <c r="D969" s="3"/>
      <c r="E969" s="3">
        <v>6</v>
      </c>
      <c r="F969" s="4" t="str">
        <f>HYPERLINK("http://141.218.60.56/~jnz1568/getInfo.php?workbook=13_02.xlsx&amp;sheet=U0&amp;row=969&amp;col=6&amp;number=3.5&amp;sourceID=14","3.5")</f>
        <v>3.5</v>
      </c>
      <c r="G969" s="4" t="str">
        <f>HYPERLINK("http://141.218.60.56/~jnz1568/getInfo.php?workbook=13_02.xlsx&amp;sheet=U0&amp;row=969&amp;col=7&amp;number=0.086&amp;sourceID=14","0.086")</f>
        <v>0.086</v>
      </c>
    </row>
    <row r="970" spans="1:7">
      <c r="A970" s="3"/>
      <c r="B970" s="3"/>
      <c r="C970" s="3"/>
      <c r="D970" s="3"/>
      <c r="E970" s="3">
        <v>7</v>
      </c>
      <c r="F970" s="4" t="str">
        <f>HYPERLINK("http://141.218.60.56/~jnz1568/getInfo.php?workbook=13_02.xlsx&amp;sheet=U0&amp;row=970&amp;col=6&amp;number=3.6&amp;sourceID=14","3.6")</f>
        <v>3.6</v>
      </c>
      <c r="G970" s="4" t="str">
        <f>HYPERLINK("http://141.218.60.56/~jnz1568/getInfo.php?workbook=13_02.xlsx&amp;sheet=U0&amp;row=970&amp;col=7&amp;number=0.086&amp;sourceID=14","0.086")</f>
        <v>0.086</v>
      </c>
    </row>
    <row r="971" spans="1:7">
      <c r="A971" s="3"/>
      <c r="B971" s="3"/>
      <c r="C971" s="3"/>
      <c r="D971" s="3"/>
      <c r="E971" s="3">
        <v>8</v>
      </c>
      <c r="F971" s="4" t="str">
        <f>HYPERLINK("http://141.218.60.56/~jnz1568/getInfo.php?workbook=13_02.xlsx&amp;sheet=U0&amp;row=971&amp;col=6&amp;number=3.7&amp;sourceID=14","3.7")</f>
        <v>3.7</v>
      </c>
      <c r="G971" s="4" t="str">
        <f>HYPERLINK("http://141.218.60.56/~jnz1568/getInfo.php?workbook=13_02.xlsx&amp;sheet=U0&amp;row=971&amp;col=7&amp;number=0.0861&amp;sourceID=14","0.0861")</f>
        <v>0.0861</v>
      </c>
    </row>
    <row r="972" spans="1:7">
      <c r="A972" s="3"/>
      <c r="B972" s="3"/>
      <c r="C972" s="3"/>
      <c r="D972" s="3"/>
      <c r="E972" s="3">
        <v>9</v>
      </c>
      <c r="F972" s="4" t="str">
        <f>HYPERLINK("http://141.218.60.56/~jnz1568/getInfo.php?workbook=13_02.xlsx&amp;sheet=U0&amp;row=972&amp;col=6&amp;number=3.8&amp;sourceID=14","3.8")</f>
        <v>3.8</v>
      </c>
      <c r="G972" s="4" t="str">
        <f>HYPERLINK("http://141.218.60.56/~jnz1568/getInfo.php?workbook=13_02.xlsx&amp;sheet=U0&amp;row=972&amp;col=7&amp;number=0.0861&amp;sourceID=14","0.0861")</f>
        <v>0.0861</v>
      </c>
    </row>
    <row r="973" spans="1:7">
      <c r="A973" s="3"/>
      <c r="B973" s="3"/>
      <c r="C973" s="3"/>
      <c r="D973" s="3"/>
      <c r="E973" s="3">
        <v>10</v>
      </c>
      <c r="F973" s="4" t="str">
        <f>HYPERLINK("http://141.218.60.56/~jnz1568/getInfo.php?workbook=13_02.xlsx&amp;sheet=U0&amp;row=973&amp;col=6&amp;number=3.9&amp;sourceID=14","3.9")</f>
        <v>3.9</v>
      </c>
      <c r="G973" s="4" t="str">
        <f>HYPERLINK("http://141.218.60.56/~jnz1568/getInfo.php?workbook=13_02.xlsx&amp;sheet=U0&amp;row=973&amp;col=7&amp;number=0.0861&amp;sourceID=14","0.0861")</f>
        <v>0.0861</v>
      </c>
    </row>
    <row r="974" spans="1:7">
      <c r="A974" s="3"/>
      <c r="B974" s="3"/>
      <c r="C974" s="3"/>
      <c r="D974" s="3"/>
      <c r="E974" s="3">
        <v>11</v>
      </c>
      <c r="F974" s="4" t="str">
        <f>HYPERLINK("http://141.218.60.56/~jnz1568/getInfo.php?workbook=13_02.xlsx&amp;sheet=U0&amp;row=974&amp;col=6&amp;number=4&amp;sourceID=14","4")</f>
        <v>4</v>
      </c>
      <c r="G974" s="4" t="str">
        <f>HYPERLINK("http://141.218.60.56/~jnz1568/getInfo.php?workbook=13_02.xlsx&amp;sheet=U0&amp;row=974&amp;col=7&amp;number=0.0861&amp;sourceID=14","0.0861")</f>
        <v>0.0861</v>
      </c>
    </row>
    <row r="975" spans="1:7">
      <c r="A975" s="3"/>
      <c r="B975" s="3"/>
      <c r="C975" s="3"/>
      <c r="D975" s="3"/>
      <c r="E975" s="3">
        <v>12</v>
      </c>
      <c r="F975" s="4" t="str">
        <f>HYPERLINK("http://141.218.60.56/~jnz1568/getInfo.php?workbook=13_02.xlsx&amp;sheet=U0&amp;row=975&amp;col=6&amp;number=4.1&amp;sourceID=14","4.1")</f>
        <v>4.1</v>
      </c>
      <c r="G975" s="4" t="str">
        <f>HYPERLINK("http://141.218.60.56/~jnz1568/getInfo.php?workbook=13_02.xlsx&amp;sheet=U0&amp;row=975&amp;col=7&amp;number=0.0861&amp;sourceID=14","0.0861")</f>
        <v>0.0861</v>
      </c>
    </row>
    <row r="976" spans="1:7">
      <c r="A976" s="3"/>
      <c r="B976" s="3"/>
      <c r="C976" s="3"/>
      <c r="D976" s="3"/>
      <c r="E976" s="3">
        <v>13</v>
      </c>
      <c r="F976" s="4" t="str">
        <f>HYPERLINK("http://141.218.60.56/~jnz1568/getInfo.php?workbook=13_02.xlsx&amp;sheet=U0&amp;row=976&amp;col=6&amp;number=4.2&amp;sourceID=14","4.2")</f>
        <v>4.2</v>
      </c>
      <c r="G976" s="4" t="str">
        <f>HYPERLINK("http://141.218.60.56/~jnz1568/getInfo.php?workbook=13_02.xlsx&amp;sheet=U0&amp;row=976&amp;col=7&amp;number=0.0861&amp;sourceID=14","0.0861")</f>
        <v>0.0861</v>
      </c>
    </row>
    <row r="977" spans="1:7">
      <c r="A977" s="3"/>
      <c r="B977" s="3"/>
      <c r="C977" s="3"/>
      <c r="D977" s="3"/>
      <c r="E977" s="3">
        <v>14</v>
      </c>
      <c r="F977" s="4" t="str">
        <f>HYPERLINK("http://141.218.60.56/~jnz1568/getInfo.php?workbook=13_02.xlsx&amp;sheet=U0&amp;row=977&amp;col=6&amp;number=4.3&amp;sourceID=14","4.3")</f>
        <v>4.3</v>
      </c>
      <c r="G977" s="4" t="str">
        <f>HYPERLINK("http://141.218.60.56/~jnz1568/getInfo.php?workbook=13_02.xlsx&amp;sheet=U0&amp;row=977&amp;col=7&amp;number=0.0861&amp;sourceID=14","0.0861")</f>
        <v>0.0861</v>
      </c>
    </row>
    <row r="978" spans="1:7">
      <c r="A978" s="3"/>
      <c r="B978" s="3"/>
      <c r="C978" s="3"/>
      <c r="D978" s="3"/>
      <c r="E978" s="3">
        <v>15</v>
      </c>
      <c r="F978" s="4" t="str">
        <f>HYPERLINK("http://141.218.60.56/~jnz1568/getInfo.php?workbook=13_02.xlsx&amp;sheet=U0&amp;row=978&amp;col=6&amp;number=4.4&amp;sourceID=14","4.4")</f>
        <v>4.4</v>
      </c>
      <c r="G978" s="4" t="str">
        <f>HYPERLINK("http://141.218.60.56/~jnz1568/getInfo.php?workbook=13_02.xlsx&amp;sheet=U0&amp;row=978&amp;col=7&amp;number=0.0861&amp;sourceID=14","0.0861")</f>
        <v>0.0861</v>
      </c>
    </row>
    <row r="979" spans="1:7">
      <c r="A979" s="3"/>
      <c r="B979" s="3"/>
      <c r="C979" s="3"/>
      <c r="D979" s="3"/>
      <c r="E979" s="3">
        <v>16</v>
      </c>
      <c r="F979" s="4" t="str">
        <f>HYPERLINK("http://141.218.60.56/~jnz1568/getInfo.php?workbook=13_02.xlsx&amp;sheet=U0&amp;row=979&amp;col=6&amp;number=4.5&amp;sourceID=14","4.5")</f>
        <v>4.5</v>
      </c>
      <c r="G979" s="4" t="str">
        <f>HYPERLINK("http://141.218.60.56/~jnz1568/getInfo.php?workbook=13_02.xlsx&amp;sheet=U0&amp;row=979&amp;col=7&amp;number=0.0861&amp;sourceID=14","0.0861")</f>
        <v>0.0861</v>
      </c>
    </row>
    <row r="980" spans="1:7">
      <c r="A980" s="3"/>
      <c r="B980" s="3"/>
      <c r="C980" s="3"/>
      <c r="D980" s="3"/>
      <c r="E980" s="3">
        <v>17</v>
      </c>
      <c r="F980" s="4" t="str">
        <f>HYPERLINK("http://141.218.60.56/~jnz1568/getInfo.php?workbook=13_02.xlsx&amp;sheet=U0&amp;row=980&amp;col=6&amp;number=4.6&amp;sourceID=14","4.6")</f>
        <v>4.6</v>
      </c>
      <c r="G980" s="4" t="str">
        <f>HYPERLINK("http://141.218.60.56/~jnz1568/getInfo.php?workbook=13_02.xlsx&amp;sheet=U0&amp;row=980&amp;col=7&amp;number=0.0861&amp;sourceID=14","0.0861")</f>
        <v>0.0861</v>
      </c>
    </row>
    <row r="981" spans="1:7">
      <c r="A981" s="3"/>
      <c r="B981" s="3"/>
      <c r="C981" s="3"/>
      <c r="D981" s="3"/>
      <c r="E981" s="3">
        <v>18</v>
      </c>
      <c r="F981" s="4" t="str">
        <f>HYPERLINK("http://141.218.60.56/~jnz1568/getInfo.php?workbook=13_02.xlsx&amp;sheet=U0&amp;row=981&amp;col=6&amp;number=4.7&amp;sourceID=14","4.7")</f>
        <v>4.7</v>
      </c>
      <c r="G981" s="4" t="str">
        <f>HYPERLINK("http://141.218.60.56/~jnz1568/getInfo.php?workbook=13_02.xlsx&amp;sheet=U0&amp;row=981&amp;col=7&amp;number=0.0862&amp;sourceID=14","0.0862")</f>
        <v>0.0862</v>
      </c>
    </row>
    <row r="982" spans="1:7">
      <c r="A982" s="3"/>
      <c r="B982" s="3"/>
      <c r="C982" s="3"/>
      <c r="D982" s="3"/>
      <c r="E982" s="3">
        <v>19</v>
      </c>
      <c r="F982" s="4" t="str">
        <f>HYPERLINK("http://141.218.60.56/~jnz1568/getInfo.php?workbook=13_02.xlsx&amp;sheet=U0&amp;row=982&amp;col=6&amp;number=4.8&amp;sourceID=14","4.8")</f>
        <v>4.8</v>
      </c>
      <c r="G982" s="4" t="str">
        <f>HYPERLINK("http://141.218.60.56/~jnz1568/getInfo.php?workbook=13_02.xlsx&amp;sheet=U0&amp;row=982&amp;col=7&amp;number=0.0862&amp;sourceID=14","0.0862")</f>
        <v>0.0862</v>
      </c>
    </row>
    <row r="983" spans="1:7">
      <c r="A983" s="3"/>
      <c r="B983" s="3"/>
      <c r="C983" s="3"/>
      <c r="D983" s="3"/>
      <c r="E983" s="3">
        <v>20</v>
      </c>
      <c r="F983" s="4" t="str">
        <f>HYPERLINK("http://141.218.60.56/~jnz1568/getInfo.php?workbook=13_02.xlsx&amp;sheet=U0&amp;row=983&amp;col=6&amp;number=4.9&amp;sourceID=14","4.9")</f>
        <v>4.9</v>
      </c>
      <c r="G983" s="4" t="str">
        <f>HYPERLINK("http://141.218.60.56/~jnz1568/getInfo.php?workbook=13_02.xlsx&amp;sheet=U0&amp;row=983&amp;col=7&amp;number=0.0862&amp;sourceID=14","0.0862")</f>
        <v>0.0862</v>
      </c>
    </row>
    <row r="984" spans="1:7">
      <c r="A984" s="3">
        <v>13</v>
      </c>
      <c r="B984" s="3">
        <v>2</v>
      </c>
      <c r="C984" s="3">
        <v>2</v>
      </c>
      <c r="D984" s="3">
        <v>9</v>
      </c>
      <c r="E984" s="3">
        <v>1</v>
      </c>
      <c r="F984" s="4" t="str">
        <f>HYPERLINK("http://141.218.60.56/~jnz1568/getInfo.php?workbook=13_02.xlsx&amp;sheet=U0&amp;row=984&amp;col=6&amp;number=3&amp;sourceID=14","3")</f>
        <v>3</v>
      </c>
      <c r="G984" s="4" t="str">
        <f>HYPERLINK("http://141.218.60.56/~jnz1568/getInfo.php?workbook=13_02.xlsx&amp;sheet=U0&amp;row=984&amp;col=7&amp;number=0.00211&amp;sourceID=14","0.00211")</f>
        <v>0.00211</v>
      </c>
    </row>
    <row r="985" spans="1:7">
      <c r="A985" s="3"/>
      <c r="B985" s="3"/>
      <c r="C985" s="3"/>
      <c r="D985" s="3"/>
      <c r="E985" s="3">
        <v>2</v>
      </c>
      <c r="F985" s="4" t="str">
        <f>HYPERLINK("http://141.218.60.56/~jnz1568/getInfo.php?workbook=13_02.xlsx&amp;sheet=U0&amp;row=985&amp;col=6&amp;number=3.1&amp;sourceID=14","3.1")</f>
        <v>3.1</v>
      </c>
      <c r="G985" s="4" t="str">
        <f>HYPERLINK("http://141.218.60.56/~jnz1568/getInfo.php?workbook=13_02.xlsx&amp;sheet=U0&amp;row=985&amp;col=7&amp;number=0.00211&amp;sourceID=14","0.00211")</f>
        <v>0.00211</v>
      </c>
    </row>
    <row r="986" spans="1:7">
      <c r="A986" s="3"/>
      <c r="B986" s="3"/>
      <c r="C986" s="3"/>
      <c r="D986" s="3"/>
      <c r="E986" s="3">
        <v>3</v>
      </c>
      <c r="F986" s="4" t="str">
        <f>HYPERLINK("http://141.218.60.56/~jnz1568/getInfo.php?workbook=13_02.xlsx&amp;sheet=U0&amp;row=986&amp;col=6&amp;number=3.2&amp;sourceID=14","3.2")</f>
        <v>3.2</v>
      </c>
      <c r="G986" s="4" t="str">
        <f>HYPERLINK("http://141.218.60.56/~jnz1568/getInfo.php?workbook=13_02.xlsx&amp;sheet=U0&amp;row=986&amp;col=7&amp;number=0.00211&amp;sourceID=14","0.00211")</f>
        <v>0.00211</v>
      </c>
    </row>
    <row r="987" spans="1:7">
      <c r="A987" s="3"/>
      <c r="B987" s="3"/>
      <c r="C987" s="3"/>
      <c r="D987" s="3"/>
      <c r="E987" s="3">
        <v>4</v>
      </c>
      <c r="F987" s="4" t="str">
        <f>HYPERLINK("http://141.218.60.56/~jnz1568/getInfo.php?workbook=13_02.xlsx&amp;sheet=U0&amp;row=987&amp;col=6&amp;number=3.3&amp;sourceID=14","3.3")</f>
        <v>3.3</v>
      </c>
      <c r="G987" s="4" t="str">
        <f>HYPERLINK("http://141.218.60.56/~jnz1568/getInfo.php?workbook=13_02.xlsx&amp;sheet=U0&amp;row=987&amp;col=7&amp;number=0.0021&amp;sourceID=14","0.0021")</f>
        <v>0.0021</v>
      </c>
    </row>
    <row r="988" spans="1:7">
      <c r="A988" s="3"/>
      <c r="B988" s="3"/>
      <c r="C988" s="3"/>
      <c r="D988" s="3"/>
      <c r="E988" s="3">
        <v>5</v>
      </c>
      <c r="F988" s="4" t="str">
        <f>HYPERLINK("http://141.218.60.56/~jnz1568/getInfo.php?workbook=13_02.xlsx&amp;sheet=U0&amp;row=988&amp;col=6&amp;number=3.4&amp;sourceID=14","3.4")</f>
        <v>3.4</v>
      </c>
      <c r="G988" s="4" t="str">
        <f>HYPERLINK("http://141.218.60.56/~jnz1568/getInfo.php?workbook=13_02.xlsx&amp;sheet=U0&amp;row=988&amp;col=7&amp;number=0.0021&amp;sourceID=14","0.0021")</f>
        <v>0.0021</v>
      </c>
    </row>
    <row r="989" spans="1:7">
      <c r="A989" s="3"/>
      <c r="B989" s="3"/>
      <c r="C989" s="3"/>
      <c r="D989" s="3"/>
      <c r="E989" s="3">
        <v>6</v>
      </c>
      <c r="F989" s="4" t="str">
        <f>HYPERLINK("http://141.218.60.56/~jnz1568/getInfo.php?workbook=13_02.xlsx&amp;sheet=U0&amp;row=989&amp;col=6&amp;number=3.5&amp;sourceID=14","3.5")</f>
        <v>3.5</v>
      </c>
      <c r="G989" s="4" t="str">
        <f>HYPERLINK("http://141.218.60.56/~jnz1568/getInfo.php?workbook=13_02.xlsx&amp;sheet=U0&amp;row=989&amp;col=7&amp;number=0.0021&amp;sourceID=14","0.0021")</f>
        <v>0.0021</v>
      </c>
    </row>
    <row r="990" spans="1:7">
      <c r="A990" s="3"/>
      <c r="B990" s="3"/>
      <c r="C990" s="3"/>
      <c r="D990" s="3"/>
      <c r="E990" s="3">
        <v>7</v>
      </c>
      <c r="F990" s="4" t="str">
        <f>HYPERLINK("http://141.218.60.56/~jnz1568/getInfo.php?workbook=13_02.xlsx&amp;sheet=U0&amp;row=990&amp;col=6&amp;number=3.6&amp;sourceID=14","3.6")</f>
        <v>3.6</v>
      </c>
      <c r="G990" s="4" t="str">
        <f>HYPERLINK("http://141.218.60.56/~jnz1568/getInfo.php?workbook=13_02.xlsx&amp;sheet=U0&amp;row=990&amp;col=7&amp;number=0.0021&amp;sourceID=14","0.0021")</f>
        <v>0.0021</v>
      </c>
    </row>
    <row r="991" spans="1:7">
      <c r="A991" s="3"/>
      <c r="B991" s="3"/>
      <c r="C991" s="3"/>
      <c r="D991" s="3"/>
      <c r="E991" s="3">
        <v>8</v>
      </c>
      <c r="F991" s="4" t="str">
        <f>HYPERLINK("http://141.218.60.56/~jnz1568/getInfo.php?workbook=13_02.xlsx&amp;sheet=U0&amp;row=991&amp;col=6&amp;number=3.7&amp;sourceID=14","3.7")</f>
        <v>3.7</v>
      </c>
      <c r="G991" s="4" t="str">
        <f>HYPERLINK("http://141.218.60.56/~jnz1568/getInfo.php?workbook=13_02.xlsx&amp;sheet=U0&amp;row=991&amp;col=7&amp;number=0.0021&amp;sourceID=14","0.0021")</f>
        <v>0.0021</v>
      </c>
    </row>
    <row r="992" spans="1:7">
      <c r="A992" s="3"/>
      <c r="B992" s="3"/>
      <c r="C992" s="3"/>
      <c r="D992" s="3"/>
      <c r="E992" s="3">
        <v>9</v>
      </c>
      <c r="F992" s="4" t="str">
        <f>HYPERLINK("http://141.218.60.56/~jnz1568/getInfo.php?workbook=13_02.xlsx&amp;sheet=U0&amp;row=992&amp;col=6&amp;number=3.8&amp;sourceID=14","3.8")</f>
        <v>3.8</v>
      </c>
      <c r="G992" s="4" t="str">
        <f>HYPERLINK("http://141.218.60.56/~jnz1568/getInfo.php?workbook=13_02.xlsx&amp;sheet=U0&amp;row=992&amp;col=7&amp;number=0.0021&amp;sourceID=14","0.0021")</f>
        <v>0.0021</v>
      </c>
    </row>
    <row r="993" spans="1:7">
      <c r="A993" s="3"/>
      <c r="B993" s="3"/>
      <c r="C993" s="3"/>
      <c r="D993" s="3"/>
      <c r="E993" s="3">
        <v>10</v>
      </c>
      <c r="F993" s="4" t="str">
        <f>HYPERLINK("http://141.218.60.56/~jnz1568/getInfo.php?workbook=13_02.xlsx&amp;sheet=U0&amp;row=993&amp;col=6&amp;number=3.9&amp;sourceID=14","3.9")</f>
        <v>3.9</v>
      </c>
      <c r="G993" s="4" t="str">
        <f>HYPERLINK("http://141.218.60.56/~jnz1568/getInfo.php?workbook=13_02.xlsx&amp;sheet=U0&amp;row=993&amp;col=7&amp;number=0.0021&amp;sourceID=14","0.0021")</f>
        <v>0.0021</v>
      </c>
    </row>
    <row r="994" spans="1:7">
      <c r="A994" s="3"/>
      <c r="B994" s="3"/>
      <c r="C994" s="3"/>
      <c r="D994" s="3"/>
      <c r="E994" s="3">
        <v>11</v>
      </c>
      <c r="F994" s="4" t="str">
        <f>HYPERLINK("http://141.218.60.56/~jnz1568/getInfo.php?workbook=13_02.xlsx&amp;sheet=U0&amp;row=994&amp;col=6&amp;number=4&amp;sourceID=14","4")</f>
        <v>4</v>
      </c>
      <c r="G994" s="4" t="str">
        <f>HYPERLINK("http://141.218.60.56/~jnz1568/getInfo.php?workbook=13_02.xlsx&amp;sheet=U0&amp;row=994&amp;col=7&amp;number=0.0021&amp;sourceID=14","0.0021")</f>
        <v>0.0021</v>
      </c>
    </row>
    <row r="995" spans="1:7">
      <c r="A995" s="3"/>
      <c r="B995" s="3"/>
      <c r="C995" s="3"/>
      <c r="D995" s="3"/>
      <c r="E995" s="3">
        <v>12</v>
      </c>
      <c r="F995" s="4" t="str">
        <f>HYPERLINK("http://141.218.60.56/~jnz1568/getInfo.php?workbook=13_02.xlsx&amp;sheet=U0&amp;row=995&amp;col=6&amp;number=4.1&amp;sourceID=14","4.1")</f>
        <v>4.1</v>
      </c>
      <c r="G995" s="4" t="str">
        <f>HYPERLINK("http://141.218.60.56/~jnz1568/getInfo.php?workbook=13_02.xlsx&amp;sheet=U0&amp;row=995&amp;col=7&amp;number=0.0021&amp;sourceID=14","0.0021")</f>
        <v>0.0021</v>
      </c>
    </row>
    <row r="996" spans="1:7">
      <c r="A996" s="3"/>
      <c r="B996" s="3"/>
      <c r="C996" s="3"/>
      <c r="D996" s="3"/>
      <c r="E996" s="3">
        <v>13</v>
      </c>
      <c r="F996" s="4" t="str">
        <f>HYPERLINK("http://141.218.60.56/~jnz1568/getInfo.php?workbook=13_02.xlsx&amp;sheet=U0&amp;row=996&amp;col=6&amp;number=4.2&amp;sourceID=14","4.2")</f>
        <v>4.2</v>
      </c>
      <c r="G996" s="4" t="str">
        <f>HYPERLINK("http://141.218.60.56/~jnz1568/getInfo.php?workbook=13_02.xlsx&amp;sheet=U0&amp;row=996&amp;col=7&amp;number=0.0021&amp;sourceID=14","0.0021")</f>
        <v>0.0021</v>
      </c>
    </row>
    <row r="997" spans="1:7">
      <c r="A997" s="3"/>
      <c r="B997" s="3"/>
      <c r="C997" s="3"/>
      <c r="D997" s="3"/>
      <c r="E997" s="3">
        <v>14</v>
      </c>
      <c r="F997" s="4" t="str">
        <f>HYPERLINK("http://141.218.60.56/~jnz1568/getInfo.php?workbook=13_02.xlsx&amp;sheet=U0&amp;row=997&amp;col=6&amp;number=4.3&amp;sourceID=14","4.3")</f>
        <v>4.3</v>
      </c>
      <c r="G997" s="4" t="str">
        <f>HYPERLINK("http://141.218.60.56/~jnz1568/getInfo.php?workbook=13_02.xlsx&amp;sheet=U0&amp;row=997&amp;col=7&amp;number=0.0021&amp;sourceID=14","0.0021")</f>
        <v>0.0021</v>
      </c>
    </row>
    <row r="998" spans="1:7">
      <c r="A998" s="3"/>
      <c r="B998" s="3"/>
      <c r="C998" s="3"/>
      <c r="D998" s="3"/>
      <c r="E998" s="3">
        <v>15</v>
      </c>
      <c r="F998" s="4" t="str">
        <f>HYPERLINK("http://141.218.60.56/~jnz1568/getInfo.php?workbook=13_02.xlsx&amp;sheet=U0&amp;row=998&amp;col=6&amp;number=4.4&amp;sourceID=14","4.4")</f>
        <v>4.4</v>
      </c>
      <c r="G998" s="4" t="str">
        <f>HYPERLINK("http://141.218.60.56/~jnz1568/getInfo.php?workbook=13_02.xlsx&amp;sheet=U0&amp;row=998&amp;col=7&amp;number=0.00209&amp;sourceID=14","0.00209")</f>
        <v>0.00209</v>
      </c>
    </row>
    <row r="999" spans="1:7">
      <c r="A999" s="3"/>
      <c r="B999" s="3"/>
      <c r="C999" s="3"/>
      <c r="D999" s="3"/>
      <c r="E999" s="3">
        <v>16</v>
      </c>
      <c r="F999" s="4" t="str">
        <f>HYPERLINK("http://141.218.60.56/~jnz1568/getInfo.php?workbook=13_02.xlsx&amp;sheet=U0&amp;row=999&amp;col=6&amp;number=4.5&amp;sourceID=14","4.5")</f>
        <v>4.5</v>
      </c>
      <c r="G999" s="4" t="str">
        <f>HYPERLINK("http://141.218.60.56/~jnz1568/getInfo.php?workbook=13_02.xlsx&amp;sheet=U0&amp;row=999&amp;col=7&amp;number=0.00209&amp;sourceID=14","0.00209")</f>
        <v>0.00209</v>
      </c>
    </row>
    <row r="1000" spans="1:7">
      <c r="A1000" s="3"/>
      <c r="B1000" s="3"/>
      <c r="C1000" s="3"/>
      <c r="D1000" s="3"/>
      <c r="E1000" s="3">
        <v>17</v>
      </c>
      <c r="F1000" s="4" t="str">
        <f>HYPERLINK("http://141.218.60.56/~jnz1568/getInfo.php?workbook=13_02.xlsx&amp;sheet=U0&amp;row=1000&amp;col=6&amp;number=4.6&amp;sourceID=14","4.6")</f>
        <v>4.6</v>
      </c>
      <c r="G1000" s="4" t="str">
        <f>HYPERLINK("http://141.218.60.56/~jnz1568/getInfo.php?workbook=13_02.xlsx&amp;sheet=U0&amp;row=1000&amp;col=7&amp;number=0.00208&amp;sourceID=14","0.00208")</f>
        <v>0.00208</v>
      </c>
    </row>
    <row r="1001" spans="1:7">
      <c r="A1001" s="3"/>
      <c r="B1001" s="3"/>
      <c r="C1001" s="3"/>
      <c r="D1001" s="3"/>
      <c r="E1001" s="3">
        <v>18</v>
      </c>
      <c r="F1001" s="4" t="str">
        <f>HYPERLINK("http://141.218.60.56/~jnz1568/getInfo.php?workbook=13_02.xlsx&amp;sheet=U0&amp;row=1001&amp;col=6&amp;number=4.7&amp;sourceID=14","4.7")</f>
        <v>4.7</v>
      </c>
      <c r="G1001" s="4" t="str">
        <f>HYPERLINK("http://141.218.60.56/~jnz1568/getInfo.php?workbook=13_02.xlsx&amp;sheet=U0&amp;row=1001&amp;col=7&amp;number=0.00208&amp;sourceID=14","0.00208")</f>
        <v>0.00208</v>
      </c>
    </row>
    <row r="1002" spans="1:7">
      <c r="A1002" s="3"/>
      <c r="B1002" s="3"/>
      <c r="C1002" s="3"/>
      <c r="D1002" s="3"/>
      <c r="E1002" s="3">
        <v>19</v>
      </c>
      <c r="F1002" s="4" t="str">
        <f>HYPERLINK("http://141.218.60.56/~jnz1568/getInfo.php?workbook=13_02.xlsx&amp;sheet=U0&amp;row=1002&amp;col=6&amp;number=4.8&amp;sourceID=14","4.8")</f>
        <v>4.8</v>
      </c>
      <c r="G1002" s="4" t="str">
        <f>HYPERLINK("http://141.218.60.56/~jnz1568/getInfo.php?workbook=13_02.xlsx&amp;sheet=U0&amp;row=1002&amp;col=7&amp;number=0.00207&amp;sourceID=14","0.00207")</f>
        <v>0.00207</v>
      </c>
    </row>
    <row r="1003" spans="1:7">
      <c r="A1003" s="3"/>
      <c r="B1003" s="3"/>
      <c r="C1003" s="3"/>
      <c r="D1003" s="3"/>
      <c r="E1003" s="3">
        <v>20</v>
      </c>
      <c r="F1003" s="4" t="str">
        <f>HYPERLINK("http://141.218.60.56/~jnz1568/getInfo.php?workbook=13_02.xlsx&amp;sheet=U0&amp;row=1003&amp;col=6&amp;number=4.9&amp;sourceID=14","4.9")</f>
        <v>4.9</v>
      </c>
      <c r="G1003" s="4" t="str">
        <f>HYPERLINK("http://141.218.60.56/~jnz1568/getInfo.php?workbook=13_02.xlsx&amp;sheet=U0&amp;row=1003&amp;col=7&amp;number=0.00206&amp;sourceID=14","0.00206")</f>
        <v>0.00206</v>
      </c>
    </row>
    <row r="1004" spans="1:7">
      <c r="A1004" s="3">
        <v>13</v>
      </c>
      <c r="B1004" s="3">
        <v>2</v>
      </c>
      <c r="C1004" s="3" t="s">
        <v>84</v>
      </c>
      <c r="D1004" s="3">
        <v>0</v>
      </c>
      <c r="E1004" s="3">
        <v>1</v>
      </c>
      <c r="F1004" s="4" t="str">
        <f>HYPERLINK("http://141.218.60.56/~jnz1568/getInfo.php?workbook=13_02.xlsx&amp;sheet=U0&amp;row=1004&amp;col=6&amp;number=3&amp;sourceID=14","3")</f>
        <v>3</v>
      </c>
      <c r="G1004" s="4" t="str">
        <f>HYPERLINK("http://141.218.60.56/~jnz1568/getInfo.php?workbook=13_02.xlsx&amp;sheet=U0&amp;row=1004&amp;col=7&amp;number=0.00694&amp;sourceID=14","0.00694")</f>
        <v>0.00694</v>
      </c>
    </row>
    <row r="1005" spans="1:7">
      <c r="A1005" s="3"/>
      <c r="B1005" s="3"/>
      <c r="C1005" s="3"/>
      <c r="D1005" s="3"/>
      <c r="E1005" s="3">
        <v>2</v>
      </c>
      <c r="F1005" s="4" t="str">
        <f>HYPERLINK("http://141.218.60.56/~jnz1568/getInfo.php?workbook=13_02.xlsx&amp;sheet=U0&amp;row=1005&amp;col=6&amp;number=3.1&amp;sourceID=14","3.1")</f>
        <v>3.1</v>
      </c>
      <c r="G1005" s="4" t="str">
        <f>HYPERLINK("http://141.218.60.56/~jnz1568/getInfo.php?workbook=13_02.xlsx&amp;sheet=U0&amp;row=1005&amp;col=7&amp;number=0.00694&amp;sourceID=14","0.00694")</f>
        <v>0.00694</v>
      </c>
    </row>
    <row r="1006" spans="1:7">
      <c r="A1006" s="3"/>
      <c r="B1006" s="3"/>
      <c r="C1006" s="3"/>
      <c r="D1006" s="3"/>
      <c r="E1006" s="3">
        <v>3</v>
      </c>
      <c r="F1006" s="4" t="str">
        <f>HYPERLINK("http://141.218.60.56/~jnz1568/getInfo.php?workbook=13_02.xlsx&amp;sheet=U0&amp;row=1006&amp;col=6&amp;number=3.2&amp;sourceID=14","3.2")</f>
        <v>3.2</v>
      </c>
      <c r="G1006" s="4" t="str">
        <f>HYPERLINK("http://141.218.60.56/~jnz1568/getInfo.php?workbook=13_02.xlsx&amp;sheet=U0&amp;row=1006&amp;col=7&amp;number=0.00694&amp;sourceID=14","0.00694")</f>
        <v>0.00694</v>
      </c>
    </row>
    <row r="1007" spans="1:7">
      <c r="A1007" s="3"/>
      <c r="B1007" s="3"/>
      <c r="C1007" s="3"/>
      <c r="D1007" s="3"/>
      <c r="E1007" s="3">
        <v>4</v>
      </c>
      <c r="F1007" s="4" t="str">
        <f>HYPERLINK("http://141.218.60.56/~jnz1568/getInfo.php?workbook=13_02.xlsx&amp;sheet=U0&amp;row=1007&amp;col=6&amp;number=3.3&amp;sourceID=14","3.3")</f>
        <v>3.3</v>
      </c>
      <c r="G1007" s="4" t="str">
        <f>HYPERLINK("http://141.218.60.56/~jnz1568/getInfo.php?workbook=13_02.xlsx&amp;sheet=U0&amp;row=1007&amp;col=7&amp;number=0.00694&amp;sourceID=14","0.00694")</f>
        <v>0.00694</v>
      </c>
    </row>
    <row r="1008" spans="1:7">
      <c r="A1008" s="3"/>
      <c r="B1008" s="3"/>
      <c r="C1008" s="3"/>
      <c r="D1008" s="3"/>
      <c r="E1008" s="3">
        <v>5</v>
      </c>
      <c r="F1008" s="4" t="str">
        <f>HYPERLINK("http://141.218.60.56/~jnz1568/getInfo.php?workbook=13_02.xlsx&amp;sheet=U0&amp;row=1008&amp;col=6&amp;number=3.4&amp;sourceID=14","3.4")</f>
        <v>3.4</v>
      </c>
      <c r="G1008" s="4" t="str">
        <f>HYPERLINK("http://141.218.60.56/~jnz1568/getInfo.php?workbook=13_02.xlsx&amp;sheet=U0&amp;row=1008&amp;col=7&amp;number=0.00694&amp;sourceID=14","0.00694")</f>
        <v>0.00694</v>
      </c>
    </row>
    <row r="1009" spans="1:7">
      <c r="A1009" s="3"/>
      <c r="B1009" s="3"/>
      <c r="C1009" s="3"/>
      <c r="D1009" s="3"/>
      <c r="E1009" s="3">
        <v>6</v>
      </c>
      <c r="F1009" s="4" t="str">
        <f>HYPERLINK("http://141.218.60.56/~jnz1568/getInfo.php?workbook=13_02.xlsx&amp;sheet=U0&amp;row=1009&amp;col=6&amp;number=3.5&amp;sourceID=14","3.5")</f>
        <v>3.5</v>
      </c>
      <c r="G1009" s="4" t="str">
        <f>HYPERLINK("http://141.218.60.56/~jnz1568/getInfo.php?workbook=13_02.xlsx&amp;sheet=U0&amp;row=1009&amp;col=7&amp;number=0.00694&amp;sourceID=14","0.00694")</f>
        <v>0.00694</v>
      </c>
    </row>
    <row r="1010" spans="1:7">
      <c r="A1010" s="3"/>
      <c r="B1010" s="3"/>
      <c r="C1010" s="3"/>
      <c r="D1010" s="3"/>
      <c r="E1010" s="3">
        <v>7</v>
      </c>
      <c r="F1010" s="4" t="str">
        <f>HYPERLINK("http://141.218.60.56/~jnz1568/getInfo.php?workbook=13_02.xlsx&amp;sheet=U0&amp;row=1010&amp;col=6&amp;number=3.6&amp;sourceID=14","3.6")</f>
        <v>3.6</v>
      </c>
      <c r="G1010" s="4" t="str">
        <f>HYPERLINK("http://141.218.60.56/~jnz1568/getInfo.php?workbook=13_02.xlsx&amp;sheet=U0&amp;row=1010&amp;col=7&amp;number=0.00695&amp;sourceID=14","0.00695")</f>
        <v>0.00695</v>
      </c>
    </row>
    <row r="1011" spans="1:7">
      <c r="A1011" s="3"/>
      <c r="B1011" s="3"/>
      <c r="C1011" s="3"/>
      <c r="D1011" s="3"/>
      <c r="E1011" s="3">
        <v>8</v>
      </c>
      <c r="F1011" s="4" t="str">
        <f>HYPERLINK("http://141.218.60.56/~jnz1568/getInfo.php?workbook=13_02.xlsx&amp;sheet=U0&amp;row=1011&amp;col=6&amp;number=3.7&amp;sourceID=14","3.7")</f>
        <v>3.7</v>
      </c>
      <c r="G1011" s="4" t="str">
        <f>HYPERLINK("http://141.218.60.56/~jnz1568/getInfo.php?workbook=13_02.xlsx&amp;sheet=U0&amp;row=1011&amp;col=7&amp;number=0.00695&amp;sourceID=14","0.00695")</f>
        <v>0.00695</v>
      </c>
    </row>
    <row r="1012" spans="1:7">
      <c r="A1012" s="3"/>
      <c r="B1012" s="3"/>
      <c r="C1012" s="3"/>
      <c r="D1012" s="3"/>
      <c r="E1012" s="3">
        <v>9</v>
      </c>
      <c r="F1012" s="4" t="str">
        <f>HYPERLINK("http://141.218.60.56/~jnz1568/getInfo.php?workbook=13_02.xlsx&amp;sheet=U0&amp;row=1012&amp;col=6&amp;number=3.8&amp;sourceID=14","3.8")</f>
        <v>3.8</v>
      </c>
      <c r="G1012" s="4" t="str">
        <f>HYPERLINK("http://141.218.60.56/~jnz1568/getInfo.php?workbook=13_02.xlsx&amp;sheet=U0&amp;row=1012&amp;col=7&amp;number=0.00695&amp;sourceID=14","0.00695")</f>
        <v>0.00695</v>
      </c>
    </row>
    <row r="1013" spans="1:7">
      <c r="A1013" s="3"/>
      <c r="B1013" s="3"/>
      <c r="C1013" s="3"/>
      <c r="D1013" s="3"/>
      <c r="E1013" s="3">
        <v>10</v>
      </c>
      <c r="F1013" s="4" t="str">
        <f>HYPERLINK("http://141.218.60.56/~jnz1568/getInfo.php?workbook=13_02.xlsx&amp;sheet=U0&amp;row=1013&amp;col=6&amp;number=3.9&amp;sourceID=14","3.9")</f>
        <v>3.9</v>
      </c>
      <c r="G1013" s="4" t="str">
        <f>HYPERLINK("http://141.218.60.56/~jnz1568/getInfo.php?workbook=13_02.xlsx&amp;sheet=U0&amp;row=1013&amp;col=7&amp;number=0.00695&amp;sourceID=14","0.00695")</f>
        <v>0.00695</v>
      </c>
    </row>
    <row r="1014" spans="1:7">
      <c r="A1014" s="3"/>
      <c r="B1014" s="3"/>
      <c r="C1014" s="3"/>
      <c r="D1014" s="3"/>
      <c r="E1014" s="3">
        <v>11</v>
      </c>
      <c r="F1014" s="4" t="str">
        <f>HYPERLINK("http://141.218.60.56/~jnz1568/getInfo.php?workbook=13_02.xlsx&amp;sheet=U0&amp;row=1014&amp;col=6&amp;number=4&amp;sourceID=14","4")</f>
        <v>4</v>
      </c>
      <c r="G1014" s="4" t="str">
        <f>HYPERLINK("http://141.218.60.56/~jnz1568/getInfo.php?workbook=13_02.xlsx&amp;sheet=U0&amp;row=1014&amp;col=7&amp;number=0.00696&amp;sourceID=14","0.00696")</f>
        <v>0.00696</v>
      </c>
    </row>
    <row r="1015" spans="1:7">
      <c r="A1015" s="3"/>
      <c r="B1015" s="3"/>
      <c r="C1015" s="3"/>
      <c r="D1015" s="3"/>
      <c r="E1015" s="3">
        <v>12</v>
      </c>
      <c r="F1015" s="4" t="str">
        <f>HYPERLINK("http://141.218.60.56/~jnz1568/getInfo.php?workbook=13_02.xlsx&amp;sheet=U0&amp;row=1015&amp;col=6&amp;number=4.1&amp;sourceID=14","4.1")</f>
        <v>4.1</v>
      </c>
      <c r="G1015" s="4" t="str">
        <f>HYPERLINK("http://141.218.60.56/~jnz1568/getInfo.php?workbook=13_02.xlsx&amp;sheet=U0&amp;row=1015&amp;col=7&amp;number=0.00696&amp;sourceID=14","0.00696")</f>
        <v>0.00696</v>
      </c>
    </row>
    <row r="1016" spans="1:7">
      <c r="A1016" s="3"/>
      <c r="B1016" s="3"/>
      <c r="C1016" s="3"/>
      <c r="D1016" s="3"/>
      <c r="E1016" s="3">
        <v>13</v>
      </c>
      <c r="F1016" s="4" t="str">
        <f>HYPERLINK("http://141.218.60.56/~jnz1568/getInfo.php?workbook=13_02.xlsx&amp;sheet=U0&amp;row=1016&amp;col=6&amp;number=4.2&amp;sourceID=14","4.2")</f>
        <v>4.2</v>
      </c>
      <c r="G1016" s="4" t="str">
        <f>HYPERLINK("http://141.218.60.56/~jnz1568/getInfo.php?workbook=13_02.xlsx&amp;sheet=U0&amp;row=1016&amp;col=7&amp;number=0.00697&amp;sourceID=14","0.00697")</f>
        <v>0.00697</v>
      </c>
    </row>
    <row r="1017" spans="1:7">
      <c r="A1017" s="3"/>
      <c r="B1017" s="3"/>
      <c r="C1017" s="3"/>
      <c r="D1017" s="3"/>
      <c r="E1017" s="3">
        <v>14</v>
      </c>
      <c r="F1017" s="4" t="str">
        <f>HYPERLINK("http://141.218.60.56/~jnz1568/getInfo.php?workbook=13_02.xlsx&amp;sheet=U0&amp;row=1017&amp;col=6&amp;number=4.3&amp;sourceID=14","4.3")</f>
        <v>4.3</v>
      </c>
      <c r="G1017" s="4" t="str">
        <f>HYPERLINK("http://141.218.60.56/~jnz1568/getInfo.php?workbook=13_02.xlsx&amp;sheet=U0&amp;row=1017&amp;col=7&amp;number=0.00697&amp;sourceID=14","0.00697")</f>
        <v>0.00697</v>
      </c>
    </row>
    <row r="1018" spans="1:7">
      <c r="A1018" s="3"/>
      <c r="B1018" s="3"/>
      <c r="C1018" s="3"/>
      <c r="D1018" s="3"/>
      <c r="E1018" s="3">
        <v>15</v>
      </c>
      <c r="F1018" s="4" t="str">
        <f>HYPERLINK("http://141.218.60.56/~jnz1568/getInfo.php?workbook=13_02.xlsx&amp;sheet=U0&amp;row=1018&amp;col=6&amp;number=4.4&amp;sourceID=14","4.4")</f>
        <v>4.4</v>
      </c>
      <c r="G1018" s="4" t="str">
        <f>HYPERLINK("http://141.218.60.56/~jnz1568/getInfo.php?workbook=13_02.xlsx&amp;sheet=U0&amp;row=1018&amp;col=7&amp;number=0.00698&amp;sourceID=14","0.00698")</f>
        <v>0.00698</v>
      </c>
    </row>
    <row r="1019" spans="1:7">
      <c r="A1019" s="3"/>
      <c r="B1019" s="3"/>
      <c r="C1019" s="3"/>
      <c r="D1019" s="3"/>
      <c r="E1019" s="3">
        <v>16</v>
      </c>
      <c r="F1019" s="4" t="str">
        <f>HYPERLINK("http://141.218.60.56/~jnz1568/getInfo.php?workbook=13_02.xlsx&amp;sheet=U0&amp;row=1019&amp;col=6&amp;number=4.5&amp;sourceID=14","4.5")</f>
        <v>4.5</v>
      </c>
      <c r="G1019" s="4" t="str">
        <f>HYPERLINK("http://141.218.60.56/~jnz1568/getInfo.php?workbook=13_02.xlsx&amp;sheet=U0&amp;row=1019&amp;col=7&amp;number=0.00699&amp;sourceID=14","0.00699")</f>
        <v>0.00699</v>
      </c>
    </row>
    <row r="1020" spans="1:7">
      <c r="A1020" s="3"/>
      <c r="B1020" s="3"/>
      <c r="C1020" s="3"/>
      <c r="D1020" s="3"/>
      <c r="E1020" s="3">
        <v>17</v>
      </c>
      <c r="F1020" s="4" t="str">
        <f>HYPERLINK("http://141.218.60.56/~jnz1568/getInfo.php?workbook=13_02.xlsx&amp;sheet=U0&amp;row=1020&amp;col=6&amp;number=4.6&amp;sourceID=14","4.6")</f>
        <v>4.6</v>
      </c>
      <c r="G1020" s="4" t="str">
        <f>HYPERLINK("http://141.218.60.56/~jnz1568/getInfo.php?workbook=13_02.xlsx&amp;sheet=U0&amp;row=1020&amp;col=7&amp;number=0.00701&amp;sourceID=14","0.00701")</f>
        <v>0.00701</v>
      </c>
    </row>
    <row r="1021" spans="1:7">
      <c r="A1021" s="3"/>
      <c r="B1021" s="3"/>
      <c r="C1021" s="3"/>
      <c r="D1021" s="3"/>
      <c r="E1021" s="3">
        <v>18</v>
      </c>
      <c r="F1021" s="4" t="str">
        <f>HYPERLINK("http://141.218.60.56/~jnz1568/getInfo.php?workbook=13_02.xlsx&amp;sheet=U0&amp;row=1021&amp;col=6&amp;number=4.7&amp;sourceID=14","4.7")</f>
        <v>4.7</v>
      </c>
      <c r="G1021" s="4" t="str">
        <f>HYPERLINK("http://141.218.60.56/~jnz1568/getInfo.php?workbook=13_02.xlsx&amp;sheet=U0&amp;row=1021&amp;col=7&amp;number=0.00703&amp;sourceID=14","0.00703")</f>
        <v>0.00703</v>
      </c>
    </row>
    <row r="1022" spans="1:7">
      <c r="A1022" s="3"/>
      <c r="B1022" s="3"/>
      <c r="C1022" s="3"/>
      <c r="D1022" s="3"/>
      <c r="E1022" s="3">
        <v>19</v>
      </c>
      <c r="F1022" s="4" t="str">
        <f>HYPERLINK("http://141.218.60.56/~jnz1568/getInfo.php?workbook=13_02.xlsx&amp;sheet=U0&amp;row=1022&amp;col=6&amp;number=4.8&amp;sourceID=14","4.8")</f>
        <v>4.8</v>
      </c>
      <c r="G1022" s="4" t="str">
        <f>HYPERLINK("http://141.218.60.56/~jnz1568/getInfo.php?workbook=13_02.xlsx&amp;sheet=U0&amp;row=1022&amp;col=7&amp;number=0.00705&amp;sourceID=14","0.00705")</f>
        <v>0.00705</v>
      </c>
    </row>
    <row r="1023" spans="1:7">
      <c r="A1023" s="3"/>
      <c r="B1023" s="3"/>
      <c r="C1023" s="3"/>
      <c r="D1023" s="3"/>
      <c r="E1023" s="3">
        <v>20</v>
      </c>
      <c r="F1023" s="4" t="str">
        <f>HYPERLINK("http://141.218.60.56/~jnz1568/getInfo.php?workbook=13_02.xlsx&amp;sheet=U0&amp;row=1023&amp;col=6&amp;number=4.9&amp;sourceID=14","4.9")</f>
        <v>4.9</v>
      </c>
      <c r="G1023" s="4" t="str">
        <f>HYPERLINK("http://141.218.60.56/~jnz1568/getInfo.php?workbook=13_02.xlsx&amp;sheet=U0&amp;row=1023&amp;col=7&amp;number=0.00708&amp;sourceID=14","0.00708")</f>
        <v>0.00708</v>
      </c>
    </row>
    <row r="1024" spans="1:7">
      <c r="A1024" s="3">
        <v>13</v>
      </c>
      <c r="B1024" s="3">
        <v>2</v>
      </c>
      <c r="C1024" s="3" t="s">
        <v>84</v>
      </c>
      <c r="D1024" s="3">
        <v>1</v>
      </c>
      <c r="E1024" s="3">
        <v>1</v>
      </c>
      <c r="F1024" s="4" t="str">
        <f>HYPERLINK("http://141.218.60.56/~jnz1568/getInfo.php?workbook=13_02.xlsx&amp;sheet=U0&amp;row=1024&amp;col=6&amp;number=3&amp;sourceID=14","3")</f>
        <v>3</v>
      </c>
      <c r="G1024" s="4" t="str">
        <f>HYPERLINK("http://141.218.60.56/~jnz1568/getInfo.php?workbook=13_02.xlsx&amp;sheet=U0&amp;row=1024&amp;col=7&amp;number=0.0208&amp;sourceID=14","0.0208")</f>
        <v>0.0208</v>
      </c>
    </row>
    <row r="1025" spans="1:7">
      <c r="A1025" s="3"/>
      <c r="B1025" s="3"/>
      <c r="C1025" s="3"/>
      <c r="D1025" s="3"/>
      <c r="E1025" s="3">
        <v>2</v>
      </c>
      <c r="F1025" s="4" t="str">
        <f>HYPERLINK("http://141.218.60.56/~jnz1568/getInfo.php?workbook=13_02.xlsx&amp;sheet=U0&amp;row=1025&amp;col=6&amp;number=3.1&amp;sourceID=14","3.1")</f>
        <v>3.1</v>
      </c>
      <c r="G1025" s="4" t="str">
        <f>HYPERLINK("http://141.218.60.56/~jnz1568/getInfo.php?workbook=13_02.xlsx&amp;sheet=U0&amp;row=1025&amp;col=7&amp;number=0.0208&amp;sourceID=14","0.0208")</f>
        <v>0.0208</v>
      </c>
    </row>
    <row r="1026" spans="1:7">
      <c r="A1026" s="3"/>
      <c r="B1026" s="3"/>
      <c r="C1026" s="3"/>
      <c r="D1026" s="3"/>
      <c r="E1026" s="3">
        <v>3</v>
      </c>
      <c r="F1026" s="4" t="str">
        <f>HYPERLINK("http://141.218.60.56/~jnz1568/getInfo.php?workbook=13_02.xlsx&amp;sheet=U0&amp;row=1026&amp;col=6&amp;number=3.2&amp;sourceID=14","3.2")</f>
        <v>3.2</v>
      </c>
      <c r="G1026" s="4" t="str">
        <f>HYPERLINK("http://141.218.60.56/~jnz1568/getInfo.php?workbook=13_02.xlsx&amp;sheet=U0&amp;row=1026&amp;col=7&amp;number=0.0208&amp;sourceID=14","0.0208")</f>
        <v>0.0208</v>
      </c>
    </row>
    <row r="1027" spans="1:7">
      <c r="A1027" s="3"/>
      <c r="B1027" s="3"/>
      <c r="C1027" s="3"/>
      <c r="D1027" s="3"/>
      <c r="E1027" s="3">
        <v>4</v>
      </c>
      <c r="F1027" s="4" t="str">
        <f>HYPERLINK("http://141.218.60.56/~jnz1568/getInfo.php?workbook=13_02.xlsx&amp;sheet=U0&amp;row=1027&amp;col=6&amp;number=3.3&amp;sourceID=14","3.3")</f>
        <v>3.3</v>
      </c>
      <c r="G1027" s="4" t="str">
        <f>HYPERLINK("http://141.218.60.56/~jnz1568/getInfo.php?workbook=13_02.xlsx&amp;sheet=U0&amp;row=1027&amp;col=7&amp;number=0.0208&amp;sourceID=14","0.0208")</f>
        <v>0.0208</v>
      </c>
    </row>
    <row r="1028" spans="1:7">
      <c r="A1028" s="3"/>
      <c r="B1028" s="3"/>
      <c r="C1028" s="3"/>
      <c r="D1028" s="3"/>
      <c r="E1028" s="3">
        <v>5</v>
      </c>
      <c r="F1028" s="4" t="str">
        <f>HYPERLINK("http://141.218.60.56/~jnz1568/getInfo.php?workbook=13_02.xlsx&amp;sheet=U0&amp;row=1028&amp;col=6&amp;number=3.4&amp;sourceID=14","3.4")</f>
        <v>3.4</v>
      </c>
      <c r="G1028" s="4" t="str">
        <f>HYPERLINK("http://141.218.60.56/~jnz1568/getInfo.php?workbook=13_02.xlsx&amp;sheet=U0&amp;row=1028&amp;col=7&amp;number=0.0208&amp;sourceID=14","0.0208")</f>
        <v>0.0208</v>
      </c>
    </row>
    <row r="1029" spans="1:7">
      <c r="A1029" s="3"/>
      <c r="B1029" s="3"/>
      <c r="C1029" s="3"/>
      <c r="D1029" s="3"/>
      <c r="E1029" s="3">
        <v>6</v>
      </c>
      <c r="F1029" s="4" t="str">
        <f>HYPERLINK("http://141.218.60.56/~jnz1568/getInfo.php?workbook=13_02.xlsx&amp;sheet=U0&amp;row=1029&amp;col=6&amp;number=3.5&amp;sourceID=14","3.5")</f>
        <v>3.5</v>
      </c>
      <c r="G1029" s="4" t="str">
        <f>HYPERLINK("http://141.218.60.56/~jnz1568/getInfo.php?workbook=13_02.xlsx&amp;sheet=U0&amp;row=1029&amp;col=7&amp;number=0.0208&amp;sourceID=14","0.0208")</f>
        <v>0.0208</v>
      </c>
    </row>
    <row r="1030" spans="1:7">
      <c r="A1030" s="3"/>
      <c r="B1030" s="3"/>
      <c r="C1030" s="3"/>
      <c r="D1030" s="3"/>
      <c r="E1030" s="3">
        <v>7</v>
      </c>
      <c r="F1030" s="4" t="str">
        <f>HYPERLINK("http://141.218.60.56/~jnz1568/getInfo.php?workbook=13_02.xlsx&amp;sheet=U0&amp;row=1030&amp;col=6&amp;number=3.6&amp;sourceID=14","3.6")</f>
        <v>3.6</v>
      </c>
      <c r="G1030" s="4" t="str">
        <f>HYPERLINK("http://141.218.60.56/~jnz1568/getInfo.php?workbook=13_02.xlsx&amp;sheet=U0&amp;row=1030&amp;col=7&amp;number=0.0208&amp;sourceID=14","0.0208")</f>
        <v>0.0208</v>
      </c>
    </row>
    <row r="1031" spans="1:7">
      <c r="A1031" s="3"/>
      <c r="B1031" s="3"/>
      <c r="C1031" s="3"/>
      <c r="D1031" s="3"/>
      <c r="E1031" s="3">
        <v>8</v>
      </c>
      <c r="F1031" s="4" t="str">
        <f>HYPERLINK("http://141.218.60.56/~jnz1568/getInfo.php?workbook=13_02.xlsx&amp;sheet=U0&amp;row=1031&amp;col=6&amp;number=3.7&amp;sourceID=14","3.7")</f>
        <v>3.7</v>
      </c>
      <c r="G1031" s="4" t="str">
        <f>HYPERLINK("http://141.218.60.56/~jnz1568/getInfo.php?workbook=13_02.xlsx&amp;sheet=U0&amp;row=1031&amp;col=7&amp;number=0.0208&amp;sourceID=14","0.0208")</f>
        <v>0.0208</v>
      </c>
    </row>
    <row r="1032" spans="1:7">
      <c r="A1032" s="3"/>
      <c r="B1032" s="3"/>
      <c r="C1032" s="3"/>
      <c r="D1032" s="3"/>
      <c r="E1032" s="3">
        <v>9</v>
      </c>
      <c r="F1032" s="4" t="str">
        <f>HYPERLINK("http://141.218.60.56/~jnz1568/getInfo.php?workbook=13_02.xlsx&amp;sheet=U0&amp;row=1032&amp;col=6&amp;number=3.8&amp;sourceID=14","3.8")</f>
        <v>3.8</v>
      </c>
      <c r="G1032" s="4" t="str">
        <f>HYPERLINK("http://141.218.60.56/~jnz1568/getInfo.php?workbook=13_02.xlsx&amp;sheet=U0&amp;row=1032&amp;col=7&amp;number=0.0208&amp;sourceID=14","0.0208")</f>
        <v>0.0208</v>
      </c>
    </row>
    <row r="1033" spans="1:7">
      <c r="A1033" s="3"/>
      <c r="B1033" s="3"/>
      <c r="C1033" s="3"/>
      <c r="D1033" s="3"/>
      <c r="E1033" s="3">
        <v>10</v>
      </c>
      <c r="F1033" s="4" t="str">
        <f>HYPERLINK("http://141.218.60.56/~jnz1568/getInfo.php?workbook=13_02.xlsx&amp;sheet=U0&amp;row=1033&amp;col=6&amp;number=3.9&amp;sourceID=14","3.9")</f>
        <v>3.9</v>
      </c>
      <c r="G1033" s="4" t="str">
        <f>HYPERLINK("http://141.218.60.56/~jnz1568/getInfo.php?workbook=13_02.xlsx&amp;sheet=U0&amp;row=1033&amp;col=7&amp;number=0.0208&amp;sourceID=14","0.0208")</f>
        <v>0.0208</v>
      </c>
    </row>
    <row r="1034" spans="1:7">
      <c r="A1034" s="3"/>
      <c r="B1034" s="3"/>
      <c r="C1034" s="3"/>
      <c r="D1034" s="3"/>
      <c r="E1034" s="3">
        <v>11</v>
      </c>
      <c r="F1034" s="4" t="str">
        <f>HYPERLINK("http://141.218.60.56/~jnz1568/getInfo.php?workbook=13_02.xlsx&amp;sheet=U0&amp;row=1034&amp;col=6&amp;number=4&amp;sourceID=14","4")</f>
        <v>4</v>
      </c>
      <c r="G1034" s="4" t="str">
        <f>HYPERLINK("http://141.218.60.56/~jnz1568/getInfo.php?workbook=13_02.xlsx&amp;sheet=U0&amp;row=1034&amp;col=7&amp;number=0.0208&amp;sourceID=14","0.0208")</f>
        <v>0.0208</v>
      </c>
    </row>
    <row r="1035" spans="1:7">
      <c r="A1035" s="3"/>
      <c r="B1035" s="3"/>
      <c r="C1035" s="3"/>
      <c r="D1035" s="3"/>
      <c r="E1035" s="3">
        <v>12</v>
      </c>
      <c r="F1035" s="4" t="str">
        <f>HYPERLINK("http://141.218.60.56/~jnz1568/getInfo.php?workbook=13_02.xlsx&amp;sheet=U0&amp;row=1035&amp;col=6&amp;number=4.1&amp;sourceID=14","4.1")</f>
        <v>4.1</v>
      </c>
      <c r="G1035" s="4" t="str">
        <f>HYPERLINK("http://141.218.60.56/~jnz1568/getInfo.php?workbook=13_02.xlsx&amp;sheet=U0&amp;row=1035&amp;col=7&amp;number=0.0208&amp;sourceID=14","0.0208")</f>
        <v>0.0208</v>
      </c>
    </row>
    <row r="1036" spans="1:7">
      <c r="A1036" s="3"/>
      <c r="B1036" s="3"/>
      <c r="C1036" s="3"/>
      <c r="D1036" s="3"/>
      <c r="E1036" s="3">
        <v>13</v>
      </c>
      <c r="F1036" s="4" t="str">
        <f>HYPERLINK("http://141.218.60.56/~jnz1568/getInfo.php?workbook=13_02.xlsx&amp;sheet=U0&amp;row=1036&amp;col=6&amp;number=4.2&amp;sourceID=14","4.2")</f>
        <v>4.2</v>
      </c>
      <c r="G1036" s="4" t="str">
        <f>HYPERLINK("http://141.218.60.56/~jnz1568/getInfo.php?workbook=13_02.xlsx&amp;sheet=U0&amp;row=1036&amp;col=7&amp;number=0.0208&amp;sourceID=14","0.0208")</f>
        <v>0.0208</v>
      </c>
    </row>
    <row r="1037" spans="1:7">
      <c r="A1037" s="3"/>
      <c r="B1037" s="3"/>
      <c r="C1037" s="3"/>
      <c r="D1037" s="3"/>
      <c r="E1037" s="3">
        <v>14</v>
      </c>
      <c r="F1037" s="4" t="str">
        <f>HYPERLINK("http://141.218.60.56/~jnz1568/getInfo.php?workbook=13_02.xlsx&amp;sheet=U0&amp;row=1037&amp;col=6&amp;number=4.3&amp;sourceID=14","4.3")</f>
        <v>4.3</v>
      </c>
      <c r="G1037" s="4" t="str">
        <f>HYPERLINK("http://141.218.60.56/~jnz1568/getInfo.php?workbook=13_02.xlsx&amp;sheet=U0&amp;row=1037&amp;col=7&amp;number=0.0209&amp;sourceID=14","0.0209")</f>
        <v>0.0209</v>
      </c>
    </row>
    <row r="1038" spans="1:7">
      <c r="A1038" s="3"/>
      <c r="B1038" s="3"/>
      <c r="C1038" s="3"/>
      <c r="D1038" s="3"/>
      <c r="E1038" s="3">
        <v>15</v>
      </c>
      <c r="F1038" s="4" t="str">
        <f>HYPERLINK("http://141.218.60.56/~jnz1568/getInfo.php?workbook=13_02.xlsx&amp;sheet=U0&amp;row=1038&amp;col=6&amp;number=4.4&amp;sourceID=14","4.4")</f>
        <v>4.4</v>
      </c>
      <c r="G1038" s="4" t="str">
        <f>HYPERLINK("http://141.218.60.56/~jnz1568/getInfo.php?workbook=13_02.xlsx&amp;sheet=U0&amp;row=1038&amp;col=7&amp;number=0.0209&amp;sourceID=14","0.0209")</f>
        <v>0.0209</v>
      </c>
    </row>
    <row r="1039" spans="1:7">
      <c r="A1039" s="3"/>
      <c r="B1039" s="3"/>
      <c r="C1039" s="3"/>
      <c r="D1039" s="3"/>
      <c r="E1039" s="3">
        <v>16</v>
      </c>
      <c r="F1039" s="4" t="str">
        <f>HYPERLINK("http://141.218.60.56/~jnz1568/getInfo.php?workbook=13_02.xlsx&amp;sheet=U0&amp;row=1039&amp;col=6&amp;number=4.5&amp;sourceID=14","4.5")</f>
        <v>4.5</v>
      </c>
      <c r="G1039" s="4" t="str">
        <f>HYPERLINK("http://141.218.60.56/~jnz1568/getInfo.php?workbook=13_02.xlsx&amp;sheet=U0&amp;row=1039&amp;col=7&amp;number=0.0209&amp;sourceID=14","0.0209")</f>
        <v>0.0209</v>
      </c>
    </row>
    <row r="1040" spans="1:7">
      <c r="A1040" s="3"/>
      <c r="B1040" s="3"/>
      <c r="C1040" s="3"/>
      <c r="D1040" s="3"/>
      <c r="E1040" s="3">
        <v>17</v>
      </c>
      <c r="F1040" s="4" t="str">
        <f>HYPERLINK("http://141.218.60.56/~jnz1568/getInfo.php?workbook=13_02.xlsx&amp;sheet=U0&amp;row=1040&amp;col=6&amp;number=4.6&amp;sourceID=14","4.6")</f>
        <v>4.6</v>
      </c>
      <c r="G1040" s="4" t="str">
        <f>HYPERLINK("http://141.218.60.56/~jnz1568/getInfo.php?workbook=13_02.xlsx&amp;sheet=U0&amp;row=1040&amp;col=7&amp;number=0.021&amp;sourceID=14","0.021")</f>
        <v>0.021</v>
      </c>
    </row>
    <row r="1041" spans="1:7">
      <c r="A1041" s="3"/>
      <c r="B1041" s="3"/>
      <c r="C1041" s="3"/>
      <c r="D1041" s="3"/>
      <c r="E1041" s="3">
        <v>18</v>
      </c>
      <c r="F1041" s="4" t="str">
        <f>HYPERLINK("http://141.218.60.56/~jnz1568/getInfo.php?workbook=13_02.xlsx&amp;sheet=U0&amp;row=1041&amp;col=6&amp;number=4.7&amp;sourceID=14","4.7")</f>
        <v>4.7</v>
      </c>
      <c r="G1041" s="4" t="str">
        <f>HYPERLINK("http://141.218.60.56/~jnz1568/getInfo.php?workbook=13_02.xlsx&amp;sheet=U0&amp;row=1041&amp;col=7&amp;number=0.021&amp;sourceID=14","0.021")</f>
        <v>0.021</v>
      </c>
    </row>
    <row r="1042" spans="1:7">
      <c r="A1042" s="3"/>
      <c r="B1042" s="3"/>
      <c r="C1042" s="3"/>
      <c r="D1042" s="3"/>
      <c r="E1042" s="3">
        <v>19</v>
      </c>
      <c r="F1042" s="4" t="str">
        <f>HYPERLINK("http://141.218.60.56/~jnz1568/getInfo.php?workbook=13_02.xlsx&amp;sheet=U0&amp;row=1042&amp;col=6&amp;number=4.8&amp;sourceID=14","4.8")</f>
        <v>4.8</v>
      </c>
      <c r="G1042" s="4" t="str">
        <f>HYPERLINK("http://141.218.60.56/~jnz1568/getInfo.php?workbook=13_02.xlsx&amp;sheet=U0&amp;row=1042&amp;col=7&amp;number=0.0211&amp;sourceID=14","0.0211")</f>
        <v>0.0211</v>
      </c>
    </row>
    <row r="1043" spans="1:7">
      <c r="A1043" s="3"/>
      <c r="B1043" s="3"/>
      <c r="C1043" s="3"/>
      <c r="D1043" s="3"/>
      <c r="E1043" s="3">
        <v>20</v>
      </c>
      <c r="F1043" s="4" t="str">
        <f>HYPERLINK("http://141.218.60.56/~jnz1568/getInfo.php?workbook=13_02.xlsx&amp;sheet=U0&amp;row=1043&amp;col=6&amp;number=4.9&amp;sourceID=14","4.9")</f>
        <v>4.9</v>
      </c>
      <c r="G1043" s="4" t="str">
        <f>HYPERLINK("http://141.218.60.56/~jnz1568/getInfo.php?workbook=13_02.xlsx&amp;sheet=U0&amp;row=1043&amp;col=7&amp;number=0.0212&amp;sourceID=14","0.0212")</f>
        <v>0.0212</v>
      </c>
    </row>
    <row r="1044" spans="1:7">
      <c r="A1044" s="3">
        <v>13</v>
      </c>
      <c r="B1044" s="3">
        <v>2</v>
      </c>
      <c r="C1044" s="3" t="s">
        <v>84</v>
      </c>
      <c r="D1044" s="3">
        <v>2</v>
      </c>
      <c r="E1044" s="3">
        <v>1</v>
      </c>
      <c r="F1044" s="4" t="str">
        <f>HYPERLINK("http://141.218.60.56/~jnz1568/getInfo.php?workbook=13_02.xlsx&amp;sheet=U0&amp;row=1044&amp;col=6&amp;number=3&amp;sourceID=14","3")</f>
        <v>3</v>
      </c>
      <c r="G1044" s="4" t="str">
        <f>HYPERLINK("http://141.218.60.56/~jnz1568/getInfo.php?workbook=13_02.xlsx&amp;sheet=U0&amp;row=1044&amp;col=7&amp;number=0.0347&amp;sourceID=14","0.0347")</f>
        <v>0.0347</v>
      </c>
    </row>
    <row r="1045" spans="1:7">
      <c r="A1045" s="3"/>
      <c r="B1045" s="3"/>
      <c r="C1045" s="3"/>
      <c r="D1045" s="3"/>
      <c r="E1045" s="3">
        <v>2</v>
      </c>
      <c r="F1045" s="4" t="str">
        <f>HYPERLINK("http://141.218.60.56/~jnz1568/getInfo.php?workbook=13_02.xlsx&amp;sheet=U0&amp;row=1045&amp;col=6&amp;number=3.1&amp;sourceID=14","3.1")</f>
        <v>3.1</v>
      </c>
      <c r="G1045" s="4" t="str">
        <f>HYPERLINK("http://141.218.60.56/~jnz1568/getInfo.php?workbook=13_02.xlsx&amp;sheet=U0&amp;row=1045&amp;col=7&amp;number=0.0347&amp;sourceID=14","0.0347")</f>
        <v>0.0347</v>
      </c>
    </row>
    <row r="1046" spans="1:7">
      <c r="A1046" s="3"/>
      <c r="B1046" s="3"/>
      <c r="C1046" s="3"/>
      <c r="D1046" s="3"/>
      <c r="E1046" s="3">
        <v>3</v>
      </c>
      <c r="F1046" s="4" t="str">
        <f>HYPERLINK("http://141.218.60.56/~jnz1568/getInfo.php?workbook=13_02.xlsx&amp;sheet=U0&amp;row=1046&amp;col=6&amp;number=3.2&amp;sourceID=14","3.2")</f>
        <v>3.2</v>
      </c>
      <c r="G1046" s="4" t="str">
        <f>HYPERLINK("http://141.218.60.56/~jnz1568/getInfo.php?workbook=13_02.xlsx&amp;sheet=U0&amp;row=1046&amp;col=7&amp;number=0.0347&amp;sourceID=14","0.0347")</f>
        <v>0.0347</v>
      </c>
    </row>
    <row r="1047" spans="1:7">
      <c r="A1047" s="3"/>
      <c r="B1047" s="3"/>
      <c r="C1047" s="3"/>
      <c r="D1047" s="3"/>
      <c r="E1047" s="3">
        <v>4</v>
      </c>
      <c r="F1047" s="4" t="str">
        <f>HYPERLINK("http://141.218.60.56/~jnz1568/getInfo.php?workbook=13_02.xlsx&amp;sheet=U0&amp;row=1047&amp;col=6&amp;number=3.3&amp;sourceID=14","3.3")</f>
        <v>3.3</v>
      </c>
      <c r="G1047" s="4" t="str">
        <f>HYPERLINK("http://141.218.60.56/~jnz1568/getInfo.php?workbook=13_02.xlsx&amp;sheet=U0&amp;row=1047&amp;col=7&amp;number=0.0347&amp;sourceID=14","0.0347")</f>
        <v>0.0347</v>
      </c>
    </row>
    <row r="1048" spans="1:7">
      <c r="A1048" s="3"/>
      <c r="B1048" s="3"/>
      <c r="C1048" s="3"/>
      <c r="D1048" s="3"/>
      <c r="E1048" s="3">
        <v>5</v>
      </c>
      <c r="F1048" s="4" t="str">
        <f>HYPERLINK("http://141.218.60.56/~jnz1568/getInfo.php?workbook=13_02.xlsx&amp;sheet=U0&amp;row=1048&amp;col=6&amp;number=3.4&amp;sourceID=14","3.4")</f>
        <v>3.4</v>
      </c>
      <c r="G1048" s="4" t="str">
        <f>HYPERLINK("http://141.218.60.56/~jnz1568/getInfo.php?workbook=13_02.xlsx&amp;sheet=U0&amp;row=1048&amp;col=7&amp;number=0.0347&amp;sourceID=14","0.0347")</f>
        <v>0.0347</v>
      </c>
    </row>
    <row r="1049" spans="1:7">
      <c r="A1049" s="3"/>
      <c r="B1049" s="3"/>
      <c r="C1049" s="3"/>
      <c r="D1049" s="3"/>
      <c r="E1049" s="3">
        <v>6</v>
      </c>
      <c r="F1049" s="4" t="str">
        <f>HYPERLINK("http://141.218.60.56/~jnz1568/getInfo.php?workbook=13_02.xlsx&amp;sheet=U0&amp;row=1049&amp;col=6&amp;number=3.5&amp;sourceID=14","3.5")</f>
        <v>3.5</v>
      </c>
      <c r="G1049" s="4" t="str">
        <f>HYPERLINK("http://141.218.60.56/~jnz1568/getInfo.php?workbook=13_02.xlsx&amp;sheet=U0&amp;row=1049&amp;col=7&amp;number=0.0347&amp;sourceID=14","0.0347")</f>
        <v>0.0347</v>
      </c>
    </row>
    <row r="1050" spans="1:7">
      <c r="A1050" s="3"/>
      <c r="B1050" s="3"/>
      <c r="C1050" s="3"/>
      <c r="D1050" s="3"/>
      <c r="E1050" s="3">
        <v>7</v>
      </c>
      <c r="F1050" s="4" t="str">
        <f>HYPERLINK("http://141.218.60.56/~jnz1568/getInfo.php?workbook=13_02.xlsx&amp;sheet=U0&amp;row=1050&amp;col=6&amp;number=3.6&amp;sourceID=14","3.6")</f>
        <v>3.6</v>
      </c>
      <c r="G1050" s="4" t="str">
        <f>HYPERLINK("http://141.218.60.56/~jnz1568/getInfo.php?workbook=13_02.xlsx&amp;sheet=U0&amp;row=1050&amp;col=7&amp;number=0.0347&amp;sourceID=14","0.0347")</f>
        <v>0.0347</v>
      </c>
    </row>
    <row r="1051" spans="1:7">
      <c r="A1051" s="3"/>
      <c r="B1051" s="3"/>
      <c r="C1051" s="3"/>
      <c r="D1051" s="3"/>
      <c r="E1051" s="3">
        <v>8</v>
      </c>
      <c r="F1051" s="4" t="str">
        <f>HYPERLINK("http://141.218.60.56/~jnz1568/getInfo.php?workbook=13_02.xlsx&amp;sheet=U0&amp;row=1051&amp;col=6&amp;number=3.7&amp;sourceID=14","3.7")</f>
        <v>3.7</v>
      </c>
      <c r="G1051" s="4" t="str">
        <f>HYPERLINK("http://141.218.60.56/~jnz1568/getInfo.php?workbook=13_02.xlsx&amp;sheet=U0&amp;row=1051&amp;col=7&amp;number=0.0347&amp;sourceID=14","0.0347")</f>
        <v>0.0347</v>
      </c>
    </row>
    <row r="1052" spans="1:7">
      <c r="A1052" s="3"/>
      <c r="B1052" s="3"/>
      <c r="C1052" s="3"/>
      <c r="D1052" s="3"/>
      <c r="E1052" s="3">
        <v>9</v>
      </c>
      <c r="F1052" s="4" t="str">
        <f>HYPERLINK("http://141.218.60.56/~jnz1568/getInfo.php?workbook=13_02.xlsx&amp;sheet=U0&amp;row=1052&amp;col=6&amp;number=3.8&amp;sourceID=14","3.8")</f>
        <v>3.8</v>
      </c>
      <c r="G1052" s="4" t="str">
        <f>HYPERLINK("http://141.218.60.56/~jnz1568/getInfo.php?workbook=13_02.xlsx&amp;sheet=U0&amp;row=1052&amp;col=7&amp;number=0.0347&amp;sourceID=14","0.0347")</f>
        <v>0.0347</v>
      </c>
    </row>
    <row r="1053" spans="1:7">
      <c r="A1053" s="3"/>
      <c r="B1053" s="3"/>
      <c r="C1053" s="3"/>
      <c r="D1053" s="3"/>
      <c r="E1053" s="3">
        <v>10</v>
      </c>
      <c r="F1053" s="4" t="str">
        <f>HYPERLINK("http://141.218.60.56/~jnz1568/getInfo.php?workbook=13_02.xlsx&amp;sheet=U0&amp;row=1053&amp;col=6&amp;number=3.9&amp;sourceID=14","3.9")</f>
        <v>3.9</v>
      </c>
      <c r="G1053" s="4" t="str">
        <f>HYPERLINK("http://141.218.60.56/~jnz1568/getInfo.php?workbook=13_02.xlsx&amp;sheet=U0&amp;row=1053&amp;col=7&amp;number=0.0348&amp;sourceID=14","0.0348")</f>
        <v>0.0348</v>
      </c>
    </row>
    <row r="1054" spans="1:7">
      <c r="A1054" s="3"/>
      <c r="B1054" s="3"/>
      <c r="C1054" s="3"/>
      <c r="D1054" s="3"/>
      <c r="E1054" s="3">
        <v>11</v>
      </c>
      <c r="F1054" s="4" t="str">
        <f>HYPERLINK("http://141.218.60.56/~jnz1568/getInfo.php?workbook=13_02.xlsx&amp;sheet=U0&amp;row=1054&amp;col=6&amp;number=4&amp;sourceID=14","4")</f>
        <v>4</v>
      </c>
      <c r="G1054" s="4" t="str">
        <f>HYPERLINK("http://141.218.60.56/~jnz1568/getInfo.php?workbook=13_02.xlsx&amp;sheet=U0&amp;row=1054&amp;col=7&amp;number=0.0348&amp;sourceID=14","0.0348")</f>
        <v>0.0348</v>
      </c>
    </row>
    <row r="1055" spans="1:7">
      <c r="A1055" s="3"/>
      <c r="B1055" s="3"/>
      <c r="C1055" s="3"/>
      <c r="D1055" s="3"/>
      <c r="E1055" s="3">
        <v>12</v>
      </c>
      <c r="F1055" s="4" t="str">
        <f>HYPERLINK("http://141.218.60.56/~jnz1568/getInfo.php?workbook=13_02.xlsx&amp;sheet=U0&amp;row=1055&amp;col=6&amp;number=4.1&amp;sourceID=14","4.1")</f>
        <v>4.1</v>
      </c>
      <c r="G1055" s="4" t="str">
        <f>HYPERLINK("http://141.218.60.56/~jnz1568/getInfo.php?workbook=13_02.xlsx&amp;sheet=U0&amp;row=1055&amp;col=7&amp;number=0.0348&amp;sourceID=14","0.0348")</f>
        <v>0.0348</v>
      </c>
    </row>
    <row r="1056" spans="1:7">
      <c r="A1056" s="3"/>
      <c r="B1056" s="3"/>
      <c r="C1056" s="3"/>
      <c r="D1056" s="3"/>
      <c r="E1056" s="3">
        <v>13</v>
      </c>
      <c r="F1056" s="4" t="str">
        <f>HYPERLINK("http://141.218.60.56/~jnz1568/getInfo.php?workbook=13_02.xlsx&amp;sheet=U0&amp;row=1056&amp;col=6&amp;number=4.2&amp;sourceID=14","4.2")</f>
        <v>4.2</v>
      </c>
      <c r="G1056" s="4" t="str">
        <f>HYPERLINK("http://141.218.60.56/~jnz1568/getInfo.php?workbook=13_02.xlsx&amp;sheet=U0&amp;row=1056&amp;col=7&amp;number=0.0348&amp;sourceID=14","0.0348")</f>
        <v>0.0348</v>
      </c>
    </row>
    <row r="1057" spans="1:7">
      <c r="A1057" s="3"/>
      <c r="B1057" s="3"/>
      <c r="C1057" s="3"/>
      <c r="D1057" s="3"/>
      <c r="E1057" s="3">
        <v>14</v>
      </c>
      <c r="F1057" s="4" t="str">
        <f>HYPERLINK("http://141.218.60.56/~jnz1568/getInfo.php?workbook=13_02.xlsx&amp;sheet=U0&amp;row=1057&amp;col=6&amp;number=4.3&amp;sourceID=14","4.3")</f>
        <v>4.3</v>
      </c>
      <c r="G1057" s="4" t="str">
        <f>HYPERLINK("http://141.218.60.56/~jnz1568/getInfo.php?workbook=13_02.xlsx&amp;sheet=U0&amp;row=1057&amp;col=7&amp;number=0.0349&amp;sourceID=14","0.0349")</f>
        <v>0.0349</v>
      </c>
    </row>
    <row r="1058" spans="1:7">
      <c r="A1058" s="3"/>
      <c r="B1058" s="3"/>
      <c r="C1058" s="3"/>
      <c r="D1058" s="3"/>
      <c r="E1058" s="3">
        <v>15</v>
      </c>
      <c r="F1058" s="4" t="str">
        <f>HYPERLINK("http://141.218.60.56/~jnz1568/getInfo.php?workbook=13_02.xlsx&amp;sheet=U0&amp;row=1058&amp;col=6&amp;number=4.4&amp;sourceID=14","4.4")</f>
        <v>4.4</v>
      </c>
      <c r="G1058" s="4" t="str">
        <f>HYPERLINK("http://141.218.60.56/~jnz1568/getInfo.php?workbook=13_02.xlsx&amp;sheet=U0&amp;row=1058&amp;col=7&amp;number=0.0349&amp;sourceID=14","0.0349")</f>
        <v>0.0349</v>
      </c>
    </row>
    <row r="1059" spans="1:7">
      <c r="A1059" s="3"/>
      <c r="B1059" s="3"/>
      <c r="C1059" s="3"/>
      <c r="D1059" s="3"/>
      <c r="E1059" s="3">
        <v>16</v>
      </c>
      <c r="F1059" s="4" t="str">
        <f>HYPERLINK("http://141.218.60.56/~jnz1568/getInfo.php?workbook=13_02.xlsx&amp;sheet=U0&amp;row=1059&amp;col=6&amp;number=4.5&amp;sourceID=14","4.5")</f>
        <v>4.5</v>
      </c>
      <c r="G1059" s="4" t="str">
        <f>HYPERLINK("http://141.218.60.56/~jnz1568/getInfo.php?workbook=13_02.xlsx&amp;sheet=U0&amp;row=1059&amp;col=7&amp;number=0.035&amp;sourceID=14","0.035")</f>
        <v>0.035</v>
      </c>
    </row>
    <row r="1060" spans="1:7">
      <c r="A1060" s="3"/>
      <c r="B1060" s="3"/>
      <c r="C1060" s="3"/>
      <c r="D1060" s="3"/>
      <c r="E1060" s="3">
        <v>17</v>
      </c>
      <c r="F1060" s="4" t="str">
        <f>HYPERLINK("http://141.218.60.56/~jnz1568/getInfo.php?workbook=13_02.xlsx&amp;sheet=U0&amp;row=1060&amp;col=6&amp;number=4.6&amp;sourceID=14","4.6")</f>
        <v>4.6</v>
      </c>
      <c r="G1060" s="4" t="str">
        <f>HYPERLINK("http://141.218.60.56/~jnz1568/getInfo.php?workbook=13_02.xlsx&amp;sheet=U0&amp;row=1060&amp;col=7&amp;number=0.035&amp;sourceID=14","0.035")</f>
        <v>0.035</v>
      </c>
    </row>
    <row r="1061" spans="1:7">
      <c r="A1061" s="3"/>
      <c r="B1061" s="3"/>
      <c r="C1061" s="3"/>
      <c r="D1061" s="3"/>
      <c r="E1061" s="3">
        <v>18</v>
      </c>
      <c r="F1061" s="4" t="str">
        <f>HYPERLINK("http://141.218.60.56/~jnz1568/getInfo.php?workbook=13_02.xlsx&amp;sheet=U0&amp;row=1061&amp;col=6&amp;number=4.7&amp;sourceID=14","4.7")</f>
        <v>4.7</v>
      </c>
      <c r="G1061" s="4" t="str">
        <f>HYPERLINK("http://141.218.60.56/~jnz1568/getInfo.php?workbook=13_02.xlsx&amp;sheet=U0&amp;row=1061&amp;col=7&amp;number=0.0351&amp;sourceID=14","0.0351")</f>
        <v>0.0351</v>
      </c>
    </row>
    <row r="1062" spans="1:7">
      <c r="A1062" s="3"/>
      <c r="B1062" s="3"/>
      <c r="C1062" s="3"/>
      <c r="D1062" s="3"/>
      <c r="E1062" s="3">
        <v>19</v>
      </c>
      <c r="F1062" s="4" t="str">
        <f>HYPERLINK("http://141.218.60.56/~jnz1568/getInfo.php?workbook=13_02.xlsx&amp;sheet=U0&amp;row=1062&amp;col=6&amp;number=4.8&amp;sourceID=14","4.8")</f>
        <v>4.8</v>
      </c>
      <c r="G1062" s="4" t="str">
        <f>HYPERLINK("http://141.218.60.56/~jnz1568/getInfo.php?workbook=13_02.xlsx&amp;sheet=U0&amp;row=1062&amp;col=7&amp;number=0.0352&amp;sourceID=14","0.0352")</f>
        <v>0.0352</v>
      </c>
    </row>
    <row r="1063" spans="1:7">
      <c r="A1063" s="3"/>
      <c r="B1063" s="3"/>
      <c r="C1063" s="3"/>
      <c r="D1063" s="3"/>
      <c r="E1063" s="3">
        <v>20</v>
      </c>
      <c r="F1063" s="4" t="str">
        <f>HYPERLINK("http://141.218.60.56/~jnz1568/getInfo.php?workbook=13_02.xlsx&amp;sheet=U0&amp;row=1063&amp;col=6&amp;number=4.9&amp;sourceID=14","4.9")</f>
        <v>4.9</v>
      </c>
      <c r="G1063" s="4" t="str">
        <f>HYPERLINK("http://141.218.60.56/~jnz1568/getInfo.php?workbook=13_02.xlsx&amp;sheet=U0&amp;row=1063&amp;col=7&amp;number=0.0354&amp;sourceID=14","0.0354")</f>
        <v>0.0354</v>
      </c>
    </row>
    <row r="1064" spans="1:7">
      <c r="A1064" s="3">
        <v>13</v>
      </c>
      <c r="B1064" s="3">
        <v>2</v>
      </c>
      <c r="C1064" s="3" t="s">
        <v>84</v>
      </c>
      <c r="D1064" s="3">
        <v>3</v>
      </c>
      <c r="E1064" s="3">
        <v>1</v>
      </c>
      <c r="F1064" s="4" t="str">
        <f>HYPERLINK("http://141.218.60.56/~jnz1568/getInfo.php?workbook=13_02.xlsx&amp;sheet=U0&amp;row=1064&amp;col=6&amp;number=3&amp;sourceID=14","3")</f>
        <v>3</v>
      </c>
      <c r="G1064" s="4" t="str">
        <f>HYPERLINK("http://141.218.60.56/~jnz1568/getInfo.php?workbook=13_02.xlsx&amp;sheet=U0&amp;row=1064&amp;col=7&amp;number=0.00489&amp;sourceID=14","0.00489")</f>
        <v>0.00489</v>
      </c>
    </row>
    <row r="1065" spans="1:7">
      <c r="A1065" s="3"/>
      <c r="B1065" s="3"/>
      <c r="C1065" s="3"/>
      <c r="D1065" s="3"/>
      <c r="E1065" s="3">
        <v>2</v>
      </c>
      <c r="F1065" s="4" t="str">
        <f>HYPERLINK("http://141.218.60.56/~jnz1568/getInfo.php?workbook=13_02.xlsx&amp;sheet=U0&amp;row=1065&amp;col=6&amp;number=3.1&amp;sourceID=14","3.1")</f>
        <v>3.1</v>
      </c>
      <c r="G1065" s="4" t="str">
        <f>HYPERLINK("http://141.218.60.56/~jnz1568/getInfo.php?workbook=13_02.xlsx&amp;sheet=U0&amp;row=1065&amp;col=7&amp;number=0.00489&amp;sourceID=14","0.00489")</f>
        <v>0.00489</v>
      </c>
    </row>
    <row r="1066" spans="1:7">
      <c r="A1066" s="3"/>
      <c r="B1066" s="3"/>
      <c r="C1066" s="3"/>
      <c r="D1066" s="3"/>
      <c r="E1066" s="3">
        <v>3</v>
      </c>
      <c r="F1066" s="4" t="str">
        <f>HYPERLINK("http://141.218.60.56/~jnz1568/getInfo.php?workbook=13_02.xlsx&amp;sheet=U0&amp;row=1066&amp;col=6&amp;number=3.2&amp;sourceID=14","3.2")</f>
        <v>3.2</v>
      </c>
      <c r="G1066" s="4" t="str">
        <f>HYPERLINK("http://141.218.60.56/~jnz1568/getInfo.php?workbook=13_02.xlsx&amp;sheet=U0&amp;row=1066&amp;col=7&amp;number=0.00489&amp;sourceID=14","0.00489")</f>
        <v>0.00489</v>
      </c>
    </row>
    <row r="1067" spans="1:7">
      <c r="A1067" s="3"/>
      <c r="B1067" s="3"/>
      <c r="C1067" s="3"/>
      <c r="D1067" s="3"/>
      <c r="E1067" s="3">
        <v>4</v>
      </c>
      <c r="F1067" s="4" t="str">
        <f>HYPERLINK("http://141.218.60.56/~jnz1568/getInfo.php?workbook=13_02.xlsx&amp;sheet=U0&amp;row=1067&amp;col=6&amp;number=3.3&amp;sourceID=14","3.3")</f>
        <v>3.3</v>
      </c>
      <c r="G1067" s="4" t="str">
        <f>HYPERLINK("http://141.218.60.56/~jnz1568/getInfo.php?workbook=13_02.xlsx&amp;sheet=U0&amp;row=1067&amp;col=7&amp;number=0.00489&amp;sourceID=14","0.00489")</f>
        <v>0.00489</v>
      </c>
    </row>
    <row r="1068" spans="1:7">
      <c r="A1068" s="3"/>
      <c r="B1068" s="3"/>
      <c r="C1068" s="3"/>
      <c r="D1068" s="3"/>
      <c r="E1068" s="3">
        <v>5</v>
      </c>
      <c r="F1068" s="4" t="str">
        <f>HYPERLINK("http://141.218.60.56/~jnz1568/getInfo.php?workbook=13_02.xlsx&amp;sheet=U0&amp;row=1068&amp;col=6&amp;number=3.4&amp;sourceID=14","3.4")</f>
        <v>3.4</v>
      </c>
      <c r="G1068" s="4" t="str">
        <f>HYPERLINK("http://141.218.60.56/~jnz1568/getInfo.php?workbook=13_02.xlsx&amp;sheet=U0&amp;row=1068&amp;col=7&amp;number=0.00489&amp;sourceID=14","0.00489")</f>
        <v>0.00489</v>
      </c>
    </row>
    <row r="1069" spans="1:7">
      <c r="A1069" s="3"/>
      <c r="B1069" s="3"/>
      <c r="C1069" s="3"/>
      <c r="D1069" s="3"/>
      <c r="E1069" s="3">
        <v>6</v>
      </c>
      <c r="F1069" s="4" t="str">
        <f>HYPERLINK("http://141.218.60.56/~jnz1568/getInfo.php?workbook=13_02.xlsx&amp;sheet=U0&amp;row=1069&amp;col=6&amp;number=3.5&amp;sourceID=14","3.5")</f>
        <v>3.5</v>
      </c>
      <c r="G1069" s="4" t="str">
        <f>HYPERLINK("http://141.218.60.56/~jnz1568/getInfo.php?workbook=13_02.xlsx&amp;sheet=U0&amp;row=1069&amp;col=7&amp;number=0.00489&amp;sourceID=14","0.00489")</f>
        <v>0.00489</v>
      </c>
    </row>
    <row r="1070" spans="1:7">
      <c r="A1070" s="3"/>
      <c r="B1070" s="3"/>
      <c r="C1070" s="3"/>
      <c r="D1070" s="3"/>
      <c r="E1070" s="3">
        <v>7</v>
      </c>
      <c r="F1070" s="4" t="str">
        <f>HYPERLINK("http://141.218.60.56/~jnz1568/getInfo.php?workbook=13_02.xlsx&amp;sheet=U0&amp;row=1070&amp;col=6&amp;number=3.6&amp;sourceID=14","3.6")</f>
        <v>3.6</v>
      </c>
      <c r="G1070" s="4" t="str">
        <f>HYPERLINK("http://141.218.60.56/~jnz1568/getInfo.php?workbook=13_02.xlsx&amp;sheet=U0&amp;row=1070&amp;col=7&amp;number=0.00489&amp;sourceID=14","0.00489")</f>
        <v>0.00489</v>
      </c>
    </row>
    <row r="1071" spans="1:7">
      <c r="A1071" s="3"/>
      <c r="B1071" s="3"/>
      <c r="C1071" s="3"/>
      <c r="D1071" s="3"/>
      <c r="E1071" s="3">
        <v>8</v>
      </c>
      <c r="F1071" s="4" t="str">
        <f>HYPERLINK("http://141.218.60.56/~jnz1568/getInfo.php?workbook=13_02.xlsx&amp;sheet=U0&amp;row=1071&amp;col=6&amp;number=3.7&amp;sourceID=14","3.7")</f>
        <v>3.7</v>
      </c>
      <c r="G1071" s="4" t="str">
        <f>HYPERLINK("http://141.218.60.56/~jnz1568/getInfo.php?workbook=13_02.xlsx&amp;sheet=U0&amp;row=1071&amp;col=7&amp;number=0.00489&amp;sourceID=14","0.00489")</f>
        <v>0.00489</v>
      </c>
    </row>
    <row r="1072" spans="1:7">
      <c r="A1072" s="3"/>
      <c r="B1072" s="3"/>
      <c r="C1072" s="3"/>
      <c r="D1072" s="3"/>
      <c r="E1072" s="3">
        <v>9</v>
      </c>
      <c r="F1072" s="4" t="str">
        <f>HYPERLINK("http://141.218.60.56/~jnz1568/getInfo.php?workbook=13_02.xlsx&amp;sheet=U0&amp;row=1072&amp;col=6&amp;number=3.8&amp;sourceID=14","3.8")</f>
        <v>3.8</v>
      </c>
      <c r="G1072" s="4" t="str">
        <f>HYPERLINK("http://141.218.60.56/~jnz1568/getInfo.php?workbook=13_02.xlsx&amp;sheet=U0&amp;row=1072&amp;col=7&amp;number=0.00488&amp;sourceID=14","0.00488")</f>
        <v>0.00488</v>
      </c>
    </row>
    <row r="1073" spans="1:7">
      <c r="A1073" s="3"/>
      <c r="B1073" s="3"/>
      <c r="C1073" s="3"/>
      <c r="D1073" s="3"/>
      <c r="E1073" s="3">
        <v>10</v>
      </c>
      <c r="F1073" s="4" t="str">
        <f>HYPERLINK("http://141.218.60.56/~jnz1568/getInfo.php?workbook=13_02.xlsx&amp;sheet=U0&amp;row=1073&amp;col=6&amp;number=3.9&amp;sourceID=14","3.9")</f>
        <v>3.9</v>
      </c>
      <c r="G1073" s="4" t="str">
        <f>HYPERLINK("http://141.218.60.56/~jnz1568/getInfo.php?workbook=13_02.xlsx&amp;sheet=U0&amp;row=1073&amp;col=7&amp;number=0.00488&amp;sourceID=14","0.00488")</f>
        <v>0.00488</v>
      </c>
    </row>
    <row r="1074" spans="1:7">
      <c r="A1074" s="3"/>
      <c r="B1074" s="3"/>
      <c r="C1074" s="3"/>
      <c r="D1074" s="3"/>
      <c r="E1074" s="3">
        <v>11</v>
      </c>
      <c r="F1074" s="4" t="str">
        <f>HYPERLINK("http://141.218.60.56/~jnz1568/getInfo.php?workbook=13_02.xlsx&amp;sheet=U0&amp;row=1074&amp;col=6&amp;number=4&amp;sourceID=14","4")</f>
        <v>4</v>
      </c>
      <c r="G1074" s="4" t="str">
        <f>HYPERLINK("http://141.218.60.56/~jnz1568/getInfo.php?workbook=13_02.xlsx&amp;sheet=U0&amp;row=1074&amp;col=7&amp;number=0.00488&amp;sourceID=14","0.00488")</f>
        <v>0.00488</v>
      </c>
    </row>
    <row r="1075" spans="1:7">
      <c r="A1075" s="3"/>
      <c r="B1075" s="3"/>
      <c r="C1075" s="3"/>
      <c r="D1075" s="3"/>
      <c r="E1075" s="3">
        <v>12</v>
      </c>
      <c r="F1075" s="4" t="str">
        <f>HYPERLINK("http://141.218.60.56/~jnz1568/getInfo.php?workbook=13_02.xlsx&amp;sheet=U0&amp;row=1075&amp;col=6&amp;number=4.1&amp;sourceID=14","4.1")</f>
        <v>4.1</v>
      </c>
      <c r="G1075" s="4" t="str">
        <f>HYPERLINK("http://141.218.60.56/~jnz1568/getInfo.php?workbook=13_02.xlsx&amp;sheet=U0&amp;row=1075&amp;col=7&amp;number=0.00488&amp;sourceID=14","0.00488")</f>
        <v>0.00488</v>
      </c>
    </row>
    <row r="1076" spans="1:7">
      <c r="A1076" s="3"/>
      <c r="B1076" s="3"/>
      <c r="C1076" s="3"/>
      <c r="D1076" s="3"/>
      <c r="E1076" s="3">
        <v>13</v>
      </c>
      <c r="F1076" s="4" t="str">
        <f>HYPERLINK("http://141.218.60.56/~jnz1568/getInfo.php?workbook=13_02.xlsx&amp;sheet=U0&amp;row=1076&amp;col=6&amp;number=4.2&amp;sourceID=14","4.2")</f>
        <v>4.2</v>
      </c>
      <c r="G1076" s="4" t="str">
        <f>HYPERLINK("http://141.218.60.56/~jnz1568/getInfo.php?workbook=13_02.xlsx&amp;sheet=U0&amp;row=1076&amp;col=7&amp;number=0.00488&amp;sourceID=14","0.00488")</f>
        <v>0.00488</v>
      </c>
    </row>
    <row r="1077" spans="1:7">
      <c r="A1077" s="3"/>
      <c r="B1077" s="3"/>
      <c r="C1077" s="3"/>
      <c r="D1077" s="3"/>
      <c r="E1077" s="3">
        <v>14</v>
      </c>
      <c r="F1077" s="4" t="str">
        <f>HYPERLINK("http://141.218.60.56/~jnz1568/getInfo.php?workbook=13_02.xlsx&amp;sheet=U0&amp;row=1077&amp;col=6&amp;number=4.3&amp;sourceID=14","4.3")</f>
        <v>4.3</v>
      </c>
      <c r="G1077" s="4" t="str">
        <f>HYPERLINK("http://141.218.60.56/~jnz1568/getInfo.php?workbook=13_02.xlsx&amp;sheet=U0&amp;row=1077&amp;col=7&amp;number=0.00487&amp;sourceID=14","0.00487")</f>
        <v>0.00487</v>
      </c>
    </row>
    <row r="1078" spans="1:7">
      <c r="A1078" s="3"/>
      <c r="B1078" s="3"/>
      <c r="C1078" s="3"/>
      <c r="D1078" s="3"/>
      <c r="E1078" s="3">
        <v>15</v>
      </c>
      <c r="F1078" s="4" t="str">
        <f>HYPERLINK("http://141.218.60.56/~jnz1568/getInfo.php?workbook=13_02.xlsx&amp;sheet=U0&amp;row=1078&amp;col=6&amp;number=4.4&amp;sourceID=14","4.4")</f>
        <v>4.4</v>
      </c>
      <c r="G1078" s="4" t="str">
        <f>HYPERLINK("http://141.218.60.56/~jnz1568/getInfo.php?workbook=13_02.xlsx&amp;sheet=U0&amp;row=1078&amp;col=7&amp;number=0.00487&amp;sourceID=14","0.00487")</f>
        <v>0.00487</v>
      </c>
    </row>
    <row r="1079" spans="1:7">
      <c r="A1079" s="3"/>
      <c r="B1079" s="3"/>
      <c r="C1079" s="3"/>
      <c r="D1079" s="3"/>
      <c r="E1079" s="3">
        <v>16</v>
      </c>
      <c r="F1079" s="4" t="str">
        <f>HYPERLINK("http://141.218.60.56/~jnz1568/getInfo.php?workbook=13_02.xlsx&amp;sheet=U0&amp;row=1079&amp;col=6&amp;number=4.5&amp;sourceID=14","4.5")</f>
        <v>4.5</v>
      </c>
      <c r="G1079" s="4" t="str">
        <f>HYPERLINK("http://141.218.60.56/~jnz1568/getInfo.php?workbook=13_02.xlsx&amp;sheet=U0&amp;row=1079&amp;col=7&amp;number=0.00487&amp;sourceID=14","0.00487")</f>
        <v>0.00487</v>
      </c>
    </row>
    <row r="1080" spans="1:7">
      <c r="A1080" s="3"/>
      <c r="B1080" s="3"/>
      <c r="C1080" s="3"/>
      <c r="D1080" s="3"/>
      <c r="E1080" s="3">
        <v>17</v>
      </c>
      <c r="F1080" s="4" t="str">
        <f>HYPERLINK("http://141.218.60.56/~jnz1568/getInfo.php?workbook=13_02.xlsx&amp;sheet=U0&amp;row=1080&amp;col=6&amp;number=4.6&amp;sourceID=14","4.6")</f>
        <v>4.6</v>
      </c>
      <c r="G1080" s="4" t="str">
        <f>HYPERLINK("http://141.218.60.56/~jnz1568/getInfo.php?workbook=13_02.xlsx&amp;sheet=U0&amp;row=1080&amp;col=7&amp;number=0.00486&amp;sourceID=14","0.00486")</f>
        <v>0.00486</v>
      </c>
    </row>
    <row r="1081" spans="1:7">
      <c r="A1081" s="3"/>
      <c r="B1081" s="3"/>
      <c r="C1081" s="3"/>
      <c r="D1081" s="3"/>
      <c r="E1081" s="3">
        <v>18</v>
      </c>
      <c r="F1081" s="4" t="str">
        <f>HYPERLINK("http://141.218.60.56/~jnz1568/getInfo.php?workbook=13_02.xlsx&amp;sheet=U0&amp;row=1081&amp;col=6&amp;number=4.7&amp;sourceID=14","4.7")</f>
        <v>4.7</v>
      </c>
      <c r="G1081" s="4" t="str">
        <f>HYPERLINK("http://141.218.60.56/~jnz1568/getInfo.php?workbook=13_02.xlsx&amp;sheet=U0&amp;row=1081&amp;col=7&amp;number=0.00485&amp;sourceID=14","0.00485")</f>
        <v>0.00485</v>
      </c>
    </row>
    <row r="1082" spans="1:7">
      <c r="A1082" s="3"/>
      <c r="B1082" s="3"/>
      <c r="C1082" s="3"/>
      <c r="D1082" s="3"/>
      <c r="E1082" s="3">
        <v>19</v>
      </c>
      <c r="F1082" s="4" t="str">
        <f>HYPERLINK("http://141.218.60.56/~jnz1568/getInfo.php?workbook=13_02.xlsx&amp;sheet=U0&amp;row=1082&amp;col=6&amp;number=4.8&amp;sourceID=14","4.8")</f>
        <v>4.8</v>
      </c>
      <c r="G1082" s="4" t="str">
        <f>HYPERLINK("http://141.218.60.56/~jnz1568/getInfo.php?workbook=13_02.xlsx&amp;sheet=U0&amp;row=1082&amp;col=7&amp;number=0.00484&amp;sourceID=14","0.00484")</f>
        <v>0.00484</v>
      </c>
    </row>
    <row r="1083" spans="1:7">
      <c r="A1083" s="3"/>
      <c r="B1083" s="3"/>
      <c r="C1083" s="3"/>
      <c r="D1083" s="3"/>
      <c r="E1083" s="3">
        <v>20</v>
      </c>
      <c r="F1083" s="4" t="str">
        <f>HYPERLINK("http://141.218.60.56/~jnz1568/getInfo.php?workbook=13_02.xlsx&amp;sheet=U0&amp;row=1083&amp;col=6&amp;number=4.9&amp;sourceID=14","4.9")</f>
        <v>4.9</v>
      </c>
      <c r="G1083" s="4" t="str">
        <f>HYPERLINK("http://141.218.60.56/~jnz1568/getInfo.php?workbook=13_02.xlsx&amp;sheet=U0&amp;row=1083&amp;col=7&amp;number=0.00483&amp;sourceID=14","0.00483")</f>
        <v>0.00483</v>
      </c>
    </row>
    <row r="1084" spans="1:7">
      <c r="A1084" s="3">
        <v>13</v>
      </c>
      <c r="B1084" s="3">
        <v>2</v>
      </c>
      <c r="C1084" s="3" t="s">
        <v>84</v>
      </c>
      <c r="D1084" s="3">
        <v>4</v>
      </c>
      <c r="E1084" s="3">
        <v>1</v>
      </c>
      <c r="F1084" s="4" t="str">
        <f>HYPERLINK("http://141.218.60.56/~jnz1568/getInfo.php?workbook=13_02.xlsx&amp;sheet=U0&amp;row=1084&amp;col=6&amp;number=3&amp;sourceID=14","3")</f>
        <v>3</v>
      </c>
      <c r="G1084" s="4" t="str">
        <f>HYPERLINK("http://141.218.60.56/~jnz1568/getInfo.php?workbook=13_02.xlsx&amp;sheet=U0&amp;row=1084&amp;col=7&amp;number=0.0225&amp;sourceID=14","0.0225")</f>
        <v>0.0225</v>
      </c>
    </row>
    <row r="1085" spans="1:7">
      <c r="A1085" s="3"/>
      <c r="B1085" s="3"/>
      <c r="C1085" s="3"/>
      <c r="D1085" s="3"/>
      <c r="E1085" s="3">
        <v>2</v>
      </c>
      <c r="F1085" s="4" t="str">
        <f>HYPERLINK("http://141.218.60.56/~jnz1568/getInfo.php?workbook=13_02.xlsx&amp;sheet=U0&amp;row=1085&amp;col=6&amp;number=3.1&amp;sourceID=14","3.1")</f>
        <v>3.1</v>
      </c>
      <c r="G1085" s="4" t="str">
        <f>HYPERLINK("http://141.218.60.56/~jnz1568/getInfo.php?workbook=13_02.xlsx&amp;sheet=U0&amp;row=1085&amp;col=7&amp;number=0.0225&amp;sourceID=14","0.0225")</f>
        <v>0.0225</v>
      </c>
    </row>
    <row r="1086" spans="1:7">
      <c r="A1086" s="3"/>
      <c r="B1086" s="3"/>
      <c r="C1086" s="3"/>
      <c r="D1086" s="3"/>
      <c r="E1086" s="3">
        <v>3</v>
      </c>
      <c r="F1086" s="4" t="str">
        <f>HYPERLINK("http://141.218.60.56/~jnz1568/getInfo.php?workbook=13_02.xlsx&amp;sheet=U0&amp;row=1086&amp;col=6&amp;number=3.2&amp;sourceID=14","3.2")</f>
        <v>3.2</v>
      </c>
      <c r="G1086" s="4" t="str">
        <f>HYPERLINK("http://141.218.60.56/~jnz1568/getInfo.php?workbook=13_02.xlsx&amp;sheet=U0&amp;row=1086&amp;col=7&amp;number=0.0225&amp;sourceID=14","0.0225")</f>
        <v>0.0225</v>
      </c>
    </row>
    <row r="1087" spans="1:7">
      <c r="A1087" s="3"/>
      <c r="B1087" s="3"/>
      <c r="C1087" s="3"/>
      <c r="D1087" s="3"/>
      <c r="E1087" s="3">
        <v>4</v>
      </c>
      <c r="F1087" s="4" t="str">
        <f>HYPERLINK("http://141.218.60.56/~jnz1568/getInfo.php?workbook=13_02.xlsx&amp;sheet=U0&amp;row=1087&amp;col=6&amp;number=3.3&amp;sourceID=14","3.3")</f>
        <v>3.3</v>
      </c>
      <c r="G1087" s="4" t="str">
        <f>HYPERLINK("http://141.218.60.56/~jnz1568/getInfo.php?workbook=13_02.xlsx&amp;sheet=U0&amp;row=1087&amp;col=7&amp;number=0.0225&amp;sourceID=14","0.0225")</f>
        <v>0.0225</v>
      </c>
    </row>
    <row r="1088" spans="1:7">
      <c r="A1088" s="3"/>
      <c r="B1088" s="3"/>
      <c r="C1088" s="3"/>
      <c r="D1088" s="3"/>
      <c r="E1088" s="3">
        <v>5</v>
      </c>
      <c r="F1088" s="4" t="str">
        <f>HYPERLINK("http://141.218.60.56/~jnz1568/getInfo.php?workbook=13_02.xlsx&amp;sheet=U0&amp;row=1088&amp;col=6&amp;number=3.4&amp;sourceID=14","3.4")</f>
        <v>3.4</v>
      </c>
      <c r="G1088" s="4" t="str">
        <f>HYPERLINK("http://141.218.60.56/~jnz1568/getInfo.php?workbook=13_02.xlsx&amp;sheet=U0&amp;row=1088&amp;col=7&amp;number=0.0225&amp;sourceID=14","0.0225")</f>
        <v>0.0225</v>
      </c>
    </row>
    <row r="1089" spans="1:7">
      <c r="A1089" s="3"/>
      <c r="B1089" s="3"/>
      <c r="C1089" s="3"/>
      <c r="D1089" s="3"/>
      <c r="E1089" s="3">
        <v>6</v>
      </c>
      <c r="F1089" s="4" t="str">
        <f>HYPERLINK("http://141.218.60.56/~jnz1568/getInfo.php?workbook=13_02.xlsx&amp;sheet=U0&amp;row=1089&amp;col=6&amp;number=3.5&amp;sourceID=14","3.5")</f>
        <v>3.5</v>
      </c>
      <c r="G1089" s="4" t="str">
        <f>HYPERLINK("http://141.218.60.56/~jnz1568/getInfo.php?workbook=13_02.xlsx&amp;sheet=U0&amp;row=1089&amp;col=7&amp;number=0.0225&amp;sourceID=14","0.0225")</f>
        <v>0.0225</v>
      </c>
    </row>
    <row r="1090" spans="1:7">
      <c r="A1090" s="3"/>
      <c r="B1090" s="3"/>
      <c r="C1090" s="3"/>
      <c r="D1090" s="3"/>
      <c r="E1090" s="3">
        <v>7</v>
      </c>
      <c r="F1090" s="4" t="str">
        <f>HYPERLINK("http://141.218.60.56/~jnz1568/getInfo.php?workbook=13_02.xlsx&amp;sheet=U0&amp;row=1090&amp;col=6&amp;number=3.6&amp;sourceID=14","3.6")</f>
        <v>3.6</v>
      </c>
      <c r="G1090" s="4" t="str">
        <f>HYPERLINK("http://141.218.60.56/~jnz1568/getInfo.php?workbook=13_02.xlsx&amp;sheet=U0&amp;row=1090&amp;col=7&amp;number=0.0225&amp;sourceID=14","0.0225")</f>
        <v>0.0225</v>
      </c>
    </row>
    <row r="1091" spans="1:7">
      <c r="A1091" s="3"/>
      <c r="B1091" s="3"/>
      <c r="C1091" s="3"/>
      <c r="D1091" s="3"/>
      <c r="E1091" s="3">
        <v>8</v>
      </c>
      <c r="F1091" s="4" t="str">
        <f>HYPERLINK("http://141.218.60.56/~jnz1568/getInfo.php?workbook=13_02.xlsx&amp;sheet=U0&amp;row=1091&amp;col=6&amp;number=3.7&amp;sourceID=14","3.7")</f>
        <v>3.7</v>
      </c>
      <c r="G1091" s="4" t="str">
        <f>HYPERLINK("http://141.218.60.56/~jnz1568/getInfo.php?workbook=13_02.xlsx&amp;sheet=U0&amp;row=1091&amp;col=7&amp;number=0.0225&amp;sourceID=14","0.0225")</f>
        <v>0.0225</v>
      </c>
    </row>
    <row r="1092" spans="1:7">
      <c r="A1092" s="3"/>
      <c r="B1092" s="3"/>
      <c r="C1092" s="3"/>
      <c r="D1092" s="3"/>
      <c r="E1092" s="3">
        <v>9</v>
      </c>
      <c r="F1092" s="4" t="str">
        <f>HYPERLINK("http://141.218.60.56/~jnz1568/getInfo.php?workbook=13_02.xlsx&amp;sheet=U0&amp;row=1092&amp;col=6&amp;number=3.8&amp;sourceID=14","3.8")</f>
        <v>3.8</v>
      </c>
      <c r="G1092" s="4" t="str">
        <f>HYPERLINK("http://141.218.60.56/~jnz1568/getInfo.php?workbook=13_02.xlsx&amp;sheet=U0&amp;row=1092&amp;col=7&amp;number=0.0225&amp;sourceID=14","0.0225")</f>
        <v>0.0225</v>
      </c>
    </row>
    <row r="1093" spans="1:7">
      <c r="A1093" s="3"/>
      <c r="B1093" s="3"/>
      <c r="C1093" s="3"/>
      <c r="D1093" s="3"/>
      <c r="E1093" s="3">
        <v>10</v>
      </c>
      <c r="F1093" s="4" t="str">
        <f>HYPERLINK("http://141.218.60.56/~jnz1568/getInfo.php?workbook=13_02.xlsx&amp;sheet=U0&amp;row=1093&amp;col=6&amp;number=3.9&amp;sourceID=14","3.9")</f>
        <v>3.9</v>
      </c>
      <c r="G1093" s="4" t="str">
        <f>HYPERLINK("http://141.218.60.56/~jnz1568/getInfo.php?workbook=13_02.xlsx&amp;sheet=U0&amp;row=1093&amp;col=7&amp;number=0.0225&amp;sourceID=14","0.0225")</f>
        <v>0.0225</v>
      </c>
    </row>
    <row r="1094" spans="1:7">
      <c r="A1094" s="3"/>
      <c r="B1094" s="3"/>
      <c r="C1094" s="3"/>
      <c r="D1094" s="3"/>
      <c r="E1094" s="3">
        <v>11</v>
      </c>
      <c r="F1094" s="4" t="str">
        <f>HYPERLINK("http://141.218.60.56/~jnz1568/getInfo.php?workbook=13_02.xlsx&amp;sheet=U0&amp;row=1094&amp;col=6&amp;number=4&amp;sourceID=14","4")</f>
        <v>4</v>
      </c>
      <c r="G1094" s="4" t="str">
        <f>HYPERLINK("http://141.218.60.56/~jnz1568/getInfo.php?workbook=13_02.xlsx&amp;sheet=U0&amp;row=1094&amp;col=7&amp;number=0.0225&amp;sourceID=14","0.0225")</f>
        <v>0.0225</v>
      </c>
    </row>
    <row r="1095" spans="1:7">
      <c r="A1095" s="3"/>
      <c r="B1095" s="3"/>
      <c r="C1095" s="3"/>
      <c r="D1095" s="3"/>
      <c r="E1095" s="3">
        <v>12</v>
      </c>
      <c r="F1095" s="4" t="str">
        <f>HYPERLINK("http://141.218.60.56/~jnz1568/getInfo.php?workbook=13_02.xlsx&amp;sheet=U0&amp;row=1095&amp;col=6&amp;number=4.1&amp;sourceID=14","4.1")</f>
        <v>4.1</v>
      </c>
      <c r="G1095" s="4" t="str">
        <f>HYPERLINK("http://141.218.60.56/~jnz1568/getInfo.php?workbook=13_02.xlsx&amp;sheet=U0&amp;row=1095&amp;col=7&amp;number=0.0225&amp;sourceID=14","0.0225")</f>
        <v>0.0225</v>
      </c>
    </row>
    <row r="1096" spans="1:7">
      <c r="A1096" s="3"/>
      <c r="B1096" s="3"/>
      <c r="C1096" s="3"/>
      <c r="D1096" s="3"/>
      <c r="E1096" s="3">
        <v>13</v>
      </c>
      <c r="F1096" s="4" t="str">
        <f>HYPERLINK("http://141.218.60.56/~jnz1568/getInfo.php?workbook=13_02.xlsx&amp;sheet=U0&amp;row=1096&amp;col=6&amp;number=4.2&amp;sourceID=14","4.2")</f>
        <v>4.2</v>
      </c>
      <c r="G1096" s="4" t="str">
        <f>HYPERLINK("http://141.218.60.56/~jnz1568/getInfo.php?workbook=13_02.xlsx&amp;sheet=U0&amp;row=1096&amp;col=7&amp;number=0.0225&amp;sourceID=14","0.0225")</f>
        <v>0.0225</v>
      </c>
    </row>
    <row r="1097" spans="1:7">
      <c r="A1097" s="3"/>
      <c r="B1097" s="3"/>
      <c r="C1097" s="3"/>
      <c r="D1097" s="3"/>
      <c r="E1097" s="3">
        <v>14</v>
      </c>
      <c r="F1097" s="4" t="str">
        <f>HYPERLINK("http://141.218.60.56/~jnz1568/getInfo.php?workbook=13_02.xlsx&amp;sheet=U0&amp;row=1097&amp;col=6&amp;number=4.3&amp;sourceID=14","4.3")</f>
        <v>4.3</v>
      </c>
      <c r="G1097" s="4" t="str">
        <f>HYPERLINK("http://141.218.60.56/~jnz1568/getInfo.php?workbook=13_02.xlsx&amp;sheet=U0&amp;row=1097&amp;col=7&amp;number=0.0225&amp;sourceID=14","0.0225")</f>
        <v>0.0225</v>
      </c>
    </row>
    <row r="1098" spans="1:7">
      <c r="A1098" s="3"/>
      <c r="B1098" s="3"/>
      <c r="C1098" s="3"/>
      <c r="D1098" s="3"/>
      <c r="E1098" s="3">
        <v>15</v>
      </c>
      <c r="F1098" s="4" t="str">
        <f>HYPERLINK("http://141.218.60.56/~jnz1568/getInfo.php?workbook=13_02.xlsx&amp;sheet=U0&amp;row=1098&amp;col=6&amp;number=4.4&amp;sourceID=14","4.4")</f>
        <v>4.4</v>
      </c>
      <c r="G1098" s="4" t="str">
        <f>HYPERLINK("http://141.218.60.56/~jnz1568/getInfo.php?workbook=13_02.xlsx&amp;sheet=U0&amp;row=1098&amp;col=7&amp;number=0.0225&amp;sourceID=14","0.0225")</f>
        <v>0.0225</v>
      </c>
    </row>
    <row r="1099" spans="1:7">
      <c r="A1099" s="3"/>
      <c r="B1099" s="3"/>
      <c r="C1099" s="3"/>
      <c r="D1099" s="3"/>
      <c r="E1099" s="3">
        <v>16</v>
      </c>
      <c r="F1099" s="4" t="str">
        <f>HYPERLINK("http://141.218.60.56/~jnz1568/getInfo.php?workbook=13_02.xlsx&amp;sheet=U0&amp;row=1099&amp;col=6&amp;number=4.5&amp;sourceID=14","4.5")</f>
        <v>4.5</v>
      </c>
      <c r="G1099" s="4" t="str">
        <f>HYPERLINK("http://141.218.60.56/~jnz1568/getInfo.php?workbook=13_02.xlsx&amp;sheet=U0&amp;row=1099&amp;col=7&amp;number=0.0226&amp;sourceID=14","0.0226")</f>
        <v>0.0226</v>
      </c>
    </row>
    <row r="1100" spans="1:7">
      <c r="A1100" s="3"/>
      <c r="B1100" s="3"/>
      <c r="C1100" s="3"/>
      <c r="D1100" s="3"/>
      <c r="E1100" s="3">
        <v>17</v>
      </c>
      <c r="F1100" s="4" t="str">
        <f>HYPERLINK("http://141.218.60.56/~jnz1568/getInfo.php?workbook=13_02.xlsx&amp;sheet=U0&amp;row=1100&amp;col=6&amp;number=4.6&amp;sourceID=14","4.6")</f>
        <v>4.6</v>
      </c>
      <c r="G1100" s="4" t="str">
        <f>HYPERLINK("http://141.218.60.56/~jnz1568/getInfo.php?workbook=13_02.xlsx&amp;sheet=U0&amp;row=1100&amp;col=7&amp;number=0.0226&amp;sourceID=14","0.0226")</f>
        <v>0.0226</v>
      </c>
    </row>
    <row r="1101" spans="1:7">
      <c r="A1101" s="3"/>
      <c r="B1101" s="3"/>
      <c r="C1101" s="3"/>
      <c r="D1101" s="3"/>
      <c r="E1101" s="3">
        <v>18</v>
      </c>
      <c r="F1101" s="4" t="str">
        <f>HYPERLINK("http://141.218.60.56/~jnz1568/getInfo.php?workbook=13_02.xlsx&amp;sheet=U0&amp;row=1101&amp;col=6&amp;number=4.7&amp;sourceID=14","4.7")</f>
        <v>4.7</v>
      </c>
      <c r="G1101" s="4" t="str">
        <f>HYPERLINK("http://141.218.60.56/~jnz1568/getInfo.php?workbook=13_02.xlsx&amp;sheet=U0&amp;row=1101&amp;col=7&amp;number=0.0226&amp;sourceID=14","0.0226")</f>
        <v>0.0226</v>
      </c>
    </row>
    <row r="1102" spans="1:7">
      <c r="A1102" s="3"/>
      <c r="B1102" s="3"/>
      <c r="C1102" s="3"/>
      <c r="D1102" s="3"/>
      <c r="E1102" s="3">
        <v>19</v>
      </c>
      <c r="F1102" s="4" t="str">
        <f>HYPERLINK("http://141.218.60.56/~jnz1568/getInfo.php?workbook=13_02.xlsx&amp;sheet=U0&amp;row=1102&amp;col=6&amp;number=4.8&amp;sourceID=14","4.8")</f>
        <v>4.8</v>
      </c>
      <c r="G1102" s="4" t="str">
        <f>HYPERLINK("http://141.218.60.56/~jnz1568/getInfo.php?workbook=13_02.xlsx&amp;sheet=U0&amp;row=1102&amp;col=7&amp;number=0.0226&amp;sourceID=14","0.0226")</f>
        <v>0.0226</v>
      </c>
    </row>
    <row r="1103" spans="1:7">
      <c r="A1103" s="3"/>
      <c r="B1103" s="3"/>
      <c r="C1103" s="3"/>
      <c r="D1103" s="3"/>
      <c r="E1103" s="3">
        <v>20</v>
      </c>
      <c r="F1103" s="4" t="str">
        <f>HYPERLINK("http://141.218.60.56/~jnz1568/getInfo.php?workbook=13_02.xlsx&amp;sheet=U0&amp;row=1103&amp;col=6&amp;number=4.9&amp;sourceID=14","4.9")</f>
        <v>4.9</v>
      </c>
      <c r="G1103" s="4" t="str">
        <f>HYPERLINK("http://141.218.60.56/~jnz1568/getInfo.php?workbook=13_02.xlsx&amp;sheet=U0&amp;row=1103&amp;col=7&amp;number=0.0226&amp;sourceID=14","0.0226")</f>
        <v>0.0226</v>
      </c>
    </row>
    <row r="1104" spans="1:7">
      <c r="A1104" s="3">
        <v>13</v>
      </c>
      <c r="B1104" s="3">
        <v>2</v>
      </c>
      <c r="C1104" s="3" t="s">
        <v>84</v>
      </c>
      <c r="D1104" s="3">
        <v>5</v>
      </c>
      <c r="E1104" s="3">
        <v>1</v>
      </c>
      <c r="F1104" s="4" t="str">
        <f>HYPERLINK("http://141.218.60.56/~jnz1568/getInfo.php?workbook=13_02.xlsx&amp;sheet=U0&amp;row=1104&amp;col=6&amp;number=3&amp;sourceID=14","3")</f>
        <v>3</v>
      </c>
      <c r="G1104" s="4" t="str">
        <f>HYPERLINK("http://141.218.60.56/~jnz1568/getInfo.php?workbook=13_02.xlsx&amp;sheet=U0&amp;row=1104&amp;col=7&amp;number=0.0496&amp;sourceID=14","0.0496")</f>
        <v>0.0496</v>
      </c>
    </row>
    <row r="1105" spans="1:7">
      <c r="A1105" s="3"/>
      <c r="B1105" s="3"/>
      <c r="C1105" s="3"/>
      <c r="D1105" s="3"/>
      <c r="E1105" s="3">
        <v>2</v>
      </c>
      <c r="F1105" s="4" t="str">
        <f>HYPERLINK("http://141.218.60.56/~jnz1568/getInfo.php?workbook=13_02.xlsx&amp;sheet=U0&amp;row=1105&amp;col=6&amp;number=3.1&amp;sourceID=14","3.1")</f>
        <v>3.1</v>
      </c>
      <c r="G1105" s="4" t="str">
        <f>HYPERLINK("http://141.218.60.56/~jnz1568/getInfo.php?workbook=13_02.xlsx&amp;sheet=U0&amp;row=1105&amp;col=7&amp;number=0.0496&amp;sourceID=14","0.0496")</f>
        <v>0.0496</v>
      </c>
    </row>
    <row r="1106" spans="1:7">
      <c r="A1106" s="3"/>
      <c r="B1106" s="3"/>
      <c r="C1106" s="3"/>
      <c r="D1106" s="3"/>
      <c r="E1106" s="3">
        <v>3</v>
      </c>
      <c r="F1106" s="4" t="str">
        <f>HYPERLINK("http://141.218.60.56/~jnz1568/getInfo.php?workbook=13_02.xlsx&amp;sheet=U0&amp;row=1106&amp;col=6&amp;number=3.2&amp;sourceID=14","3.2")</f>
        <v>3.2</v>
      </c>
      <c r="G1106" s="4" t="str">
        <f>HYPERLINK("http://141.218.60.56/~jnz1568/getInfo.php?workbook=13_02.xlsx&amp;sheet=U0&amp;row=1106&amp;col=7&amp;number=0.0496&amp;sourceID=14","0.0496")</f>
        <v>0.0496</v>
      </c>
    </row>
    <row r="1107" spans="1:7">
      <c r="A1107" s="3"/>
      <c r="B1107" s="3"/>
      <c r="C1107" s="3"/>
      <c r="D1107" s="3"/>
      <c r="E1107" s="3">
        <v>4</v>
      </c>
      <c r="F1107" s="4" t="str">
        <f>HYPERLINK("http://141.218.60.56/~jnz1568/getInfo.php?workbook=13_02.xlsx&amp;sheet=U0&amp;row=1107&amp;col=6&amp;number=3.3&amp;sourceID=14","3.3")</f>
        <v>3.3</v>
      </c>
      <c r="G1107" s="4" t="str">
        <f>HYPERLINK("http://141.218.60.56/~jnz1568/getInfo.php?workbook=13_02.xlsx&amp;sheet=U0&amp;row=1107&amp;col=7&amp;number=0.0496&amp;sourceID=14","0.0496")</f>
        <v>0.0496</v>
      </c>
    </row>
    <row r="1108" spans="1:7">
      <c r="A1108" s="3"/>
      <c r="B1108" s="3"/>
      <c r="C1108" s="3"/>
      <c r="D1108" s="3"/>
      <c r="E1108" s="3">
        <v>5</v>
      </c>
      <c r="F1108" s="4" t="str">
        <f>HYPERLINK("http://141.218.60.56/~jnz1568/getInfo.php?workbook=13_02.xlsx&amp;sheet=U0&amp;row=1108&amp;col=6&amp;number=3.4&amp;sourceID=14","3.4")</f>
        <v>3.4</v>
      </c>
      <c r="G1108" s="4" t="str">
        <f>HYPERLINK("http://141.218.60.56/~jnz1568/getInfo.php?workbook=13_02.xlsx&amp;sheet=U0&amp;row=1108&amp;col=7&amp;number=0.0496&amp;sourceID=14","0.0496")</f>
        <v>0.0496</v>
      </c>
    </row>
    <row r="1109" spans="1:7">
      <c r="A1109" s="3"/>
      <c r="B1109" s="3"/>
      <c r="C1109" s="3"/>
      <c r="D1109" s="3"/>
      <c r="E1109" s="3">
        <v>6</v>
      </c>
      <c r="F1109" s="4" t="str">
        <f>HYPERLINK("http://141.218.60.56/~jnz1568/getInfo.php?workbook=13_02.xlsx&amp;sheet=U0&amp;row=1109&amp;col=6&amp;number=3.5&amp;sourceID=14","3.5")</f>
        <v>3.5</v>
      </c>
      <c r="G1109" s="4" t="str">
        <f>HYPERLINK("http://141.218.60.56/~jnz1568/getInfo.php?workbook=13_02.xlsx&amp;sheet=U0&amp;row=1109&amp;col=7&amp;number=0.0496&amp;sourceID=14","0.0496")</f>
        <v>0.0496</v>
      </c>
    </row>
    <row r="1110" spans="1:7">
      <c r="A1110" s="3"/>
      <c r="B1110" s="3"/>
      <c r="C1110" s="3"/>
      <c r="D1110" s="3"/>
      <c r="E1110" s="3">
        <v>7</v>
      </c>
      <c r="F1110" s="4" t="str">
        <f>HYPERLINK("http://141.218.60.56/~jnz1568/getInfo.php?workbook=13_02.xlsx&amp;sheet=U0&amp;row=1110&amp;col=6&amp;number=3.6&amp;sourceID=14","3.6")</f>
        <v>3.6</v>
      </c>
      <c r="G1110" s="4" t="str">
        <f>HYPERLINK("http://141.218.60.56/~jnz1568/getInfo.php?workbook=13_02.xlsx&amp;sheet=U0&amp;row=1110&amp;col=7&amp;number=0.0496&amp;sourceID=14","0.0496")</f>
        <v>0.0496</v>
      </c>
    </row>
    <row r="1111" spans="1:7">
      <c r="A1111" s="3"/>
      <c r="B1111" s="3"/>
      <c r="C1111" s="3"/>
      <c r="D1111" s="3"/>
      <c r="E1111" s="3">
        <v>8</v>
      </c>
      <c r="F1111" s="4" t="str">
        <f>HYPERLINK("http://141.218.60.56/~jnz1568/getInfo.php?workbook=13_02.xlsx&amp;sheet=U0&amp;row=1111&amp;col=6&amp;number=3.7&amp;sourceID=14","3.7")</f>
        <v>3.7</v>
      </c>
      <c r="G1111" s="4" t="str">
        <f>HYPERLINK("http://141.218.60.56/~jnz1568/getInfo.php?workbook=13_02.xlsx&amp;sheet=U0&amp;row=1111&amp;col=7&amp;number=0.0496&amp;sourceID=14","0.0496")</f>
        <v>0.0496</v>
      </c>
    </row>
    <row r="1112" spans="1:7">
      <c r="A1112" s="3"/>
      <c r="B1112" s="3"/>
      <c r="C1112" s="3"/>
      <c r="D1112" s="3"/>
      <c r="E1112" s="3">
        <v>9</v>
      </c>
      <c r="F1112" s="4" t="str">
        <f>HYPERLINK("http://141.218.60.56/~jnz1568/getInfo.php?workbook=13_02.xlsx&amp;sheet=U0&amp;row=1112&amp;col=6&amp;number=3.8&amp;sourceID=14","3.8")</f>
        <v>3.8</v>
      </c>
      <c r="G1112" s="4" t="str">
        <f>HYPERLINK("http://141.218.60.56/~jnz1568/getInfo.php?workbook=13_02.xlsx&amp;sheet=U0&amp;row=1112&amp;col=7&amp;number=0.0496&amp;sourceID=14","0.0496")</f>
        <v>0.0496</v>
      </c>
    </row>
    <row r="1113" spans="1:7">
      <c r="A1113" s="3"/>
      <c r="B1113" s="3"/>
      <c r="C1113" s="3"/>
      <c r="D1113" s="3"/>
      <c r="E1113" s="3">
        <v>10</v>
      </c>
      <c r="F1113" s="4" t="str">
        <f>HYPERLINK("http://141.218.60.56/~jnz1568/getInfo.php?workbook=13_02.xlsx&amp;sheet=U0&amp;row=1113&amp;col=6&amp;number=3.9&amp;sourceID=14","3.9")</f>
        <v>3.9</v>
      </c>
      <c r="G1113" s="4" t="str">
        <f>HYPERLINK("http://141.218.60.56/~jnz1568/getInfo.php?workbook=13_02.xlsx&amp;sheet=U0&amp;row=1113&amp;col=7&amp;number=0.0496&amp;sourceID=14","0.0496")</f>
        <v>0.0496</v>
      </c>
    </row>
    <row r="1114" spans="1:7">
      <c r="A1114" s="3"/>
      <c r="B1114" s="3"/>
      <c r="C1114" s="3"/>
      <c r="D1114" s="3"/>
      <c r="E1114" s="3">
        <v>11</v>
      </c>
      <c r="F1114" s="4" t="str">
        <f>HYPERLINK("http://141.218.60.56/~jnz1568/getInfo.php?workbook=13_02.xlsx&amp;sheet=U0&amp;row=1114&amp;col=6&amp;number=4&amp;sourceID=14","4")</f>
        <v>4</v>
      </c>
      <c r="G1114" s="4" t="str">
        <f>HYPERLINK("http://141.218.60.56/~jnz1568/getInfo.php?workbook=13_02.xlsx&amp;sheet=U0&amp;row=1114&amp;col=7&amp;number=0.0497&amp;sourceID=14","0.0497")</f>
        <v>0.0497</v>
      </c>
    </row>
    <row r="1115" spans="1:7">
      <c r="A1115" s="3"/>
      <c r="B1115" s="3"/>
      <c r="C1115" s="3"/>
      <c r="D1115" s="3"/>
      <c r="E1115" s="3">
        <v>12</v>
      </c>
      <c r="F1115" s="4" t="str">
        <f>HYPERLINK("http://141.218.60.56/~jnz1568/getInfo.php?workbook=13_02.xlsx&amp;sheet=U0&amp;row=1115&amp;col=6&amp;number=4.1&amp;sourceID=14","4.1")</f>
        <v>4.1</v>
      </c>
      <c r="G1115" s="4" t="str">
        <f>HYPERLINK("http://141.218.60.56/~jnz1568/getInfo.php?workbook=13_02.xlsx&amp;sheet=U0&amp;row=1115&amp;col=7&amp;number=0.0497&amp;sourceID=14","0.0497")</f>
        <v>0.0497</v>
      </c>
    </row>
    <row r="1116" spans="1:7">
      <c r="A1116" s="3"/>
      <c r="B1116" s="3"/>
      <c r="C1116" s="3"/>
      <c r="D1116" s="3"/>
      <c r="E1116" s="3">
        <v>13</v>
      </c>
      <c r="F1116" s="4" t="str">
        <f>HYPERLINK("http://141.218.60.56/~jnz1568/getInfo.php?workbook=13_02.xlsx&amp;sheet=U0&amp;row=1116&amp;col=6&amp;number=4.2&amp;sourceID=14","4.2")</f>
        <v>4.2</v>
      </c>
      <c r="G1116" s="4" t="str">
        <f>HYPERLINK("http://141.218.60.56/~jnz1568/getInfo.php?workbook=13_02.xlsx&amp;sheet=U0&amp;row=1116&amp;col=7&amp;number=0.0497&amp;sourceID=14","0.0497")</f>
        <v>0.0497</v>
      </c>
    </row>
    <row r="1117" spans="1:7">
      <c r="A1117" s="3"/>
      <c r="B1117" s="3"/>
      <c r="C1117" s="3"/>
      <c r="D1117" s="3"/>
      <c r="E1117" s="3">
        <v>14</v>
      </c>
      <c r="F1117" s="4" t="str">
        <f>HYPERLINK("http://141.218.60.56/~jnz1568/getInfo.php?workbook=13_02.xlsx&amp;sheet=U0&amp;row=1117&amp;col=6&amp;number=4.3&amp;sourceID=14","4.3")</f>
        <v>4.3</v>
      </c>
      <c r="G1117" s="4" t="str">
        <f>HYPERLINK("http://141.218.60.56/~jnz1568/getInfo.php?workbook=13_02.xlsx&amp;sheet=U0&amp;row=1117&amp;col=7&amp;number=0.0497&amp;sourceID=14","0.0497")</f>
        <v>0.0497</v>
      </c>
    </row>
    <row r="1118" spans="1:7">
      <c r="A1118" s="3"/>
      <c r="B1118" s="3"/>
      <c r="C1118" s="3"/>
      <c r="D1118" s="3"/>
      <c r="E1118" s="3">
        <v>15</v>
      </c>
      <c r="F1118" s="4" t="str">
        <f>HYPERLINK("http://141.218.60.56/~jnz1568/getInfo.php?workbook=13_02.xlsx&amp;sheet=U0&amp;row=1118&amp;col=6&amp;number=4.4&amp;sourceID=14","4.4")</f>
        <v>4.4</v>
      </c>
      <c r="G1118" s="4" t="str">
        <f>HYPERLINK("http://141.218.60.56/~jnz1568/getInfo.php?workbook=13_02.xlsx&amp;sheet=U0&amp;row=1118&amp;col=7&amp;number=0.0497&amp;sourceID=14","0.0497")</f>
        <v>0.0497</v>
      </c>
    </row>
    <row r="1119" spans="1:7">
      <c r="A1119" s="3"/>
      <c r="B1119" s="3"/>
      <c r="C1119" s="3"/>
      <c r="D1119" s="3"/>
      <c r="E1119" s="3">
        <v>16</v>
      </c>
      <c r="F1119" s="4" t="str">
        <f>HYPERLINK("http://141.218.60.56/~jnz1568/getInfo.php?workbook=13_02.xlsx&amp;sheet=U0&amp;row=1119&amp;col=6&amp;number=4.5&amp;sourceID=14","4.5")</f>
        <v>4.5</v>
      </c>
      <c r="G1119" s="4" t="str">
        <f>HYPERLINK("http://141.218.60.56/~jnz1568/getInfo.php?workbook=13_02.xlsx&amp;sheet=U0&amp;row=1119&amp;col=7&amp;number=0.0497&amp;sourceID=14","0.0497")</f>
        <v>0.0497</v>
      </c>
    </row>
    <row r="1120" spans="1:7">
      <c r="A1120" s="3"/>
      <c r="B1120" s="3"/>
      <c r="C1120" s="3"/>
      <c r="D1120" s="3"/>
      <c r="E1120" s="3">
        <v>17</v>
      </c>
      <c r="F1120" s="4" t="str">
        <f>HYPERLINK("http://141.218.60.56/~jnz1568/getInfo.php?workbook=13_02.xlsx&amp;sheet=U0&amp;row=1120&amp;col=6&amp;number=4.6&amp;sourceID=14","4.6")</f>
        <v>4.6</v>
      </c>
      <c r="G1120" s="4" t="str">
        <f>HYPERLINK("http://141.218.60.56/~jnz1568/getInfo.php?workbook=13_02.xlsx&amp;sheet=U0&amp;row=1120&amp;col=7&amp;number=0.0498&amp;sourceID=14","0.0498")</f>
        <v>0.0498</v>
      </c>
    </row>
    <row r="1121" spans="1:7">
      <c r="A1121" s="3"/>
      <c r="B1121" s="3"/>
      <c r="C1121" s="3"/>
      <c r="D1121" s="3"/>
      <c r="E1121" s="3">
        <v>18</v>
      </c>
      <c r="F1121" s="4" t="str">
        <f>HYPERLINK("http://141.218.60.56/~jnz1568/getInfo.php?workbook=13_02.xlsx&amp;sheet=U0&amp;row=1121&amp;col=6&amp;number=4.7&amp;sourceID=14","4.7")</f>
        <v>4.7</v>
      </c>
      <c r="G1121" s="4" t="str">
        <f>HYPERLINK("http://141.218.60.56/~jnz1568/getInfo.php?workbook=13_02.xlsx&amp;sheet=U0&amp;row=1121&amp;col=7&amp;number=0.0498&amp;sourceID=14","0.0498")</f>
        <v>0.0498</v>
      </c>
    </row>
    <row r="1122" spans="1:7">
      <c r="A1122" s="3"/>
      <c r="B1122" s="3"/>
      <c r="C1122" s="3"/>
      <c r="D1122" s="3"/>
      <c r="E1122" s="3">
        <v>19</v>
      </c>
      <c r="F1122" s="4" t="str">
        <f>HYPERLINK("http://141.218.60.56/~jnz1568/getInfo.php?workbook=13_02.xlsx&amp;sheet=U0&amp;row=1122&amp;col=6&amp;number=4.8&amp;sourceID=14","4.8")</f>
        <v>4.8</v>
      </c>
      <c r="G1122" s="4" t="str">
        <f>HYPERLINK("http://141.218.60.56/~jnz1568/getInfo.php?workbook=13_02.xlsx&amp;sheet=U0&amp;row=1122&amp;col=7&amp;number=0.0498&amp;sourceID=14","0.0498")</f>
        <v>0.0498</v>
      </c>
    </row>
    <row r="1123" spans="1:7">
      <c r="A1123" s="3"/>
      <c r="B1123" s="3"/>
      <c r="C1123" s="3"/>
      <c r="D1123" s="3"/>
      <c r="E1123" s="3">
        <v>20</v>
      </c>
      <c r="F1123" s="4" t="str">
        <f>HYPERLINK("http://141.218.60.56/~jnz1568/getInfo.php?workbook=13_02.xlsx&amp;sheet=U0&amp;row=1123&amp;col=6&amp;number=4.9&amp;sourceID=14","4.9")</f>
        <v>4.9</v>
      </c>
      <c r="G1123" s="4" t="str">
        <f>HYPERLINK("http://141.218.60.56/~jnz1568/getInfo.php?workbook=13_02.xlsx&amp;sheet=U0&amp;row=1123&amp;col=7&amp;number=0.0499&amp;sourceID=14","0.0499")</f>
        <v>0.0499</v>
      </c>
    </row>
    <row r="1124" spans="1:7">
      <c r="A1124" s="3">
        <v>13</v>
      </c>
      <c r="B1124" s="3">
        <v>2</v>
      </c>
      <c r="C1124" s="3" t="s">
        <v>84</v>
      </c>
      <c r="D1124" s="3">
        <v>6</v>
      </c>
      <c r="E1124" s="3">
        <v>1</v>
      </c>
      <c r="F1124" s="4" t="str">
        <f>HYPERLINK("http://141.218.60.56/~jnz1568/getInfo.php?workbook=13_02.xlsx&amp;sheet=U0&amp;row=1124&amp;col=6&amp;number=3&amp;sourceID=14","3")</f>
        <v>3</v>
      </c>
      <c r="G1124" s="4" t="str">
        <f>HYPERLINK("http://141.218.60.56/~jnz1568/getInfo.php?workbook=13_02.xlsx&amp;sheet=U0&amp;row=1124&amp;col=7&amp;number=0.0736&amp;sourceID=14","0.0736")</f>
        <v>0.0736</v>
      </c>
    </row>
    <row r="1125" spans="1:7">
      <c r="A1125" s="3"/>
      <c r="B1125" s="3"/>
      <c r="C1125" s="3"/>
      <c r="D1125" s="3"/>
      <c r="E1125" s="3">
        <v>2</v>
      </c>
      <c r="F1125" s="4" t="str">
        <f>HYPERLINK("http://141.218.60.56/~jnz1568/getInfo.php?workbook=13_02.xlsx&amp;sheet=U0&amp;row=1125&amp;col=6&amp;number=3.1&amp;sourceID=14","3.1")</f>
        <v>3.1</v>
      </c>
      <c r="G1125" s="4" t="str">
        <f>HYPERLINK("http://141.218.60.56/~jnz1568/getInfo.php?workbook=13_02.xlsx&amp;sheet=U0&amp;row=1125&amp;col=7&amp;number=0.0736&amp;sourceID=14","0.0736")</f>
        <v>0.0736</v>
      </c>
    </row>
    <row r="1126" spans="1:7">
      <c r="A1126" s="3"/>
      <c r="B1126" s="3"/>
      <c r="C1126" s="3"/>
      <c r="D1126" s="3"/>
      <c r="E1126" s="3">
        <v>3</v>
      </c>
      <c r="F1126" s="4" t="str">
        <f>HYPERLINK("http://141.218.60.56/~jnz1568/getInfo.php?workbook=13_02.xlsx&amp;sheet=U0&amp;row=1126&amp;col=6&amp;number=3.2&amp;sourceID=14","3.2")</f>
        <v>3.2</v>
      </c>
      <c r="G1126" s="4" t="str">
        <f>HYPERLINK("http://141.218.60.56/~jnz1568/getInfo.php?workbook=13_02.xlsx&amp;sheet=U0&amp;row=1126&amp;col=7&amp;number=0.0736&amp;sourceID=14","0.0736")</f>
        <v>0.0736</v>
      </c>
    </row>
    <row r="1127" spans="1:7">
      <c r="A1127" s="3"/>
      <c r="B1127" s="3"/>
      <c r="C1127" s="3"/>
      <c r="D1127" s="3"/>
      <c r="E1127" s="3">
        <v>4</v>
      </c>
      <c r="F1127" s="4" t="str">
        <f>HYPERLINK("http://141.218.60.56/~jnz1568/getInfo.php?workbook=13_02.xlsx&amp;sheet=U0&amp;row=1127&amp;col=6&amp;number=3.3&amp;sourceID=14","3.3")</f>
        <v>3.3</v>
      </c>
      <c r="G1127" s="4" t="str">
        <f>HYPERLINK("http://141.218.60.56/~jnz1568/getInfo.php?workbook=13_02.xlsx&amp;sheet=U0&amp;row=1127&amp;col=7&amp;number=0.0736&amp;sourceID=14","0.0736")</f>
        <v>0.0736</v>
      </c>
    </row>
    <row r="1128" spans="1:7">
      <c r="A1128" s="3"/>
      <c r="B1128" s="3"/>
      <c r="C1128" s="3"/>
      <c r="D1128" s="3"/>
      <c r="E1128" s="3">
        <v>5</v>
      </c>
      <c r="F1128" s="4" t="str">
        <f>HYPERLINK("http://141.218.60.56/~jnz1568/getInfo.php?workbook=13_02.xlsx&amp;sheet=U0&amp;row=1128&amp;col=6&amp;number=3.4&amp;sourceID=14","3.4")</f>
        <v>3.4</v>
      </c>
      <c r="G1128" s="4" t="str">
        <f>HYPERLINK("http://141.218.60.56/~jnz1568/getInfo.php?workbook=13_02.xlsx&amp;sheet=U0&amp;row=1128&amp;col=7&amp;number=0.0736&amp;sourceID=14","0.0736")</f>
        <v>0.0736</v>
      </c>
    </row>
    <row r="1129" spans="1:7">
      <c r="A1129" s="3"/>
      <c r="B1129" s="3"/>
      <c r="C1129" s="3"/>
      <c r="D1129" s="3"/>
      <c r="E1129" s="3">
        <v>6</v>
      </c>
      <c r="F1129" s="4" t="str">
        <f>HYPERLINK("http://141.218.60.56/~jnz1568/getInfo.php?workbook=13_02.xlsx&amp;sheet=U0&amp;row=1129&amp;col=6&amp;number=3.5&amp;sourceID=14","3.5")</f>
        <v>3.5</v>
      </c>
      <c r="G1129" s="4" t="str">
        <f>HYPERLINK("http://141.218.60.56/~jnz1568/getInfo.php?workbook=13_02.xlsx&amp;sheet=U0&amp;row=1129&amp;col=7&amp;number=0.0736&amp;sourceID=14","0.0736")</f>
        <v>0.0736</v>
      </c>
    </row>
    <row r="1130" spans="1:7">
      <c r="A1130" s="3"/>
      <c r="B1130" s="3"/>
      <c r="C1130" s="3"/>
      <c r="D1130" s="3"/>
      <c r="E1130" s="3">
        <v>7</v>
      </c>
      <c r="F1130" s="4" t="str">
        <f>HYPERLINK("http://141.218.60.56/~jnz1568/getInfo.php?workbook=13_02.xlsx&amp;sheet=U0&amp;row=1130&amp;col=6&amp;number=3.6&amp;sourceID=14","3.6")</f>
        <v>3.6</v>
      </c>
      <c r="G1130" s="4" t="str">
        <f>HYPERLINK("http://141.218.60.56/~jnz1568/getInfo.php?workbook=13_02.xlsx&amp;sheet=U0&amp;row=1130&amp;col=7&amp;number=0.0736&amp;sourceID=14","0.0736")</f>
        <v>0.0736</v>
      </c>
    </row>
    <row r="1131" spans="1:7">
      <c r="A1131" s="3"/>
      <c r="B1131" s="3"/>
      <c r="C1131" s="3"/>
      <c r="D1131" s="3"/>
      <c r="E1131" s="3">
        <v>8</v>
      </c>
      <c r="F1131" s="4" t="str">
        <f>HYPERLINK("http://141.218.60.56/~jnz1568/getInfo.php?workbook=13_02.xlsx&amp;sheet=U0&amp;row=1131&amp;col=6&amp;number=3.7&amp;sourceID=14","3.7")</f>
        <v>3.7</v>
      </c>
      <c r="G1131" s="4" t="str">
        <f>HYPERLINK("http://141.218.60.56/~jnz1568/getInfo.php?workbook=13_02.xlsx&amp;sheet=U0&amp;row=1131&amp;col=7&amp;number=0.0736&amp;sourceID=14","0.0736")</f>
        <v>0.0736</v>
      </c>
    </row>
    <row r="1132" spans="1:7">
      <c r="A1132" s="3"/>
      <c r="B1132" s="3"/>
      <c r="C1132" s="3"/>
      <c r="D1132" s="3"/>
      <c r="E1132" s="3">
        <v>9</v>
      </c>
      <c r="F1132" s="4" t="str">
        <f>HYPERLINK("http://141.218.60.56/~jnz1568/getInfo.php?workbook=13_02.xlsx&amp;sheet=U0&amp;row=1132&amp;col=6&amp;number=3.8&amp;sourceID=14","3.8")</f>
        <v>3.8</v>
      </c>
      <c r="G1132" s="4" t="str">
        <f>HYPERLINK("http://141.218.60.56/~jnz1568/getInfo.php?workbook=13_02.xlsx&amp;sheet=U0&amp;row=1132&amp;col=7&amp;number=0.0736&amp;sourceID=14","0.0736")</f>
        <v>0.0736</v>
      </c>
    </row>
    <row r="1133" spans="1:7">
      <c r="A1133" s="3"/>
      <c r="B1133" s="3"/>
      <c r="C1133" s="3"/>
      <c r="D1133" s="3"/>
      <c r="E1133" s="3">
        <v>10</v>
      </c>
      <c r="F1133" s="4" t="str">
        <f>HYPERLINK("http://141.218.60.56/~jnz1568/getInfo.php?workbook=13_02.xlsx&amp;sheet=U0&amp;row=1133&amp;col=6&amp;number=3.9&amp;sourceID=14","3.9")</f>
        <v>3.9</v>
      </c>
      <c r="G1133" s="4" t="str">
        <f>HYPERLINK("http://141.218.60.56/~jnz1568/getInfo.php?workbook=13_02.xlsx&amp;sheet=U0&amp;row=1133&amp;col=7&amp;number=0.0736&amp;sourceID=14","0.0736")</f>
        <v>0.0736</v>
      </c>
    </row>
    <row r="1134" spans="1:7">
      <c r="A1134" s="3"/>
      <c r="B1134" s="3"/>
      <c r="C1134" s="3"/>
      <c r="D1134" s="3"/>
      <c r="E1134" s="3">
        <v>11</v>
      </c>
      <c r="F1134" s="4" t="str">
        <f>HYPERLINK("http://141.218.60.56/~jnz1568/getInfo.php?workbook=13_02.xlsx&amp;sheet=U0&amp;row=1134&amp;col=6&amp;number=4&amp;sourceID=14","4")</f>
        <v>4</v>
      </c>
      <c r="G1134" s="4" t="str">
        <f>HYPERLINK("http://141.218.60.56/~jnz1568/getInfo.php?workbook=13_02.xlsx&amp;sheet=U0&amp;row=1134&amp;col=7&amp;number=0.0736&amp;sourceID=14","0.0736")</f>
        <v>0.0736</v>
      </c>
    </row>
    <row r="1135" spans="1:7">
      <c r="A1135" s="3"/>
      <c r="B1135" s="3"/>
      <c r="C1135" s="3"/>
      <c r="D1135" s="3"/>
      <c r="E1135" s="3">
        <v>12</v>
      </c>
      <c r="F1135" s="4" t="str">
        <f>HYPERLINK("http://141.218.60.56/~jnz1568/getInfo.php?workbook=13_02.xlsx&amp;sheet=U0&amp;row=1135&amp;col=6&amp;number=4.1&amp;sourceID=14","4.1")</f>
        <v>4.1</v>
      </c>
      <c r="G1135" s="4" t="str">
        <f>HYPERLINK("http://141.218.60.56/~jnz1568/getInfo.php?workbook=13_02.xlsx&amp;sheet=U0&amp;row=1135&amp;col=7&amp;number=0.0737&amp;sourceID=14","0.0737")</f>
        <v>0.0737</v>
      </c>
    </row>
    <row r="1136" spans="1:7">
      <c r="A1136" s="3"/>
      <c r="B1136" s="3"/>
      <c r="C1136" s="3"/>
      <c r="D1136" s="3"/>
      <c r="E1136" s="3">
        <v>13</v>
      </c>
      <c r="F1136" s="4" t="str">
        <f>HYPERLINK("http://141.218.60.56/~jnz1568/getInfo.php?workbook=13_02.xlsx&amp;sheet=U0&amp;row=1136&amp;col=6&amp;number=4.2&amp;sourceID=14","4.2")</f>
        <v>4.2</v>
      </c>
      <c r="G1136" s="4" t="str">
        <f>HYPERLINK("http://141.218.60.56/~jnz1568/getInfo.php?workbook=13_02.xlsx&amp;sheet=U0&amp;row=1136&amp;col=7&amp;number=0.0737&amp;sourceID=14","0.0737")</f>
        <v>0.0737</v>
      </c>
    </row>
    <row r="1137" spans="1:7">
      <c r="A1137" s="3"/>
      <c r="B1137" s="3"/>
      <c r="C1137" s="3"/>
      <c r="D1137" s="3"/>
      <c r="E1137" s="3">
        <v>14</v>
      </c>
      <c r="F1137" s="4" t="str">
        <f>HYPERLINK("http://141.218.60.56/~jnz1568/getInfo.php?workbook=13_02.xlsx&amp;sheet=U0&amp;row=1137&amp;col=6&amp;number=4.3&amp;sourceID=14","4.3")</f>
        <v>4.3</v>
      </c>
      <c r="G1137" s="4" t="str">
        <f>HYPERLINK("http://141.218.60.56/~jnz1568/getInfo.php?workbook=13_02.xlsx&amp;sheet=U0&amp;row=1137&amp;col=7&amp;number=0.0737&amp;sourceID=14","0.0737")</f>
        <v>0.0737</v>
      </c>
    </row>
    <row r="1138" spans="1:7">
      <c r="A1138" s="3"/>
      <c r="B1138" s="3"/>
      <c r="C1138" s="3"/>
      <c r="D1138" s="3"/>
      <c r="E1138" s="3">
        <v>15</v>
      </c>
      <c r="F1138" s="4" t="str">
        <f>HYPERLINK("http://141.218.60.56/~jnz1568/getInfo.php?workbook=13_02.xlsx&amp;sheet=U0&amp;row=1138&amp;col=6&amp;number=4.4&amp;sourceID=14","4.4")</f>
        <v>4.4</v>
      </c>
      <c r="G1138" s="4" t="str">
        <f>HYPERLINK("http://141.218.60.56/~jnz1568/getInfo.php?workbook=13_02.xlsx&amp;sheet=U0&amp;row=1138&amp;col=7&amp;number=0.0737&amp;sourceID=14","0.0737")</f>
        <v>0.0737</v>
      </c>
    </row>
    <row r="1139" spans="1:7">
      <c r="A1139" s="3"/>
      <c r="B1139" s="3"/>
      <c r="C1139" s="3"/>
      <c r="D1139" s="3"/>
      <c r="E1139" s="3">
        <v>16</v>
      </c>
      <c r="F1139" s="4" t="str">
        <f>HYPERLINK("http://141.218.60.56/~jnz1568/getInfo.php?workbook=13_02.xlsx&amp;sheet=U0&amp;row=1139&amp;col=6&amp;number=4.5&amp;sourceID=14","4.5")</f>
        <v>4.5</v>
      </c>
      <c r="G1139" s="4" t="str">
        <f>HYPERLINK("http://141.218.60.56/~jnz1568/getInfo.php?workbook=13_02.xlsx&amp;sheet=U0&amp;row=1139&amp;col=7&amp;number=0.0738&amp;sourceID=14","0.0738")</f>
        <v>0.0738</v>
      </c>
    </row>
    <row r="1140" spans="1:7">
      <c r="A1140" s="3"/>
      <c r="B1140" s="3"/>
      <c r="C1140" s="3"/>
      <c r="D1140" s="3"/>
      <c r="E1140" s="3">
        <v>17</v>
      </c>
      <c r="F1140" s="4" t="str">
        <f>HYPERLINK("http://141.218.60.56/~jnz1568/getInfo.php?workbook=13_02.xlsx&amp;sheet=U0&amp;row=1140&amp;col=6&amp;number=4.6&amp;sourceID=14","4.6")</f>
        <v>4.6</v>
      </c>
      <c r="G1140" s="4" t="str">
        <f>HYPERLINK("http://141.218.60.56/~jnz1568/getInfo.php?workbook=13_02.xlsx&amp;sheet=U0&amp;row=1140&amp;col=7&amp;number=0.0738&amp;sourceID=14","0.0738")</f>
        <v>0.0738</v>
      </c>
    </row>
    <row r="1141" spans="1:7">
      <c r="A1141" s="3"/>
      <c r="B1141" s="3"/>
      <c r="C1141" s="3"/>
      <c r="D1141" s="3"/>
      <c r="E1141" s="3">
        <v>18</v>
      </c>
      <c r="F1141" s="4" t="str">
        <f>HYPERLINK("http://141.218.60.56/~jnz1568/getInfo.php?workbook=13_02.xlsx&amp;sheet=U0&amp;row=1141&amp;col=6&amp;number=4.7&amp;sourceID=14","4.7")</f>
        <v>4.7</v>
      </c>
      <c r="G1141" s="4" t="str">
        <f>HYPERLINK("http://141.218.60.56/~jnz1568/getInfo.php?workbook=13_02.xlsx&amp;sheet=U0&amp;row=1141&amp;col=7&amp;number=0.0739&amp;sourceID=14","0.0739")</f>
        <v>0.0739</v>
      </c>
    </row>
    <row r="1142" spans="1:7">
      <c r="A1142" s="3"/>
      <c r="B1142" s="3"/>
      <c r="C1142" s="3"/>
      <c r="D1142" s="3"/>
      <c r="E1142" s="3">
        <v>19</v>
      </c>
      <c r="F1142" s="4" t="str">
        <f>HYPERLINK("http://141.218.60.56/~jnz1568/getInfo.php?workbook=13_02.xlsx&amp;sheet=U0&amp;row=1142&amp;col=6&amp;number=4.8&amp;sourceID=14","4.8")</f>
        <v>4.8</v>
      </c>
      <c r="G1142" s="4" t="str">
        <f>HYPERLINK("http://141.218.60.56/~jnz1568/getInfo.php?workbook=13_02.xlsx&amp;sheet=U0&amp;row=1142&amp;col=7&amp;number=0.0739&amp;sourceID=14","0.0739")</f>
        <v>0.0739</v>
      </c>
    </row>
    <row r="1143" spans="1:7">
      <c r="A1143" s="3"/>
      <c r="B1143" s="3"/>
      <c r="C1143" s="3"/>
      <c r="D1143" s="3"/>
      <c r="E1143" s="3">
        <v>20</v>
      </c>
      <c r="F1143" s="4" t="str">
        <f>HYPERLINK("http://141.218.60.56/~jnz1568/getInfo.php?workbook=13_02.xlsx&amp;sheet=U0&amp;row=1143&amp;col=6&amp;number=4.9&amp;sourceID=14","4.9")</f>
        <v>4.9</v>
      </c>
      <c r="G1143" s="4" t="str">
        <f>HYPERLINK("http://141.218.60.56/~jnz1568/getInfo.php?workbook=13_02.xlsx&amp;sheet=U0&amp;row=1143&amp;col=7&amp;number=0.074&amp;sourceID=14","0.074")</f>
        <v>0.074</v>
      </c>
    </row>
    <row r="1144" spans="1:7">
      <c r="A1144" s="3">
        <v>13</v>
      </c>
      <c r="B1144" s="3">
        <v>2</v>
      </c>
      <c r="C1144" s="3" t="s">
        <v>84</v>
      </c>
      <c r="D1144" s="3">
        <v>7</v>
      </c>
      <c r="E1144" s="3">
        <v>1</v>
      </c>
      <c r="F1144" s="4" t="str">
        <f>HYPERLINK("http://141.218.60.56/~jnz1568/getInfo.php?workbook=13_02.xlsx&amp;sheet=U0&amp;row=1144&amp;col=6&amp;number=3&amp;sourceID=14","3")</f>
        <v>3</v>
      </c>
      <c r="G1144" s="4" t="str">
        <f>HYPERLINK("http://141.218.60.56/~jnz1568/getInfo.php?workbook=13_02.xlsx&amp;sheet=U0&amp;row=1144&amp;col=7&amp;number=0.0177&amp;sourceID=14","0.0177")</f>
        <v>0.0177</v>
      </c>
    </row>
    <row r="1145" spans="1:7">
      <c r="A1145" s="3"/>
      <c r="B1145" s="3"/>
      <c r="C1145" s="3"/>
      <c r="D1145" s="3"/>
      <c r="E1145" s="3">
        <v>2</v>
      </c>
      <c r="F1145" s="4" t="str">
        <f>HYPERLINK("http://141.218.60.56/~jnz1568/getInfo.php?workbook=13_02.xlsx&amp;sheet=U0&amp;row=1145&amp;col=6&amp;number=3.1&amp;sourceID=14","3.1")</f>
        <v>3.1</v>
      </c>
      <c r="G1145" s="4" t="str">
        <f>HYPERLINK("http://141.218.60.56/~jnz1568/getInfo.php?workbook=13_02.xlsx&amp;sheet=U0&amp;row=1145&amp;col=7&amp;number=0.0177&amp;sourceID=14","0.0177")</f>
        <v>0.0177</v>
      </c>
    </row>
    <row r="1146" spans="1:7">
      <c r="A1146" s="3"/>
      <c r="B1146" s="3"/>
      <c r="C1146" s="3"/>
      <c r="D1146" s="3"/>
      <c r="E1146" s="3">
        <v>3</v>
      </c>
      <c r="F1146" s="4" t="str">
        <f>HYPERLINK("http://141.218.60.56/~jnz1568/getInfo.php?workbook=13_02.xlsx&amp;sheet=U0&amp;row=1146&amp;col=6&amp;number=3.2&amp;sourceID=14","3.2")</f>
        <v>3.2</v>
      </c>
      <c r="G1146" s="4" t="str">
        <f>HYPERLINK("http://141.218.60.56/~jnz1568/getInfo.php?workbook=13_02.xlsx&amp;sheet=U0&amp;row=1146&amp;col=7&amp;number=0.0177&amp;sourceID=14","0.0177")</f>
        <v>0.0177</v>
      </c>
    </row>
    <row r="1147" spans="1:7">
      <c r="A1147" s="3"/>
      <c r="B1147" s="3"/>
      <c r="C1147" s="3"/>
      <c r="D1147" s="3"/>
      <c r="E1147" s="3">
        <v>4</v>
      </c>
      <c r="F1147" s="4" t="str">
        <f>HYPERLINK("http://141.218.60.56/~jnz1568/getInfo.php?workbook=13_02.xlsx&amp;sheet=U0&amp;row=1147&amp;col=6&amp;number=3.3&amp;sourceID=14","3.3")</f>
        <v>3.3</v>
      </c>
      <c r="G1147" s="4" t="str">
        <f>HYPERLINK("http://141.218.60.56/~jnz1568/getInfo.php?workbook=13_02.xlsx&amp;sheet=U0&amp;row=1147&amp;col=7&amp;number=0.0177&amp;sourceID=14","0.0177")</f>
        <v>0.0177</v>
      </c>
    </row>
    <row r="1148" spans="1:7">
      <c r="A1148" s="3"/>
      <c r="B1148" s="3"/>
      <c r="C1148" s="3"/>
      <c r="D1148" s="3"/>
      <c r="E1148" s="3">
        <v>5</v>
      </c>
      <c r="F1148" s="4" t="str">
        <f>HYPERLINK("http://141.218.60.56/~jnz1568/getInfo.php?workbook=13_02.xlsx&amp;sheet=U0&amp;row=1148&amp;col=6&amp;number=3.4&amp;sourceID=14","3.4")</f>
        <v>3.4</v>
      </c>
      <c r="G1148" s="4" t="str">
        <f>HYPERLINK("http://141.218.60.56/~jnz1568/getInfo.php?workbook=13_02.xlsx&amp;sheet=U0&amp;row=1148&amp;col=7&amp;number=0.0177&amp;sourceID=14","0.0177")</f>
        <v>0.0177</v>
      </c>
    </row>
    <row r="1149" spans="1:7">
      <c r="A1149" s="3"/>
      <c r="B1149" s="3"/>
      <c r="C1149" s="3"/>
      <c r="D1149" s="3"/>
      <c r="E1149" s="3">
        <v>6</v>
      </c>
      <c r="F1149" s="4" t="str">
        <f>HYPERLINK("http://141.218.60.56/~jnz1568/getInfo.php?workbook=13_02.xlsx&amp;sheet=U0&amp;row=1149&amp;col=6&amp;number=3.5&amp;sourceID=14","3.5")</f>
        <v>3.5</v>
      </c>
      <c r="G1149" s="4" t="str">
        <f>HYPERLINK("http://141.218.60.56/~jnz1568/getInfo.php?workbook=13_02.xlsx&amp;sheet=U0&amp;row=1149&amp;col=7&amp;number=0.0177&amp;sourceID=14","0.0177")</f>
        <v>0.0177</v>
      </c>
    </row>
    <row r="1150" spans="1:7">
      <c r="A1150" s="3"/>
      <c r="B1150" s="3"/>
      <c r="C1150" s="3"/>
      <c r="D1150" s="3"/>
      <c r="E1150" s="3">
        <v>7</v>
      </c>
      <c r="F1150" s="4" t="str">
        <f>HYPERLINK("http://141.218.60.56/~jnz1568/getInfo.php?workbook=13_02.xlsx&amp;sheet=U0&amp;row=1150&amp;col=6&amp;number=3.6&amp;sourceID=14","3.6")</f>
        <v>3.6</v>
      </c>
      <c r="G1150" s="4" t="str">
        <f>HYPERLINK("http://141.218.60.56/~jnz1568/getInfo.php?workbook=13_02.xlsx&amp;sheet=U0&amp;row=1150&amp;col=7&amp;number=0.0177&amp;sourceID=14","0.0177")</f>
        <v>0.0177</v>
      </c>
    </row>
    <row r="1151" spans="1:7">
      <c r="A1151" s="3"/>
      <c r="B1151" s="3"/>
      <c r="C1151" s="3"/>
      <c r="D1151" s="3"/>
      <c r="E1151" s="3">
        <v>8</v>
      </c>
      <c r="F1151" s="4" t="str">
        <f>HYPERLINK("http://141.218.60.56/~jnz1568/getInfo.php?workbook=13_02.xlsx&amp;sheet=U0&amp;row=1151&amp;col=6&amp;number=3.7&amp;sourceID=14","3.7")</f>
        <v>3.7</v>
      </c>
      <c r="G1151" s="4" t="str">
        <f>HYPERLINK("http://141.218.60.56/~jnz1568/getInfo.php?workbook=13_02.xlsx&amp;sheet=U0&amp;row=1151&amp;col=7&amp;number=0.0177&amp;sourceID=14","0.0177")</f>
        <v>0.0177</v>
      </c>
    </row>
    <row r="1152" spans="1:7">
      <c r="A1152" s="3"/>
      <c r="B1152" s="3"/>
      <c r="C1152" s="3"/>
      <c r="D1152" s="3"/>
      <c r="E1152" s="3">
        <v>9</v>
      </c>
      <c r="F1152" s="4" t="str">
        <f>HYPERLINK("http://141.218.60.56/~jnz1568/getInfo.php?workbook=13_02.xlsx&amp;sheet=U0&amp;row=1152&amp;col=6&amp;number=3.8&amp;sourceID=14","3.8")</f>
        <v>3.8</v>
      </c>
      <c r="G1152" s="4" t="str">
        <f>HYPERLINK("http://141.218.60.56/~jnz1568/getInfo.php?workbook=13_02.xlsx&amp;sheet=U0&amp;row=1152&amp;col=7&amp;number=0.0177&amp;sourceID=14","0.0177")</f>
        <v>0.0177</v>
      </c>
    </row>
    <row r="1153" spans="1:7">
      <c r="A1153" s="3"/>
      <c r="B1153" s="3"/>
      <c r="C1153" s="3"/>
      <c r="D1153" s="3"/>
      <c r="E1153" s="3">
        <v>10</v>
      </c>
      <c r="F1153" s="4" t="str">
        <f>HYPERLINK("http://141.218.60.56/~jnz1568/getInfo.php?workbook=13_02.xlsx&amp;sheet=U0&amp;row=1153&amp;col=6&amp;number=3.9&amp;sourceID=14","3.9")</f>
        <v>3.9</v>
      </c>
      <c r="G1153" s="4" t="str">
        <f>HYPERLINK("http://141.218.60.56/~jnz1568/getInfo.php?workbook=13_02.xlsx&amp;sheet=U0&amp;row=1153&amp;col=7&amp;number=0.0177&amp;sourceID=14","0.0177")</f>
        <v>0.0177</v>
      </c>
    </row>
    <row r="1154" spans="1:7">
      <c r="A1154" s="3"/>
      <c r="B1154" s="3"/>
      <c r="C1154" s="3"/>
      <c r="D1154" s="3"/>
      <c r="E1154" s="3">
        <v>11</v>
      </c>
      <c r="F1154" s="4" t="str">
        <f>HYPERLINK("http://141.218.60.56/~jnz1568/getInfo.php?workbook=13_02.xlsx&amp;sheet=U0&amp;row=1154&amp;col=6&amp;number=4&amp;sourceID=14","4")</f>
        <v>4</v>
      </c>
      <c r="G1154" s="4" t="str">
        <f>HYPERLINK("http://141.218.60.56/~jnz1568/getInfo.php?workbook=13_02.xlsx&amp;sheet=U0&amp;row=1154&amp;col=7&amp;number=0.0177&amp;sourceID=14","0.0177")</f>
        <v>0.0177</v>
      </c>
    </row>
    <row r="1155" spans="1:7">
      <c r="A1155" s="3"/>
      <c r="B1155" s="3"/>
      <c r="C1155" s="3"/>
      <c r="D1155" s="3"/>
      <c r="E1155" s="3">
        <v>12</v>
      </c>
      <c r="F1155" s="4" t="str">
        <f>HYPERLINK("http://141.218.60.56/~jnz1568/getInfo.php?workbook=13_02.xlsx&amp;sheet=U0&amp;row=1155&amp;col=6&amp;number=4.1&amp;sourceID=14","4.1")</f>
        <v>4.1</v>
      </c>
      <c r="G1155" s="4" t="str">
        <f>HYPERLINK("http://141.218.60.56/~jnz1568/getInfo.php?workbook=13_02.xlsx&amp;sheet=U0&amp;row=1155&amp;col=7&amp;number=0.0177&amp;sourceID=14","0.0177")</f>
        <v>0.0177</v>
      </c>
    </row>
    <row r="1156" spans="1:7">
      <c r="A1156" s="3"/>
      <c r="B1156" s="3"/>
      <c r="C1156" s="3"/>
      <c r="D1156" s="3"/>
      <c r="E1156" s="3">
        <v>13</v>
      </c>
      <c r="F1156" s="4" t="str">
        <f>HYPERLINK("http://141.218.60.56/~jnz1568/getInfo.php?workbook=13_02.xlsx&amp;sheet=U0&amp;row=1156&amp;col=6&amp;number=4.2&amp;sourceID=14","4.2")</f>
        <v>4.2</v>
      </c>
      <c r="G1156" s="4" t="str">
        <f>HYPERLINK("http://141.218.60.56/~jnz1568/getInfo.php?workbook=13_02.xlsx&amp;sheet=U0&amp;row=1156&amp;col=7&amp;number=0.0177&amp;sourceID=14","0.0177")</f>
        <v>0.0177</v>
      </c>
    </row>
    <row r="1157" spans="1:7">
      <c r="A1157" s="3"/>
      <c r="B1157" s="3"/>
      <c r="C1157" s="3"/>
      <c r="D1157" s="3"/>
      <c r="E1157" s="3">
        <v>14</v>
      </c>
      <c r="F1157" s="4" t="str">
        <f>HYPERLINK("http://141.218.60.56/~jnz1568/getInfo.php?workbook=13_02.xlsx&amp;sheet=U0&amp;row=1157&amp;col=6&amp;number=4.3&amp;sourceID=14","4.3")</f>
        <v>4.3</v>
      </c>
      <c r="G1157" s="4" t="str">
        <f>HYPERLINK("http://141.218.60.56/~jnz1568/getInfo.php?workbook=13_02.xlsx&amp;sheet=U0&amp;row=1157&amp;col=7&amp;number=0.0177&amp;sourceID=14","0.0177")</f>
        <v>0.0177</v>
      </c>
    </row>
    <row r="1158" spans="1:7">
      <c r="A1158" s="3"/>
      <c r="B1158" s="3"/>
      <c r="C1158" s="3"/>
      <c r="D1158" s="3"/>
      <c r="E1158" s="3">
        <v>15</v>
      </c>
      <c r="F1158" s="4" t="str">
        <f>HYPERLINK("http://141.218.60.56/~jnz1568/getInfo.php?workbook=13_02.xlsx&amp;sheet=U0&amp;row=1158&amp;col=6&amp;number=4.4&amp;sourceID=14","4.4")</f>
        <v>4.4</v>
      </c>
      <c r="G1158" s="4" t="str">
        <f>HYPERLINK("http://141.218.60.56/~jnz1568/getInfo.php?workbook=13_02.xlsx&amp;sheet=U0&amp;row=1158&amp;col=7&amp;number=0.0177&amp;sourceID=14","0.0177")</f>
        <v>0.0177</v>
      </c>
    </row>
    <row r="1159" spans="1:7">
      <c r="A1159" s="3"/>
      <c r="B1159" s="3"/>
      <c r="C1159" s="3"/>
      <c r="D1159" s="3"/>
      <c r="E1159" s="3">
        <v>16</v>
      </c>
      <c r="F1159" s="4" t="str">
        <f>HYPERLINK("http://141.218.60.56/~jnz1568/getInfo.php?workbook=13_02.xlsx&amp;sheet=U0&amp;row=1159&amp;col=6&amp;number=4.5&amp;sourceID=14","4.5")</f>
        <v>4.5</v>
      </c>
      <c r="G1159" s="4" t="str">
        <f>HYPERLINK("http://141.218.60.56/~jnz1568/getInfo.php?workbook=13_02.xlsx&amp;sheet=U0&amp;row=1159&amp;col=7&amp;number=0.0177&amp;sourceID=14","0.0177")</f>
        <v>0.0177</v>
      </c>
    </row>
    <row r="1160" spans="1:7">
      <c r="A1160" s="3"/>
      <c r="B1160" s="3"/>
      <c r="C1160" s="3"/>
      <c r="D1160" s="3"/>
      <c r="E1160" s="3">
        <v>17</v>
      </c>
      <c r="F1160" s="4" t="str">
        <f>HYPERLINK("http://141.218.60.56/~jnz1568/getInfo.php?workbook=13_02.xlsx&amp;sheet=U0&amp;row=1160&amp;col=6&amp;number=4.6&amp;sourceID=14","4.6")</f>
        <v>4.6</v>
      </c>
      <c r="G1160" s="4" t="str">
        <f>HYPERLINK("http://141.218.60.56/~jnz1568/getInfo.php?workbook=13_02.xlsx&amp;sheet=U0&amp;row=1160&amp;col=7&amp;number=0.0177&amp;sourceID=14","0.0177")</f>
        <v>0.0177</v>
      </c>
    </row>
    <row r="1161" spans="1:7">
      <c r="A1161" s="3"/>
      <c r="B1161" s="3"/>
      <c r="C1161" s="3"/>
      <c r="D1161" s="3"/>
      <c r="E1161" s="3">
        <v>18</v>
      </c>
      <c r="F1161" s="4" t="str">
        <f>HYPERLINK("http://141.218.60.56/~jnz1568/getInfo.php?workbook=13_02.xlsx&amp;sheet=U0&amp;row=1161&amp;col=6&amp;number=4.7&amp;sourceID=14","4.7")</f>
        <v>4.7</v>
      </c>
      <c r="G1161" s="4" t="str">
        <f>HYPERLINK("http://141.218.60.56/~jnz1568/getInfo.php?workbook=13_02.xlsx&amp;sheet=U0&amp;row=1161&amp;col=7&amp;number=0.0177&amp;sourceID=14","0.0177")</f>
        <v>0.0177</v>
      </c>
    </row>
    <row r="1162" spans="1:7">
      <c r="A1162" s="3"/>
      <c r="B1162" s="3"/>
      <c r="C1162" s="3"/>
      <c r="D1162" s="3"/>
      <c r="E1162" s="3">
        <v>19</v>
      </c>
      <c r="F1162" s="4" t="str">
        <f>HYPERLINK("http://141.218.60.56/~jnz1568/getInfo.php?workbook=13_02.xlsx&amp;sheet=U0&amp;row=1162&amp;col=6&amp;number=4.8&amp;sourceID=14","4.8")</f>
        <v>4.8</v>
      </c>
      <c r="G1162" s="4" t="str">
        <f>HYPERLINK("http://141.218.60.56/~jnz1568/getInfo.php?workbook=13_02.xlsx&amp;sheet=U0&amp;row=1162&amp;col=7&amp;number=0.0176&amp;sourceID=14","0.0176")</f>
        <v>0.0176</v>
      </c>
    </row>
    <row r="1163" spans="1:7">
      <c r="A1163" s="3"/>
      <c r="B1163" s="3"/>
      <c r="C1163" s="3"/>
      <c r="D1163" s="3"/>
      <c r="E1163" s="3">
        <v>20</v>
      </c>
      <c r="F1163" s="4" t="str">
        <f>HYPERLINK("http://141.218.60.56/~jnz1568/getInfo.php?workbook=13_02.xlsx&amp;sheet=U0&amp;row=1163&amp;col=6&amp;number=4.9&amp;sourceID=14","4.9")</f>
        <v>4.9</v>
      </c>
      <c r="G1163" s="4" t="str">
        <f>HYPERLINK("http://141.218.60.56/~jnz1568/getInfo.php?workbook=13_02.xlsx&amp;sheet=U0&amp;row=1163&amp;col=7&amp;number=0.0176&amp;sourceID=14","0.0176")</f>
        <v>0.0176</v>
      </c>
    </row>
    <row r="1164" spans="1:7">
      <c r="A1164" s="3">
        <v>13</v>
      </c>
      <c r="B1164" s="3">
        <v>2</v>
      </c>
      <c r="C1164" s="3" t="s">
        <v>84</v>
      </c>
      <c r="D1164" s="3">
        <v>8</v>
      </c>
      <c r="E1164" s="3">
        <v>1</v>
      </c>
      <c r="F1164" s="4" t="str">
        <f>HYPERLINK("http://141.218.60.56/~jnz1568/getInfo.php?workbook=13_02.xlsx&amp;sheet=U0&amp;row=1164&amp;col=6&amp;number=3&amp;sourceID=14","3")</f>
        <v>3</v>
      </c>
      <c r="G1164" s="4" t="str">
        <f>HYPERLINK("http://141.218.60.56/~jnz1568/getInfo.php?workbook=13_02.xlsx&amp;sheet=U0&amp;row=1164&amp;col=7&amp;number=0.0166&amp;sourceID=14","0.0166")</f>
        <v>0.0166</v>
      </c>
    </row>
    <row r="1165" spans="1:7">
      <c r="A1165" s="3"/>
      <c r="B1165" s="3"/>
      <c r="C1165" s="3"/>
      <c r="D1165" s="3"/>
      <c r="E1165" s="3">
        <v>2</v>
      </c>
      <c r="F1165" s="4" t="str">
        <f>HYPERLINK("http://141.218.60.56/~jnz1568/getInfo.php?workbook=13_02.xlsx&amp;sheet=U0&amp;row=1165&amp;col=6&amp;number=3.1&amp;sourceID=14","3.1")</f>
        <v>3.1</v>
      </c>
      <c r="G1165" s="4" t="str">
        <f>HYPERLINK("http://141.218.60.56/~jnz1568/getInfo.php?workbook=13_02.xlsx&amp;sheet=U0&amp;row=1165&amp;col=7&amp;number=0.0166&amp;sourceID=14","0.0166")</f>
        <v>0.0166</v>
      </c>
    </row>
    <row r="1166" spans="1:7">
      <c r="A1166" s="3"/>
      <c r="B1166" s="3"/>
      <c r="C1166" s="3"/>
      <c r="D1166" s="3"/>
      <c r="E1166" s="3">
        <v>3</v>
      </c>
      <c r="F1166" s="4" t="str">
        <f>HYPERLINK("http://141.218.60.56/~jnz1568/getInfo.php?workbook=13_02.xlsx&amp;sheet=U0&amp;row=1166&amp;col=6&amp;number=3.2&amp;sourceID=14","3.2")</f>
        <v>3.2</v>
      </c>
      <c r="G1166" s="4" t="str">
        <f>HYPERLINK("http://141.218.60.56/~jnz1568/getInfo.php?workbook=13_02.xlsx&amp;sheet=U0&amp;row=1166&amp;col=7&amp;number=0.0166&amp;sourceID=14","0.0166")</f>
        <v>0.0166</v>
      </c>
    </row>
    <row r="1167" spans="1:7">
      <c r="A1167" s="3"/>
      <c r="B1167" s="3"/>
      <c r="C1167" s="3"/>
      <c r="D1167" s="3"/>
      <c r="E1167" s="3">
        <v>4</v>
      </c>
      <c r="F1167" s="4" t="str">
        <f>HYPERLINK("http://141.218.60.56/~jnz1568/getInfo.php?workbook=13_02.xlsx&amp;sheet=U0&amp;row=1167&amp;col=6&amp;number=3.3&amp;sourceID=14","3.3")</f>
        <v>3.3</v>
      </c>
      <c r="G1167" s="4" t="str">
        <f>HYPERLINK("http://141.218.60.56/~jnz1568/getInfo.php?workbook=13_02.xlsx&amp;sheet=U0&amp;row=1167&amp;col=7&amp;number=0.0166&amp;sourceID=14","0.0166")</f>
        <v>0.0166</v>
      </c>
    </row>
    <row r="1168" spans="1:7">
      <c r="A1168" s="3"/>
      <c r="B1168" s="3"/>
      <c r="C1168" s="3"/>
      <c r="D1168" s="3"/>
      <c r="E1168" s="3">
        <v>5</v>
      </c>
      <c r="F1168" s="4" t="str">
        <f>HYPERLINK("http://141.218.60.56/~jnz1568/getInfo.php?workbook=13_02.xlsx&amp;sheet=U0&amp;row=1168&amp;col=6&amp;number=3.4&amp;sourceID=14","3.4")</f>
        <v>3.4</v>
      </c>
      <c r="G1168" s="4" t="str">
        <f>HYPERLINK("http://141.218.60.56/~jnz1568/getInfo.php?workbook=13_02.xlsx&amp;sheet=U0&amp;row=1168&amp;col=7&amp;number=0.0166&amp;sourceID=14","0.0166")</f>
        <v>0.0166</v>
      </c>
    </row>
    <row r="1169" spans="1:7">
      <c r="A1169" s="3"/>
      <c r="B1169" s="3"/>
      <c r="C1169" s="3"/>
      <c r="D1169" s="3"/>
      <c r="E1169" s="3">
        <v>6</v>
      </c>
      <c r="F1169" s="4" t="str">
        <f>HYPERLINK("http://141.218.60.56/~jnz1568/getInfo.php?workbook=13_02.xlsx&amp;sheet=U0&amp;row=1169&amp;col=6&amp;number=3.5&amp;sourceID=14","3.5")</f>
        <v>3.5</v>
      </c>
      <c r="G1169" s="4" t="str">
        <f>HYPERLINK("http://141.218.60.56/~jnz1568/getInfo.php?workbook=13_02.xlsx&amp;sheet=U0&amp;row=1169&amp;col=7&amp;number=0.0166&amp;sourceID=14","0.0166")</f>
        <v>0.0166</v>
      </c>
    </row>
    <row r="1170" spans="1:7">
      <c r="A1170" s="3"/>
      <c r="B1170" s="3"/>
      <c r="C1170" s="3"/>
      <c r="D1170" s="3"/>
      <c r="E1170" s="3">
        <v>7</v>
      </c>
      <c r="F1170" s="4" t="str">
        <f>HYPERLINK("http://141.218.60.56/~jnz1568/getInfo.php?workbook=13_02.xlsx&amp;sheet=U0&amp;row=1170&amp;col=6&amp;number=3.6&amp;sourceID=14","3.6")</f>
        <v>3.6</v>
      </c>
      <c r="G1170" s="4" t="str">
        <f>HYPERLINK("http://141.218.60.56/~jnz1568/getInfo.php?workbook=13_02.xlsx&amp;sheet=U0&amp;row=1170&amp;col=7&amp;number=0.0166&amp;sourceID=14","0.0166")</f>
        <v>0.0166</v>
      </c>
    </row>
    <row r="1171" spans="1:7">
      <c r="A1171" s="3"/>
      <c r="B1171" s="3"/>
      <c r="C1171" s="3"/>
      <c r="D1171" s="3"/>
      <c r="E1171" s="3">
        <v>8</v>
      </c>
      <c r="F1171" s="4" t="str">
        <f>HYPERLINK("http://141.218.60.56/~jnz1568/getInfo.php?workbook=13_02.xlsx&amp;sheet=U0&amp;row=1171&amp;col=6&amp;number=3.7&amp;sourceID=14","3.7")</f>
        <v>3.7</v>
      </c>
      <c r="G1171" s="4" t="str">
        <f>HYPERLINK("http://141.218.60.56/~jnz1568/getInfo.php?workbook=13_02.xlsx&amp;sheet=U0&amp;row=1171&amp;col=7&amp;number=0.0166&amp;sourceID=14","0.0166")</f>
        <v>0.0166</v>
      </c>
    </row>
    <row r="1172" spans="1:7">
      <c r="A1172" s="3"/>
      <c r="B1172" s="3"/>
      <c r="C1172" s="3"/>
      <c r="D1172" s="3"/>
      <c r="E1172" s="3">
        <v>9</v>
      </c>
      <c r="F1172" s="4" t="str">
        <f>HYPERLINK("http://141.218.60.56/~jnz1568/getInfo.php?workbook=13_02.xlsx&amp;sheet=U0&amp;row=1172&amp;col=6&amp;number=3.8&amp;sourceID=14","3.8")</f>
        <v>3.8</v>
      </c>
      <c r="G1172" s="4" t="str">
        <f>HYPERLINK("http://141.218.60.56/~jnz1568/getInfo.php?workbook=13_02.xlsx&amp;sheet=U0&amp;row=1172&amp;col=7&amp;number=0.0166&amp;sourceID=14","0.0166")</f>
        <v>0.0166</v>
      </c>
    </row>
    <row r="1173" spans="1:7">
      <c r="A1173" s="3"/>
      <c r="B1173" s="3"/>
      <c r="C1173" s="3"/>
      <c r="D1173" s="3"/>
      <c r="E1173" s="3">
        <v>10</v>
      </c>
      <c r="F1173" s="4" t="str">
        <f>HYPERLINK("http://141.218.60.56/~jnz1568/getInfo.php?workbook=13_02.xlsx&amp;sheet=U0&amp;row=1173&amp;col=6&amp;number=3.9&amp;sourceID=14","3.9")</f>
        <v>3.9</v>
      </c>
      <c r="G1173" s="4" t="str">
        <f>HYPERLINK("http://141.218.60.56/~jnz1568/getInfo.php?workbook=13_02.xlsx&amp;sheet=U0&amp;row=1173&amp;col=7&amp;number=0.0166&amp;sourceID=14","0.0166")</f>
        <v>0.0166</v>
      </c>
    </row>
    <row r="1174" spans="1:7">
      <c r="A1174" s="3"/>
      <c r="B1174" s="3"/>
      <c r="C1174" s="3"/>
      <c r="D1174" s="3"/>
      <c r="E1174" s="3">
        <v>11</v>
      </c>
      <c r="F1174" s="4" t="str">
        <f>HYPERLINK("http://141.218.60.56/~jnz1568/getInfo.php?workbook=13_02.xlsx&amp;sheet=U0&amp;row=1174&amp;col=6&amp;number=4&amp;sourceID=14","4")</f>
        <v>4</v>
      </c>
      <c r="G1174" s="4" t="str">
        <f>HYPERLINK("http://141.218.60.56/~jnz1568/getInfo.php?workbook=13_02.xlsx&amp;sheet=U0&amp;row=1174&amp;col=7&amp;number=0.0166&amp;sourceID=14","0.0166")</f>
        <v>0.0166</v>
      </c>
    </row>
    <row r="1175" spans="1:7">
      <c r="A1175" s="3"/>
      <c r="B1175" s="3"/>
      <c r="C1175" s="3"/>
      <c r="D1175" s="3"/>
      <c r="E1175" s="3">
        <v>12</v>
      </c>
      <c r="F1175" s="4" t="str">
        <f>HYPERLINK("http://141.218.60.56/~jnz1568/getInfo.php?workbook=13_02.xlsx&amp;sheet=U0&amp;row=1175&amp;col=6&amp;number=4.1&amp;sourceID=14","4.1")</f>
        <v>4.1</v>
      </c>
      <c r="G1175" s="4" t="str">
        <f>HYPERLINK("http://141.218.60.56/~jnz1568/getInfo.php?workbook=13_02.xlsx&amp;sheet=U0&amp;row=1175&amp;col=7&amp;number=0.0166&amp;sourceID=14","0.0166")</f>
        <v>0.0166</v>
      </c>
    </row>
    <row r="1176" spans="1:7">
      <c r="A1176" s="3"/>
      <c r="B1176" s="3"/>
      <c r="C1176" s="3"/>
      <c r="D1176" s="3"/>
      <c r="E1176" s="3">
        <v>13</v>
      </c>
      <c r="F1176" s="4" t="str">
        <f>HYPERLINK("http://141.218.60.56/~jnz1568/getInfo.php?workbook=13_02.xlsx&amp;sheet=U0&amp;row=1176&amp;col=6&amp;number=4.2&amp;sourceID=14","4.2")</f>
        <v>4.2</v>
      </c>
      <c r="G1176" s="4" t="str">
        <f>HYPERLINK("http://141.218.60.56/~jnz1568/getInfo.php?workbook=13_02.xlsx&amp;sheet=U0&amp;row=1176&amp;col=7&amp;number=0.0166&amp;sourceID=14","0.0166")</f>
        <v>0.0166</v>
      </c>
    </row>
    <row r="1177" spans="1:7">
      <c r="A1177" s="3"/>
      <c r="B1177" s="3"/>
      <c r="C1177" s="3"/>
      <c r="D1177" s="3"/>
      <c r="E1177" s="3">
        <v>14</v>
      </c>
      <c r="F1177" s="4" t="str">
        <f>HYPERLINK("http://141.218.60.56/~jnz1568/getInfo.php?workbook=13_02.xlsx&amp;sheet=U0&amp;row=1177&amp;col=6&amp;number=4.3&amp;sourceID=14","4.3")</f>
        <v>4.3</v>
      </c>
      <c r="G1177" s="4" t="str">
        <f>HYPERLINK("http://141.218.60.56/~jnz1568/getInfo.php?workbook=13_02.xlsx&amp;sheet=U0&amp;row=1177&amp;col=7&amp;number=0.0166&amp;sourceID=14","0.0166")</f>
        <v>0.0166</v>
      </c>
    </row>
    <row r="1178" spans="1:7">
      <c r="A1178" s="3"/>
      <c r="B1178" s="3"/>
      <c r="C1178" s="3"/>
      <c r="D1178" s="3"/>
      <c r="E1178" s="3">
        <v>15</v>
      </c>
      <c r="F1178" s="4" t="str">
        <f>HYPERLINK("http://141.218.60.56/~jnz1568/getInfo.php?workbook=13_02.xlsx&amp;sheet=U0&amp;row=1178&amp;col=6&amp;number=4.4&amp;sourceID=14","4.4")</f>
        <v>4.4</v>
      </c>
      <c r="G1178" s="4" t="str">
        <f>HYPERLINK("http://141.218.60.56/~jnz1568/getInfo.php?workbook=13_02.xlsx&amp;sheet=U0&amp;row=1178&amp;col=7&amp;number=0.0166&amp;sourceID=14","0.0166")</f>
        <v>0.0166</v>
      </c>
    </row>
    <row r="1179" spans="1:7">
      <c r="A1179" s="3"/>
      <c r="B1179" s="3"/>
      <c r="C1179" s="3"/>
      <c r="D1179" s="3"/>
      <c r="E1179" s="3">
        <v>16</v>
      </c>
      <c r="F1179" s="4" t="str">
        <f>HYPERLINK("http://141.218.60.56/~jnz1568/getInfo.php?workbook=13_02.xlsx&amp;sheet=U0&amp;row=1179&amp;col=6&amp;number=4.5&amp;sourceID=14","4.5")</f>
        <v>4.5</v>
      </c>
      <c r="G1179" s="4" t="str">
        <f>HYPERLINK("http://141.218.60.56/~jnz1568/getInfo.php?workbook=13_02.xlsx&amp;sheet=U0&amp;row=1179&amp;col=7&amp;number=0.0166&amp;sourceID=14","0.0166")</f>
        <v>0.0166</v>
      </c>
    </row>
    <row r="1180" spans="1:7">
      <c r="A1180" s="3"/>
      <c r="B1180" s="3"/>
      <c r="C1180" s="3"/>
      <c r="D1180" s="3"/>
      <c r="E1180" s="3">
        <v>17</v>
      </c>
      <c r="F1180" s="4" t="str">
        <f>HYPERLINK("http://141.218.60.56/~jnz1568/getInfo.php?workbook=13_02.xlsx&amp;sheet=U0&amp;row=1180&amp;col=6&amp;number=4.6&amp;sourceID=14","4.6")</f>
        <v>4.6</v>
      </c>
      <c r="G1180" s="4" t="str">
        <f>HYPERLINK("http://141.218.60.56/~jnz1568/getInfo.php?workbook=13_02.xlsx&amp;sheet=U0&amp;row=1180&amp;col=7&amp;number=0.0166&amp;sourceID=14","0.0166")</f>
        <v>0.0166</v>
      </c>
    </row>
    <row r="1181" spans="1:7">
      <c r="A1181" s="3"/>
      <c r="B1181" s="3"/>
      <c r="C1181" s="3"/>
      <c r="D1181" s="3"/>
      <c r="E1181" s="3">
        <v>18</v>
      </c>
      <c r="F1181" s="4" t="str">
        <f>HYPERLINK("http://141.218.60.56/~jnz1568/getInfo.php?workbook=13_02.xlsx&amp;sheet=U0&amp;row=1181&amp;col=6&amp;number=4.7&amp;sourceID=14","4.7")</f>
        <v>4.7</v>
      </c>
      <c r="G1181" s="4" t="str">
        <f>HYPERLINK("http://141.218.60.56/~jnz1568/getInfo.php?workbook=13_02.xlsx&amp;sheet=U0&amp;row=1181&amp;col=7&amp;number=0.0166&amp;sourceID=14","0.0166")</f>
        <v>0.0166</v>
      </c>
    </row>
    <row r="1182" spans="1:7">
      <c r="A1182" s="3"/>
      <c r="B1182" s="3"/>
      <c r="C1182" s="3"/>
      <c r="D1182" s="3"/>
      <c r="E1182" s="3">
        <v>19</v>
      </c>
      <c r="F1182" s="4" t="str">
        <f>HYPERLINK("http://141.218.60.56/~jnz1568/getInfo.php?workbook=13_02.xlsx&amp;sheet=U0&amp;row=1182&amp;col=6&amp;number=4.8&amp;sourceID=14","4.8")</f>
        <v>4.8</v>
      </c>
      <c r="G1182" s="4" t="str">
        <f>HYPERLINK("http://141.218.60.56/~jnz1568/getInfo.php?workbook=13_02.xlsx&amp;sheet=U0&amp;row=1182&amp;col=7&amp;number=0.0166&amp;sourceID=14","0.0166")</f>
        <v>0.0166</v>
      </c>
    </row>
    <row r="1183" spans="1:7">
      <c r="A1183" s="3"/>
      <c r="B1183" s="3"/>
      <c r="C1183" s="3"/>
      <c r="D1183" s="3"/>
      <c r="E1183" s="3">
        <v>20</v>
      </c>
      <c r="F1183" s="4" t="str">
        <f>HYPERLINK("http://141.218.60.56/~jnz1568/getInfo.php?workbook=13_02.xlsx&amp;sheet=U0&amp;row=1183&amp;col=6&amp;number=4.9&amp;sourceID=14","4.9")</f>
        <v>4.9</v>
      </c>
      <c r="G1183" s="4" t="str">
        <f>HYPERLINK("http://141.218.60.56/~jnz1568/getInfo.php?workbook=13_02.xlsx&amp;sheet=U0&amp;row=1183&amp;col=7&amp;number=0.0166&amp;sourceID=14","0.0166")</f>
        <v>0.0166</v>
      </c>
    </row>
    <row r="1184" spans="1:7">
      <c r="A1184" s="3">
        <v>13</v>
      </c>
      <c r="B1184" s="3">
        <v>2</v>
      </c>
      <c r="C1184" s="3" t="s">
        <v>84</v>
      </c>
      <c r="D1184" s="3">
        <v>9</v>
      </c>
      <c r="E1184" s="3">
        <v>1</v>
      </c>
      <c r="F1184" s="4" t="str">
        <f>HYPERLINK("http://141.218.60.56/~jnz1568/getInfo.php?workbook=13_02.xlsx&amp;sheet=U0&amp;row=1184&amp;col=6&amp;number=3&amp;sourceID=14","3")</f>
        <v>3</v>
      </c>
      <c r="G1184" s="4" t="str">
        <f>HYPERLINK("http://141.218.60.56/~jnz1568/getInfo.php?workbook=13_02.xlsx&amp;sheet=U0&amp;row=1184&amp;col=7&amp;number=0.000734&amp;sourceID=14","0.000734")</f>
        <v>0.000734</v>
      </c>
    </row>
    <row r="1185" spans="1:7">
      <c r="A1185" s="3"/>
      <c r="B1185" s="3"/>
      <c r="C1185" s="3"/>
      <c r="D1185" s="3"/>
      <c r="E1185" s="3">
        <v>2</v>
      </c>
      <c r="F1185" s="4" t="str">
        <f>HYPERLINK("http://141.218.60.56/~jnz1568/getInfo.php?workbook=13_02.xlsx&amp;sheet=U0&amp;row=1185&amp;col=6&amp;number=3.1&amp;sourceID=14","3.1")</f>
        <v>3.1</v>
      </c>
      <c r="G1185" s="4" t="str">
        <f>HYPERLINK("http://141.218.60.56/~jnz1568/getInfo.php?workbook=13_02.xlsx&amp;sheet=U0&amp;row=1185&amp;col=7&amp;number=0.000734&amp;sourceID=14","0.000734")</f>
        <v>0.000734</v>
      </c>
    </row>
    <row r="1186" spans="1:7">
      <c r="A1186" s="3"/>
      <c r="B1186" s="3"/>
      <c r="C1186" s="3"/>
      <c r="D1186" s="3"/>
      <c r="E1186" s="3">
        <v>3</v>
      </c>
      <c r="F1186" s="4" t="str">
        <f>HYPERLINK("http://141.218.60.56/~jnz1568/getInfo.php?workbook=13_02.xlsx&amp;sheet=U0&amp;row=1186&amp;col=6&amp;number=3.2&amp;sourceID=14","3.2")</f>
        <v>3.2</v>
      </c>
      <c r="G1186" s="4" t="str">
        <f>HYPERLINK("http://141.218.60.56/~jnz1568/getInfo.php?workbook=13_02.xlsx&amp;sheet=U0&amp;row=1186&amp;col=7&amp;number=0.000734&amp;sourceID=14","0.000734")</f>
        <v>0.000734</v>
      </c>
    </row>
    <row r="1187" spans="1:7">
      <c r="A1187" s="3"/>
      <c r="B1187" s="3"/>
      <c r="C1187" s="3"/>
      <c r="D1187" s="3"/>
      <c r="E1187" s="3">
        <v>4</v>
      </c>
      <c r="F1187" s="4" t="str">
        <f>HYPERLINK("http://141.218.60.56/~jnz1568/getInfo.php?workbook=13_02.xlsx&amp;sheet=U0&amp;row=1187&amp;col=6&amp;number=3.3&amp;sourceID=14","3.3")</f>
        <v>3.3</v>
      </c>
      <c r="G1187" s="4" t="str">
        <f>HYPERLINK("http://141.218.60.56/~jnz1568/getInfo.php?workbook=13_02.xlsx&amp;sheet=U0&amp;row=1187&amp;col=7&amp;number=0.000734&amp;sourceID=14","0.000734")</f>
        <v>0.000734</v>
      </c>
    </row>
    <row r="1188" spans="1:7">
      <c r="A1188" s="3"/>
      <c r="B1188" s="3"/>
      <c r="C1188" s="3"/>
      <c r="D1188" s="3"/>
      <c r="E1188" s="3">
        <v>5</v>
      </c>
      <c r="F1188" s="4" t="str">
        <f>HYPERLINK("http://141.218.60.56/~jnz1568/getInfo.php?workbook=13_02.xlsx&amp;sheet=U0&amp;row=1188&amp;col=6&amp;number=3.4&amp;sourceID=14","3.4")</f>
        <v>3.4</v>
      </c>
      <c r="G1188" s="4" t="str">
        <f>HYPERLINK("http://141.218.60.56/~jnz1568/getInfo.php?workbook=13_02.xlsx&amp;sheet=U0&amp;row=1188&amp;col=7&amp;number=0.000734&amp;sourceID=14","0.000734")</f>
        <v>0.000734</v>
      </c>
    </row>
    <row r="1189" spans="1:7">
      <c r="A1189" s="3"/>
      <c r="B1189" s="3"/>
      <c r="C1189" s="3"/>
      <c r="D1189" s="3"/>
      <c r="E1189" s="3">
        <v>6</v>
      </c>
      <c r="F1189" s="4" t="str">
        <f>HYPERLINK("http://141.218.60.56/~jnz1568/getInfo.php?workbook=13_02.xlsx&amp;sheet=U0&amp;row=1189&amp;col=6&amp;number=3.5&amp;sourceID=14","3.5")</f>
        <v>3.5</v>
      </c>
      <c r="G1189" s="4" t="str">
        <f>HYPERLINK("http://141.218.60.56/~jnz1568/getInfo.php?workbook=13_02.xlsx&amp;sheet=U0&amp;row=1189&amp;col=7&amp;number=0.000734&amp;sourceID=14","0.000734")</f>
        <v>0.000734</v>
      </c>
    </row>
    <row r="1190" spans="1:7">
      <c r="A1190" s="3"/>
      <c r="B1190" s="3"/>
      <c r="C1190" s="3"/>
      <c r="D1190" s="3"/>
      <c r="E1190" s="3">
        <v>7</v>
      </c>
      <c r="F1190" s="4" t="str">
        <f>HYPERLINK("http://141.218.60.56/~jnz1568/getInfo.php?workbook=13_02.xlsx&amp;sheet=U0&amp;row=1190&amp;col=6&amp;number=3.6&amp;sourceID=14","3.6")</f>
        <v>3.6</v>
      </c>
      <c r="G1190" s="4" t="str">
        <f>HYPERLINK("http://141.218.60.56/~jnz1568/getInfo.php?workbook=13_02.xlsx&amp;sheet=U0&amp;row=1190&amp;col=7&amp;number=0.000733&amp;sourceID=14","0.000733")</f>
        <v>0.000733</v>
      </c>
    </row>
    <row r="1191" spans="1:7">
      <c r="A1191" s="3"/>
      <c r="B1191" s="3"/>
      <c r="C1191" s="3"/>
      <c r="D1191" s="3"/>
      <c r="E1191" s="3">
        <v>8</v>
      </c>
      <c r="F1191" s="4" t="str">
        <f>HYPERLINK("http://141.218.60.56/~jnz1568/getInfo.php?workbook=13_02.xlsx&amp;sheet=U0&amp;row=1191&amp;col=6&amp;number=3.7&amp;sourceID=14","3.7")</f>
        <v>3.7</v>
      </c>
      <c r="G1191" s="4" t="str">
        <f>HYPERLINK("http://141.218.60.56/~jnz1568/getInfo.php?workbook=13_02.xlsx&amp;sheet=U0&amp;row=1191&amp;col=7&amp;number=0.000733&amp;sourceID=14","0.000733")</f>
        <v>0.000733</v>
      </c>
    </row>
    <row r="1192" spans="1:7">
      <c r="A1192" s="3"/>
      <c r="B1192" s="3"/>
      <c r="C1192" s="3"/>
      <c r="D1192" s="3"/>
      <c r="E1192" s="3">
        <v>9</v>
      </c>
      <c r="F1192" s="4" t="str">
        <f>HYPERLINK("http://141.218.60.56/~jnz1568/getInfo.php?workbook=13_02.xlsx&amp;sheet=U0&amp;row=1192&amp;col=6&amp;number=3.8&amp;sourceID=14","3.8")</f>
        <v>3.8</v>
      </c>
      <c r="G1192" s="4" t="str">
        <f>HYPERLINK("http://141.218.60.56/~jnz1568/getInfo.php?workbook=13_02.xlsx&amp;sheet=U0&amp;row=1192&amp;col=7&amp;number=0.000733&amp;sourceID=14","0.000733")</f>
        <v>0.000733</v>
      </c>
    </row>
    <row r="1193" spans="1:7">
      <c r="A1193" s="3"/>
      <c r="B1193" s="3"/>
      <c r="C1193" s="3"/>
      <c r="D1193" s="3"/>
      <c r="E1193" s="3">
        <v>10</v>
      </c>
      <c r="F1193" s="4" t="str">
        <f>HYPERLINK("http://141.218.60.56/~jnz1568/getInfo.php?workbook=13_02.xlsx&amp;sheet=U0&amp;row=1193&amp;col=6&amp;number=3.9&amp;sourceID=14","3.9")</f>
        <v>3.9</v>
      </c>
      <c r="G1193" s="4" t="str">
        <f>HYPERLINK("http://141.218.60.56/~jnz1568/getInfo.php?workbook=13_02.xlsx&amp;sheet=U0&amp;row=1193&amp;col=7&amp;number=0.000733&amp;sourceID=14","0.000733")</f>
        <v>0.000733</v>
      </c>
    </row>
    <row r="1194" spans="1:7">
      <c r="A1194" s="3"/>
      <c r="B1194" s="3"/>
      <c r="C1194" s="3"/>
      <c r="D1194" s="3"/>
      <c r="E1194" s="3">
        <v>11</v>
      </c>
      <c r="F1194" s="4" t="str">
        <f>HYPERLINK("http://141.218.60.56/~jnz1568/getInfo.php?workbook=13_02.xlsx&amp;sheet=U0&amp;row=1194&amp;col=6&amp;number=4&amp;sourceID=14","4")</f>
        <v>4</v>
      </c>
      <c r="G1194" s="4" t="str">
        <f>HYPERLINK("http://141.218.60.56/~jnz1568/getInfo.php?workbook=13_02.xlsx&amp;sheet=U0&amp;row=1194&amp;col=7&amp;number=0.000732&amp;sourceID=14","0.000732")</f>
        <v>0.000732</v>
      </c>
    </row>
    <row r="1195" spans="1:7">
      <c r="A1195" s="3"/>
      <c r="B1195" s="3"/>
      <c r="C1195" s="3"/>
      <c r="D1195" s="3"/>
      <c r="E1195" s="3">
        <v>12</v>
      </c>
      <c r="F1195" s="4" t="str">
        <f>HYPERLINK("http://141.218.60.56/~jnz1568/getInfo.php?workbook=13_02.xlsx&amp;sheet=U0&amp;row=1195&amp;col=6&amp;number=4.1&amp;sourceID=14","4.1")</f>
        <v>4.1</v>
      </c>
      <c r="G1195" s="4" t="str">
        <f>HYPERLINK("http://141.218.60.56/~jnz1568/getInfo.php?workbook=13_02.xlsx&amp;sheet=U0&amp;row=1195&amp;col=7&amp;number=0.000732&amp;sourceID=14","0.000732")</f>
        <v>0.000732</v>
      </c>
    </row>
    <row r="1196" spans="1:7">
      <c r="A1196" s="3"/>
      <c r="B1196" s="3"/>
      <c r="C1196" s="3"/>
      <c r="D1196" s="3"/>
      <c r="E1196" s="3">
        <v>13</v>
      </c>
      <c r="F1196" s="4" t="str">
        <f>HYPERLINK("http://141.218.60.56/~jnz1568/getInfo.php?workbook=13_02.xlsx&amp;sheet=U0&amp;row=1196&amp;col=6&amp;number=4.2&amp;sourceID=14","4.2")</f>
        <v>4.2</v>
      </c>
      <c r="G1196" s="4" t="str">
        <f>HYPERLINK("http://141.218.60.56/~jnz1568/getInfo.php?workbook=13_02.xlsx&amp;sheet=U0&amp;row=1196&amp;col=7&amp;number=0.000732&amp;sourceID=14","0.000732")</f>
        <v>0.000732</v>
      </c>
    </row>
    <row r="1197" spans="1:7">
      <c r="A1197" s="3"/>
      <c r="B1197" s="3"/>
      <c r="C1197" s="3"/>
      <c r="D1197" s="3"/>
      <c r="E1197" s="3">
        <v>14</v>
      </c>
      <c r="F1197" s="4" t="str">
        <f>HYPERLINK("http://141.218.60.56/~jnz1568/getInfo.php?workbook=13_02.xlsx&amp;sheet=U0&amp;row=1197&amp;col=6&amp;number=4.3&amp;sourceID=14","4.3")</f>
        <v>4.3</v>
      </c>
      <c r="G1197" s="4" t="str">
        <f>HYPERLINK("http://141.218.60.56/~jnz1568/getInfo.php?workbook=13_02.xlsx&amp;sheet=U0&amp;row=1197&amp;col=7&amp;number=0.000731&amp;sourceID=14","0.000731")</f>
        <v>0.000731</v>
      </c>
    </row>
    <row r="1198" spans="1:7">
      <c r="A1198" s="3"/>
      <c r="B1198" s="3"/>
      <c r="C1198" s="3"/>
      <c r="D1198" s="3"/>
      <c r="E1198" s="3">
        <v>15</v>
      </c>
      <c r="F1198" s="4" t="str">
        <f>HYPERLINK("http://141.218.60.56/~jnz1568/getInfo.php?workbook=13_02.xlsx&amp;sheet=U0&amp;row=1198&amp;col=6&amp;number=4.4&amp;sourceID=14","4.4")</f>
        <v>4.4</v>
      </c>
      <c r="G1198" s="4" t="str">
        <f>HYPERLINK("http://141.218.60.56/~jnz1568/getInfo.php?workbook=13_02.xlsx&amp;sheet=U0&amp;row=1198&amp;col=7&amp;number=0.00073&amp;sourceID=14","0.00073")</f>
        <v>0.00073</v>
      </c>
    </row>
    <row r="1199" spans="1:7">
      <c r="A1199" s="3"/>
      <c r="B1199" s="3"/>
      <c r="C1199" s="3"/>
      <c r="D1199" s="3"/>
      <c r="E1199" s="3">
        <v>16</v>
      </c>
      <c r="F1199" s="4" t="str">
        <f>HYPERLINK("http://141.218.60.56/~jnz1568/getInfo.php?workbook=13_02.xlsx&amp;sheet=U0&amp;row=1199&amp;col=6&amp;number=4.5&amp;sourceID=14","4.5")</f>
        <v>4.5</v>
      </c>
      <c r="G1199" s="4" t="str">
        <f>HYPERLINK("http://141.218.60.56/~jnz1568/getInfo.php?workbook=13_02.xlsx&amp;sheet=U0&amp;row=1199&amp;col=7&amp;number=0.000729&amp;sourceID=14","0.000729")</f>
        <v>0.000729</v>
      </c>
    </row>
    <row r="1200" spans="1:7">
      <c r="A1200" s="3"/>
      <c r="B1200" s="3"/>
      <c r="C1200" s="3"/>
      <c r="D1200" s="3"/>
      <c r="E1200" s="3">
        <v>17</v>
      </c>
      <c r="F1200" s="4" t="str">
        <f>HYPERLINK("http://141.218.60.56/~jnz1568/getInfo.php?workbook=13_02.xlsx&amp;sheet=U0&amp;row=1200&amp;col=6&amp;number=4.6&amp;sourceID=14","4.6")</f>
        <v>4.6</v>
      </c>
      <c r="G1200" s="4" t="str">
        <f>HYPERLINK("http://141.218.60.56/~jnz1568/getInfo.php?workbook=13_02.xlsx&amp;sheet=U0&amp;row=1200&amp;col=7&amp;number=0.000728&amp;sourceID=14","0.000728")</f>
        <v>0.000728</v>
      </c>
    </row>
    <row r="1201" spans="1:7">
      <c r="A1201" s="3"/>
      <c r="B1201" s="3"/>
      <c r="C1201" s="3"/>
      <c r="D1201" s="3"/>
      <c r="E1201" s="3">
        <v>18</v>
      </c>
      <c r="F1201" s="4" t="str">
        <f>HYPERLINK("http://141.218.60.56/~jnz1568/getInfo.php?workbook=13_02.xlsx&amp;sheet=U0&amp;row=1201&amp;col=6&amp;number=4.7&amp;sourceID=14","4.7")</f>
        <v>4.7</v>
      </c>
      <c r="G1201" s="4" t="str">
        <f>HYPERLINK("http://141.218.60.56/~jnz1568/getInfo.php?workbook=13_02.xlsx&amp;sheet=U0&amp;row=1201&amp;col=7&amp;number=0.000726&amp;sourceID=14","0.000726")</f>
        <v>0.000726</v>
      </c>
    </row>
    <row r="1202" spans="1:7">
      <c r="A1202" s="3"/>
      <c r="B1202" s="3"/>
      <c r="C1202" s="3"/>
      <c r="D1202" s="3"/>
      <c r="E1202" s="3">
        <v>19</v>
      </c>
      <c r="F1202" s="4" t="str">
        <f>HYPERLINK("http://141.218.60.56/~jnz1568/getInfo.php?workbook=13_02.xlsx&amp;sheet=U0&amp;row=1202&amp;col=6&amp;number=4.8&amp;sourceID=14","4.8")</f>
        <v>4.8</v>
      </c>
      <c r="G1202" s="4" t="str">
        <f>HYPERLINK("http://141.218.60.56/~jnz1568/getInfo.php?workbook=13_02.xlsx&amp;sheet=U0&amp;row=1202&amp;col=7&amp;number=0.000724&amp;sourceID=14","0.000724")</f>
        <v>0.000724</v>
      </c>
    </row>
    <row r="1203" spans="1:7">
      <c r="A1203" s="3"/>
      <c r="B1203" s="3"/>
      <c r="C1203" s="3"/>
      <c r="D1203" s="3"/>
      <c r="E1203" s="3">
        <v>20</v>
      </c>
      <c r="F1203" s="4" t="str">
        <f>HYPERLINK("http://141.218.60.56/~jnz1568/getInfo.php?workbook=13_02.xlsx&amp;sheet=U0&amp;row=1203&amp;col=6&amp;number=4.9&amp;sourceID=14","4.9")</f>
        <v>4.9</v>
      </c>
      <c r="G1203" s="4" t="str">
        <f>HYPERLINK("http://141.218.60.56/~jnz1568/getInfo.php?workbook=13_02.xlsx&amp;sheet=U0&amp;row=1203&amp;col=7&amp;number=0.000721&amp;sourceID=14","0.000721")</f>
        <v>0.000721</v>
      </c>
    </row>
    <row r="1204" spans="1:7">
      <c r="A1204" s="3">
        <v>13</v>
      </c>
      <c r="B1204" s="3">
        <v>2</v>
      </c>
      <c r="C1204" s="3" t="s">
        <v>85</v>
      </c>
      <c r="D1204" s="3">
        <v>0</v>
      </c>
      <c r="E1204" s="3">
        <v>1</v>
      </c>
      <c r="F1204" s="4" t="str">
        <f>HYPERLINK("http://141.218.60.56/~jnz1568/getInfo.php?workbook=13_02.xlsx&amp;sheet=U0&amp;row=1204&amp;col=6&amp;number=3&amp;sourceID=14","3")</f>
        <v>3</v>
      </c>
      <c r="G1204" s="4" t="str">
        <f>HYPERLINK("http://141.218.60.56/~jnz1568/getInfo.php?workbook=13_02.xlsx&amp;sheet=U0&amp;row=1204&amp;col=7&amp;number=0.00166&amp;sourceID=14","0.00166")</f>
        <v>0.00166</v>
      </c>
    </row>
    <row r="1205" spans="1:7">
      <c r="A1205" s="3"/>
      <c r="B1205" s="3"/>
      <c r="C1205" s="3"/>
      <c r="D1205" s="3"/>
      <c r="E1205" s="3">
        <v>2</v>
      </c>
      <c r="F1205" s="4" t="str">
        <f>HYPERLINK("http://141.218.60.56/~jnz1568/getInfo.php?workbook=13_02.xlsx&amp;sheet=U0&amp;row=1205&amp;col=6&amp;number=3.1&amp;sourceID=14","3.1")</f>
        <v>3.1</v>
      </c>
      <c r="G1205" s="4" t="str">
        <f>HYPERLINK("http://141.218.60.56/~jnz1568/getInfo.php?workbook=13_02.xlsx&amp;sheet=U0&amp;row=1205&amp;col=7&amp;number=0.00166&amp;sourceID=14","0.00166")</f>
        <v>0.00166</v>
      </c>
    </row>
    <row r="1206" spans="1:7">
      <c r="A1206" s="3"/>
      <c r="B1206" s="3"/>
      <c r="C1206" s="3"/>
      <c r="D1206" s="3"/>
      <c r="E1206" s="3">
        <v>3</v>
      </c>
      <c r="F1206" s="4" t="str">
        <f>HYPERLINK("http://141.218.60.56/~jnz1568/getInfo.php?workbook=13_02.xlsx&amp;sheet=U0&amp;row=1206&amp;col=6&amp;number=3.2&amp;sourceID=14","3.2")</f>
        <v>3.2</v>
      </c>
      <c r="G1206" s="4" t="str">
        <f>HYPERLINK("http://141.218.60.56/~jnz1568/getInfo.php?workbook=13_02.xlsx&amp;sheet=U0&amp;row=1206&amp;col=7&amp;number=0.00166&amp;sourceID=14","0.00166")</f>
        <v>0.00166</v>
      </c>
    </row>
    <row r="1207" spans="1:7">
      <c r="A1207" s="3"/>
      <c r="B1207" s="3"/>
      <c r="C1207" s="3"/>
      <c r="D1207" s="3"/>
      <c r="E1207" s="3">
        <v>4</v>
      </c>
      <c r="F1207" s="4" t="str">
        <f>HYPERLINK("http://141.218.60.56/~jnz1568/getInfo.php?workbook=13_02.xlsx&amp;sheet=U0&amp;row=1207&amp;col=6&amp;number=3.3&amp;sourceID=14","3.3")</f>
        <v>3.3</v>
      </c>
      <c r="G1207" s="4" t="str">
        <f>HYPERLINK("http://141.218.60.56/~jnz1568/getInfo.php?workbook=13_02.xlsx&amp;sheet=U0&amp;row=1207&amp;col=7&amp;number=0.00166&amp;sourceID=14","0.00166")</f>
        <v>0.00166</v>
      </c>
    </row>
    <row r="1208" spans="1:7">
      <c r="A1208" s="3"/>
      <c r="B1208" s="3"/>
      <c r="C1208" s="3"/>
      <c r="D1208" s="3"/>
      <c r="E1208" s="3">
        <v>5</v>
      </c>
      <c r="F1208" s="4" t="str">
        <f>HYPERLINK("http://141.218.60.56/~jnz1568/getInfo.php?workbook=13_02.xlsx&amp;sheet=U0&amp;row=1208&amp;col=6&amp;number=3.4&amp;sourceID=14","3.4")</f>
        <v>3.4</v>
      </c>
      <c r="G1208" s="4" t="str">
        <f>HYPERLINK("http://141.218.60.56/~jnz1568/getInfo.php?workbook=13_02.xlsx&amp;sheet=U0&amp;row=1208&amp;col=7&amp;number=0.00166&amp;sourceID=14","0.00166")</f>
        <v>0.00166</v>
      </c>
    </row>
    <row r="1209" spans="1:7">
      <c r="A1209" s="3"/>
      <c r="B1209" s="3"/>
      <c r="C1209" s="3"/>
      <c r="D1209" s="3"/>
      <c r="E1209" s="3">
        <v>6</v>
      </c>
      <c r="F1209" s="4" t="str">
        <f>HYPERLINK("http://141.218.60.56/~jnz1568/getInfo.php?workbook=13_02.xlsx&amp;sheet=U0&amp;row=1209&amp;col=6&amp;number=3.5&amp;sourceID=14","3.5")</f>
        <v>3.5</v>
      </c>
      <c r="G1209" s="4" t="str">
        <f>HYPERLINK("http://141.218.60.56/~jnz1568/getInfo.php?workbook=13_02.xlsx&amp;sheet=U0&amp;row=1209&amp;col=7&amp;number=0.00166&amp;sourceID=14","0.00166")</f>
        <v>0.00166</v>
      </c>
    </row>
    <row r="1210" spans="1:7">
      <c r="A1210" s="3"/>
      <c r="B1210" s="3"/>
      <c r="C1210" s="3"/>
      <c r="D1210" s="3"/>
      <c r="E1210" s="3">
        <v>7</v>
      </c>
      <c r="F1210" s="4" t="str">
        <f>HYPERLINK("http://141.218.60.56/~jnz1568/getInfo.php?workbook=13_02.xlsx&amp;sheet=U0&amp;row=1210&amp;col=6&amp;number=3.6&amp;sourceID=14","3.6")</f>
        <v>3.6</v>
      </c>
      <c r="G1210" s="4" t="str">
        <f>HYPERLINK("http://141.218.60.56/~jnz1568/getInfo.php?workbook=13_02.xlsx&amp;sheet=U0&amp;row=1210&amp;col=7&amp;number=0.00166&amp;sourceID=14","0.00166")</f>
        <v>0.00166</v>
      </c>
    </row>
    <row r="1211" spans="1:7">
      <c r="A1211" s="3"/>
      <c r="B1211" s="3"/>
      <c r="C1211" s="3"/>
      <c r="D1211" s="3"/>
      <c r="E1211" s="3">
        <v>8</v>
      </c>
      <c r="F1211" s="4" t="str">
        <f>HYPERLINK("http://141.218.60.56/~jnz1568/getInfo.php?workbook=13_02.xlsx&amp;sheet=U0&amp;row=1211&amp;col=6&amp;number=3.7&amp;sourceID=14","3.7")</f>
        <v>3.7</v>
      </c>
      <c r="G1211" s="4" t="str">
        <f>HYPERLINK("http://141.218.60.56/~jnz1568/getInfo.php?workbook=13_02.xlsx&amp;sheet=U0&amp;row=1211&amp;col=7&amp;number=0.00166&amp;sourceID=14","0.00166")</f>
        <v>0.00166</v>
      </c>
    </row>
    <row r="1212" spans="1:7">
      <c r="A1212" s="3"/>
      <c r="B1212" s="3"/>
      <c r="C1212" s="3"/>
      <c r="D1212" s="3"/>
      <c r="E1212" s="3">
        <v>9</v>
      </c>
      <c r="F1212" s="4" t="str">
        <f>HYPERLINK("http://141.218.60.56/~jnz1568/getInfo.php?workbook=13_02.xlsx&amp;sheet=U0&amp;row=1212&amp;col=6&amp;number=3.8&amp;sourceID=14","3.8")</f>
        <v>3.8</v>
      </c>
      <c r="G1212" s="4" t="str">
        <f>HYPERLINK("http://141.218.60.56/~jnz1568/getInfo.php?workbook=13_02.xlsx&amp;sheet=U0&amp;row=1212&amp;col=7&amp;number=0.00166&amp;sourceID=14","0.00166")</f>
        <v>0.00166</v>
      </c>
    </row>
    <row r="1213" spans="1:7">
      <c r="A1213" s="3"/>
      <c r="B1213" s="3"/>
      <c r="C1213" s="3"/>
      <c r="D1213" s="3"/>
      <c r="E1213" s="3">
        <v>10</v>
      </c>
      <c r="F1213" s="4" t="str">
        <f>HYPERLINK("http://141.218.60.56/~jnz1568/getInfo.php?workbook=13_02.xlsx&amp;sheet=U0&amp;row=1213&amp;col=6&amp;number=3.9&amp;sourceID=14","3.9")</f>
        <v>3.9</v>
      </c>
      <c r="G1213" s="4" t="str">
        <f>HYPERLINK("http://141.218.60.56/~jnz1568/getInfo.php?workbook=13_02.xlsx&amp;sheet=U0&amp;row=1213&amp;col=7&amp;number=0.00166&amp;sourceID=14","0.00166")</f>
        <v>0.00166</v>
      </c>
    </row>
    <row r="1214" spans="1:7">
      <c r="A1214" s="3"/>
      <c r="B1214" s="3"/>
      <c r="C1214" s="3"/>
      <c r="D1214" s="3"/>
      <c r="E1214" s="3">
        <v>11</v>
      </c>
      <c r="F1214" s="4" t="str">
        <f>HYPERLINK("http://141.218.60.56/~jnz1568/getInfo.php?workbook=13_02.xlsx&amp;sheet=U0&amp;row=1214&amp;col=6&amp;number=4&amp;sourceID=14","4")</f>
        <v>4</v>
      </c>
      <c r="G1214" s="4" t="str">
        <f>HYPERLINK("http://141.218.60.56/~jnz1568/getInfo.php?workbook=13_02.xlsx&amp;sheet=U0&amp;row=1214&amp;col=7&amp;number=0.00166&amp;sourceID=14","0.00166")</f>
        <v>0.00166</v>
      </c>
    </row>
    <row r="1215" spans="1:7">
      <c r="A1215" s="3"/>
      <c r="B1215" s="3"/>
      <c r="C1215" s="3"/>
      <c r="D1215" s="3"/>
      <c r="E1215" s="3">
        <v>12</v>
      </c>
      <c r="F1215" s="4" t="str">
        <f>HYPERLINK("http://141.218.60.56/~jnz1568/getInfo.php?workbook=13_02.xlsx&amp;sheet=U0&amp;row=1215&amp;col=6&amp;number=4.1&amp;sourceID=14","4.1")</f>
        <v>4.1</v>
      </c>
      <c r="G1215" s="4" t="str">
        <f>HYPERLINK("http://141.218.60.56/~jnz1568/getInfo.php?workbook=13_02.xlsx&amp;sheet=U0&amp;row=1215&amp;col=7&amp;number=0.00166&amp;sourceID=14","0.00166")</f>
        <v>0.00166</v>
      </c>
    </row>
    <row r="1216" spans="1:7">
      <c r="A1216" s="3"/>
      <c r="B1216" s="3"/>
      <c r="C1216" s="3"/>
      <c r="D1216" s="3"/>
      <c r="E1216" s="3">
        <v>13</v>
      </c>
      <c r="F1216" s="4" t="str">
        <f>HYPERLINK("http://141.218.60.56/~jnz1568/getInfo.php?workbook=13_02.xlsx&amp;sheet=U0&amp;row=1216&amp;col=6&amp;number=4.2&amp;sourceID=14","4.2")</f>
        <v>4.2</v>
      </c>
      <c r="G1216" s="4" t="str">
        <f>HYPERLINK("http://141.218.60.56/~jnz1568/getInfo.php?workbook=13_02.xlsx&amp;sheet=U0&amp;row=1216&amp;col=7&amp;number=0.00166&amp;sourceID=14","0.00166")</f>
        <v>0.00166</v>
      </c>
    </row>
    <row r="1217" spans="1:7">
      <c r="A1217" s="3"/>
      <c r="B1217" s="3"/>
      <c r="C1217" s="3"/>
      <c r="D1217" s="3"/>
      <c r="E1217" s="3">
        <v>14</v>
      </c>
      <c r="F1217" s="4" t="str">
        <f>HYPERLINK("http://141.218.60.56/~jnz1568/getInfo.php?workbook=13_02.xlsx&amp;sheet=U0&amp;row=1217&amp;col=6&amp;number=4.3&amp;sourceID=14","4.3")</f>
        <v>4.3</v>
      </c>
      <c r="G1217" s="4" t="str">
        <f>HYPERLINK("http://141.218.60.56/~jnz1568/getInfo.php?workbook=13_02.xlsx&amp;sheet=U0&amp;row=1217&amp;col=7&amp;number=0.00166&amp;sourceID=14","0.00166")</f>
        <v>0.00166</v>
      </c>
    </row>
    <row r="1218" spans="1:7">
      <c r="A1218" s="3"/>
      <c r="B1218" s="3"/>
      <c r="C1218" s="3"/>
      <c r="D1218" s="3"/>
      <c r="E1218" s="3">
        <v>15</v>
      </c>
      <c r="F1218" s="4" t="str">
        <f>HYPERLINK("http://141.218.60.56/~jnz1568/getInfo.php?workbook=13_02.xlsx&amp;sheet=U0&amp;row=1218&amp;col=6&amp;number=4.4&amp;sourceID=14","4.4")</f>
        <v>4.4</v>
      </c>
      <c r="G1218" s="4" t="str">
        <f>HYPERLINK("http://141.218.60.56/~jnz1568/getInfo.php?workbook=13_02.xlsx&amp;sheet=U0&amp;row=1218&amp;col=7&amp;number=0.00167&amp;sourceID=14","0.00167")</f>
        <v>0.00167</v>
      </c>
    </row>
    <row r="1219" spans="1:7">
      <c r="A1219" s="3"/>
      <c r="B1219" s="3"/>
      <c r="C1219" s="3"/>
      <c r="D1219" s="3"/>
      <c r="E1219" s="3">
        <v>16</v>
      </c>
      <c r="F1219" s="4" t="str">
        <f>HYPERLINK("http://141.218.60.56/~jnz1568/getInfo.php?workbook=13_02.xlsx&amp;sheet=U0&amp;row=1219&amp;col=6&amp;number=4.5&amp;sourceID=14","4.5")</f>
        <v>4.5</v>
      </c>
      <c r="G1219" s="4" t="str">
        <f>HYPERLINK("http://141.218.60.56/~jnz1568/getInfo.php?workbook=13_02.xlsx&amp;sheet=U0&amp;row=1219&amp;col=7&amp;number=0.00167&amp;sourceID=14","0.00167")</f>
        <v>0.00167</v>
      </c>
    </row>
    <row r="1220" spans="1:7">
      <c r="A1220" s="3"/>
      <c r="B1220" s="3"/>
      <c r="C1220" s="3"/>
      <c r="D1220" s="3"/>
      <c r="E1220" s="3">
        <v>17</v>
      </c>
      <c r="F1220" s="4" t="str">
        <f>HYPERLINK("http://141.218.60.56/~jnz1568/getInfo.php?workbook=13_02.xlsx&amp;sheet=U0&amp;row=1220&amp;col=6&amp;number=4.6&amp;sourceID=14","4.6")</f>
        <v>4.6</v>
      </c>
      <c r="G1220" s="4" t="str">
        <f>HYPERLINK("http://141.218.60.56/~jnz1568/getInfo.php?workbook=13_02.xlsx&amp;sheet=U0&amp;row=1220&amp;col=7&amp;number=0.00167&amp;sourceID=14","0.00167")</f>
        <v>0.00167</v>
      </c>
    </row>
    <row r="1221" spans="1:7">
      <c r="A1221" s="3"/>
      <c r="B1221" s="3"/>
      <c r="C1221" s="3"/>
      <c r="D1221" s="3"/>
      <c r="E1221" s="3">
        <v>18</v>
      </c>
      <c r="F1221" s="4" t="str">
        <f>HYPERLINK("http://141.218.60.56/~jnz1568/getInfo.php?workbook=13_02.xlsx&amp;sheet=U0&amp;row=1221&amp;col=6&amp;number=4.7&amp;sourceID=14","4.7")</f>
        <v>4.7</v>
      </c>
      <c r="G1221" s="4" t="str">
        <f>HYPERLINK("http://141.218.60.56/~jnz1568/getInfo.php?workbook=13_02.xlsx&amp;sheet=U0&amp;row=1221&amp;col=7&amp;number=0.00168&amp;sourceID=14","0.00168")</f>
        <v>0.00168</v>
      </c>
    </row>
    <row r="1222" spans="1:7">
      <c r="A1222" s="3"/>
      <c r="B1222" s="3"/>
      <c r="C1222" s="3"/>
      <c r="D1222" s="3"/>
      <c r="E1222" s="3">
        <v>19</v>
      </c>
      <c r="F1222" s="4" t="str">
        <f>HYPERLINK("http://141.218.60.56/~jnz1568/getInfo.php?workbook=13_02.xlsx&amp;sheet=U0&amp;row=1222&amp;col=6&amp;number=4.8&amp;sourceID=14","4.8")</f>
        <v>4.8</v>
      </c>
      <c r="G1222" s="4" t="str">
        <f>HYPERLINK("http://141.218.60.56/~jnz1568/getInfo.php?workbook=13_02.xlsx&amp;sheet=U0&amp;row=1222&amp;col=7&amp;number=0.00168&amp;sourceID=14","0.00168")</f>
        <v>0.00168</v>
      </c>
    </row>
    <row r="1223" spans="1:7">
      <c r="A1223" s="3"/>
      <c r="B1223" s="3"/>
      <c r="C1223" s="3"/>
      <c r="D1223" s="3"/>
      <c r="E1223" s="3">
        <v>20</v>
      </c>
      <c r="F1223" s="4" t="str">
        <f>HYPERLINK("http://141.218.60.56/~jnz1568/getInfo.php?workbook=13_02.xlsx&amp;sheet=U0&amp;row=1223&amp;col=6&amp;number=4.9&amp;sourceID=14","4.9")</f>
        <v>4.9</v>
      </c>
      <c r="G1223" s="4" t="str">
        <f>HYPERLINK("http://141.218.60.56/~jnz1568/getInfo.php?workbook=13_02.xlsx&amp;sheet=U0&amp;row=1223&amp;col=7&amp;number=0.00169&amp;sourceID=14","0.00169")</f>
        <v>0.00169</v>
      </c>
    </row>
    <row r="1224" spans="1:7">
      <c r="A1224" s="3">
        <v>13</v>
      </c>
      <c r="B1224" s="3">
        <v>2</v>
      </c>
      <c r="C1224" s="3" t="s">
        <v>85</v>
      </c>
      <c r="D1224" s="3">
        <v>1</v>
      </c>
      <c r="E1224" s="3">
        <v>1</v>
      </c>
      <c r="F1224" s="4" t="str">
        <f>HYPERLINK("http://141.218.60.56/~jnz1568/getInfo.php?workbook=13_02.xlsx&amp;sheet=U0&amp;row=1224&amp;col=6&amp;number=3&amp;sourceID=14","3")</f>
        <v>3</v>
      </c>
      <c r="G1224" s="4" t="str">
        <f>HYPERLINK("http://141.218.60.56/~jnz1568/getInfo.php?workbook=13_02.xlsx&amp;sheet=U0&amp;row=1224&amp;col=7&amp;number=0.00496&amp;sourceID=14","0.00496")</f>
        <v>0.00496</v>
      </c>
    </row>
    <row r="1225" spans="1:7">
      <c r="A1225" s="3"/>
      <c r="B1225" s="3"/>
      <c r="C1225" s="3"/>
      <c r="D1225" s="3"/>
      <c r="E1225" s="3">
        <v>2</v>
      </c>
      <c r="F1225" s="4" t="str">
        <f>HYPERLINK("http://141.218.60.56/~jnz1568/getInfo.php?workbook=13_02.xlsx&amp;sheet=U0&amp;row=1225&amp;col=6&amp;number=3.1&amp;sourceID=14","3.1")</f>
        <v>3.1</v>
      </c>
      <c r="G1225" s="4" t="str">
        <f>HYPERLINK("http://141.218.60.56/~jnz1568/getInfo.php?workbook=13_02.xlsx&amp;sheet=U0&amp;row=1225&amp;col=7&amp;number=0.00496&amp;sourceID=14","0.00496")</f>
        <v>0.00496</v>
      </c>
    </row>
    <row r="1226" spans="1:7">
      <c r="A1226" s="3"/>
      <c r="B1226" s="3"/>
      <c r="C1226" s="3"/>
      <c r="D1226" s="3"/>
      <c r="E1226" s="3">
        <v>3</v>
      </c>
      <c r="F1226" s="4" t="str">
        <f>HYPERLINK("http://141.218.60.56/~jnz1568/getInfo.php?workbook=13_02.xlsx&amp;sheet=U0&amp;row=1226&amp;col=6&amp;number=3.2&amp;sourceID=14","3.2")</f>
        <v>3.2</v>
      </c>
      <c r="G1226" s="4" t="str">
        <f>HYPERLINK("http://141.218.60.56/~jnz1568/getInfo.php?workbook=13_02.xlsx&amp;sheet=U0&amp;row=1226&amp;col=7&amp;number=0.00496&amp;sourceID=14","0.00496")</f>
        <v>0.00496</v>
      </c>
    </row>
    <row r="1227" spans="1:7">
      <c r="A1227" s="3"/>
      <c r="B1227" s="3"/>
      <c r="C1227" s="3"/>
      <c r="D1227" s="3"/>
      <c r="E1227" s="3">
        <v>4</v>
      </c>
      <c r="F1227" s="4" t="str">
        <f>HYPERLINK("http://141.218.60.56/~jnz1568/getInfo.php?workbook=13_02.xlsx&amp;sheet=U0&amp;row=1227&amp;col=6&amp;number=3.3&amp;sourceID=14","3.3")</f>
        <v>3.3</v>
      </c>
      <c r="G1227" s="4" t="str">
        <f>HYPERLINK("http://141.218.60.56/~jnz1568/getInfo.php?workbook=13_02.xlsx&amp;sheet=U0&amp;row=1227&amp;col=7&amp;number=0.00496&amp;sourceID=14","0.00496")</f>
        <v>0.00496</v>
      </c>
    </row>
    <row r="1228" spans="1:7">
      <c r="A1228" s="3"/>
      <c r="B1228" s="3"/>
      <c r="C1228" s="3"/>
      <c r="D1228" s="3"/>
      <c r="E1228" s="3">
        <v>5</v>
      </c>
      <c r="F1228" s="4" t="str">
        <f>HYPERLINK("http://141.218.60.56/~jnz1568/getInfo.php?workbook=13_02.xlsx&amp;sheet=U0&amp;row=1228&amp;col=6&amp;number=3.4&amp;sourceID=14","3.4")</f>
        <v>3.4</v>
      </c>
      <c r="G1228" s="4" t="str">
        <f>HYPERLINK("http://141.218.60.56/~jnz1568/getInfo.php?workbook=13_02.xlsx&amp;sheet=U0&amp;row=1228&amp;col=7&amp;number=0.00496&amp;sourceID=14","0.00496")</f>
        <v>0.00496</v>
      </c>
    </row>
    <row r="1229" spans="1:7">
      <c r="A1229" s="3"/>
      <c r="B1229" s="3"/>
      <c r="C1229" s="3"/>
      <c r="D1229" s="3"/>
      <c r="E1229" s="3">
        <v>6</v>
      </c>
      <c r="F1229" s="4" t="str">
        <f>HYPERLINK("http://141.218.60.56/~jnz1568/getInfo.php?workbook=13_02.xlsx&amp;sheet=U0&amp;row=1229&amp;col=6&amp;number=3.5&amp;sourceID=14","3.5")</f>
        <v>3.5</v>
      </c>
      <c r="G1229" s="4" t="str">
        <f>HYPERLINK("http://141.218.60.56/~jnz1568/getInfo.php?workbook=13_02.xlsx&amp;sheet=U0&amp;row=1229&amp;col=7&amp;number=0.00496&amp;sourceID=14","0.00496")</f>
        <v>0.00496</v>
      </c>
    </row>
    <row r="1230" spans="1:7">
      <c r="A1230" s="3"/>
      <c r="B1230" s="3"/>
      <c r="C1230" s="3"/>
      <c r="D1230" s="3"/>
      <c r="E1230" s="3">
        <v>7</v>
      </c>
      <c r="F1230" s="4" t="str">
        <f>HYPERLINK("http://141.218.60.56/~jnz1568/getInfo.php?workbook=13_02.xlsx&amp;sheet=U0&amp;row=1230&amp;col=6&amp;number=3.6&amp;sourceID=14","3.6")</f>
        <v>3.6</v>
      </c>
      <c r="G1230" s="4" t="str">
        <f>HYPERLINK("http://141.218.60.56/~jnz1568/getInfo.php?workbook=13_02.xlsx&amp;sheet=U0&amp;row=1230&amp;col=7&amp;number=0.00496&amp;sourceID=14","0.00496")</f>
        <v>0.00496</v>
      </c>
    </row>
    <row r="1231" spans="1:7">
      <c r="A1231" s="3"/>
      <c r="B1231" s="3"/>
      <c r="C1231" s="3"/>
      <c r="D1231" s="3"/>
      <c r="E1231" s="3">
        <v>8</v>
      </c>
      <c r="F1231" s="4" t="str">
        <f>HYPERLINK("http://141.218.60.56/~jnz1568/getInfo.php?workbook=13_02.xlsx&amp;sheet=U0&amp;row=1231&amp;col=6&amp;number=3.7&amp;sourceID=14","3.7")</f>
        <v>3.7</v>
      </c>
      <c r="G1231" s="4" t="str">
        <f>HYPERLINK("http://141.218.60.56/~jnz1568/getInfo.php?workbook=13_02.xlsx&amp;sheet=U0&amp;row=1231&amp;col=7&amp;number=0.00497&amp;sourceID=14","0.00497")</f>
        <v>0.00497</v>
      </c>
    </row>
    <row r="1232" spans="1:7">
      <c r="A1232" s="3"/>
      <c r="B1232" s="3"/>
      <c r="C1232" s="3"/>
      <c r="D1232" s="3"/>
      <c r="E1232" s="3">
        <v>9</v>
      </c>
      <c r="F1232" s="4" t="str">
        <f>HYPERLINK("http://141.218.60.56/~jnz1568/getInfo.php?workbook=13_02.xlsx&amp;sheet=U0&amp;row=1232&amp;col=6&amp;number=3.8&amp;sourceID=14","3.8")</f>
        <v>3.8</v>
      </c>
      <c r="G1232" s="4" t="str">
        <f>HYPERLINK("http://141.218.60.56/~jnz1568/getInfo.php?workbook=13_02.xlsx&amp;sheet=U0&amp;row=1232&amp;col=7&amp;number=0.00497&amp;sourceID=14","0.00497")</f>
        <v>0.00497</v>
      </c>
    </row>
    <row r="1233" spans="1:7">
      <c r="A1233" s="3"/>
      <c r="B1233" s="3"/>
      <c r="C1233" s="3"/>
      <c r="D1233" s="3"/>
      <c r="E1233" s="3">
        <v>10</v>
      </c>
      <c r="F1233" s="4" t="str">
        <f>HYPERLINK("http://141.218.60.56/~jnz1568/getInfo.php?workbook=13_02.xlsx&amp;sheet=U0&amp;row=1233&amp;col=6&amp;number=3.9&amp;sourceID=14","3.9")</f>
        <v>3.9</v>
      </c>
      <c r="G1233" s="4" t="str">
        <f>HYPERLINK("http://141.218.60.56/~jnz1568/getInfo.php?workbook=13_02.xlsx&amp;sheet=U0&amp;row=1233&amp;col=7&amp;number=0.00497&amp;sourceID=14","0.00497")</f>
        <v>0.00497</v>
      </c>
    </row>
    <row r="1234" spans="1:7">
      <c r="A1234" s="3"/>
      <c r="B1234" s="3"/>
      <c r="C1234" s="3"/>
      <c r="D1234" s="3"/>
      <c r="E1234" s="3">
        <v>11</v>
      </c>
      <c r="F1234" s="4" t="str">
        <f>HYPERLINK("http://141.218.60.56/~jnz1568/getInfo.php?workbook=13_02.xlsx&amp;sheet=U0&amp;row=1234&amp;col=6&amp;number=4&amp;sourceID=14","4")</f>
        <v>4</v>
      </c>
      <c r="G1234" s="4" t="str">
        <f>HYPERLINK("http://141.218.60.56/~jnz1568/getInfo.php?workbook=13_02.xlsx&amp;sheet=U0&amp;row=1234&amp;col=7&amp;number=0.00497&amp;sourceID=14","0.00497")</f>
        <v>0.00497</v>
      </c>
    </row>
    <row r="1235" spans="1:7">
      <c r="A1235" s="3"/>
      <c r="B1235" s="3"/>
      <c r="C1235" s="3"/>
      <c r="D1235" s="3"/>
      <c r="E1235" s="3">
        <v>12</v>
      </c>
      <c r="F1235" s="4" t="str">
        <f>HYPERLINK("http://141.218.60.56/~jnz1568/getInfo.php?workbook=13_02.xlsx&amp;sheet=U0&amp;row=1235&amp;col=6&amp;number=4.1&amp;sourceID=14","4.1")</f>
        <v>4.1</v>
      </c>
      <c r="G1235" s="4" t="str">
        <f>HYPERLINK("http://141.218.60.56/~jnz1568/getInfo.php?workbook=13_02.xlsx&amp;sheet=U0&amp;row=1235&amp;col=7&amp;number=0.00497&amp;sourceID=14","0.00497")</f>
        <v>0.00497</v>
      </c>
    </row>
    <row r="1236" spans="1:7">
      <c r="A1236" s="3"/>
      <c r="B1236" s="3"/>
      <c r="C1236" s="3"/>
      <c r="D1236" s="3"/>
      <c r="E1236" s="3">
        <v>13</v>
      </c>
      <c r="F1236" s="4" t="str">
        <f>HYPERLINK("http://141.218.60.56/~jnz1568/getInfo.php?workbook=13_02.xlsx&amp;sheet=U0&amp;row=1236&amp;col=6&amp;number=4.2&amp;sourceID=14","4.2")</f>
        <v>4.2</v>
      </c>
      <c r="G1236" s="4" t="str">
        <f>HYPERLINK("http://141.218.60.56/~jnz1568/getInfo.php?workbook=13_02.xlsx&amp;sheet=U0&amp;row=1236&amp;col=7&amp;number=0.00498&amp;sourceID=14","0.00498")</f>
        <v>0.00498</v>
      </c>
    </row>
    <row r="1237" spans="1:7">
      <c r="A1237" s="3"/>
      <c r="B1237" s="3"/>
      <c r="C1237" s="3"/>
      <c r="D1237" s="3"/>
      <c r="E1237" s="3">
        <v>14</v>
      </c>
      <c r="F1237" s="4" t="str">
        <f>HYPERLINK("http://141.218.60.56/~jnz1568/getInfo.php?workbook=13_02.xlsx&amp;sheet=U0&amp;row=1237&amp;col=6&amp;number=4.3&amp;sourceID=14","4.3")</f>
        <v>4.3</v>
      </c>
      <c r="G1237" s="4" t="str">
        <f>HYPERLINK("http://141.218.60.56/~jnz1568/getInfo.php?workbook=13_02.xlsx&amp;sheet=U0&amp;row=1237&amp;col=7&amp;number=0.00498&amp;sourceID=14","0.00498")</f>
        <v>0.00498</v>
      </c>
    </row>
    <row r="1238" spans="1:7">
      <c r="A1238" s="3"/>
      <c r="B1238" s="3"/>
      <c r="C1238" s="3"/>
      <c r="D1238" s="3"/>
      <c r="E1238" s="3">
        <v>15</v>
      </c>
      <c r="F1238" s="4" t="str">
        <f>HYPERLINK("http://141.218.60.56/~jnz1568/getInfo.php?workbook=13_02.xlsx&amp;sheet=U0&amp;row=1238&amp;col=6&amp;number=4.4&amp;sourceID=14","4.4")</f>
        <v>4.4</v>
      </c>
      <c r="G1238" s="4" t="str">
        <f>HYPERLINK("http://141.218.60.56/~jnz1568/getInfo.php?workbook=13_02.xlsx&amp;sheet=U0&amp;row=1238&amp;col=7&amp;number=0.00499&amp;sourceID=14","0.00499")</f>
        <v>0.00499</v>
      </c>
    </row>
    <row r="1239" spans="1:7">
      <c r="A1239" s="3"/>
      <c r="B1239" s="3"/>
      <c r="C1239" s="3"/>
      <c r="D1239" s="3"/>
      <c r="E1239" s="3">
        <v>16</v>
      </c>
      <c r="F1239" s="4" t="str">
        <f>HYPERLINK("http://141.218.60.56/~jnz1568/getInfo.php?workbook=13_02.xlsx&amp;sheet=U0&amp;row=1239&amp;col=6&amp;number=4.5&amp;sourceID=14","4.5")</f>
        <v>4.5</v>
      </c>
      <c r="G1239" s="4" t="str">
        <f>HYPERLINK("http://141.218.60.56/~jnz1568/getInfo.php?workbook=13_02.xlsx&amp;sheet=U0&amp;row=1239&amp;col=7&amp;number=0.005&amp;sourceID=14","0.005")</f>
        <v>0.005</v>
      </c>
    </row>
    <row r="1240" spans="1:7">
      <c r="A1240" s="3"/>
      <c r="B1240" s="3"/>
      <c r="C1240" s="3"/>
      <c r="D1240" s="3"/>
      <c r="E1240" s="3">
        <v>17</v>
      </c>
      <c r="F1240" s="4" t="str">
        <f>HYPERLINK("http://141.218.60.56/~jnz1568/getInfo.php?workbook=13_02.xlsx&amp;sheet=U0&amp;row=1240&amp;col=6&amp;number=4.6&amp;sourceID=14","4.6")</f>
        <v>4.6</v>
      </c>
      <c r="G1240" s="4" t="str">
        <f>HYPERLINK("http://141.218.60.56/~jnz1568/getInfo.php?workbook=13_02.xlsx&amp;sheet=U0&amp;row=1240&amp;col=7&amp;number=0.00501&amp;sourceID=14","0.00501")</f>
        <v>0.00501</v>
      </c>
    </row>
    <row r="1241" spans="1:7">
      <c r="A1241" s="3"/>
      <c r="B1241" s="3"/>
      <c r="C1241" s="3"/>
      <c r="D1241" s="3"/>
      <c r="E1241" s="3">
        <v>18</v>
      </c>
      <c r="F1241" s="4" t="str">
        <f>HYPERLINK("http://141.218.60.56/~jnz1568/getInfo.php?workbook=13_02.xlsx&amp;sheet=U0&amp;row=1241&amp;col=6&amp;number=4.7&amp;sourceID=14","4.7")</f>
        <v>4.7</v>
      </c>
      <c r="G1241" s="4" t="str">
        <f>HYPERLINK("http://141.218.60.56/~jnz1568/getInfo.php?workbook=13_02.xlsx&amp;sheet=U0&amp;row=1241&amp;col=7&amp;number=0.00502&amp;sourceID=14","0.00502")</f>
        <v>0.00502</v>
      </c>
    </row>
    <row r="1242" spans="1:7">
      <c r="A1242" s="3"/>
      <c r="B1242" s="3"/>
      <c r="C1242" s="3"/>
      <c r="D1242" s="3"/>
      <c r="E1242" s="3">
        <v>19</v>
      </c>
      <c r="F1242" s="4" t="str">
        <f>HYPERLINK("http://141.218.60.56/~jnz1568/getInfo.php?workbook=13_02.xlsx&amp;sheet=U0&amp;row=1242&amp;col=6&amp;number=4.8&amp;sourceID=14","4.8")</f>
        <v>4.8</v>
      </c>
      <c r="G1242" s="4" t="str">
        <f>HYPERLINK("http://141.218.60.56/~jnz1568/getInfo.php?workbook=13_02.xlsx&amp;sheet=U0&amp;row=1242&amp;col=7&amp;number=0.00503&amp;sourceID=14","0.00503")</f>
        <v>0.00503</v>
      </c>
    </row>
    <row r="1243" spans="1:7">
      <c r="A1243" s="3"/>
      <c r="B1243" s="3"/>
      <c r="C1243" s="3"/>
      <c r="D1243" s="3"/>
      <c r="E1243" s="3">
        <v>20</v>
      </c>
      <c r="F1243" s="4" t="str">
        <f>HYPERLINK("http://141.218.60.56/~jnz1568/getInfo.php?workbook=13_02.xlsx&amp;sheet=U0&amp;row=1243&amp;col=6&amp;number=4.9&amp;sourceID=14","4.9")</f>
        <v>4.9</v>
      </c>
      <c r="G1243" s="4" t="str">
        <f>HYPERLINK("http://141.218.60.56/~jnz1568/getInfo.php?workbook=13_02.xlsx&amp;sheet=U0&amp;row=1243&amp;col=7&amp;number=0.00505&amp;sourceID=14","0.00505")</f>
        <v>0.00505</v>
      </c>
    </row>
    <row r="1244" spans="1:7">
      <c r="A1244" s="3">
        <v>13</v>
      </c>
      <c r="B1244" s="3">
        <v>2</v>
      </c>
      <c r="C1244" s="3" t="s">
        <v>85</v>
      </c>
      <c r="D1244" s="3">
        <v>2</v>
      </c>
      <c r="E1244" s="3">
        <v>1</v>
      </c>
      <c r="F1244" s="4" t="str">
        <f>HYPERLINK("http://141.218.60.56/~jnz1568/getInfo.php?workbook=13_02.xlsx&amp;sheet=U0&amp;row=1244&amp;col=6&amp;number=3&amp;sourceID=14","3")</f>
        <v>3</v>
      </c>
      <c r="G1244" s="4" t="str">
        <f>HYPERLINK("http://141.218.60.56/~jnz1568/getInfo.php?workbook=13_02.xlsx&amp;sheet=U0&amp;row=1244&amp;col=7&amp;number=0.00828&amp;sourceID=14","0.00828")</f>
        <v>0.00828</v>
      </c>
    </row>
    <row r="1245" spans="1:7">
      <c r="A1245" s="3"/>
      <c r="B1245" s="3"/>
      <c r="C1245" s="3"/>
      <c r="D1245" s="3"/>
      <c r="E1245" s="3">
        <v>2</v>
      </c>
      <c r="F1245" s="4" t="str">
        <f>HYPERLINK("http://141.218.60.56/~jnz1568/getInfo.php?workbook=13_02.xlsx&amp;sheet=U0&amp;row=1245&amp;col=6&amp;number=3.1&amp;sourceID=14","3.1")</f>
        <v>3.1</v>
      </c>
      <c r="G1245" s="4" t="str">
        <f>HYPERLINK("http://141.218.60.56/~jnz1568/getInfo.php?workbook=13_02.xlsx&amp;sheet=U0&amp;row=1245&amp;col=7&amp;number=0.00828&amp;sourceID=14","0.00828")</f>
        <v>0.00828</v>
      </c>
    </row>
    <row r="1246" spans="1:7">
      <c r="A1246" s="3"/>
      <c r="B1246" s="3"/>
      <c r="C1246" s="3"/>
      <c r="D1246" s="3"/>
      <c r="E1246" s="3">
        <v>3</v>
      </c>
      <c r="F1246" s="4" t="str">
        <f>HYPERLINK("http://141.218.60.56/~jnz1568/getInfo.php?workbook=13_02.xlsx&amp;sheet=U0&amp;row=1246&amp;col=6&amp;number=3.2&amp;sourceID=14","3.2")</f>
        <v>3.2</v>
      </c>
      <c r="G1246" s="4" t="str">
        <f>HYPERLINK("http://141.218.60.56/~jnz1568/getInfo.php?workbook=13_02.xlsx&amp;sheet=U0&amp;row=1246&amp;col=7&amp;number=0.00828&amp;sourceID=14","0.00828")</f>
        <v>0.00828</v>
      </c>
    </row>
    <row r="1247" spans="1:7">
      <c r="A1247" s="3"/>
      <c r="B1247" s="3"/>
      <c r="C1247" s="3"/>
      <c r="D1247" s="3"/>
      <c r="E1247" s="3">
        <v>4</v>
      </c>
      <c r="F1247" s="4" t="str">
        <f>HYPERLINK("http://141.218.60.56/~jnz1568/getInfo.php?workbook=13_02.xlsx&amp;sheet=U0&amp;row=1247&amp;col=6&amp;number=3.3&amp;sourceID=14","3.3")</f>
        <v>3.3</v>
      </c>
      <c r="G1247" s="4" t="str">
        <f>HYPERLINK("http://141.218.60.56/~jnz1568/getInfo.php?workbook=13_02.xlsx&amp;sheet=U0&amp;row=1247&amp;col=7&amp;number=0.00828&amp;sourceID=14","0.00828")</f>
        <v>0.00828</v>
      </c>
    </row>
    <row r="1248" spans="1:7">
      <c r="A1248" s="3"/>
      <c r="B1248" s="3"/>
      <c r="C1248" s="3"/>
      <c r="D1248" s="3"/>
      <c r="E1248" s="3">
        <v>5</v>
      </c>
      <c r="F1248" s="4" t="str">
        <f>HYPERLINK("http://141.218.60.56/~jnz1568/getInfo.php?workbook=13_02.xlsx&amp;sheet=U0&amp;row=1248&amp;col=6&amp;number=3.4&amp;sourceID=14","3.4")</f>
        <v>3.4</v>
      </c>
      <c r="G1248" s="4" t="str">
        <f>HYPERLINK("http://141.218.60.56/~jnz1568/getInfo.php?workbook=13_02.xlsx&amp;sheet=U0&amp;row=1248&amp;col=7&amp;number=0.00828&amp;sourceID=14","0.00828")</f>
        <v>0.00828</v>
      </c>
    </row>
    <row r="1249" spans="1:7">
      <c r="A1249" s="3"/>
      <c r="B1249" s="3"/>
      <c r="C1249" s="3"/>
      <c r="D1249" s="3"/>
      <c r="E1249" s="3">
        <v>6</v>
      </c>
      <c r="F1249" s="4" t="str">
        <f>HYPERLINK("http://141.218.60.56/~jnz1568/getInfo.php?workbook=13_02.xlsx&amp;sheet=U0&amp;row=1249&amp;col=6&amp;number=3.5&amp;sourceID=14","3.5")</f>
        <v>3.5</v>
      </c>
      <c r="G1249" s="4" t="str">
        <f>HYPERLINK("http://141.218.60.56/~jnz1568/getInfo.php?workbook=13_02.xlsx&amp;sheet=U0&amp;row=1249&amp;col=7&amp;number=0.00829&amp;sourceID=14","0.00829")</f>
        <v>0.00829</v>
      </c>
    </row>
    <row r="1250" spans="1:7">
      <c r="A1250" s="3"/>
      <c r="B1250" s="3"/>
      <c r="C1250" s="3"/>
      <c r="D1250" s="3"/>
      <c r="E1250" s="3">
        <v>7</v>
      </c>
      <c r="F1250" s="4" t="str">
        <f>HYPERLINK("http://141.218.60.56/~jnz1568/getInfo.php?workbook=13_02.xlsx&amp;sheet=U0&amp;row=1250&amp;col=6&amp;number=3.6&amp;sourceID=14","3.6")</f>
        <v>3.6</v>
      </c>
      <c r="G1250" s="4" t="str">
        <f>HYPERLINK("http://141.218.60.56/~jnz1568/getInfo.php?workbook=13_02.xlsx&amp;sheet=U0&amp;row=1250&amp;col=7&amp;number=0.00829&amp;sourceID=14","0.00829")</f>
        <v>0.00829</v>
      </c>
    </row>
    <row r="1251" spans="1:7">
      <c r="A1251" s="3"/>
      <c r="B1251" s="3"/>
      <c r="C1251" s="3"/>
      <c r="D1251" s="3"/>
      <c r="E1251" s="3">
        <v>8</v>
      </c>
      <c r="F1251" s="4" t="str">
        <f>HYPERLINK("http://141.218.60.56/~jnz1568/getInfo.php?workbook=13_02.xlsx&amp;sheet=U0&amp;row=1251&amp;col=6&amp;number=3.7&amp;sourceID=14","3.7")</f>
        <v>3.7</v>
      </c>
      <c r="G1251" s="4" t="str">
        <f>HYPERLINK("http://141.218.60.56/~jnz1568/getInfo.php?workbook=13_02.xlsx&amp;sheet=U0&amp;row=1251&amp;col=7&amp;number=0.00829&amp;sourceID=14","0.00829")</f>
        <v>0.00829</v>
      </c>
    </row>
    <row r="1252" spans="1:7">
      <c r="A1252" s="3"/>
      <c r="B1252" s="3"/>
      <c r="C1252" s="3"/>
      <c r="D1252" s="3"/>
      <c r="E1252" s="3">
        <v>9</v>
      </c>
      <c r="F1252" s="4" t="str">
        <f>HYPERLINK("http://141.218.60.56/~jnz1568/getInfo.php?workbook=13_02.xlsx&amp;sheet=U0&amp;row=1252&amp;col=6&amp;number=3.8&amp;sourceID=14","3.8")</f>
        <v>3.8</v>
      </c>
      <c r="G1252" s="4" t="str">
        <f>HYPERLINK("http://141.218.60.56/~jnz1568/getInfo.php?workbook=13_02.xlsx&amp;sheet=U0&amp;row=1252&amp;col=7&amp;number=0.00829&amp;sourceID=14","0.00829")</f>
        <v>0.00829</v>
      </c>
    </row>
    <row r="1253" spans="1:7">
      <c r="A1253" s="3"/>
      <c r="B1253" s="3"/>
      <c r="C1253" s="3"/>
      <c r="D1253" s="3"/>
      <c r="E1253" s="3">
        <v>10</v>
      </c>
      <c r="F1253" s="4" t="str">
        <f>HYPERLINK("http://141.218.60.56/~jnz1568/getInfo.php?workbook=13_02.xlsx&amp;sheet=U0&amp;row=1253&amp;col=6&amp;number=3.9&amp;sourceID=14","3.9")</f>
        <v>3.9</v>
      </c>
      <c r="G1253" s="4" t="str">
        <f>HYPERLINK("http://141.218.60.56/~jnz1568/getInfo.php?workbook=13_02.xlsx&amp;sheet=U0&amp;row=1253&amp;col=7&amp;number=0.0083&amp;sourceID=14","0.0083")</f>
        <v>0.0083</v>
      </c>
    </row>
    <row r="1254" spans="1:7">
      <c r="A1254" s="3"/>
      <c r="B1254" s="3"/>
      <c r="C1254" s="3"/>
      <c r="D1254" s="3"/>
      <c r="E1254" s="3">
        <v>11</v>
      </c>
      <c r="F1254" s="4" t="str">
        <f>HYPERLINK("http://141.218.60.56/~jnz1568/getInfo.php?workbook=13_02.xlsx&amp;sheet=U0&amp;row=1254&amp;col=6&amp;number=4&amp;sourceID=14","4")</f>
        <v>4</v>
      </c>
      <c r="G1254" s="4" t="str">
        <f>HYPERLINK("http://141.218.60.56/~jnz1568/getInfo.php?workbook=13_02.xlsx&amp;sheet=U0&amp;row=1254&amp;col=7&amp;number=0.0083&amp;sourceID=14","0.0083")</f>
        <v>0.0083</v>
      </c>
    </row>
    <row r="1255" spans="1:7">
      <c r="A1255" s="3"/>
      <c r="B1255" s="3"/>
      <c r="C1255" s="3"/>
      <c r="D1255" s="3"/>
      <c r="E1255" s="3">
        <v>12</v>
      </c>
      <c r="F1255" s="4" t="str">
        <f>HYPERLINK("http://141.218.60.56/~jnz1568/getInfo.php?workbook=13_02.xlsx&amp;sheet=U0&amp;row=1255&amp;col=6&amp;number=4.1&amp;sourceID=14","4.1")</f>
        <v>4.1</v>
      </c>
      <c r="G1255" s="4" t="str">
        <f>HYPERLINK("http://141.218.60.56/~jnz1568/getInfo.php?workbook=13_02.xlsx&amp;sheet=U0&amp;row=1255&amp;col=7&amp;number=0.0083&amp;sourceID=14","0.0083")</f>
        <v>0.0083</v>
      </c>
    </row>
    <row r="1256" spans="1:7">
      <c r="A1256" s="3"/>
      <c r="B1256" s="3"/>
      <c r="C1256" s="3"/>
      <c r="D1256" s="3"/>
      <c r="E1256" s="3">
        <v>13</v>
      </c>
      <c r="F1256" s="4" t="str">
        <f>HYPERLINK("http://141.218.60.56/~jnz1568/getInfo.php?workbook=13_02.xlsx&amp;sheet=U0&amp;row=1256&amp;col=6&amp;number=4.2&amp;sourceID=14","4.2")</f>
        <v>4.2</v>
      </c>
      <c r="G1256" s="4" t="str">
        <f>HYPERLINK("http://141.218.60.56/~jnz1568/getInfo.php?workbook=13_02.xlsx&amp;sheet=U0&amp;row=1256&amp;col=7&amp;number=0.00831&amp;sourceID=14","0.00831")</f>
        <v>0.00831</v>
      </c>
    </row>
    <row r="1257" spans="1:7">
      <c r="A1257" s="3"/>
      <c r="B1257" s="3"/>
      <c r="C1257" s="3"/>
      <c r="D1257" s="3"/>
      <c r="E1257" s="3">
        <v>14</v>
      </c>
      <c r="F1257" s="4" t="str">
        <f>HYPERLINK("http://141.218.60.56/~jnz1568/getInfo.php?workbook=13_02.xlsx&amp;sheet=U0&amp;row=1257&amp;col=6&amp;number=4.3&amp;sourceID=14","4.3")</f>
        <v>4.3</v>
      </c>
      <c r="G1257" s="4" t="str">
        <f>HYPERLINK("http://141.218.60.56/~jnz1568/getInfo.php?workbook=13_02.xlsx&amp;sheet=U0&amp;row=1257&amp;col=7&amp;number=0.00832&amp;sourceID=14","0.00832")</f>
        <v>0.00832</v>
      </c>
    </row>
    <row r="1258" spans="1:7">
      <c r="A1258" s="3"/>
      <c r="B1258" s="3"/>
      <c r="C1258" s="3"/>
      <c r="D1258" s="3"/>
      <c r="E1258" s="3">
        <v>15</v>
      </c>
      <c r="F1258" s="4" t="str">
        <f>HYPERLINK("http://141.218.60.56/~jnz1568/getInfo.php?workbook=13_02.xlsx&amp;sheet=U0&amp;row=1258&amp;col=6&amp;number=4.4&amp;sourceID=14","4.4")</f>
        <v>4.4</v>
      </c>
      <c r="G1258" s="4" t="str">
        <f>HYPERLINK("http://141.218.60.56/~jnz1568/getInfo.php?workbook=13_02.xlsx&amp;sheet=U0&amp;row=1258&amp;col=7&amp;number=0.00833&amp;sourceID=14","0.00833")</f>
        <v>0.00833</v>
      </c>
    </row>
    <row r="1259" spans="1:7">
      <c r="A1259" s="3"/>
      <c r="B1259" s="3"/>
      <c r="C1259" s="3"/>
      <c r="D1259" s="3"/>
      <c r="E1259" s="3">
        <v>16</v>
      </c>
      <c r="F1259" s="4" t="str">
        <f>HYPERLINK("http://141.218.60.56/~jnz1568/getInfo.php?workbook=13_02.xlsx&amp;sheet=U0&amp;row=1259&amp;col=6&amp;number=4.5&amp;sourceID=14","4.5")</f>
        <v>4.5</v>
      </c>
      <c r="G1259" s="4" t="str">
        <f>HYPERLINK("http://141.218.60.56/~jnz1568/getInfo.php?workbook=13_02.xlsx&amp;sheet=U0&amp;row=1259&amp;col=7&amp;number=0.00834&amp;sourceID=14","0.00834")</f>
        <v>0.00834</v>
      </c>
    </row>
    <row r="1260" spans="1:7">
      <c r="A1260" s="3"/>
      <c r="B1260" s="3"/>
      <c r="C1260" s="3"/>
      <c r="D1260" s="3"/>
      <c r="E1260" s="3">
        <v>17</v>
      </c>
      <c r="F1260" s="4" t="str">
        <f>HYPERLINK("http://141.218.60.56/~jnz1568/getInfo.php?workbook=13_02.xlsx&amp;sheet=U0&amp;row=1260&amp;col=6&amp;number=4.6&amp;sourceID=14","4.6")</f>
        <v>4.6</v>
      </c>
      <c r="G1260" s="4" t="str">
        <f>HYPERLINK("http://141.218.60.56/~jnz1568/getInfo.php?workbook=13_02.xlsx&amp;sheet=U0&amp;row=1260&amp;col=7&amp;number=0.00836&amp;sourceID=14","0.00836")</f>
        <v>0.00836</v>
      </c>
    </row>
    <row r="1261" spans="1:7">
      <c r="A1261" s="3"/>
      <c r="B1261" s="3"/>
      <c r="C1261" s="3"/>
      <c r="D1261" s="3"/>
      <c r="E1261" s="3">
        <v>18</v>
      </c>
      <c r="F1261" s="4" t="str">
        <f>HYPERLINK("http://141.218.60.56/~jnz1568/getInfo.php?workbook=13_02.xlsx&amp;sheet=U0&amp;row=1261&amp;col=6&amp;number=4.7&amp;sourceID=14","4.7")</f>
        <v>4.7</v>
      </c>
      <c r="G1261" s="4" t="str">
        <f>HYPERLINK("http://141.218.60.56/~jnz1568/getInfo.php?workbook=13_02.xlsx&amp;sheet=U0&amp;row=1261&amp;col=7&amp;number=0.00838&amp;sourceID=14","0.00838")</f>
        <v>0.00838</v>
      </c>
    </row>
    <row r="1262" spans="1:7">
      <c r="A1262" s="3"/>
      <c r="B1262" s="3"/>
      <c r="C1262" s="3"/>
      <c r="D1262" s="3"/>
      <c r="E1262" s="3">
        <v>19</v>
      </c>
      <c r="F1262" s="4" t="str">
        <f>HYPERLINK("http://141.218.60.56/~jnz1568/getInfo.php?workbook=13_02.xlsx&amp;sheet=U0&amp;row=1262&amp;col=6&amp;number=4.8&amp;sourceID=14","4.8")</f>
        <v>4.8</v>
      </c>
      <c r="G1262" s="4" t="str">
        <f>HYPERLINK("http://141.218.60.56/~jnz1568/getInfo.php?workbook=13_02.xlsx&amp;sheet=U0&amp;row=1262&amp;col=7&amp;number=0.0084&amp;sourceID=14","0.0084")</f>
        <v>0.0084</v>
      </c>
    </row>
    <row r="1263" spans="1:7">
      <c r="A1263" s="3"/>
      <c r="B1263" s="3"/>
      <c r="C1263" s="3"/>
      <c r="D1263" s="3"/>
      <c r="E1263" s="3">
        <v>20</v>
      </c>
      <c r="F1263" s="4" t="str">
        <f>HYPERLINK("http://141.218.60.56/~jnz1568/getInfo.php?workbook=13_02.xlsx&amp;sheet=U0&amp;row=1263&amp;col=6&amp;number=4.9&amp;sourceID=14","4.9")</f>
        <v>4.9</v>
      </c>
      <c r="G1263" s="4" t="str">
        <f>HYPERLINK("http://141.218.60.56/~jnz1568/getInfo.php?workbook=13_02.xlsx&amp;sheet=U0&amp;row=1263&amp;col=7&amp;number=0.00843&amp;sourceID=14","0.00843")</f>
        <v>0.00843</v>
      </c>
    </row>
    <row r="1264" spans="1:7">
      <c r="A1264" s="3">
        <v>13</v>
      </c>
      <c r="B1264" s="3">
        <v>2</v>
      </c>
      <c r="C1264" s="3" t="s">
        <v>85</v>
      </c>
      <c r="D1264" s="3">
        <v>3</v>
      </c>
      <c r="E1264" s="3">
        <v>1</v>
      </c>
      <c r="F1264" s="4" t="str">
        <f>HYPERLINK("http://141.218.60.56/~jnz1568/getInfo.php?workbook=13_02.xlsx&amp;sheet=U0&amp;row=1264&amp;col=6&amp;number=3&amp;sourceID=14","3")</f>
        <v>3</v>
      </c>
      <c r="G1264" s="4" t="str">
        <f>HYPERLINK("http://141.218.60.56/~jnz1568/getInfo.php?workbook=13_02.xlsx&amp;sheet=U0&amp;row=1264&amp;col=7&amp;number=0.00201&amp;sourceID=14","0.00201")</f>
        <v>0.00201</v>
      </c>
    </row>
    <row r="1265" spans="1:7">
      <c r="A1265" s="3"/>
      <c r="B1265" s="3"/>
      <c r="C1265" s="3"/>
      <c r="D1265" s="3"/>
      <c r="E1265" s="3">
        <v>2</v>
      </c>
      <c r="F1265" s="4" t="str">
        <f>HYPERLINK("http://141.218.60.56/~jnz1568/getInfo.php?workbook=13_02.xlsx&amp;sheet=U0&amp;row=1265&amp;col=6&amp;number=3.1&amp;sourceID=14","3.1")</f>
        <v>3.1</v>
      </c>
      <c r="G1265" s="4" t="str">
        <f>HYPERLINK("http://141.218.60.56/~jnz1568/getInfo.php?workbook=13_02.xlsx&amp;sheet=U0&amp;row=1265&amp;col=7&amp;number=0.00201&amp;sourceID=14","0.00201")</f>
        <v>0.00201</v>
      </c>
    </row>
    <row r="1266" spans="1:7">
      <c r="A1266" s="3"/>
      <c r="B1266" s="3"/>
      <c r="C1266" s="3"/>
      <c r="D1266" s="3"/>
      <c r="E1266" s="3">
        <v>3</v>
      </c>
      <c r="F1266" s="4" t="str">
        <f>HYPERLINK("http://141.218.60.56/~jnz1568/getInfo.php?workbook=13_02.xlsx&amp;sheet=U0&amp;row=1266&amp;col=6&amp;number=3.2&amp;sourceID=14","3.2")</f>
        <v>3.2</v>
      </c>
      <c r="G1266" s="4" t="str">
        <f>HYPERLINK("http://141.218.60.56/~jnz1568/getInfo.php?workbook=13_02.xlsx&amp;sheet=U0&amp;row=1266&amp;col=7&amp;number=0.00201&amp;sourceID=14","0.00201")</f>
        <v>0.00201</v>
      </c>
    </row>
    <row r="1267" spans="1:7">
      <c r="A1267" s="3"/>
      <c r="B1267" s="3"/>
      <c r="C1267" s="3"/>
      <c r="D1267" s="3"/>
      <c r="E1267" s="3">
        <v>4</v>
      </c>
      <c r="F1267" s="4" t="str">
        <f>HYPERLINK("http://141.218.60.56/~jnz1568/getInfo.php?workbook=13_02.xlsx&amp;sheet=U0&amp;row=1267&amp;col=6&amp;number=3.3&amp;sourceID=14","3.3")</f>
        <v>3.3</v>
      </c>
      <c r="G1267" s="4" t="str">
        <f>HYPERLINK("http://141.218.60.56/~jnz1568/getInfo.php?workbook=13_02.xlsx&amp;sheet=U0&amp;row=1267&amp;col=7&amp;number=0.002&amp;sourceID=14","0.002")</f>
        <v>0.002</v>
      </c>
    </row>
    <row r="1268" spans="1:7">
      <c r="A1268" s="3"/>
      <c r="B1268" s="3"/>
      <c r="C1268" s="3"/>
      <c r="D1268" s="3"/>
      <c r="E1268" s="3">
        <v>5</v>
      </c>
      <c r="F1268" s="4" t="str">
        <f>HYPERLINK("http://141.218.60.56/~jnz1568/getInfo.php?workbook=13_02.xlsx&amp;sheet=U0&amp;row=1268&amp;col=6&amp;number=3.4&amp;sourceID=14","3.4")</f>
        <v>3.4</v>
      </c>
      <c r="G1268" s="4" t="str">
        <f>HYPERLINK("http://141.218.60.56/~jnz1568/getInfo.php?workbook=13_02.xlsx&amp;sheet=U0&amp;row=1268&amp;col=7&amp;number=0.002&amp;sourceID=14","0.002")</f>
        <v>0.002</v>
      </c>
    </row>
    <row r="1269" spans="1:7">
      <c r="A1269" s="3"/>
      <c r="B1269" s="3"/>
      <c r="C1269" s="3"/>
      <c r="D1269" s="3"/>
      <c r="E1269" s="3">
        <v>6</v>
      </c>
      <c r="F1269" s="4" t="str">
        <f>HYPERLINK("http://141.218.60.56/~jnz1568/getInfo.php?workbook=13_02.xlsx&amp;sheet=U0&amp;row=1269&amp;col=6&amp;number=3.5&amp;sourceID=14","3.5")</f>
        <v>3.5</v>
      </c>
      <c r="G1269" s="4" t="str">
        <f>HYPERLINK("http://141.218.60.56/~jnz1568/getInfo.php?workbook=13_02.xlsx&amp;sheet=U0&amp;row=1269&amp;col=7&amp;number=0.002&amp;sourceID=14","0.002")</f>
        <v>0.002</v>
      </c>
    </row>
    <row r="1270" spans="1:7">
      <c r="A1270" s="3"/>
      <c r="B1270" s="3"/>
      <c r="C1270" s="3"/>
      <c r="D1270" s="3"/>
      <c r="E1270" s="3">
        <v>7</v>
      </c>
      <c r="F1270" s="4" t="str">
        <f>HYPERLINK("http://141.218.60.56/~jnz1568/getInfo.php?workbook=13_02.xlsx&amp;sheet=U0&amp;row=1270&amp;col=6&amp;number=3.6&amp;sourceID=14","3.6")</f>
        <v>3.6</v>
      </c>
      <c r="G1270" s="4" t="str">
        <f>HYPERLINK("http://141.218.60.56/~jnz1568/getInfo.php?workbook=13_02.xlsx&amp;sheet=U0&amp;row=1270&amp;col=7&amp;number=0.002&amp;sourceID=14","0.002")</f>
        <v>0.002</v>
      </c>
    </row>
    <row r="1271" spans="1:7">
      <c r="A1271" s="3"/>
      <c r="B1271" s="3"/>
      <c r="C1271" s="3"/>
      <c r="D1271" s="3"/>
      <c r="E1271" s="3">
        <v>8</v>
      </c>
      <c r="F1271" s="4" t="str">
        <f>HYPERLINK("http://141.218.60.56/~jnz1568/getInfo.php?workbook=13_02.xlsx&amp;sheet=U0&amp;row=1271&amp;col=6&amp;number=3.7&amp;sourceID=14","3.7")</f>
        <v>3.7</v>
      </c>
      <c r="G1271" s="4" t="str">
        <f>HYPERLINK("http://141.218.60.56/~jnz1568/getInfo.php?workbook=13_02.xlsx&amp;sheet=U0&amp;row=1271&amp;col=7&amp;number=0.002&amp;sourceID=14","0.002")</f>
        <v>0.002</v>
      </c>
    </row>
    <row r="1272" spans="1:7">
      <c r="A1272" s="3"/>
      <c r="B1272" s="3"/>
      <c r="C1272" s="3"/>
      <c r="D1272" s="3"/>
      <c r="E1272" s="3">
        <v>9</v>
      </c>
      <c r="F1272" s="4" t="str">
        <f>HYPERLINK("http://141.218.60.56/~jnz1568/getInfo.php?workbook=13_02.xlsx&amp;sheet=U0&amp;row=1272&amp;col=6&amp;number=3.8&amp;sourceID=14","3.8")</f>
        <v>3.8</v>
      </c>
      <c r="G1272" s="4" t="str">
        <f>HYPERLINK("http://141.218.60.56/~jnz1568/getInfo.php?workbook=13_02.xlsx&amp;sheet=U0&amp;row=1272&amp;col=7&amp;number=0.002&amp;sourceID=14","0.002")</f>
        <v>0.002</v>
      </c>
    </row>
    <row r="1273" spans="1:7">
      <c r="A1273" s="3"/>
      <c r="B1273" s="3"/>
      <c r="C1273" s="3"/>
      <c r="D1273" s="3"/>
      <c r="E1273" s="3">
        <v>10</v>
      </c>
      <c r="F1273" s="4" t="str">
        <f>HYPERLINK("http://141.218.60.56/~jnz1568/getInfo.php?workbook=13_02.xlsx&amp;sheet=U0&amp;row=1273&amp;col=6&amp;number=3.9&amp;sourceID=14","3.9")</f>
        <v>3.9</v>
      </c>
      <c r="G1273" s="4" t="str">
        <f>HYPERLINK("http://141.218.60.56/~jnz1568/getInfo.php?workbook=13_02.xlsx&amp;sheet=U0&amp;row=1273&amp;col=7&amp;number=0.002&amp;sourceID=14","0.002")</f>
        <v>0.002</v>
      </c>
    </row>
    <row r="1274" spans="1:7">
      <c r="A1274" s="3"/>
      <c r="B1274" s="3"/>
      <c r="C1274" s="3"/>
      <c r="D1274" s="3"/>
      <c r="E1274" s="3">
        <v>11</v>
      </c>
      <c r="F1274" s="4" t="str">
        <f>HYPERLINK("http://141.218.60.56/~jnz1568/getInfo.php?workbook=13_02.xlsx&amp;sheet=U0&amp;row=1274&amp;col=6&amp;number=4&amp;sourceID=14","4")</f>
        <v>4</v>
      </c>
      <c r="G1274" s="4" t="str">
        <f>HYPERLINK("http://141.218.60.56/~jnz1568/getInfo.php?workbook=13_02.xlsx&amp;sheet=U0&amp;row=1274&amp;col=7&amp;number=0.002&amp;sourceID=14","0.002")</f>
        <v>0.002</v>
      </c>
    </row>
    <row r="1275" spans="1:7">
      <c r="A1275" s="3"/>
      <c r="B1275" s="3"/>
      <c r="C1275" s="3"/>
      <c r="D1275" s="3"/>
      <c r="E1275" s="3">
        <v>12</v>
      </c>
      <c r="F1275" s="4" t="str">
        <f>HYPERLINK("http://141.218.60.56/~jnz1568/getInfo.php?workbook=13_02.xlsx&amp;sheet=U0&amp;row=1275&amp;col=6&amp;number=4.1&amp;sourceID=14","4.1")</f>
        <v>4.1</v>
      </c>
      <c r="G1275" s="4" t="str">
        <f>HYPERLINK("http://141.218.60.56/~jnz1568/getInfo.php?workbook=13_02.xlsx&amp;sheet=U0&amp;row=1275&amp;col=7&amp;number=0.002&amp;sourceID=14","0.002")</f>
        <v>0.002</v>
      </c>
    </row>
    <row r="1276" spans="1:7">
      <c r="A1276" s="3"/>
      <c r="B1276" s="3"/>
      <c r="C1276" s="3"/>
      <c r="D1276" s="3"/>
      <c r="E1276" s="3">
        <v>13</v>
      </c>
      <c r="F1276" s="4" t="str">
        <f>HYPERLINK("http://141.218.60.56/~jnz1568/getInfo.php?workbook=13_02.xlsx&amp;sheet=U0&amp;row=1276&amp;col=6&amp;number=4.2&amp;sourceID=14","4.2")</f>
        <v>4.2</v>
      </c>
      <c r="G1276" s="4" t="str">
        <f>HYPERLINK("http://141.218.60.56/~jnz1568/getInfo.php?workbook=13_02.xlsx&amp;sheet=U0&amp;row=1276&amp;col=7&amp;number=0.002&amp;sourceID=14","0.002")</f>
        <v>0.002</v>
      </c>
    </row>
    <row r="1277" spans="1:7">
      <c r="A1277" s="3"/>
      <c r="B1277" s="3"/>
      <c r="C1277" s="3"/>
      <c r="D1277" s="3"/>
      <c r="E1277" s="3">
        <v>14</v>
      </c>
      <c r="F1277" s="4" t="str">
        <f>HYPERLINK("http://141.218.60.56/~jnz1568/getInfo.php?workbook=13_02.xlsx&amp;sheet=U0&amp;row=1277&amp;col=6&amp;number=4.3&amp;sourceID=14","4.3")</f>
        <v>4.3</v>
      </c>
      <c r="G1277" s="4" t="str">
        <f>HYPERLINK("http://141.218.60.56/~jnz1568/getInfo.php?workbook=13_02.xlsx&amp;sheet=U0&amp;row=1277&amp;col=7&amp;number=0.002&amp;sourceID=14","0.002")</f>
        <v>0.002</v>
      </c>
    </row>
    <row r="1278" spans="1:7">
      <c r="A1278" s="3"/>
      <c r="B1278" s="3"/>
      <c r="C1278" s="3"/>
      <c r="D1278" s="3"/>
      <c r="E1278" s="3">
        <v>15</v>
      </c>
      <c r="F1278" s="4" t="str">
        <f>HYPERLINK("http://141.218.60.56/~jnz1568/getInfo.php?workbook=13_02.xlsx&amp;sheet=U0&amp;row=1278&amp;col=6&amp;number=4.4&amp;sourceID=14","4.4")</f>
        <v>4.4</v>
      </c>
      <c r="G1278" s="4" t="str">
        <f>HYPERLINK("http://141.218.60.56/~jnz1568/getInfo.php?workbook=13_02.xlsx&amp;sheet=U0&amp;row=1278&amp;col=7&amp;number=0.00199&amp;sourceID=14","0.00199")</f>
        <v>0.00199</v>
      </c>
    </row>
    <row r="1279" spans="1:7">
      <c r="A1279" s="3"/>
      <c r="B1279" s="3"/>
      <c r="C1279" s="3"/>
      <c r="D1279" s="3"/>
      <c r="E1279" s="3">
        <v>16</v>
      </c>
      <c r="F1279" s="4" t="str">
        <f>HYPERLINK("http://141.218.60.56/~jnz1568/getInfo.php?workbook=13_02.xlsx&amp;sheet=U0&amp;row=1279&amp;col=6&amp;number=4.5&amp;sourceID=14","4.5")</f>
        <v>4.5</v>
      </c>
      <c r="G1279" s="4" t="str">
        <f>HYPERLINK("http://141.218.60.56/~jnz1568/getInfo.php?workbook=13_02.xlsx&amp;sheet=U0&amp;row=1279&amp;col=7&amp;number=0.00199&amp;sourceID=14","0.00199")</f>
        <v>0.00199</v>
      </c>
    </row>
    <row r="1280" spans="1:7">
      <c r="A1280" s="3"/>
      <c r="B1280" s="3"/>
      <c r="C1280" s="3"/>
      <c r="D1280" s="3"/>
      <c r="E1280" s="3">
        <v>17</v>
      </c>
      <c r="F1280" s="4" t="str">
        <f>HYPERLINK("http://141.218.60.56/~jnz1568/getInfo.php?workbook=13_02.xlsx&amp;sheet=U0&amp;row=1280&amp;col=6&amp;number=4.6&amp;sourceID=14","4.6")</f>
        <v>4.6</v>
      </c>
      <c r="G1280" s="4" t="str">
        <f>HYPERLINK("http://141.218.60.56/~jnz1568/getInfo.php?workbook=13_02.xlsx&amp;sheet=U0&amp;row=1280&amp;col=7&amp;number=0.00199&amp;sourceID=14","0.00199")</f>
        <v>0.00199</v>
      </c>
    </row>
    <row r="1281" spans="1:7">
      <c r="A1281" s="3"/>
      <c r="B1281" s="3"/>
      <c r="C1281" s="3"/>
      <c r="D1281" s="3"/>
      <c r="E1281" s="3">
        <v>18</v>
      </c>
      <c r="F1281" s="4" t="str">
        <f>HYPERLINK("http://141.218.60.56/~jnz1568/getInfo.php?workbook=13_02.xlsx&amp;sheet=U0&amp;row=1281&amp;col=6&amp;number=4.7&amp;sourceID=14","4.7")</f>
        <v>4.7</v>
      </c>
      <c r="G1281" s="4" t="str">
        <f>HYPERLINK("http://141.218.60.56/~jnz1568/getInfo.php?workbook=13_02.xlsx&amp;sheet=U0&amp;row=1281&amp;col=7&amp;number=0.00198&amp;sourceID=14","0.00198")</f>
        <v>0.00198</v>
      </c>
    </row>
    <row r="1282" spans="1:7">
      <c r="A1282" s="3"/>
      <c r="B1282" s="3"/>
      <c r="C1282" s="3"/>
      <c r="D1282" s="3"/>
      <c r="E1282" s="3">
        <v>19</v>
      </c>
      <c r="F1282" s="4" t="str">
        <f>HYPERLINK("http://141.218.60.56/~jnz1568/getInfo.php?workbook=13_02.xlsx&amp;sheet=U0&amp;row=1282&amp;col=6&amp;number=4.8&amp;sourceID=14","4.8")</f>
        <v>4.8</v>
      </c>
      <c r="G1282" s="4" t="str">
        <f>HYPERLINK("http://141.218.60.56/~jnz1568/getInfo.php?workbook=13_02.xlsx&amp;sheet=U0&amp;row=1282&amp;col=7&amp;number=0.00198&amp;sourceID=14","0.00198")</f>
        <v>0.00198</v>
      </c>
    </row>
    <row r="1283" spans="1:7">
      <c r="A1283" s="3"/>
      <c r="B1283" s="3"/>
      <c r="C1283" s="3"/>
      <c r="D1283" s="3"/>
      <c r="E1283" s="3">
        <v>20</v>
      </c>
      <c r="F1283" s="4" t="str">
        <f>HYPERLINK("http://141.218.60.56/~jnz1568/getInfo.php?workbook=13_02.xlsx&amp;sheet=U0&amp;row=1283&amp;col=6&amp;number=4.9&amp;sourceID=14","4.9")</f>
        <v>4.9</v>
      </c>
      <c r="G1283" s="4" t="str">
        <f>HYPERLINK("http://141.218.60.56/~jnz1568/getInfo.php?workbook=13_02.xlsx&amp;sheet=U0&amp;row=1283&amp;col=7&amp;number=0.00197&amp;sourceID=14","0.00197")</f>
        <v>0.00197</v>
      </c>
    </row>
    <row r="1284" spans="1:7">
      <c r="A1284" s="3">
        <v>13</v>
      </c>
      <c r="B1284" s="3">
        <v>2</v>
      </c>
      <c r="C1284" s="3" t="s">
        <v>85</v>
      </c>
      <c r="D1284" s="3">
        <v>4</v>
      </c>
      <c r="E1284" s="3">
        <v>1</v>
      </c>
      <c r="F1284" s="4" t="str">
        <f>HYPERLINK("http://141.218.60.56/~jnz1568/getInfo.php?workbook=13_02.xlsx&amp;sheet=U0&amp;row=1284&amp;col=6&amp;number=3&amp;sourceID=14","3")</f>
        <v>3</v>
      </c>
      <c r="G1284" s="4" t="str">
        <f>HYPERLINK("http://141.218.60.56/~jnz1568/getInfo.php?workbook=13_02.xlsx&amp;sheet=U0&amp;row=1284&amp;col=7&amp;number=0.0038&amp;sourceID=14","0.0038")</f>
        <v>0.0038</v>
      </c>
    </row>
    <row r="1285" spans="1:7">
      <c r="A1285" s="3"/>
      <c r="B1285" s="3"/>
      <c r="C1285" s="3"/>
      <c r="D1285" s="3"/>
      <c r="E1285" s="3">
        <v>2</v>
      </c>
      <c r="F1285" s="4" t="str">
        <f>HYPERLINK("http://141.218.60.56/~jnz1568/getInfo.php?workbook=13_02.xlsx&amp;sheet=U0&amp;row=1285&amp;col=6&amp;number=3.1&amp;sourceID=14","3.1")</f>
        <v>3.1</v>
      </c>
      <c r="G1285" s="4" t="str">
        <f>HYPERLINK("http://141.218.60.56/~jnz1568/getInfo.php?workbook=13_02.xlsx&amp;sheet=U0&amp;row=1285&amp;col=7&amp;number=0.0038&amp;sourceID=14","0.0038")</f>
        <v>0.0038</v>
      </c>
    </row>
    <row r="1286" spans="1:7">
      <c r="A1286" s="3"/>
      <c r="B1286" s="3"/>
      <c r="C1286" s="3"/>
      <c r="D1286" s="3"/>
      <c r="E1286" s="3">
        <v>3</v>
      </c>
      <c r="F1286" s="4" t="str">
        <f>HYPERLINK("http://141.218.60.56/~jnz1568/getInfo.php?workbook=13_02.xlsx&amp;sheet=U0&amp;row=1286&amp;col=6&amp;number=3.2&amp;sourceID=14","3.2")</f>
        <v>3.2</v>
      </c>
      <c r="G1286" s="4" t="str">
        <f>HYPERLINK("http://141.218.60.56/~jnz1568/getInfo.php?workbook=13_02.xlsx&amp;sheet=U0&amp;row=1286&amp;col=7&amp;number=0.0038&amp;sourceID=14","0.0038")</f>
        <v>0.0038</v>
      </c>
    </row>
    <row r="1287" spans="1:7">
      <c r="A1287" s="3"/>
      <c r="B1287" s="3"/>
      <c r="C1287" s="3"/>
      <c r="D1287" s="3"/>
      <c r="E1287" s="3">
        <v>4</v>
      </c>
      <c r="F1287" s="4" t="str">
        <f>HYPERLINK("http://141.218.60.56/~jnz1568/getInfo.php?workbook=13_02.xlsx&amp;sheet=U0&amp;row=1287&amp;col=6&amp;number=3.3&amp;sourceID=14","3.3")</f>
        <v>3.3</v>
      </c>
      <c r="G1287" s="4" t="str">
        <f>HYPERLINK("http://141.218.60.56/~jnz1568/getInfo.php?workbook=13_02.xlsx&amp;sheet=U0&amp;row=1287&amp;col=7&amp;number=0.0038&amp;sourceID=14","0.0038")</f>
        <v>0.0038</v>
      </c>
    </row>
    <row r="1288" spans="1:7">
      <c r="A1288" s="3"/>
      <c r="B1288" s="3"/>
      <c r="C1288" s="3"/>
      <c r="D1288" s="3"/>
      <c r="E1288" s="3">
        <v>5</v>
      </c>
      <c r="F1288" s="4" t="str">
        <f>HYPERLINK("http://141.218.60.56/~jnz1568/getInfo.php?workbook=13_02.xlsx&amp;sheet=U0&amp;row=1288&amp;col=6&amp;number=3.4&amp;sourceID=14","3.4")</f>
        <v>3.4</v>
      </c>
      <c r="G1288" s="4" t="str">
        <f>HYPERLINK("http://141.218.60.56/~jnz1568/getInfo.php?workbook=13_02.xlsx&amp;sheet=U0&amp;row=1288&amp;col=7&amp;number=0.0038&amp;sourceID=14","0.0038")</f>
        <v>0.0038</v>
      </c>
    </row>
    <row r="1289" spans="1:7">
      <c r="A1289" s="3"/>
      <c r="B1289" s="3"/>
      <c r="C1289" s="3"/>
      <c r="D1289" s="3"/>
      <c r="E1289" s="3">
        <v>6</v>
      </c>
      <c r="F1289" s="4" t="str">
        <f>HYPERLINK("http://141.218.60.56/~jnz1568/getInfo.php?workbook=13_02.xlsx&amp;sheet=U0&amp;row=1289&amp;col=6&amp;number=3.5&amp;sourceID=14","3.5")</f>
        <v>3.5</v>
      </c>
      <c r="G1289" s="4" t="str">
        <f>HYPERLINK("http://141.218.60.56/~jnz1568/getInfo.php?workbook=13_02.xlsx&amp;sheet=U0&amp;row=1289&amp;col=7&amp;number=0.0038&amp;sourceID=14","0.0038")</f>
        <v>0.0038</v>
      </c>
    </row>
    <row r="1290" spans="1:7">
      <c r="A1290" s="3"/>
      <c r="B1290" s="3"/>
      <c r="C1290" s="3"/>
      <c r="D1290" s="3"/>
      <c r="E1290" s="3">
        <v>7</v>
      </c>
      <c r="F1290" s="4" t="str">
        <f>HYPERLINK("http://141.218.60.56/~jnz1568/getInfo.php?workbook=13_02.xlsx&amp;sheet=U0&amp;row=1290&amp;col=6&amp;number=3.6&amp;sourceID=14","3.6")</f>
        <v>3.6</v>
      </c>
      <c r="G1290" s="4" t="str">
        <f>HYPERLINK("http://141.218.60.56/~jnz1568/getInfo.php?workbook=13_02.xlsx&amp;sheet=U0&amp;row=1290&amp;col=7&amp;number=0.0038&amp;sourceID=14","0.0038")</f>
        <v>0.0038</v>
      </c>
    </row>
    <row r="1291" spans="1:7">
      <c r="A1291" s="3"/>
      <c r="B1291" s="3"/>
      <c r="C1291" s="3"/>
      <c r="D1291" s="3"/>
      <c r="E1291" s="3">
        <v>8</v>
      </c>
      <c r="F1291" s="4" t="str">
        <f>HYPERLINK("http://141.218.60.56/~jnz1568/getInfo.php?workbook=13_02.xlsx&amp;sheet=U0&amp;row=1291&amp;col=6&amp;number=3.7&amp;sourceID=14","3.7")</f>
        <v>3.7</v>
      </c>
      <c r="G1291" s="4" t="str">
        <f>HYPERLINK("http://141.218.60.56/~jnz1568/getInfo.php?workbook=13_02.xlsx&amp;sheet=U0&amp;row=1291&amp;col=7&amp;number=0.0038&amp;sourceID=14","0.0038")</f>
        <v>0.0038</v>
      </c>
    </row>
    <row r="1292" spans="1:7">
      <c r="A1292" s="3"/>
      <c r="B1292" s="3"/>
      <c r="C1292" s="3"/>
      <c r="D1292" s="3"/>
      <c r="E1292" s="3">
        <v>9</v>
      </c>
      <c r="F1292" s="4" t="str">
        <f>HYPERLINK("http://141.218.60.56/~jnz1568/getInfo.php?workbook=13_02.xlsx&amp;sheet=U0&amp;row=1292&amp;col=6&amp;number=3.8&amp;sourceID=14","3.8")</f>
        <v>3.8</v>
      </c>
      <c r="G1292" s="4" t="str">
        <f>HYPERLINK("http://141.218.60.56/~jnz1568/getInfo.php?workbook=13_02.xlsx&amp;sheet=U0&amp;row=1292&amp;col=7&amp;number=0.0038&amp;sourceID=14","0.0038")</f>
        <v>0.0038</v>
      </c>
    </row>
    <row r="1293" spans="1:7">
      <c r="A1293" s="3"/>
      <c r="B1293" s="3"/>
      <c r="C1293" s="3"/>
      <c r="D1293" s="3"/>
      <c r="E1293" s="3">
        <v>10</v>
      </c>
      <c r="F1293" s="4" t="str">
        <f>HYPERLINK("http://141.218.60.56/~jnz1568/getInfo.php?workbook=13_02.xlsx&amp;sheet=U0&amp;row=1293&amp;col=6&amp;number=3.9&amp;sourceID=14","3.9")</f>
        <v>3.9</v>
      </c>
      <c r="G1293" s="4" t="str">
        <f>HYPERLINK("http://141.218.60.56/~jnz1568/getInfo.php?workbook=13_02.xlsx&amp;sheet=U0&amp;row=1293&amp;col=7&amp;number=0.0038&amp;sourceID=14","0.0038")</f>
        <v>0.0038</v>
      </c>
    </row>
    <row r="1294" spans="1:7">
      <c r="A1294" s="3"/>
      <c r="B1294" s="3"/>
      <c r="C1294" s="3"/>
      <c r="D1294" s="3"/>
      <c r="E1294" s="3">
        <v>11</v>
      </c>
      <c r="F1294" s="4" t="str">
        <f>HYPERLINK("http://141.218.60.56/~jnz1568/getInfo.php?workbook=13_02.xlsx&amp;sheet=U0&amp;row=1294&amp;col=6&amp;number=4&amp;sourceID=14","4")</f>
        <v>4</v>
      </c>
      <c r="G1294" s="4" t="str">
        <f>HYPERLINK("http://141.218.60.56/~jnz1568/getInfo.php?workbook=13_02.xlsx&amp;sheet=U0&amp;row=1294&amp;col=7&amp;number=0.0038&amp;sourceID=14","0.0038")</f>
        <v>0.0038</v>
      </c>
    </row>
    <row r="1295" spans="1:7">
      <c r="A1295" s="3"/>
      <c r="B1295" s="3"/>
      <c r="C1295" s="3"/>
      <c r="D1295" s="3"/>
      <c r="E1295" s="3">
        <v>12</v>
      </c>
      <c r="F1295" s="4" t="str">
        <f>HYPERLINK("http://141.218.60.56/~jnz1568/getInfo.php?workbook=13_02.xlsx&amp;sheet=U0&amp;row=1295&amp;col=6&amp;number=4.1&amp;sourceID=14","4.1")</f>
        <v>4.1</v>
      </c>
      <c r="G1295" s="4" t="str">
        <f>HYPERLINK("http://141.218.60.56/~jnz1568/getInfo.php?workbook=13_02.xlsx&amp;sheet=U0&amp;row=1295&amp;col=7&amp;number=0.0038&amp;sourceID=14","0.0038")</f>
        <v>0.0038</v>
      </c>
    </row>
    <row r="1296" spans="1:7">
      <c r="A1296" s="3"/>
      <c r="B1296" s="3"/>
      <c r="C1296" s="3"/>
      <c r="D1296" s="3"/>
      <c r="E1296" s="3">
        <v>13</v>
      </c>
      <c r="F1296" s="4" t="str">
        <f>HYPERLINK("http://141.218.60.56/~jnz1568/getInfo.php?workbook=13_02.xlsx&amp;sheet=U0&amp;row=1296&amp;col=6&amp;number=4.2&amp;sourceID=14","4.2")</f>
        <v>4.2</v>
      </c>
      <c r="G1296" s="4" t="str">
        <f>HYPERLINK("http://141.218.60.56/~jnz1568/getInfo.php?workbook=13_02.xlsx&amp;sheet=U0&amp;row=1296&amp;col=7&amp;number=0.0038&amp;sourceID=14","0.0038")</f>
        <v>0.0038</v>
      </c>
    </row>
    <row r="1297" spans="1:7">
      <c r="A1297" s="3"/>
      <c r="B1297" s="3"/>
      <c r="C1297" s="3"/>
      <c r="D1297" s="3"/>
      <c r="E1297" s="3">
        <v>14</v>
      </c>
      <c r="F1297" s="4" t="str">
        <f>HYPERLINK("http://141.218.60.56/~jnz1568/getInfo.php?workbook=13_02.xlsx&amp;sheet=U0&amp;row=1297&amp;col=6&amp;number=4.3&amp;sourceID=14","4.3")</f>
        <v>4.3</v>
      </c>
      <c r="G1297" s="4" t="str">
        <f>HYPERLINK("http://141.218.60.56/~jnz1568/getInfo.php?workbook=13_02.xlsx&amp;sheet=U0&amp;row=1297&amp;col=7&amp;number=0.0038&amp;sourceID=14","0.0038")</f>
        <v>0.0038</v>
      </c>
    </row>
    <row r="1298" spans="1:7">
      <c r="A1298" s="3"/>
      <c r="B1298" s="3"/>
      <c r="C1298" s="3"/>
      <c r="D1298" s="3"/>
      <c r="E1298" s="3">
        <v>15</v>
      </c>
      <c r="F1298" s="4" t="str">
        <f>HYPERLINK("http://141.218.60.56/~jnz1568/getInfo.php?workbook=13_02.xlsx&amp;sheet=U0&amp;row=1298&amp;col=6&amp;number=4.4&amp;sourceID=14","4.4")</f>
        <v>4.4</v>
      </c>
      <c r="G1298" s="4" t="str">
        <f>HYPERLINK("http://141.218.60.56/~jnz1568/getInfo.php?workbook=13_02.xlsx&amp;sheet=U0&amp;row=1298&amp;col=7&amp;number=0.0038&amp;sourceID=14","0.0038")</f>
        <v>0.0038</v>
      </c>
    </row>
    <row r="1299" spans="1:7">
      <c r="A1299" s="3"/>
      <c r="B1299" s="3"/>
      <c r="C1299" s="3"/>
      <c r="D1299" s="3"/>
      <c r="E1299" s="3">
        <v>16</v>
      </c>
      <c r="F1299" s="4" t="str">
        <f>HYPERLINK("http://141.218.60.56/~jnz1568/getInfo.php?workbook=13_02.xlsx&amp;sheet=U0&amp;row=1299&amp;col=6&amp;number=4.5&amp;sourceID=14","4.5")</f>
        <v>4.5</v>
      </c>
      <c r="G1299" s="4" t="str">
        <f>HYPERLINK("http://141.218.60.56/~jnz1568/getInfo.php?workbook=13_02.xlsx&amp;sheet=U0&amp;row=1299&amp;col=7&amp;number=0.0038&amp;sourceID=14","0.0038")</f>
        <v>0.0038</v>
      </c>
    </row>
    <row r="1300" spans="1:7">
      <c r="A1300" s="3"/>
      <c r="B1300" s="3"/>
      <c r="C1300" s="3"/>
      <c r="D1300" s="3"/>
      <c r="E1300" s="3">
        <v>17</v>
      </c>
      <c r="F1300" s="4" t="str">
        <f>HYPERLINK("http://141.218.60.56/~jnz1568/getInfo.php?workbook=13_02.xlsx&amp;sheet=U0&amp;row=1300&amp;col=6&amp;number=4.6&amp;sourceID=14","4.6")</f>
        <v>4.6</v>
      </c>
      <c r="G1300" s="4" t="str">
        <f>HYPERLINK("http://141.218.60.56/~jnz1568/getInfo.php?workbook=13_02.xlsx&amp;sheet=U0&amp;row=1300&amp;col=7&amp;number=0.0038&amp;sourceID=14","0.0038")</f>
        <v>0.0038</v>
      </c>
    </row>
    <row r="1301" spans="1:7">
      <c r="A1301" s="3"/>
      <c r="B1301" s="3"/>
      <c r="C1301" s="3"/>
      <c r="D1301" s="3"/>
      <c r="E1301" s="3">
        <v>18</v>
      </c>
      <c r="F1301" s="4" t="str">
        <f>HYPERLINK("http://141.218.60.56/~jnz1568/getInfo.php?workbook=13_02.xlsx&amp;sheet=U0&amp;row=1301&amp;col=6&amp;number=4.7&amp;sourceID=14","4.7")</f>
        <v>4.7</v>
      </c>
      <c r="G1301" s="4" t="str">
        <f>HYPERLINK("http://141.218.60.56/~jnz1568/getInfo.php?workbook=13_02.xlsx&amp;sheet=U0&amp;row=1301&amp;col=7&amp;number=0.0038&amp;sourceID=14","0.0038")</f>
        <v>0.0038</v>
      </c>
    </row>
    <row r="1302" spans="1:7">
      <c r="A1302" s="3"/>
      <c r="B1302" s="3"/>
      <c r="C1302" s="3"/>
      <c r="D1302" s="3"/>
      <c r="E1302" s="3">
        <v>19</v>
      </c>
      <c r="F1302" s="4" t="str">
        <f>HYPERLINK("http://141.218.60.56/~jnz1568/getInfo.php?workbook=13_02.xlsx&amp;sheet=U0&amp;row=1302&amp;col=6&amp;number=4.8&amp;sourceID=14","4.8")</f>
        <v>4.8</v>
      </c>
      <c r="G1302" s="4" t="str">
        <f>HYPERLINK("http://141.218.60.56/~jnz1568/getInfo.php?workbook=13_02.xlsx&amp;sheet=U0&amp;row=1302&amp;col=7&amp;number=0.0038&amp;sourceID=14","0.0038")</f>
        <v>0.0038</v>
      </c>
    </row>
    <row r="1303" spans="1:7">
      <c r="A1303" s="3"/>
      <c r="B1303" s="3"/>
      <c r="C1303" s="3"/>
      <c r="D1303" s="3"/>
      <c r="E1303" s="3">
        <v>20</v>
      </c>
      <c r="F1303" s="4" t="str">
        <f>HYPERLINK("http://141.218.60.56/~jnz1568/getInfo.php?workbook=13_02.xlsx&amp;sheet=U0&amp;row=1303&amp;col=6&amp;number=4.9&amp;sourceID=14","4.9")</f>
        <v>4.9</v>
      </c>
      <c r="G1303" s="4" t="str">
        <f>HYPERLINK("http://141.218.60.56/~jnz1568/getInfo.php?workbook=13_02.xlsx&amp;sheet=U0&amp;row=1303&amp;col=7&amp;number=0.0038&amp;sourceID=14","0.0038")</f>
        <v>0.0038</v>
      </c>
    </row>
    <row r="1304" spans="1:7">
      <c r="A1304" s="3">
        <v>13</v>
      </c>
      <c r="B1304" s="3">
        <v>2</v>
      </c>
      <c r="C1304" s="3" t="s">
        <v>85</v>
      </c>
      <c r="D1304" s="3">
        <v>5</v>
      </c>
      <c r="E1304" s="3">
        <v>1</v>
      </c>
      <c r="F1304" s="4" t="str">
        <f>HYPERLINK("http://141.218.60.56/~jnz1568/getInfo.php?workbook=13_02.xlsx&amp;sheet=U0&amp;row=1304&amp;col=6&amp;number=3&amp;sourceID=14","3")</f>
        <v>3</v>
      </c>
      <c r="G1304" s="4" t="str">
        <f>HYPERLINK("http://141.218.60.56/~jnz1568/getInfo.php?workbook=13_02.xlsx&amp;sheet=U0&amp;row=1304&amp;col=7&amp;number=0.0086&amp;sourceID=14","0.0086")</f>
        <v>0.0086</v>
      </c>
    </row>
    <row r="1305" spans="1:7">
      <c r="A1305" s="3"/>
      <c r="B1305" s="3"/>
      <c r="C1305" s="3"/>
      <c r="D1305" s="3"/>
      <c r="E1305" s="3">
        <v>2</v>
      </c>
      <c r="F1305" s="4" t="str">
        <f>HYPERLINK("http://141.218.60.56/~jnz1568/getInfo.php?workbook=13_02.xlsx&amp;sheet=U0&amp;row=1305&amp;col=6&amp;number=3.1&amp;sourceID=14","3.1")</f>
        <v>3.1</v>
      </c>
      <c r="G1305" s="4" t="str">
        <f>HYPERLINK("http://141.218.60.56/~jnz1568/getInfo.php?workbook=13_02.xlsx&amp;sheet=U0&amp;row=1305&amp;col=7&amp;number=0.0086&amp;sourceID=14","0.0086")</f>
        <v>0.0086</v>
      </c>
    </row>
    <row r="1306" spans="1:7">
      <c r="A1306" s="3"/>
      <c r="B1306" s="3"/>
      <c r="C1306" s="3"/>
      <c r="D1306" s="3"/>
      <c r="E1306" s="3">
        <v>3</v>
      </c>
      <c r="F1306" s="4" t="str">
        <f>HYPERLINK("http://141.218.60.56/~jnz1568/getInfo.php?workbook=13_02.xlsx&amp;sheet=U0&amp;row=1306&amp;col=6&amp;number=3.2&amp;sourceID=14","3.2")</f>
        <v>3.2</v>
      </c>
      <c r="G1306" s="4" t="str">
        <f>HYPERLINK("http://141.218.60.56/~jnz1568/getInfo.php?workbook=13_02.xlsx&amp;sheet=U0&amp;row=1306&amp;col=7&amp;number=0.0086&amp;sourceID=14","0.0086")</f>
        <v>0.0086</v>
      </c>
    </row>
    <row r="1307" spans="1:7">
      <c r="A1307" s="3"/>
      <c r="B1307" s="3"/>
      <c r="C1307" s="3"/>
      <c r="D1307" s="3"/>
      <c r="E1307" s="3">
        <v>4</v>
      </c>
      <c r="F1307" s="4" t="str">
        <f>HYPERLINK("http://141.218.60.56/~jnz1568/getInfo.php?workbook=13_02.xlsx&amp;sheet=U0&amp;row=1307&amp;col=6&amp;number=3.3&amp;sourceID=14","3.3")</f>
        <v>3.3</v>
      </c>
      <c r="G1307" s="4" t="str">
        <f>HYPERLINK("http://141.218.60.56/~jnz1568/getInfo.php?workbook=13_02.xlsx&amp;sheet=U0&amp;row=1307&amp;col=7&amp;number=0.0086&amp;sourceID=14","0.0086")</f>
        <v>0.0086</v>
      </c>
    </row>
    <row r="1308" spans="1:7">
      <c r="A1308" s="3"/>
      <c r="B1308" s="3"/>
      <c r="C1308" s="3"/>
      <c r="D1308" s="3"/>
      <c r="E1308" s="3">
        <v>5</v>
      </c>
      <c r="F1308" s="4" t="str">
        <f>HYPERLINK("http://141.218.60.56/~jnz1568/getInfo.php?workbook=13_02.xlsx&amp;sheet=U0&amp;row=1308&amp;col=6&amp;number=3.4&amp;sourceID=14","3.4")</f>
        <v>3.4</v>
      </c>
      <c r="G1308" s="4" t="str">
        <f>HYPERLINK("http://141.218.60.56/~jnz1568/getInfo.php?workbook=13_02.xlsx&amp;sheet=U0&amp;row=1308&amp;col=7&amp;number=0.0086&amp;sourceID=14","0.0086")</f>
        <v>0.0086</v>
      </c>
    </row>
    <row r="1309" spans="1:7">
      <c r="A1309" s="3"/>
      <c r="B1309" s="3"/>
      <c r="C1309" s="3"/>
      <c r="D1309" s="3"/>
      <c r="E1309" s="3">
        <v>6</v>
      </c>
      <c r="F1309" s="4" t="str">
        <f>HYPERLINK("http://141.218.60.56/~jnz1568/getInfo.php?workbook=13_02.xlsx&amp;sheet=U0&amp;row=1309&amp;col=6&amp;number=3.5&amp;sourceID=14","3.5")</f>
        <v>3.5</v>
      </c>
      <c r="G1309" s="4" t="str">
        <f>HYPERLINK("http://141.218.60.56/~jnz1568/getInfo.php?workbook=13_02.xlsx&amp;sheet=U0&amp;row=1309&amp;col=7&amp;number=0.0086&amp;sourceID=14","0.0086")</f>
        <v>0.0086</v>
      </c>
    </row>
    <row r="1310" spans="1:7">
      <c r="A1310" s="3"/>
      <c r="B1310" s="3"/>
      <c r="C1310" s="3"/>
      <c r="D1310" s="3"/>
      <c r="E1310" s="3">
        <v>7</v>
      </c>
      <c r="F1310" s="4" t="str">
        <f>HYPERLINK("http://141.218.60.56/~jnz1568/getInfo.php?workbook=13_02.xlsx&amp;sheet=U0&amp;row=1310&amp;col=6&amp;number=3.6&amp;sourceID=14","3.6")</f>
        <v>3.6</v>
      </c>
      <c r="G1310" s="4" t="str">
        <f>HYPERLINK("http://141.218.60.56/~jnz1568/getInfo.php?workbook=13_02.xlsx&amp;sheet=U0&amp;row=1310&amp;col=7&amp;number=0.0086&amp;sourceID=14","0.0086")</f>
        <v>0.0086</v>
      </c>
    </row>
    <row r="1311" spans="1:7">
      <c r="A1311" s="3"/>
      <c r="B1311" s="3"/>
      <c r="C1311" s="3"/>
      <c r="D1311" s="3"/>
      <c r="E1311" s="3">
        <v>8</v>
      </c>
      <c r="F1311" s="4" t="str">
        <f>HYPERLINK("http://141.218.60.56/~jnz1568/getInfo.php?workbook=13_02.xlsx&amp;sheet=U0&amp;row=1311&amp;col=6&amp;number=3.7&amp;sourceID=14","3.7")</f>
        <v>3.7</v>
      </c>
      <c r="G1311" s="4" t="str">
        <f>HYPERLINK("http://141.218.60.56/~jnz1568/getInfo.php?workbook=13_02.xlsx&amp;sheet=U0&amp;row=1311&amp;col=7&amp;number=0.0086&amp;sourceID=14","0.0086")</f>
        <v>0.0086</v>
      </c>
    </row>
    <row r="1312" spans="1:7">
      <c r="A1312" s="3"/>
      <c r="B1312" s="3"/>
      <c r="C1312" s="3"/>
      <c r="D1312" s="3"/>
      <c r="E1312" s="3">
        <v>9</v>
      </c>
      <c r="F1312" s="4" t="str">
        <f>HYPERLINK("http://141.218.60.56/~jnz1568/getInfo.php?workbook=13_02.xlsx&amp;sheet=U0&amp;row=1312&amp;col=6&amp;number=3.8&amp;sourceID=14","3.8")</f>
        <v>3.8</v>
      </c>
      <c r="G1312" s="4" t="str">
        <f>HYPERLINK("http://141.218.60.56/~jnz1568/getInfo.php?workbook=13_02.xlsx&amp;sheet=U0&amp;row=1312&amp;col=7&amp;number=0.0086&amp;sourceID=14","0.0086")</f>
        <v>0.0086</v>
      </c>
    </row>
    <row r="1313" spans="1:7">
      <c r="A1313" s="3"/>
      <c r="B1313" s="3"/>
      <c r="C1313" s="3"/>
      <c r="D1313" s="3"/>
      <c r="E1313" s="3">
        <v>10</v>
      </c>
      <c r="F1313" s="4" t="str">
        <f>HYPERLINK("http://141.218.60.56/~jnz1568/getInfo.php?workbook=13_02.xlsx&amp;sheet=U0&amp;row=1313&amp;col=6&amp;number=3.9&amp;sourceID=14","3.9")</f>
        <v>3.9</v>
      </c>
      <c r="G1313" s="4" t="str">
        <f>HYPERLINK("http://141.218.60.56/~jnz1568/getInfo.php?workbook=13_02.xlsx&amp;sheet=U0&amp;row=1313&amp;col=7&amp;number=0.0086&amp;sourceID=14","0.0086")</f>
        <v>0.0086</v>
      </c>
    </row>
    <row r="1314" spans="1:7">
      <c r="A1314" s="3"/>
      <c r="B1314" s="3"/>
      <c r="C1314" s="3"/>
      <c r="D1314" s="3"/>
      <c r="E1314" s="3">
        <v>11</v>
      </c>
      <c r="F1314" s="4" t="str">
        <f>HYPERLINK("http://141.218.60.56/~jnz1568/getInfo.php?workbook=13_02.xlsx&amp;sheet=U0&amp;row=1314&amp;col=6&amp;number=4&amp;sourceID=14","4")</f>
        <v>4</v>
      </c>
      <c r="G1314" s="4" t="str">
        <f>HYPERLINK("http://141.218.60.56/~jnz1568/getInfo.php?workbook=13_02.xlsx&amp;sheet=U0&amp;row=1314&amp;col=7&amp;number=0.0086&amp;sourceID=14","0.0086")</f>
        <v>0.0086</v>
      </c>
    </row>
    <row r="1315" spans="1:7">
      <c r="A1315" s="3"/>
      <c r="B1315" s="3"/>
      <c r="C1315" s="3"/>
      <c r="D1315" s="3"/>
      <c r="E1315" s="3">
        <v>12</v>
      </c>
      <c r="F1315" s="4" t="str">
        <f>HYPERLINK("http://141.218.60.56/~jnz1568/getInfo.php?workbook=13_02.xlsx&amp;sheet=U0&amp;row=1315&amp;col=6&amp;number=4.1&amp;sourceID=14","4.1")</f>
        <v>4.1</v>
      </c>
      <c r="G1315" s="4" t="str">
        <f>HYPERLINK("http://141.218.60.56/~jnz1568/getInfo.php?workbook=13_02.xlsx&amp;sheet=U0&amp;row=1315&amp;col=7&amp;number=0.0086&amp;sourceID=14","0.0086")</f>
        <v>0.0086</v>
      </c>
    </row>
    <row r="1316" spans="1:7">
      <c r="A1316" s="3"/>
      <c r="B1316" s="3"/>
      <c r="C1316" s="3"/>
      <c r="D1316" s="3"/>
      <c r="E1316" s="3">
        <v>13</v>
      </c>
      <c r="F1316" s="4" t="str">
        <f>HYPERLINK("http://141.218.60.56/~jnz1568/getInfo.php?workbook=13_02.xlsx&amp;sheet=U0&amp;row=1316&amp;col=6&amp;number=4.2&amp;sourceID=14","4.2")</f>
        <v>4.2</v>
      </c>
      <c r="G1316" s="4" t="str">
        <f>HYPERLINK("http://141.218.60.56/~jnz1568/getInfo.php?workbook=13_02.xlsx&amp;sheet=U0&amp;row=1316&amp;col=7&amp;number=0.0086&amp;sourceID=14","0.0086")</f>
        <v>0.0086</v>
      </c>
    </row>
    <row r="1317" spans="1:7">
      <c r="A1317" s="3"/>
      <c r="B1317" s="3"/>
      <c r="C1317" s="3"/>
      <c r="D1317" s="3"/>
      <c r="E1317" s="3">
        <v>14</v>
      </c>
      <c r="F1317" s="4" t="str">
        <f>HYPERLINK("http://141.218.60.56/~jnz1568/getInfo.php?workbook=13_02.xlsx&amp;sheet=U0&amp;row=1317&amp;col=6&amp;number=4.3&amp;sourceID=14","4.3")</f>
        <v>4.3</v>
      </c>
      <c r="G1317" s="4" t="str">
        <f>HYPERLINK("http://141.218.60.56/~jnz1568/getInfo.php?workbook=13_02.xlsx&amp;sheet=U0&amp;row=1317&amp;col=7&amp;number=0.0086&amp;sourceID=14","0.0086")</f>
        <v>0.0086</v>
      </c>
    </row>
    <row r="1318" spans="1:7">
      <c r="A1318" s="3"/>
      <c r="B1318" s="3"/>
      <c r="C1318" s="3"/>
      <c r="D1318" s="3"/>
      <c r="E1318" s="3">
        <v>15</v>
      </c>
      <c r="F1318" s="4" t="str">
        <f>HYPERLINK("http://141.218.60.56/~jnz1568/getInfo.php?workbook=13_02.xlsx&amp;sheet=U0&amp;row=1318&amp;col=6&amp;number=4.4&amp;sourceID=14","4.4")</f>
        <v>4.4</v>
      </c>
      <c r="G1318" s="4" t="str">
        <f>HYPERLINK("http://141.218.60.56/~jnz1568/getInfo.php?workbook=13_02.xlsx&amp;sheet=U0&amp;row=1318&amp;col=7&amp;number=0.0086&amp;sourceID=14","0.0086")</f>
        <v>0.0086</v>
      </c>
    </row>
    <row r="1319" spans="1:7">
      <c r="A1319" s="3"/>
      <c r="B1319" s="3"/>
      <c r="C1319" s="3"/>
      <c r="D1319" s="3"/>
      <c r="E1319" s="3">
        <v>16</v>
      </c>
      <c r="F1319" s="4" t="str">
        <f>HYPERLINK("http://141.218.60.56/~jnz1568/getInfo.php?workbook=13_02.xlsx&amp;sheet=U0&amp;row=1319&amp;col=6&amp;number=4.5&amp;sourceID=14","4.5")</f>
        <v>4.5</v>
      </c>
      <c r="G1319" s="4" t="str">
        <f>HYPERLINK("http://141.218.60.56/~jnz1568/getInfo.php?workbook=13_02.xlsx&amp;sheet=U0&amp;row=1319&amp;col=7&amp;number=0.0086&amp;sourceID=14","0.0086")</f>
        <v>0.0086</v>
      </c>
    </row>
    <row r="1320" spans="1:7">
      <c r="A1320" s="3"/>
      <c r="B1320" s="3"/>
      <c r="C1320" s="3"/>
      <c r="D1320" s="3"/>
      <c r="E1320" s="3">
        <v>17</v>
      </c>
      <c r="F1320" s="4" t="str">
        <f>HYPERLINK("http://141.218.60.56/~jnz1568/getInfo.php?workbook=13_02.xlsx&amp;sheet=U0&amp;row=1320&amp;col=6&amp;number=4.6&amp;sourceID=14","4.6")</f>
        <v>4.6</v>
      </c>
      <c r="G1320" s="4" t="str">
        <f>HYPERLINK("http://141.218.60.56/~jnz1568/getInfo.php?workbook=13_02.xlsx&amp;sheet=U0&amp;row=1320&amp;col=7&amp;number=0.00861&amp;sourceID=14","0.00861")</f>
        <v>0.00861</v>
      </c>
    </row>
    <row r="1321" spans="1:7">
      <c r="A1321" s="3"/>
      <c r="B1321" s="3"/>
      <c r="C1321" s="3"/>
      <c r="D1321" s="3"/>
      <c r="E1321" s="3">
        <v>18</v>
      </c>
      <c r="F1321" s="4" t="str">
        <f>HYPERLINK("http://141.218.60.56/~jnz1568/getInfo.php?workbook=13_02.xlsx&amp;sheet=U0&amp;row=1321&amp;col=6&amp;number=4.7&amp;sourceID=14","4.7")</f>
        <v>4.7</v>
      </c>
      <c r="G1321" s="4" t="str">
        <f>HYPERLINK("http://141.218.60.56/~jnz1568/getInfo.php?workbook=13_02.xlsx&amp;sheet=U0&amp;row=1321&amp;col=7&amp;number=0.00861&amp;sourceID=14","0.00861")</f>
        <v>0.00861</v>
      </c>
    </row>
    <row r="1322" spans="1:7">
      <c r="A1322" s="3"/>
      <c r="B1322" s="3"/>
      <c r="C1322" s="3"/>
      <c r="D1322" s="3"/>
      <c r="E1322" s="3">
        <v>19</v>
      </c>
      <c r="F1322" s="4" t="str">
        <f>HYPERLINK("http://141.218.60.56/~jnz1568/getInfo.php?workbook=13_02.xlsx&amp;sheet=U0&amp;row=1322&amp;col=6&amp;number=4.8&amp;sourceID=14","4.8")</f>
        <v>4.8</v>
      </c>
      <c r="G1322" s="4" t="str">
        <f>HYPERLINK("http://141.218.60.56/~jnz1568/getInfo.php?workbook=13_02.xlsx&amp;sheet=U0&amp;row=1322&amp;col=7&amp;number=0.00861&amp;sourceID=14","0.00861")</f>
        <v>0.00861</v>
      </c>
    </row>
    <row r="1323" spans="1:7">
      <c r="A1323" s="3"/>
      <c r="B1323" s="3"/>
      <c r="C1323" s="3"/>
      <c r="D1323" s="3"/>
      <c r="E1323" s="3">
        <v>20</v>
      </c>
      <c r="F1323" s="4" t="str">
        <f>HYPERLINK("http://141.218.60.56/~jnz1568/getInfo.php?workbook=13_02.xlsx&amp;sheet=U0&amp;row=1323&amp;col=6&amp;number=4.9&amp;sourceID=14","4.9")</f>
        <v>4.9</v>
      </c>
      <c r="G1323" s="4" t="str">
        <f>HYPERLINK("http://141.218.60.56/~jnz1568/getInfo.php?workbook=13_02.xlsx&amp;sheet=U0&amp;row=1323&amp;col=7&amp;number=0.00861&amp;sourceID=14","0.00861")</f>
        <v>0.00861</v>
      </c>
    </row>
    <row r="1324" spans="1:7">
      <c r="A1324" s="3">
        <v>13</v>
      </c>
      <c r="B1324" s="3">
        <v>2</v>
      </c>
      <c r="C1324" s="3" t="s">
        <v>85</v>
      </c>
      <c r="D1324" s="3">
        <v>6</v>
      </c>
      <c r="E1324" s="3">
        <v>1</v>
      </c>
      <c r="F1324" s="4" t="str">
        <f>HYPERLINK("http://141.218.60.56/~jnz1568/getInfo.php?workbook=13_02.xlsx&amp;sheet=U0&amp;row=1324&amp;col=6&amp;number=3&amp;sourceID=14","3")</f>
        <v>3</v>
      </c>
      <c r="G1324" s="4" t="str">
        <f>HYPERLINK("http://141.218.60.56/~jnz1568/getInfo.php?workbook=13_02.xlsx&amp;sheet=U0&amp;row=1324&amp;col=7&amp;number=0.0124&amp;sourceID=14","0.0124")</f>
        <v>0.0124</v>
      </c>
    </row>
    <row r="1325" spans="1:7">
      <c r="A1325" s="3"/>
      <c r="B1325" s="3"/>
      <c r="C1325" s="3"/>
      <c r="D1325" s="3"/>
      <c r="E1325" s="3">
        <v>2</v>
      </c>
      <c r="F1325" s="4" t="str">
        <f>HYPERLINK("http://141.218.60.56/~jnz1568/getInfo.php?workbook=13_02.xlsx&amp;sheet=U0&amp;row=1325&amp;col=6&amp;number=3.1&amp;sourceID=14","3.1")</f>
        <v>3.1</v>
      </c>
      <c r="G1325" s="4" t="str">
        <f>HYPERLINK("http://141.218.60.56/~jnz1568/getInfo.php?workbook=13_02.xlsx&amp;sheet=U0&amp;row=1325&amp;col=7&amp;number=0.0124&amp;sourceID=14","0.0124")</f>
        <v>0.0124</v>
      </c>
    </row>
    <row r="1326" spans="1:7">
      <c r="A1326" s="3"/>
      <c r="B1326" s="3"/>
      <c r="C1326" s="3"/>
      <c r="D1326" s="3"/>
      <c r="E1326" s="3">
        <v>3</v>
      </c>
      <c r="F1326" s="4" t="str">
        <f>HYPERLINK("http://141.218.60.56/~jnz1568/getInfo.php?workbook=13_02.xlsx&amp;sheet=U0&amp;row=1326&amp;col=6&amp;number=3.2&amp;sourceID=14","3.2")</f>
        <v>3.2</v>
      </c>
      <c r="G1326" s="4" t="str">
        <f>HYPERLINK("http://141.218.60.56/~jnz1568/getInfo.php?workbook=13_02.xlsx&amp;sheet=U0&amp;row=1326&amp;col=7&amp;number=0.0124&amp;sourceID=14","0.0124")</f>
        <v>0.0124</v>
      </c>
    </row>
    <row r="1327" spans="1:7">
      <c r="A1327" s="3"/>
      <c r="B1327" s="3"/>
      <c r="C1327" s="3"/>
      <c r="D1327" s="3"/>
      <c r="E1327" s="3">
        <v>4</v>
      </c>
      <c r="F1327" s="4" t="str">
        <f>HYPERLINK("http://141.218.60.56/~jnz1568/getInfo.php?workbook=13_02.xlsx&amp;sheet=U0&amp;row=1327&amp;col=6&amp;number=3.3&amp;sourceID=14","3.3")</f>
        <v>3.3</v>
      </c>
      <c r="G1327" s="4" t="str">
        <f>HYPERLINK("http://141.218.60.56/~jnz1568/getInfo.php?workbook=13_02.xlsx&amp;sheet=U0&amp;row=1327&amp;col=7&amp;number=0.0124&amp;sourceID=14","0.0124")</f>
        <v>0.0124</v>
      </c>
    </row>
    <row r="1328" spans="1:7">
      <c r="A1328" s="3"/>
      <c r="B1328" s="3"/>
      <c r="C1328" s="3"/>
      <c r="D1328" s="3"/>
      <c r="E1328" s="3">
        <v>5</v>
      </c>
      <c r="F1328" s="4" t="str">
        <f>HYPERLINK("http://141.218.60.56/~jnz1568/getInfo.php?workbook=13_02.xlsx&amp;sheet=U0&amp;row=1328&amp;col=6&amp;number=3.4&amp;sourceID=14","3.4")</f>
        <v>3.4</v>
      </c>
      <c r="G1328" s="4" t="str">
        <f>HYPERLINK("http://141.218.60.56/~jnz1568/getInfo.php?workbook=13_02.xlsx&amp;sheet=U0&amp;row=1328&amp;col=7&amp;number=0.0124&amp;sourceID=14","0.0124")</f>
        <v>0.0124</v>
      </c>
    </row>
    <row r="1329" spans="1:7">
      <c r="A1329" s="3"/>
      <c r="B1329" s="3"/>
      <c r="C1329" s="3"/>
      <c r="D1329" s="3"/>
      <c r="E1329" s="3">
        <v>6</v>
      </c>
      <c r="F1329" s="4" t="str">
        <f>HYPERLINK("http://141.218.60.56/~jnz1568/getInfo.php?workbook=13_02.xlsx&amp;sheet=U0&amp;row=1329&amp;col=6&amp;number=3.5&amp;sourceID=14","3.5")</f>
        <v>3.5</v>
      </c>
      <c r="G1329" s="4" t="str">
        <f>HYPERLINK("http://141.218.60.56/~jnz1568/getInfo.php?workbook=13_02.xlsx&amp;sheet=U0&amp;row=1329&amp;col=7&amp;number=0.0124&amp;sourceID=14","0.0124")</f>
        <v>0.0124</v>
      </c>
    </row>
    <row r="1330" spans="1:7">
      <c r="A1330" s="3"/>
      <c r="B1330" s="3"/>
      <c r="C1330" s="3"/>
      <c r="D1330" s="3"/>
      <c r="E1330" s="3">
        <v>7</v>
      </c>
      <c r="F1330" s="4" t="str">
        <f>HYPERLINK("http://141.218.60.56/~jnz1568/getInfo.php?workbook=13_02.xlsx&amp;sheet=U0&amp;row=1330&amp;col=6&amp;number=3.6&amp;sourceID=14","3.6")</f>
        <v>3.6</v>
      </c>
      <c r="G1330" s="4" t="str">
        <f>HYPERLINK("http://141.218.60.56/~jnz1568/getInfo.php?workbook=13_02.xlsx&amp;sheet=U0&amp;row=1330&amp;col=7&amp;number=0.0124&amp;sourceID=14","0.0124")</f>
        <v>0.0124</v>
      </c>
    </row>
    <row r="1331" spans="1:7">
      <c r="A1331" s="3"/>
      <c r="B1331" s="3"/>
      <c r="C1331" s="3"/>
      <c r="D1331" s="3"/>
      <c r="E1331" s="3">
        <v>8</v>
      </c>
      <c r="F1331" s="4" t="str">
        <f>HYPERLINK("http://141.218.60.56/~jnz1568/getInfo.php?workbook=13_02.xlsx&amp;sheet=U0&amp;row=1331&amp;col=6&amp;number=3.7&amp;sourceID=14","3.7")</f>
        <v>3.7</v>
      </c>
      <c r="G1331" s="4" t="str">
        <f>HYPERLINK("http://141.218.60.56/~jnz1568/getInfo.php?workbook=13_02.xlsx&amp;sheet=U0&amp;row=1331&amp;col=7&amp;number=0.0124&amp;sourceID=14","0.0124")</f>
        <v>0.0124</v>
      </c>
    </row>
    <row r="1332" spans="1:7">
      <c r="A1332" s="3"/>
      <c r="B1332" s="3"/>
      <c r="C1332" s="3"/>
      <c r="D1332" s="3"/>
      <c r="E1332" s="3">
        <v>9</v>
      </c>
      <c r="F1332" s="4" t="str">
        <f>HYPERLINK("http://141.218.60.56/~jnz1568/getInfo.php?workbook=13_02.xlsx&amp;sheet=U0&amp;row=1332&amp;col=6&amp;number=3.8&amp;sourceID=14","3.8")</f>
        <v>3.8</v>
      </c>
      <c r="G1332" s="4" t="str">
        <f>HYPERLINK("http://141.218.60.56/~jnz1568/getInfo.php?workbook=13_02.xlsx&amp;sheet=U0&amp;row=1332&amp;col=7&amp;number=0.0124&amp;sourceID=14","0.0124")</f>
        <v>0.0124</v>
      </c>
    </row>
    <row r="1333" spans="1:7">
      <c r="A1333" s="3"/>
      <c r="B1333" s="3"/>
      <c r="C1333" s="3"/>
      <c r="D1333" s="3"/>
      <c r="E1333" s="3">
        <v>10</v>
      </c>
      <c r="F1333" s="4" t="str">
        <f>HYPERLINK("http://141.218.60.56/~jnz1568/getInfo.php?workbook=13_02.xlsx&amp;sheet=U0&amp;row=1333&amp;col=6&amp;number=3.9&amp;sourceID=14","3.9")</f>
        <v>3.9</v>
      </c>
      <c r="G1333" s="4" t="str">
        <f>HYPERLINK("http://141.218.60.56/~jnz1568/getInfo.php?workbook=13_02.xlsx&amp;sheet=U0&amp;row=1333&amp;col=7&amp;number=0.0124&amp;sourceID=14","0.0124")</f>
        <v>0.0124</v>
      </c>
    </row>
    <row r="1334" spans="1:7">
      <c r="A1334" s="3"/>
      <c r="B1334" s="3"/>
      <c r="C1334" s="3"/>
      <c r="D1334" s="3"/>
      <c r="E1334" s="3">
        <v>11</v>
      </c>
      <c r="F1334" s="4" t="str">
        <f>HYPERLINK("http://141.218.60.56/~jnz1568/getInfo.php?workbook=13_02.xlsx&amp;sheet=U0&amp;row=1334&amp;col=6&amp;number=4&amp;sourceID=14","4")</f>
        <v>4</v>
      </c>
      <c r="G1334" s="4" t="str">
        <f>HYPERLINK("http://141.218.60.56/~jnz1568/getInfo.php?workbook=13_02.xlsx&amp;sheet=U0&amp;row=1334&amp;col=7&amp;number=0.0124&amp;sourceID=14","0.0124")</f>
        <v>0.0124</v>
      </c>
    </row>
    <row r="1335" spans="1:7">
      <c r="A1335" s="3"/>
      <c r="B1335" s="3"/>
      <c r="C1335" s="3"/>
      <c r="D1335" s="3"/>
      <c r="E1335" s="3">
        <v>12</v>
      </c>
      <c r="F1335" s="4" t="str">
        <f>HYPERLINK("http://141.218.60.56/~jnz1568/getInfo.php?workbook=13_02.xlsx&amp;sheet=U0&amp;row=1335&amp;col=6&amp;number=4.1&amp;sourceID=14","4.1")</f>
        <v>4.1</v>
      </c>
      <c r="G1335" s="4" t="str">
        <f>HYPERLINK("http://141.218.60.56/~jnz1568/getInfo.php?workbook=13_02.xlsx&amp;sheet=U0&amp;row=1335&amp;col=7&amp;number=0.0124&amp;sourceID=14","0.0124")</f>
        <v>0.0124</v>
      </c>
    </row>
    <row r="1336" spans="1:7">
      <c r="A1336" s="3"/>
      <c r="B1336" s="3"/>
      <c r="C1336" s="3"/>
      <c r="D1336" s="3"/>
      <c r="E1336" s="3">
        <v>13</v>
      </c>
      <c r="F1336" s="4" t="str">
        <f>HYPERLINK("http://141.218.60.56/~jnz1568/getInfo.php?workbook=13_02.xlsx&amp;sheet=U0&amp;row=1336&amp;col=6&amp;number=4.2&amp;sourceID=14","4.2")</f>
        <v>4.2</v>
      </c>
      <c r="G1336" s="4" t="str">
        <f>HYPERLINK("http://141.218.60.56/~jnz1568/getInfo.php?workbook=13_02.xlsx&amp;sheet=U0&amp;row=1336&amp;col=7&amp;number=0.0124&amp;sourceID=14","0.0124")</f>
        <v>0.0124</v>
      </c>
    </row>
    <row r="1337" spans="1:7">
      <c r="A1337" s="3"/>
      <c r="B1337" s="3"/>
      <c r="C1337" s="3"/>
      <c r="D1337" s="3"/>
      <c r="E1337" s="3">
        <v>14</v>
      </c>
      <c r="F1337" s="4" t="str">
        <f>HYPERLINK("http://141.218.60.56/~jnz1568/getInfo.php?workbook=13_02.xlsx&amp;sheet=U0&amp;row=1337&amp;col=6&amp;number=4.3&amp;sourceID=14","4.3")</f>
        <v>4.3</v>
      </c>
      <c r="G1337" s="4" t="str">
        <f>HYPERLINK("http://141.218.60.56/~jnz1568/getInfo.php?workbook=13_02.xlsx&amp;sheet=U0&amp;row=1337&amp;col=7&amp;number=0.0124&amp;sourceID=14","0.0124")</f>
        <v>0.0124</v>
      </c>
    </row>
    <row r="1338" spans="1:7">
      <c r="A1338" s="3"/>
      <c r="B1338" s="3"/>
      <c r="C1338" s="3"/>
      <c r="D1338" s="3"/>
      <c r="E1338" s="3">
        <v>15</v>
      </c>
      <c r="F1338" s="4" t="str">
        <f>HYPERLINK("http://141.218.60.56/~jnz1568/getInfo.php?workbook=13_02.xlsx&amp;sheet=U0&amp;row=1338&amp;col=6&amp;number=4.4&amp;sourceID=14","4.4")</f>
        <v>4.4</v>
      </c>
      <c r="G1338" s="4" t="str">
        <f>HYPERLINK("http://141.218.60.56/~jnz1568/getInfo.php?workbook=13_02.xlsx&amp;sheet=U0&amp;row=1338&amp;col=7&amp;number=0.0124&amp;sourceID=14","0.0124")</f>
        <v>0.0124</v>
      </c>
    </row>
    <row r="1339" spans="1:7">
      <c r="A1339" s="3"/>
      <c r="B1339" s="3"/>
      <c r="C1339" s="3"/>
      <c r="D1339" s="3"/>
      <c r="E1339" s="3">
        <v>16</v>
      </c>
      <c r="F1339" s="4" t="str">
        <f>HYPERLINK("http://141.218.60.56/~jnz1568/getInfo.php?workbook=13_02.xlsx&amp;sheet=U0&amp;row=1339&amp;col=6&amp;number=4.5&amp;sourceID=14","4.5")</f>
        <v>4.5</v>
      </c>
      <c r="G1339" s="4" t="str">
        <f>HYPERLINK("http://141.218.60.56/~jnz1568/getInfo.php?workbook=13_02.xlsx&amp;sheet=U0&amp;row=1339&amp;col=7&amp;number=0.0124&amp;sourceID=14","0.0124")</f>
        <v>0.0124</v>
      </c>
    </row>
    <row r="1340" spans="1:7">
      <c r="A1340" s="3"/>
      <c r="B1340" s="3"/>
      <c r="C1340" s="3"/>
      <c r="D1340" s="3"/>
      <c r="E1340" s="3">
        <v>17</v>
      </c>
      <c r="F1340" s="4" t="str">
        <f>HYPERLINK("http://141.218.60.56/~jnz1568/getInfo.php?workbook=13_02.xlsx&amp;sheet=U0&amp;row=1340&amp;col=6&amp;number=4.6&amp;sourceID=14","4.6")</f>
        <v>4.6</v>
      </c>
      <c r="G1340" s="4" t="str">
        <f>HYPERLINK("http://141.218.60.56/~jnz1568/getInfo.php?workbook=13_02.xlsx&amp;sheet=U0&amp;row=1340&amp;col=7&amp;number=0.0124&amp;sourceID=14","0.0124")</f>
        <v>0.0124</v>
      </c>
    </row>
    <row r="1341" spans="1:7">
      <c r="A1341" s="3"/>
      <c r="B1341" s="3"/>
      <c r="C1341" s="3"/>
      <c r="D1341" s="3"/>
      <c r="E1341" s="3">
        <v>18</v>
      </c>
      <c r="F1341" s="4" t="str">
        <f>HYPERLINK("http://141.218.60.56/~jnz1568/getInfo.php?workbook=13_02.xlsx&amp;sheet=U0&amp;row=1341&amp;col=6&amp;number=4.7&amp;sourceID=14","4.7")</f>
        <v>4.7</v>
      </c>
      <c r="G1341" s="4" t="str">
        <f>HYPERLINK("http://141.218.60.56/~jnz1568/getInfo.php?workbook=13_02.xlsx&amp;sheet=U0&amp;row=1341&amp;col=7&amp;number=0.0124&amp;sourceID=14","0.0124")</f>
        <v>0.0124</v>
      </c>
    </row>
    <row r="1342" spans="1:7">
      <c r="A1342" s="3"/>
      <c r="B1342" s="3"/>
      <c r="C1342" s="3"/>
      <c r="D1342" s="3"/>
      <c r="E1342" s="3">
        <v>19</v>
      </c>
      <c r="F1342" s="4" t="str">
        <f>HYPERLINK("http://141.218.60.56/~jnz1568/getInfo.php?workbook=13_02.xlsx&amp;sheet=U0&amp;row=1342&amp;col=6&amp;number=4.8&amp;sourceID=14","4.8")</f>
        <v>4.8</v>
      </c>
      <c r="G1342" s="4" t="str">
        <f>HYPERLINK("http://141.218.60.56/~jnz1568/getInfo.php?workbook=13_02.xlsx&amp;sheet=U0&amp;row=1342&amp;col=7&amp;number=0.0124&amp;sourceID=14","0.0124")</f>
        <v>0.0124</v>
      </c>
    </row>
    <row r="1343" spans="1:7">
      <c r="A1343" s="3"/>
      <c r="B1343" s="3"/>
      <c r="C1343" s="3"/>
      <c r="D1343" s="3"/>
      <c r="E1343" s="3">
        <v>20</v>
      </c>
      <c r="F1343" s="4" t="str">
        <f>HYPERLINK("http://141.218.60.56/~jnz1568/getInfo.php?workbook=13_02.xlsx&amp;sheet=U0&amp;row=1343&amp;col=6&amp;number=4.9&amp;sourceID=14","4.9")</f>
        <v>4.9</v>
      </c>
      <c r="G1343" s="4" t="str">
        <f>HYPERLINK("http://141.218.60.56/~jnz1568/getInfo.php?workbook=13_02.xlsx&amp;sheet=U0&amp;row=1343&amp;col=7&amp;number=0.0124&amp;sourceID=14","0.0124")</f>
        <v>0.0124</v>
      </c>
    </row>
    <row r="1344" spans="1:7">
      <c r="A1344" s="3">
        <v>13</v>
      </c>
      <c r="B1344" s="3">
        <v>2</v>
      </c>
      <c r="C1344" s="3" t="s">
        <v>85</v>
      </c>
      <c r="D1344" s="3">
        <v>7</v>
      </c>
      <c r="E1344" s="3">
        <v>1</v>
      </c>
      <c r="F1344" s="4" t="str">
        <f>HYPERLINK("http://141.218.60.56/~jnz1568/getInfo.php?workbook=13_02.xlsx&amp;sheet=U0&amp;row=1344&amp;col=6&amp;number=3&amp;sourceID=14","3")</f>
        <v>3</v>
      </c>
      <c r="G1344" s="4" t="str">
        <f>HYPERLINK("http://141.218.60.56/~jnz1568/getInfo.php?workbook=13_02.xlsx&amp;sheet=U0&amp;row=1344&amp;col=7&amp;number=0.00464&amp;sourceID=14","0.00464")</f>
        <v>0.00464</v>
      </c>
    </row>
    <row r="1345" spans="1:7">
      <c r="A1345" s="3"/>
      <c r="B1345" s="3"/>
      <c r="C1345" s="3"/>
      <c r="D1345" s="3"/>
      <c r="E1345" s="3">
        <v>2</v>
      </c>
      <c r="F1345" s="4" t="str">
        <f>HYPERLINK("http://141.218.60.56/~jnz1568/getInfo.php?workbook=13_02.xlsx&amp;sheet=U0&amp;row=1345&amp;col=6&amp;number=3.1&amp;sourceID=14","3.1")</f>
        <v>3.1</v>
      </c>
      <c r="G1345" s="4" t="str">
        <f>HYPERLINK("http://141.218.60.56/~jnz1568/getInfo.php?workbook=13_02.xlsx&amp;sheet=U0&amp;row=1345&amp;col=7&amp;number=0.00464&amp;sourceID=14","0.00464")</f>
        <v>0.00464</v>
      </c>
    </row>
    <row r="1346" spans="1:7">
      <c r="A1346" s="3"/>
      <c r="B1346" s="3"/>
      <c r="C1346" s="3"/>
      <c r="D1346" s="3"/>
      <c r="E1346" s="3">
        <v>3</v>
      </c>
      <c r="F1346" s="4" t="str">
        <f>HYPERLINK("http://141.218.60.56/~jnz1568/getInfo.php?workbook=13_02.xlsx&amp;sheet=U0&amp;row=1346&amp;col=6&amp;number=3.2&amp;sourceID=14","3.2")</f>
        <v>3.2</v>
      </c>
      <c r="G1346" s="4" t="str">
        <f>HYPERLINK("http://141.218.60.56/~jnz1568/getInfo.php?workbook=13_02.xlsx&amp;sheet=U0&amp;row=1346&amp;col=7&amp;number=0.00464&amp;sourceID=14","0.00464")</f>
        <v>0.00464</v>
      </c>
    </row>
    <row r="1347" spans="1:7">
      <c r="A1347" s="3"/>
      <c r="B1347" s="3"/>
      <c r="C1347" s="3"/>
      <c r="D1347" s="3"/>
      <c r="E1347" s="3">
        <v>4</v>
      </c>
      <c r="F1347" s="4" t="str">
        <f>HYPERLINK("http://141.218.60.56/~jnz1568/getInfo.php?workbook=13_02.xlsx&amp;sheet=U0&amp;row=1347&amp;col=6&amp;number=3.3&amp;sourceID=14","3.3")</f>
        <v>3.3</v>
      </c>
      <c r="G1347" s="4" t="str">
        <f>HYPERLINK("http://141.218.60.56/~jnz1568/getInfo.php?workbook=13_02.xlsx&amp;sheet=U0&amp;row=1347&amp;col=7&amp;number=0.00464&amp;sourceID=14","0.00464")</f>
        <v>0.00464</v>
      </c>
    </row>
    <row r="1348" spans="1:7">
      <c r="A1348" s="3"/>
      <c r="B1348" s="3"/>
      <c r="C1348" s="3"/>
      <c r="D1348" s="3"/>
      <c r="E1348" s="3">
        <v>5</v>
      </c>
      <c r="F1348" s="4" t="str">
        <f>HYPERLINK("http://141.218.60.56/~jnz1568/getInfo.php?workbook=13_02.xlsx&amp;sheet=U0&amp;row=1348&amp;col=6&amp;number=3.4&amp;sourceID=14","3.4")</f>
        <v>3.4</v>
      </c>
      <c r="G1348" s="4" t="str">
        <f>HYPERLINK("http://141.218.60.56/~jnz1568/getInfo.php?workbook=13_02.xlsx&amp;sheet=U0&amp;row=1348&amp;col=7&amp;number=0.00464&amp;sourceID=14","0.00464")</f>
        <v>0.00464</v>
      </c>
    </row>
    <row r="1349" spans="1:7">
      <c r="A1349" s="3"/>
      <c r="B1349" s="3"/>
      <c r="C1349" s="3"/>
      <c r="D1349" s="3"/>
      <c r="E1349" s="3">
        <v>6</v>
      </c>
      <c r="F1349" s="4" t="str">
        <f>HYPERLINK("http://141.218.60.56/~jnz1568/getInfo.php?workbook=13_02.xlsx&amp;sheet=U0&amp;row=1349&amp;col=6&amp;number=3.5&amp;sourceID=14","3.5")</f>
        <v>3.5</v>
      </c>
      <c r="G1349" s="4" t="str">
        <f>HYPERLINK("http://141.218.60.56/~jnz1568/getInfo.php?workbook=13_02.xlsx&amp;sheet=U0&amp;row=1349&amp;col=7&amp;number=0.00464&amp;sourceID=14","0.00464")</f>
        <v>0.00464</v>
      </c>
    </row>
    <row r="1350" spans="1:7">
      <c r="A1350" s="3"/>
      <c r="B1350" s="3"/>
      <c r="C1350" s="3"/>
      <c r="D1350" s="3"/>
      <c r="E1350" s="3">
        <v>7</v>
      </c>
      <c r="F1350" s="4" t="str">
        <f>HYPERLINK("http://141.218.60.56/~jnz1568/getInfo.php?workbook=13_02.xlsx&amp;sheet=U0&amp;row=1350&amp;col=6&amp;number=3.6&amp;sourceID=14","3.6")</f>
        <v>3.6</v>
      </c>
      <c r="G1350" s="4" t="str">
        <f>HYPERLINK("http://141.218.60.56/~jnz1568/getInfo.php?workbook=13_02.xlsx&amp;sheet=U0&amp;row=1350&amp;col=7&amp;number=0.00464&amp;sourceID=14","0.00464")</f>
        <v>0.00464</v>
      </c>
    </row>
    <row r="1351" spans="1:7">
      <c r="A1351" s="3"/>
      <c r="B1351" s="3"/>
      <c r="C1351" s="3"/>
      <c r="D1351" s="3"/>
      <c r="E1351" s="3">
        <v>8</v>
      </c>
      <c r="F1351" s="4" t="str">
        <f>HYPERLINK("http://141.218.60.56/~jnz1568/getInfo.php?workbook=13_02.xlsx&amp;sheet=U0&amp;row=1351&amp;col=6&amp;number=3.7&amp;sourceID=14","3.7")</f>
        <v>3.7</v>
      </c>
      <c r="G1351" s="4" t="str">
        <f>HYPERLINK("http://141.218.60.56/~jnz1568/getInfo.php?workbook=13_02.xlsx&amp;sheet=U0&amp;row=1351&amp;col=7&amp;number=0.00464&amp;sourceID=14","0.00464")</f>
        <v>0.00464</v>
      </c>
    </row>
    <row r="1352" spans="1:7">
      <c r="A1352" s="3"/>
      <c r="B1352" s="3"/>
      <c r="C1352" s="3"/>
      <c r="D1352" s="3"/>
      <c r="E1352" s="3">
        <v>9</v>
      </c>
      <c r="F1352" s="4" t="str">
        <f>HYPERLINK("http://141.218.60.56/~jnz1568/getInfo.php?workbook=13_02.xlsx&amp;sheet=U0&amp;row=1352&amp;col=6&amp;number=3.8&amp;sourceID=14","3.8")</f>
        <v>3.8</v>
      </c>
      <c r="G1352" s="4" t="str">
        <f>HYPERLINK("http://141.218.60.56/~jnz1568/getInfo.php?workbook=13_02.xlsx&amp;sheet=U0&amp;row=1352&amp;col=7&amp;number=0.00464&amp;sourceID=14","0.00464")</f>
        <v>0.00464</v>
      </c>
    </row>
    <row r="1353" spans="1:7">
      <c r="A1353" s="3"/>
      <c r="B1353" s="3"/>
      <c r="C1353" s="3"/>
      <c r="D1353" s="3"/>
      <c r="E1353" s="3">
        <v>10</v>
      </c>
      <c r="F1353" s="4" t="str">
        <f>HYPERLINK("http://141.218.60.56/~jnz1568/getInfo.php?workbook=13_02.xlsx&amp;sheet=U0&amp;row=1353&amp;col=6&amp;number=3.9&amp;sourceID=14","3.9")</f>
        <v>3.9</v>
      </c>
      <c r="G1353" s="4" t="str">
        <f>HYPERLINK("http://141.218.60.56/~jnz1568/getInfo.php?workbook=13_02.xlsx&amp;sheet=U0&amp;row=1353&amp;col=7&amp;number=0.00464&amp;sourceID=14","0.00464")</f>
        <v>0.00464</v>
      </c>
    </row>
    <row r="1354" spans="1:7">
      <c r="A1354" s="3"/>
      <c r="B1354" s="3"/>
      <c r="C1354" s="3"/>
      <c r="D1354" s="3"/>
      <c r="E1354" s="3">
        <v>11</v>
      </c>
      <c r="F1354" s="4" t="str">
        <f>HYPERLINK("http://141.218.60.56/~jnz1568/getInfo.php?workbook=13_02.xlsx&amp;sheet=U0&amp;row=1354&amp;col=6&amp;number=4&amp;sourceID=14","4")</f>
        <v>4</v>
      </c>
      <c r="G1354" s="4" t="str">
        <f>HYPERLINK("http://141.218.60.56/~jnz1568/getInfo.php?workbook=13_02.xlsx&amp;sheet=U0&amp;row=1354&amp;col=7&amp;number=0.00464&amp;sourceID=14","0.00464")</f>
        <v>0.00464</v>
      </c>
    </row>
    <row r="1355" spans="1:7">
      <c r="A1355" s="3"/>
      <c r="B1355" s="3"/>
      <c r="C1355" s="3"/>
      <c r="D1355" s="3"/>
      <c r="E1355" s="3">
        <v>12</v>
      </c>
      <c r="F1355" s="4" t="str">
        <f>HYPERLINK("http://141.218.60.56/~jnz1568/getInfo.php?workbook=13_02.xlsx&amp;sheet=U0&amp;row=1355&amp;col=6&amp;number=4.1&amp;sourceID=14","4.1")</f>
        <v>4.1</v>
      </c>
      <c r="G1355" s="4" t="str">
        <f>HYPERLINK("http://141.218.60.56/~jnz1568/getInfo.php?workbook=13_02.xlsx&amp;sheet=U0&amp;row=1355&amp;col=7&amp;number=0.00464&amp;sourceID=14","0.00464")</f>
        <v>0.00464</v>
      </c>
    </row>
    <row r="1356" spans="1:7">
      <c r="A1356" s="3"/>
      <c r="B1356" s="3"/>
      <c r="C1356" s="3"/>
      <c r="D1356" s="3"/>
      <c r="E1356" s="3">
        <v>13</v>
      </c>
      <c r="F1356" s="4" t="str">
        <f>HYPERLINK("http://141.218.60.56/~jnz1568/getInfo.php?workbook=13_02.xlsx&amp;sheet=U0&amp;row=1356&amp;col=6&amp;number=4.2&amp;sourceID=14","4.2")</f>
        <v>4.2</v>
      </c>
      <c r="G1356" s="4" t="str">
        <f>HYPERLINK("http://141.218.60.56/~jnz1568/getInfo.php?workbook=13_02.xlsx&amp;sheet=U0&amp;row=1356&amp;col=7&amp;number=0.00463&amp;sourceID=14","0.00463")</f>
        <v>0.00463</v>
      </c>
    </row>
    <row r="1357" spans="1:7">
      <c r="A1357" s="3"/>
      <c r="B1357" s="3"/>
      <c r="C1357" s="3"/>
      <c r="D1357" s="3"/>
      <c r="E1357" s="3">
        <v>14</v>
      </c>
      <c r="F1357" s="4" t="str">
        <f>HYPERLINK("http://141.218.60.56/~jnz1568/getInfo.php?workbook=13_02.xlsx&amp;sheet=U0&amp;row=1357&amp;col=6&amp;number=4.3&amp;sourceID=14","4.3")</f>
        <v>4.3</v>
      </c>
      <c r="G1357" s="4" t="str">
        <f>HYPERLINK("http://141.218.60.56/~jnz1568/getInfo.php?workbook=13_02.xlsx&amp;sheet=U0&amp;row=1357&amp;col=7&amp;number=0.00463&amp;sourceID=14","0.00463")</f>
        <v>0.00463</v>
      </c>
    </row>
    <row r="1358" spans="1:7">
      <c r="A1358" s="3"/>
      <c r="B1358" s="3"/>
      <c r="C1358" s="3"/>
      <c r="D1358" s="3"/>
      <c r="E1358" s="3">
        <v>15</v>
      </c>
      <c r="F1358" s="4" t="str">
        <f>HYPERLINK("http://141.218.60.56/~jnz1568/getInfo.php?workbook=13_02.xlsx&amp;sheet=U0&amp;row=1358&amp;col=6&amp;number=4.4&amp;sourceID=14","4.4")</f>
        <v>4.4</v>
      </c>
      <c r="G1358" s="4" t="str">
        <f>HYPERLINK("http://141.218.60.56/~jnz1568/getInfo.php?workbook=13_02.xlsx&amp;sheet=U0&amp;row=1358&amp;col=7&amp;number=0.00463&amp;sourceID=14","0.00463")</f>
        <v>0.00463</v>
      </c>
    </row>
    <row r="1359" spans="1:7">
      <c r="A1359" s="3"/>
      <c r="B1359" s="3"/>
      <c r="C1359" s="3"/>
      <c r="D1359" s="3"/>
      <c r="E1359" s="3">
        <v>16</v>
      </c>
      <c r="F1359" s="4" t="str">
        <f>HYPERLINK("http://141.218.60.56/~jnz1568/getInfo.php?workbook=13_02.xlsx&amp;sheet=U0&amp;row=1359&amp;col=6&amp;number=4.5&amp;sourceID=14","4.5")</f>
        <v>4.5</v>
      </c>
      <c r="G1359" s="4" t="str">
        <f>HYPERLINK("http://141.218.60.56/~jnz1568/getInfo.php?workbook=13_02.xlsx&amp;sheet=U0&amp;row=1359&amp;col=7&amp;number=0.00462&amp;sourceID=14","0.00462")</f>
        <v>0.00462</v>
      </c>
    </row>
    <row r="1360" spans="1:7">
      <c r="A1360" s="3"/>
      <c r="B1360" s="3"/>
      <c r="C1360" s="3"/>
      <c r="D1360" s="3"/>
      <c r="E1360" s="3">
        <v>17</v>
      </c>
      <c r="F1360" s="4" t="str">
        <f>HYPERLINK("http://141.218.60.56/~jnz1568/getInfo.php?workbook=13_02.xlsx&amp;sheet=U0&amp;row=1360&amp;col=6&amp;number=4.6&amp;sourceID=14","4.6")</f>
        <v>4.6</v>
      </c>
      <c r="G1360" s="4" t="str">
        <f>HYPERLINK("http://141.218.60.56/~jnz1568/getInfo.php?workbook=13_02.xlsx&amp;sheet=U0&amp;row=1360&amp;col=7&amp;number=0.00462&amp;sourceID=14","0.00462")</f>
        <v>0.00462</v>
      </c>
    </row>
    <row r="1361" spans="1:7">
      <c r="A1361" s="3"/>
      <c r="B1361" s="3"/>
      <c r="C1361" s="3"/>
      <c r="D1361" s="3"/>
      <c r="E1361" s="3">
        <v>18</v>
      </c>
      <c r="F1361" s="4" t="str">
        <f>HYPERLINK("http://141.218.60.56/~jnz1568/getInfo.php?workbook=13_02.xlsx&amp;sheet=U0&amp;row=1361&amp;col=6&amp;number=4.7&amp;sourceID=14","4.7")</f>
        <v>4.7</v>
      </c>
      <c r="G1361" s="4" t="str">
        <f>HYPERLINK("http://141.218.60.56/~jnz1568/getInfo.php?workbook=13_02.xlsx&amp;sheet=U0&amp;row=1361&amp;col=7&amp;number=0.00461&amp;sourceID=14","0.00461")</f>
        <v>0.00461</v>
      </c>
    </row>
    <row r="1362" spans="1:7">
      <c r="A1362" s="3"/>
      <c r="B1362" s="3"/>
      <c r="C1362" s="3"/>
      <c r="D1362" s="3"/>
      <c r="E1362" s="3">
        <v>19</v>
      </c>
      <c r="F1362" s="4" t="str">
        <f>HYPERLINK("http://141.218.60.56/~jnz1568/getInfo.php?workbook=13_02.xlsx&amp;sheet=U0&amp;row=1362&amp;col=6&amp;number=4.8&amp;sourceID=14","4.8")</f>
        <v>4.8</v>
      </c>
      <c r="G1362" s="4" t="str">
        <f>HYPERLINK("http://141.218.60.56/~jnz1568/getInfo.php?workbook=13_02.xlsx&amp;sheet=U0&amp;row=1362&amp;col=7&amp;number=0.0046&amp;sourceID=14","0.0046")</f>
        <v>0.0046</v>
      </c>
    </row>
    <row r="1363" spans="1:7">
      <c r="A1363" s="3"/>
      <c r="B1363" s="3"/>
      <c r="C1363" s="3"/>
      <c r="D1363" s="3"/>
      <c r="E1363" s="3">
        <v>20</v>
      </c>
      <c r="F1363" s="4" t="str">
        <f>HYPERLINK("http://141.218.60.56/~jnz1568/getInfo.php?workbook=13_02.xlsx&amp;sheet=U0&amp;row=1363&amp;col=6&amp;number=4.9&amp;sourceID=14","4.9")</f>
        <v>4.9</v>
      </c>
      <c r="G1363" s="4" t="str">
        <f>HYPERLINK("http://141.218.60.56/~jnz1568/getInfo.php?workbook=13_02.xlsx&amp;sheet=U0&amp;row=1363&amp;col=7&amp;number=0.00459&amp;sourceID=14","0.00459")</f>
        <v>0.00459</v>
      </c>
    </row>
    <row r="1364" spans="1:7">
      <c r="A1364" s="3">
        <v>13</v>
      </c>
      <c r="B1364" s="3">
        <v>2</v>
      </c>
      <c r="C1364" s="3" t="s">
        <v>85</v>
      </c>
      <c r="D1364" s="3">
        <v>8</v>
      </c>
      <c r="E1364" s="3">
        <v>1</v>
      </c>
      <c r="F1364" s="4" t="str">
        <f>HYPERLINK("http://141.218.60.56/~jnz1568/getInfo.php?workbook=13_02.xlsx&amp;sheet=U0&amp;row=1364&amp;col=6&amp;number=3&amp;sourceID=14","3")</f>
        <v>3</v>
      </c>
      <c r="G1364" s="4" t="str">
        <f>HYPERLINK("http://141.218.60.56/~jnz1568/getInfo.php?workbook=13_02.xlsx&amp;sheet=U0&amp;row=1364&amp;col=7&amp;number=0.00313&amp;sourceID=14","0.00313")</f>
        <v>0.00313</v>
      </c>
    </row>
    <row r="1365" spans="1:7">
      <c r="A1365" s="3"/>
      <c r="B1365" s="3"/>
      <c r="C1365" s="3"/>
      <c r="D1365" s="3"/>
      <c r="E1365" s="3">
        <v>2</v>
      </c>
      <c r="F1365" s="4" t="str">
        <f>HYPERLINK("http://141.218.60.56/~jnz1568/getInfo.php?workbook=13_02.xlsx&amp;sheet=U0&amp;row=1365&amp;col=6&amp;number=3.1&amp;sourceID=14","3.1")</f>
        <v>3.1</v>
      </c>
      <c r="G1365" s="4" t="str">
        <f>HYPERLINK("http://141.218.60.56/~jnz1568/getInfo.php?workbook=13_02.xlsx&amp;sheet=U0&amp;row=1365&amp;col=7&amp;number=0.00313&amp;sourceID=14","0.00313")</f>
        <v>0.00313</v>
      </c>
    </row>
    <row r="1366" spans="1:7">
      <c r="A1366" s="3"/>
      <c r="B1366" s="3"/>
      <c r="C1366" s="3"/>
      <c r="D1366" s="3"/>
      <c r="E1366" s="3">
        <v>3</v>
      </c>
      <c r="F1366" s="4" t="str">
        <f>HYPERLINK("http://141.218.60.56/~jnz1568/getInfo.php?workbook=13_02.xlsx&amp;sheet=U0&amp;row=1366&amp;col=6&amp;number=3.2&amp;sourceID=14","3.2")</f>
        <v>3.2</v>
      </c>
      <c r="G1366" s="4" t="str">
        <f>HYPERLINK("http://141.218.60.56/~jnz1568/getInfo.php?workbook=13_02.xlsx&amp;sheet=U0&amp;row=1366&amp;col=7&amp;number=0.00313&amp;sourceID=14","0.00313")</f>
        <v>0.00313</v>
      </c>
    </row>
    <row r="1367" spans="1:7">
      <c r="A1367" s="3"/>
      <c r="B1367" s="3"/>
      <c r="C1367" s="3"/>
      <c r="D1367" s="3"/>
      <c r="E1367" s="3">
        <v>4</v>
      </c>
      <c r="F1367" s="4" t="str">
        <f>HYPERLINK("http://141.218.60.56/~jnz1568/getInfo.php?workbook=13_02.xlsx&amp;sheet=U0&amp;row=1367&amp;col=6&amp;number=3.3&amp;sourceID=14","3.3")</f>
        <v>3.3</v>
      </c>
      <c r="G1367" s="4" t="str">
        <f>HYPERLINK("http://141.218.60.56/~jnz1568/getInfo.php?workbook=13_02.xlsx&amp;sheet=U0&amp;row=1367&amp;col=7&amp;number=0.00313&amp;sourceID=14","0.00313")</f>
        <v>0.00313</v>
      </c>
    </row>
    <row r="1368" spans="1:7">
      <c r="A1368" s="3"/>
      <c r="B1368" s="3"/>
      <c r="C1368" s="3"/>
      <c r="D1368" s="3"/>
      <c r="E1368" s="3">
        <v>5</v>
      </c>
      <c r="F1368" s="4" t="str">
        <f>HYPERLINK("http://141.218.60.56/~jnz1568/getInfo.php?workbook=13_02.xlsx&amp;sheet=U0&amp;row=1368&amp;col=6&amp;number=3.4&amp;sourceID=14","3.4")</f>
        <v>3.4</v>
      </c>
      <c r="G1368" s="4" t="str">
        <f>HYPERLINK("http://141.218.60.56/~jnz1568/getInfo.php?workbook=13_02.xlsx&amp;sheet=U0&amp;row=1368&amp;col=7&amp;number=0.00313&amp;sourceID=14","0.00313")</f>
        <v>0.00313</v>
      </c>
    </row>
    <row r="1369" spans="1:7">
      <c r="A1369" s="3"/>
      <c r="B1369" s="3"/>
      <c r="C1369" s="3"/>
      <c r="D1369" s="3"/>
      <c r="E1369" s="3">
        <v>6</v>
      </c>
      <c r="F1369" s="4" t="str">
        <f>HYPERLINK("http://141.218.60.56/~jnz1568/getInfo.php?workbook=13_02.xlsx&amp;sheet=U0&amp;row=1369&amp;col=6&amp;number=3.5&amp;sourceID=14","3.5")</f>
        <v>3.5</v>
      </c>
      <c r="G1369" s="4" t="str">
        <f>HYPERLINK("http://141.218.60.56/~jnz1568/getInfo.php?workbook=13_02.xlsx&amp;sheet=U0&amp;row=1369&amp;col=7&amp;number=0.00313&amp;sourceID=14","0.00313")</f>
        <v>0.00313</v>
      </c>
    </row>
    <row r="1370" spans="1:7">
      <c r="A1370" s="3"/>
      <c r="B1370" s="3"/>
      <c r="C1370" s="3"/>
      <c r="D1370" s="3"/>
      <c r="E1370" s="3">
        <v>7</v>
      </c>
      <c r="F1370" s="4" t="str">
        <f>HYPERLINK("http://141.218.60.56/~jnz1568/getInfo.php?workbook=13_02.xlsx&amp;sheet=U0&amp;row=1370&amp;col=6&amp;number=3.6&amp;sourceID=14","3.6")</f>
        <v>3.6</v>
      </c>
      <c r="G1370" s="4" t="str">
        <f>HYPERLINK("http://141.218.60.56/~jnz1568/getInfo.php?workbook=13_02.xlsx&amp;sheet=U0&amp;row=1370&amp;col=7&amp;number=0.00313&amp;sourceID=14","0.00313")</f>
        <v>0.00313</v>
      </c>
    </row>
    <row r="1371" spans="1:7">
      <c r="A1371" s="3"/>
      <c r="B1371" s="3"/>
      <c r="C1371" s="3"/>
      <c r="D1371" s="3"/>
      <c r="E1371" s="3">
        <v>8</v>
      </c>
      <c r="F1371" s="4" t="str">
        <f>HYPERLINK("http://141.218.60.56/~jnz1568/getInfo.php?workbook=13_02.xlsx&amp;sheet=U0&amp;row=1371&amp;col=6&amp;number=3.7&amp;sourceID=14","3.7")</f>
        <v>3.7</v>
      </c>
      <c r="G1371" s="4" t="str">
        <f>HYPERLINK("http://141.218.60.56/~jnz1568/getInfo.php?workbook=13_02.xlsx&amp;sheet=U0&amp;row=1371&amp;col=7&amp;number=0.00313&amp;sourceID=14","0.00313")</f>
        <v>0.00313</v>
      </c>
    </row>
    <row r="1372" spans="1:7">
      <c r="A1372" s="3"/>
      <c r="B1372" s="3"/>
      <c r="C1372" s="3"/>
      <c r="D1372" s="3"/>
      <c r="E1372" s="3">
        <v>9</v>
      </c>
      <c r="F1372" s="4" t="str">
        <f>HYPERLINK("http://141.218.60.56/~jnz1568/getInfo.php?workbook=13_02.xlsx&amp;sheet=U0&amp;row=1372&amp;col=6&amp;number=3.8&amp;sourceID=14","3.8")</f>
        <v>3.8</v>
      </c>
      <c r="G1372" s="4" t="str">
        <f>HYPERLINK("http://141.218.60.56/~jnz1568/getInfo.php?workbook=13_02.xlsx&amp;sheet=U0&amp;row=1372&amp;col=7&amp;number=0.00313&amp;sourceID=14","0.00313")</f>
        <v>0.00313</v>
      </c>
    </row>
    <row r="1373" spans="1:7">
      <c r="A1373" s="3"/>
      <c r="B1373" s="3"/>
      <c r="C1373" s="3"/>
      <c r="D1373" s="3"/>
      <c r="E1373" s="3">
        <v>10</v>
      </c>
      <c r="F1373" s="4" t="str">
        <f>HYPERLINK("http://141.218.60.56/~jnz1568/getInfo.php?workbook=13_02.xlsx&amp;sheet=U0&amp;row=1373&amp;col=6&amp;number=3.9&amp;sourceID=14","3.9")</f>
        <v>3.9</v>
      </c>
      <c r="G1373" s="4" t="str">
        <f>HYPERLINK("http://141.218.60.56/~jnz1568/getInfo.php?workbook=13_02.xlsx&amp;sheet=U0&amp;row=1373&amp;col=7&amp;number=0.00313&amp;sourceID=14","0.00313")</f>
        <v>0.00313</v>
      </c>
    </row>
    <row r="1374" spans="1:7">
      <c r="A1374" s="3"/>
      <c r="B1374" s="3"/>
      <c r="C1374" s="3"/>
      <c r="D1374" s="3"/>
      <c r="E1374" s="3">
        <v>11</v>
      </c>
      <c r="F1374" s="4" t="str">
        <f>HYPERLINK("http://141.218.60.56/~jnz1568/getInfo.php?workbook=13_02.xlsx&amp;sheet=U0&amp;row=1374&amp;col=6&amp;number=4&amp;sourceID=14","4")</f>
        <v>4</v>
      </c>
      <c r="G1374" s="4" t="str">
        <f>HYPERLINK("http://141.218.60.56/~jnz1568/getInfo.php?workbook=13_02.xlsx&amp;sheet=U0&amp;row=1374&amp;col=7&amp;number=0.00313&amp;sourceID=14","0.00313")</f>
        <v>0.00313</v>
      </c>
    </row>
    <row r="1375" spans="1:7">
      <c r="A1375" s="3"/>
      <c r="B1375" s="3"/>
      <c r="C1375" s="3"/>
      <c r="D1375" s="3"/>
      <c r="E1375" s="3">
        <v>12</v>
      </c>
      <c r="F1375" s="4" t="str">
        <f>HYPERLINK("http://141.218.60.56/~jnz1568/getInfo.php?workbook=13_02.xlsx&amp;sheet=U0&amp;row=1375&amp;col=6&amp;number=4.1&amp;sourceID=14","4.1")</f>
        <v>4.1</v>
      </c>
      <c r="G1375" s="4" t="str">
        <f>HYPERLINK("http://141.218.60.56/~jnz1568/getInfo.php?workbook=13_02.xlsx&amp;sheet=U0&amp;row=1375&amp;col=7&amp;number=0.00313&amp;sourceID=14","0.00313")</f>
        <v>0.00313</v>
      </c>
    </row>
    <row r="1376" spans="1:7">
      <c r="A1376" s="3"/>
      <c r="B1376" s="3"/>
      <c r="C1376" s="3"/>
      <c r="D1376" s="3"/>
      <c r="E1376" s="3">
        <v>13</v>
      </c>
      <c r="F1376" s="4" t="str">
        <f>HYPERLINK("http://141.218.60.56/~jnz1568/getInfo.php?workbook=13_02.xlsx&amp;sheet=U0&amp;row=1376&amp;col=6&amp;number=4.2&amp;sourceID=14","4.2")</f>
        <v>4.2</v>
      </c>
      <c r="G1376" s="4" t="str">
        <f>HYPERLINK("http://141.218.60.56/~jnz1568/getInfo.php?workbook=13_02.xlsx&amp;sheet=U0&amp;row=1376&amp;col=7&amp;number=0.00313&amp;sourceID=14","0.00313")</f>
        <v>0.00313</v>
      </c>
    </row>
    <row r="1377" spans="1:7">
      <c r="A1377" s="3"/>
      <c r="B1377" s="3"/>
      <c r="C1377" s="3"/>
      <c r="D1377" s="3"/>
      <c r="E1377" s="3">
        <v>14</v>
      </c>
      <c r="F1377" s="4" t="str">
        <f>HYPERLINK("http://141.218.60.56/~jnz1568/getInfo.php?workbook=13_02.xlsx&amp;sheet=U0&amp;row=1377&amp;col=6&amp;number=4.3&amp;sourceID=14","4.3")</f>
        <v>4.3</v>
      </c>
      <c r="G1377" s="4" t="str">
        <f>HYPERLINK("http://141.218.60.56/~jnz1568/getInfo.php?workbook=13_02.xlsx&amp;sheet=U0&amp;row=1377&amp;col=7&amp;number=0.00313&amp;sourceID=14","0.00313")</f>
        <v>0.00313</v>
      </c>
    </row>
    <row r="1378" spans="1:7">
      <c r="A1378" s="3"/>
      <c r="B1378" s="3"/>
      <c r="C1378" s="3"/>
      <c r="D1378" s="3"/>
      <c r="E1378" s="3">
        <v>15</v>
      </c>
      <c r="F1378" s="4" t="str">
        <f>HYPERLINK("http://141.218.60.56/~jnz1568/getInfo.php?workbook=13_02.xlsx&amp;sheet=U0&amp;row=1378&amp;col=6&amp;number=4.4&amp;sourceID=14","4.4")</f>
        <v>4.4</v>
      </c>
      <c r="G1378" s="4" t="str">
        <f>HYPERLINK("http://141.218.60.56/~jnz1568/getInfo.php?workbook=13_02.xlsx&amp;sheet=U0&amp;row=1378&amp;col=7&amp;number=0.00313&amp;sourceID=14","0.00313")</f>
        <v>0.00313</v>
      </c>
    </row>
    <row r="1379" spans="1:7">
      <c r="A1379" s="3"/>
      <c r="B1379" s="3"/>
      <c r="C1379" s="3"/>
      <c r="D1379" s="3"/>
      <c r="E1379" s="3">
        <v>16</v>
      </c>
      <c r="F1379" s="4" t="str">
        <f>HYPERLINK("http://141.218.60.56/~jnz1568/getInfo.php?workbook=13_02.xlsx&amp;sheet=U0&amp;row=1379&amp;col=6&amp;number=4.5&amp;sourceID=14","4.5")</f>
        <v>4.5</v>
      </c>
      <c r="G1379" s="4" t="str">
        <f>HYPERLINK("http://141.218.60.56/~jnz1568/getInfo.php?workbook=13_02.xlsx&amp;sheet=U0&amp;row=1379&amp;col=7&amp;number=0.00313&amp;sourceID=14","0.00313")</f>
        <v>0.00313</v>
      </c>
    </row>
    <row r="1380" spans="1:7">
      <c r="A1380" s="3"/>
      <c r="B1380" s="3"/>
      <c r="C1380" s="3"/>
      <c r="D1380" s="3"/>
      <c r="E1380" s="3">
        <v>17</v>
      </c>
      <c r="F1380" s="4" t="str">
        <f>HYPERLINK("http://141.218.60.56/~jnz1568/getInfo.php?workbook=13_02.xlsx&amp;sheet=U0&amp;row=1380&amp;col=6&amp;number=4.6&amp;sourceID=14","4.6")</f>
        <v>4.6</v>
      </c>
      <c r="G1380" s="4" t="str">
        <f>HYPERLINK("http://141.218.60.56/~jnz1568/getInfo.php?workbook=13_02.xlsx&amp;sheet=U0&amp;row=1380&amp;col=7&amp;number=0.00314&amp;sourceID=14","0.00314")</f>
        <v>0.00314</v>
      </c>
    </row>
    <row r="1381" spans="1:7">
      <c r="A1381" s="3"/>
      <c r="B1381" s="3"/>
      <c r="C1381" s="3"/>
      <c r="D1381" s="3"/>
      <c r="E1381" s="3">
        <v>18</v>
      </c>
      <c r="F1381" s="4" t="str">
        <f>HYPERLINK("http://141.218.60.56/~jnz1568/getInfo.php?workbook=13_02.xlsx&amp;sheet=U0&amp;row=1381&amp;col=6&amp;number=4.7&amp;sourceID=14","4.7")</f>
        <v>4.7</v>
      </c>
      <c r="G1381" s="4" t="str">
        <f>HYPERLINK("http://141.218.60.56/~jnz1568/getInfo.php?workbook=13_02.xlsx&amp;sheet=U0&amp;row=1381&amp;col=7&amp;number=0.00314&amp;sourceID=14","0.00314")</f>
        <v>0.00314</v>
      </c>
    </row>
    <row r="1382" spans="1:7">
      <c r="A1382" s="3"/>
      <c r="B1382" s="3"/>
      <c r="C1382" s="3"/>
      <c r="D1382" s="3"/>
      <c r="E1382" s="3">
        <v>19</v>
      </c>
      <c r="F1382" s="4" t="str">
        <f>HYPERLINK("http://141.218.60.56/~jnz1568/getInfo.php?workbook=13_02.xlsx&amp;sheet=U0&amp;row=1382&amp;col=6&amp;number=4.8&amp;sourceID=14","4.8")</f>
        <v>4.8</v>
      </c>
      <c r="G1382" s="4" t="str">
        <f>HYPERLINK("http://141.218.60.56/~jnz1568/getInfo.php?workbook=13_02.xlsx&amp;sheet=U0&amp;row=1382&amp;col=7&amp;number=0.00314&amp;sourceID=14","0.00314")</f>
        <v>0.00314</v>
      </c>
    </row>
    <row r="1383" spans="1:7">
      <c r="A1383" s="3"/>
      <c r="B1383" s="3"/>
      <c r="C1383" s="3"/>
      <c r="D1383" s="3"/>
      <c r="E1383" s="3">
        <v>20</v>
      </c>
      <c r="F1383" s="4" t="str">
        <f>HYPERLINK("http://141.218.60.56/~jnz1568/getInfo.php?workbook=13_02.xlsx&amp;sheet=U0&amp;row=1383&amp;col=6&amp;number=4.9&amp;sourceID=14","4.9")</f>
        <v>4.9</v>
      </c>
      <c r="G1383" s="4" t="str">
        <f>HYPERLINK("http://141.218.60.56/~jnz1568/getInfo.php?workbook=13_02.xlsx&amp;sheet=U0&amp;row=1383&amp;col=7&amp;number=0.00314&amp;sourceID=14","0.00314")</f>
        <v>0.00314</v>
      </c>
    </row>
    <row r="1384" spans="1:7">
      <c r="A1384" s="3">
        <v>13</v>
      </c>
      <c r="B1384" s="3">
        <v>2</v>
      </c>
      <c r="C1384" s="3" t="s">
        <v>85</v>
      </c>
      <c r="D1384" s="3">
        <v>9</v>
      </c>
      <c r="E1384" s="3">
        <v>1</v>
      </c>
      <c r="F1384" s="4" t="str">
        <f>HYPERLINK("http://141.218.60.56/~jnz1568/getInfo.php?workbook=13_02.xlsx&amp;sheet=U0&amp;row=1384&amp;col=6&amp;number=3&amp;sourceID=14","3")</f>
        <v>3</v>
      </c>
      <c r="G1384" s="4" t="str">
        <f>HYPERLINK("http://141.218.60.56/~jnz1568/getInfo.php?workbook=13_02.xlsx&amp;sheet=U0&amp;row=1384&amp;col=7&amp;number=0.00388&amp;sourceID=14","0.00388")</f>
        <v>0.00388</v>
      </c>
    </row>
    <row r="1385" spans="1:7">
      <c r="A1385" s="3"/>
      <c r="B1385" s="3"/>
      <c r="C1385" s="3"/>
      <c r="D1385" s="3"/>
      <c r="E1385" s="3">
        <v>2</v>
      </c>
      <c r="F1385" s="4" t="str">
        <f>HYPERLINK("http://141.218.60.56/~jnz1568/getInfo.php?workbook=13_02.xlsx&amp;sheet=U0&amp;row=1385&amp;col=6&amp;number=3.1&amp;sourceID=14","3.1")</f>
        <v>3.1</v>
      </c>
      <c r="G1385" s="4" t="str">
        <f>HYPERLINK("http://141.218.60.56/~jnz1568/getInfo.php?workbook=13_02.xlsx&amp;sheet=U0&amp;row=1385&amp;col=7&amp;number=0.00388&amp;sourceID=14","0.00388")</f>
        <v>0.00388</v>
      </c>
    </row>
    <row r="1386" spans="1:7">
      <c r="A1386" s="3"/>
      <c r="B1386" s="3"/>
      <c r="C1386" s="3"/>
      <c r="D1386" s="3"/>
      <c r="E1386" s="3">
        <v>3</v>
      </c>
      <c r="F1386" s="4" t="str">
        <f>HYPERLINK("http://141.218.60.56/~jnz1568/getInfo.php?workbook=13_02.xlsx&amp;sheet=U0&amp;row=1386&amp;col=6&amp;number=3.2&amp;sourceID=14","3.2")</f>
        <v>3.2</v>
      </c>
      <c r="G1386" s="4" t="str">
        <f>HYPERLINK("http://141.218.60.56/~jnz1568/getInfo.php?workbook=13_02.xlsx&amp;sheet=U0&amp;row=1386&amp;col=7&amp;number=0.00388&amp;sourceID=14","0.00388")</f>
        <v>0.00388</v>
      </c>
    </row>
    <row r="1387" spans="1:7">
      <c r="A1387" s="3"/>
      <c r="B1387" s="3"/>
      <c r="C1387" s="3"/>
      <c r="D1387" s="3"/>
      <c r="E1387" s="3">
        <v>4</v>
      </c>
      <c r="F1387" s="4" t="str">
        <f>HYPERLINK("http://141.218.60.56/~jnz1568/getInfo.php?workbook=13_02.xlsx&amp;sheet=U0&amp;row=1387&amp;col=6&amp;number=3.3&amp;sourceID=14","3.3")</f>
        <v>3.3</v>
      </c>
      <c r="G1387" s="4" t="str">
        <f>HYPERLINK("http://141.218.60.56/~jnz1568/getInfo.php?workbook=13_02.xlsx&amp;sheet=U0&amp;row=1387&amp;col=7&amp;number=0.00388&amp;sourceID=14","0.00388")</f>
        <v>0.00388</v>
      </c>
    </row>
    <row r="1388" spans="1:7">
      <c r="A1388" s="3"/>
      <c r="B1388" s="3"/>
      <c r="C1388" s="3"/>
      <c r="D1388" s="3"/>
      <c r="E1388" s="3">
        <v>5</v>
      </c>
      <c r="F1388" s="4" t="str">
        <f>HYPERLINK("http://141.218.60.56/~jnz1568/getInfo.php?workbook=13_02.xlsx&amp;sheet=U0&amp;row=1388&amp;col=6&amp;number=3.4&amp;sourceID=14","3.4")</f>
        <v>3.4</v>
      </c>
      <c r="G1388" s="4" t="str">
        <f>HYPERLINK("http://141.218.60.56/~jnz1568/getInfo.php?workbook=13_02.xlsx&amp;sheet=U0&amp;row=1388&amp;col=7&amp;number=0.00388&amp;sourceID=14","0.00388")</f>
        <v>0.00388</v>
      </c>
    </row>
    <row r="1389" spans="1:7">
      <c r="A1389" s="3"/>
      <c r="B1389" s="3"/>
      <c r="C1389" s="3"/>
      <c r="D1389" s="3"/>
      <c r="E1389" s="3">
        <v>6</v>
      </c>
      <c r="F1389" s="4" t="str">
        <f>HYPERLINK("http://141.218.60.56/~jnz1568/getInfo.php?workbook=13_02.xlsx&amp;sheet=U0&amp;row=1389&amp;col=6&amp;number=3.5&amp;sourceID=14","3.5")</f>
        <v>3.5</v>
      </c>
      <c r="G1389" s="4" t="str">
        <f>HYPERLINK("http://141.218.60.56/~jnz1568/getInfo.php?workbook=13_02.xlsx&amp;sheet=U0&amp;row=1389&amp;col=7&amp;number=0.00388&amp;sourceID=14","0.00388")</f>
        <v>0.00388</v>
      </c>
    </row>
    <row r="1390" spans="1:7">
      <c r="A1390" s="3"/>
      <c r="B1390" s="3"/>
      <c r="C1390" s="3"/>
      <c r="D1390" s="3"/>
      <c r="E1390" s="3">
        <v>7</v>
      </c>
      <c r="F1390" s="4" t="str">
        <f>HYPERLINK("http://141.218.60.56/~jnz1568/getInfo.php?workbook=13_02.xlsx&amp;sheet=U0&amp;row=1390&amp;col=6&amp;number=3.6&amp;sourceID=14","3.6")</f>
        <v>3.6</v>
      </c>
      <c r="G1390" s="4" t="str">
        <f>HYPERLINK("http://141.218.60.56/~jnz1568/getInfo.php?workbook=13_02.xlsx&amp;sheet=U0&amp;row=1390&amp;col=7&amp;number=0.00388&amp;sourceID=14","0.00388")</f>
        <v>0.00388</v>
      </c>
    </row>
    <row r="1391" spans="1:7">
      <c r="A1391" s="3"/>
      <c r="B1391" s="3"/>
      <c r="C1391" s="3"/>
      <c r="D1391" s="3"/>
      <c r="E1391" s="3">
        <v>8</v>
      </c>
      <c r="F1391" s="4" t="str">
        <f>HYPERLINK("http://141.218.60.56/~jnz1568/getInfo.php?workbook=13_02.xlsx&amp;sheet=U0&amp;row=1391&amp;col=6&amp;number=3.7&amp;sourceID=14","3.7")</f>
        <v>3.7</v>
      </c>
      <c r="G1391" s="4" t="str">
        <f>HYPERLINK("http://141.218.60.56/~jnz1568/getInfo.php?workbook=13_02.xlsx&amp;sheet=U0&amp;row=1391&amp;col=7&amp;number=0.00388&amp;sourceID=14","0.00388")</f>
        <v>0.00388</v>
      </c>
    </row>
    <row r="1392" spans="1:7">
      <c r="A1392" s="3"/>
      <c r="B1392" s="3"/>
      <c r="C1392" s="3"/>
      <c r="D1392" s="3"/>
      <c r="E1392" s="3">
        <v>9</v>
      </c>
      <c r="F1392" s="4" t="str">
        <f>HYPERLINK("http://141.218.60.56/~jnz1568/getInfo.php?workbook=13_02.xlsx&amp;sheet=U0&amp;row=1392&amp;col=6&amp;number=3.8&amp;sourceID=14","3.8")</f>
        <v>3.8</v>
      </c>
      <c r="G1392" s="4" t="str">
        <f>HYPERLINK("http://141.218.60.56/~jnz1568/getInfo.php?workbook=13_02.xlsx&amp;sheet=U0&amp;row=1392&amp;col=7&amp;number=0.00388&amp;sourceID=14","0.00388")</f>
        <v>0.00388</v>
      </c>
    </row>
    <row r="1393" spans="1:7">
      <c r="A1393" s="3"/>
      <c r="B1393" s="3"/>
      <c r="C1393" s="3"/>
      <c r="D1393" s="3"/>
      <c r="E1393" s="3">
        <v>10</v>
      </c>
      <c r="F1393" s="4" t="str">
        <f>HYPERLINK("http://141.218.60.56/~jnz1568/getInfo.php?workbook=13_02.xlsx&amp;sheet=U0&amp;row=1393&amp;col=6&amp;number=3.9&amp;sourceID=14","3.9")</f>
        <v>3.9</v>
      </c>
      <c r="G1393" s="4" t="str">
        <f>HYPERLINK("http://141.218.60.56/~jnz1568/getInfo.php?workbook=13_02.xlsx&amp;sheet=U0&amp;row=1393&amp;col=7&amp;number=0.00388&amp;sourceID=14","0.00388")</f>
        <v>0.00388</v>
      </c>
    </row>
    <row r="1394" spans="1:7">
      <c r="A1394" s="3"/>
      <c r="B1394" s="3"/>
      <c r="C1394" s="3"/>
      <c r="D1394" s="3"/>
      <c r="E1394" s="3">
        <v>11</v>
      </c>
      <c r="F1394" s="4" t="str">
        <f>HYPERLINK("http://141.218.60.56/~jnz1568/getInfo.php?workbook=13_02.xlsx&amp;sheet=U0&amp;row=1394&amp;col=6&amp;number=4&amp;sourceID=14","4")</f>
        <v>4</v>
      </c>
      <c r="G1394" s="4" t="str">
        <f>HYPERLINK("http://141.218.60.56/~jnz1568/getInfo.php?workbook=13_02.xlsx&amp;sheet=U0&amp;row=1394&amp;col=7&amp;number=0.00388&amp;sourceID=14","0.00388")</f>
        <v>0.00388</v>
      </c>
    </row>
    <row r="1395" spans="1:7">
      <c r="A1395" s="3"/>
      <c r="B1395" s="3"/>
      <c r="C1395" s="3"/>
      <c r="D1395" s="3"/>
      <c r="E1395" s="3">
        <v>12</v>
      </c>
      <c r="F1395" s="4" t="str">
        <f>HYPERLINK("http://141.218.60.56/~jnz1568/getInfo.php?workbook=13_02.xlsx&amp;sheet=U0&amp;row=1395&amp;col=6&amp;number=4.1&amp;sourceID=14","4.1")</f>
        <v>4.1</v>
      </c>
      <c r="G1395" s="4" t="str">
        <f>HYPERLINK("http://141.218.60.56/~jnz1568/getInfo.php?workbook=13_02.xlsx&amp;sheet=U0&amp;row=1395&amp;col=7&amp;number=0.00388&amp;sourceID=14","0.00388")</f>
        <v>0.00388</v>
      </c>
    </row>
    <row r="1396" spans="1:7">
      <c r="A1396" s="3"/>
      <c r="B1396" s="3"/>
      <c r="C1396" s="3"/>
      <c r="D1396" s="3"/>
      <c r="E1396" s="3">
        <v>13</v>
      </c>
      <c r="F1396" s="4" t="str">
        <f>HYPERLINK("http://141.218.60.56/~jnz1568/getInfo.php?workbook=13_02.xlsx&amp;sheet=U0&amp;row=1396&amp;col=6&amp;number=4.2&amp;sourceID=14","4.2")</f>
        <v>4.2</v>
      </c>
      <c r="G1396" s="4" t="str">
        <f>HYPERLINK("http://141.218.60.56/~jnz1568/getInfo.php?workbook=13_02.xlsx&amp;sheet=U0&amp;row=1396&amp;col=7&amp;number=0.00388&amp;sourceID=14","0.00388")</f>
        <v>0.00388</v>
      </c>
    </row>
    <row r="1397" spans="1:7">
      <c r="A1397" s="3"/>
      <c r="B1397" s="3"/>
      <c r="C1397" s="3"/>
      <c r="D1397" s="3"/>
      <c r="E1397" s="3">
        <v>14</v>
      </c>
      <c r="F1397" s="4" t="str">
        <f>HYPERLINK("http://141.218.60.56/~jnz1568/getInfo.php?workbook=13_02.xlsx&amp;sheet=U0&amp;row=1397&amp;col=6&amp;number=4.3&amp;sourceID=14","4.3")</f>
        <v>4.3</v>
      </c>
      <c r="G1397" s="4" t="str">
        <f>HYPERLINK("http://141.218.60.56/~jnz1568/getInfo.php?workbook=13_02.xlsx&amp;sheet=U0&amp;row=1397&amp;col=7&amp;number=0.00388&amp;sourceID=14","0.00388")</f>
        <v>0.00388</v>
      </c>
    </row>
    <row r="1398" spans="1:7">
      <c r="A1398" s="3"/>
      <c r="B1398" s="3"/>
      <c r="C1398" s="3"/>
      <c r="D1398" s="3"/>
      <c r="E1398" s="3">
        <v>15</v>
      </c>
      <c r="F1398" s="4" t="str">
        <f>HYPERLINK("http://141.218.60.56/~jnz1568/getInfo.php?workbook=13_02.xlsx&amp;sheet=U0&amp;row=1398&amp;col=6&amp;number=4.4&amp;sourceID=14","4.4")</f>
        <v>4.4</v>
      </c>
      <c r="G1398" s="4" t="str">
        <f>HYPERLINK("http://141.218.60.56/~jnz1568/getInfo.php?workbook=13_02.xlsx&amp;sheet=U0&amp;row=1398&amp;col=7&amp;number=0.00388&amp;sourceID=14","0.00388")</f>
        <v>0.00388</v>
      </c>
    </row>
    <row r="1399" spans="1:7">
      <c r="A1399" s="3"/>
      <c r="B1399" s="3"/>
      <c r="C1399" s="3"/>
      <c r="D1399" s="3"/>
      <c r="E1399" s="3">
        <v>16</v>
      </c>
      <c r="F1399" s="4" t="str">
        <f>HYPERLINK("http://141.218.60.56/~jnz1568/getInfo.php?workbook=13_02.xlsx&amp;sheet=U0&amp;row=1399&amp;col=6&amp;number=4.5&amp;sourceID=14","4.5")</f>
        <v>4.5</v>
      </c>
      <c r="G1399" s="4" t="str">
        <f>HYPERLINK("http://141.218.60.56/~jnz1568/getInfo.php?workbook=13_02.xlsx&amp;sheet=U0&amp;row=1399&amp;col=7&amp;number=0.00388&amp;sourceID=14","0.00388")</f>
        <v>0.00388</v>
      </c>
    </row>
    <row r="1400" spans="1:7">
      <c r="A1400" s="3"/>
      <c r="B1400" s="3"/>
      <c r="C1400" s="3"/>
      <c r="D1400" s="3"/>
      <c r="E1400" s="3">
        <v>17</v>
      </c>
      <c r="F1400" s="4" t="str">
        <f>HYPERLINK("http://141.218.60.56/~jnz1568/getInfo.php?workbook=13_02.xlsx&amp;sheet=U0&amp;row=1400&amp;col=6&amp;number=4.6&amp;sourceID=14","4.6")</f>
        <v>4.6</v>
      </c>
      <c r="G1400" s="4" t="str">
        <f>HYPERLINK("http://141.218.60.56/~jnz1568/getInfo.php?workbook=13_02.xlsx&amp;sheet=U0&amp;row=1400&amp;col=7&amp;number=0.00388&amp;sourceID=14","0.00388")</f>
        <v>0.00388</v>
      </c>
    </row>
    <row r="1401" spans="1:7">
      <c r="A1401" s="3"/>
      <c r="B1401" s="3"/>
      <c r="C1401" s="3"/>
      <c r="D1401" s="3"/>
      <c r="E1401" s="3">
        <v>18</v>
      </c>
      <c r="F1401" s="4" t="str">
        <f>HYPERLINK("http://141.218.60.56/~jnz1568/getInfo.php?workbook=13_02.xlsx&amp;sheet=U0&amp;row=1401&amp;col=6&amp;number=4.7&amp;sourceID=14","4.7")</f>
        <v>4.7</v>
      </c>
      <c r="G1401" s="4" t="str">
        <f>HYPERLINK("http://141.218.60.56/~jnz1568/getInfo.php?workbook=13_02.xlsx&amp;sheet=U0&amp;row=1401&amp;col=7&amp;number=0.00388&amp;sourceID=14","0.00388")</f>
        <v>0.00388</v>
      </c>
    </row>
    <row r="1402" spans="1:7">
      <c r="A1402" s="3"/>
      <c r="B1402" s="3"/>
      <c r="C1402" s="3"/>
      <c r="D1402" s="3"/>
      <c r="E1402" s="3">
        <v>19</v>
      </c>
      <c r="F1402" s="4" t="str">
        <f>HYPERLINK("http://141.218.60.56/~jnz1568/getInfo.php?workbook=13_02.xlsx&amp;sheet=U0&amp;row=1402&amp;col=6&amp;number=4.8&amp;sourceID=14","4.8")</f>
        <v>4.8</v>
      </c>
      <c r="G1402" s="4" t="str">
        <f>HYPERLINK("http://141.218.60.56/~jnz1568/getInfo.php?workbook=13_02.xlsx&amp;sheet=U0&amp;row=1402&amp;col=7&amp;number=0.00387&amp;sourceID=14","0.00387")</f>
        <v>0.00387</v>
      </c>
    </row>
    <row r="1403" spans="1:7">
      <c r="A1403" s="3"/>
      <c r="B1403" s="3"/>
      <c r="C1403" s="3"/>
      <c r="D1403" s="3"/>
      <c r="E1403" s="3">
        <v>20</v>
      </c>
      <c r="F1403" s="4" t="str">
        <f>HYPERLINK("http://141.218.60.56/~jnz1568/getInfo.php?workbook=13_02.xlsx&amp;sheet=U0&amp;row=1403&amp;col=6&amp;number=4.9&amp;sourceID=14","4.9")</f>
        <v>4.9</v>
      </c>
      <c r="G1403" s="4" t="str">
        <f>HYPERLINK("http://141.218.60.56/~jnz1568/getInfo.php?workbook=13_02.xlsx&amp;sheet=U0&amp;row=1403&amp;col=7&amp;number=0.00387&amp;sourceID=14","0.00387")</f>
        <v>0.00387</v>
      </c>
    </row>
    <row r="1404" spans="1:7">
      <c r="A1404" s="3">
        <v>13</v>
      </c>
      <c r="B1404" s="3">
        <v>2</v>
      </c>
      <c r="C1404" s="3" t="s">
        <v>86</v>
      </c>
      <c r="D1404" s="3">
        <v>0</v>
      </c>
      <c r="E1404" s="3">
        <v>1</v>
      </c>
      <c r="F1404" s="4" t="str">
        <f>HYPERLINK("http://141.218.60.56/~jnz1568/getInfo.php?workbook=13_02.xlsx&amp;sheet=U0&amp;row=1404&amp;col=6&amp;number=3&amp;sourceID=14","3")</f>
        <v>3</v>
      </c>
      <c r="G1404" s="4" t="str">
        <f>HYPERLINK("http://141.218.60.56/~jnz1568/getInfo.php?workbook=13_02.xlsx&amp;sheet=U0&amp;row=1404&amp;col=7&amp;number=0.00564&amp;sourceID=14","0.00564")</f>
        <v>0.00564</v>
      </c>
    </row>
    <row r="1405" spans="1:7">
      <c r="A1405" s="3"/>
      <c r="B1405" s="3"/>
      <c r="C1405" s="3"/>
      <c r="D1405" s="3"/>
      <c r="E1405" s="3">
        <v>2</v>
      </c>
      <c r="F1405" s="4" t="str">
        <f>HYPERLINK("http://141.218.60.56/~jnz1568/getInfo.php?workbook=13_02.xlsx&amp;sheet=U0&amp;row=1405&amp;col=6&amp;number=3.1&amp;sourceID=14","3.1")</f>
        <v>3.1</v>
      </c>
      <c r="G1405" s="4" t="str">
        <f>HYPERLINK("http://141.218.60.56/~jnz1568/getInfo.php?workbook=13_02.xlsx&amp;sheet=U0&amp;row=1405&amp;col=7&amp;number=0.00564&amp;sourceID=14","0.00564")</f>
        <v>0.00564</v>
      </c>
    </row>
    <row r="1406" spans="1:7">
      <c r="A1406" s="3"/>
      <c r="B1406" s="3"/>
      <c r="C1406" s="3"/>
      <c r="D1406" s="3"/>
      <c r="E1406" s="3">
        <v>3</v>
      </c>
      <c r="F1406" s="4" t="str">
        <f>HYPERLINK("http://141.218.60.56/~jnz1568/getInfo.php?workbook=13_02.xlsx&amp;sheet=U0&amp;row=1406&amp;col=6&amp;number=3.2&amp;sourceID=14","3.2")</f>
        <v>3.2</v>
      </c>
      <c r="G1406" s="4" t="str">
        <f>HYPERLINK("http://141.218.60.56/~jnz1568/getInfo.php?workbook=13_02.xlsx&amp;sheet=U0&amp;row=1406&amp;col=7&amp;number=0.00564&amp;sourceID=14","0.00564")</f>
        <v>0.00564</v>
      </c>
    </row>
    <row r="1407" spans="1:7">
      <c r="A1407" s="3"/>
      <c r="B1407" s="3"/>
      <c r="C1407" s="3"/>
      <c r="D1407" s="3"/>
      <c r="E1407" s="3">
        <v>4</v>
      </c>
      <c r="F1407" s="4" t="str">
        <f>HYPERLINK("http://141.218.60.56/~jnz1568/getInfo.php?workbook=13_02.xlsx&amp;sheet=U0&amp;row=1407&amp;col=6&amp;number=3.3&amp;sourceID=14","3.3")</f>
        <v>3.3</v>
      </c>
      <c r="G1407" s="4" t="str">
        <f>HYPERLINK("http://141.218.60.56/~jnz1568/getInfo.php?workbook=13_02.xlsx&amp;sheet=U0&amp;row=1407&amp;col=7&amp;number=0.00564&amp;sourceID=14","0.00564")</f>
        <v>0.00564</v>
      </c>
    </row>
    <row r="1408" spans="1:7">
      <c r="A1408" s="3"/>
      <c r="B1408" s="3"/>
      <c r="C1408" s="3"/>
      <c r="D1408" s="3"/>
      <c r="E1408" s="3">
        <v>5</v>
      </c>
      <c r="F1408" s="4" t="str">
        <f>HYPERLINK("http://141.218.60.56/~jnz1568/getInfo.php?workbook=13_02.xlsx&amp;sheet=U0&amp;row=1408&amp;col=6&amp;number=3.4&amp;sourceID=14","3.4")</f>
        <v>3.4</v>
      </c>
      <c r="G1408" s="4" t="str">
        <f>HYPERLINK("http://141.218.60.56/~jnz1568/getInfo.php?workbook=13_02.xlsx&amp;sheet=U0&amp;row=1408&amp;col=7&amp;number=0.00564&amp;sourceID=14","0.00564")</f>
        <v>0.00564</v>
      </c>
    </row>
    <row r="1409" spans="1:7">
      <c r="A1409" s="3"/>
      <c r="B1409" s="3"/>
      <c r="C1409" s="3"/>
      <c r="D1409" s="3"/>
      <c r="E1409" s="3">
        <v>6</v>
      </c>
      <c r="F1409" s="4" t="str">
        <f>HYPERLINK("http://141.218.60.56/~jnz1568/getInfo.php?workbook=13_02.xlsx&amp;sheet=U0&amp;row=1409&amp;col=6&amp;number=3.5&amp;sourceID=14","3.5")</f>
        <v>3.5</v>
      </c>
      <c r="G1409" s="4" t="str">
        <f>HYPERLINK("http://141.218.60.56/~jnz1568/getInfo.php?workbook=13_02.xlsx&amp;sheet=U0&amp;row=1409&amp;col=7&amp;number=0.00564&amp;sourceID=14","0.00564")</f>
        <v>0.00564</v>
      </c>
    </row>
    <row r="1410" spans="1:7">
      <c r="A1410" s="3"/>
      <c r="B1410" s="3"/>
      <c r="C1410" s="3"/>
      <c r="D1410" s="3"/>
      <c r="E1410" s="3">
        <v>7</v>
      </c>
      <c r="F1410" s="4" t="str">
        <f>HYPERLINK("http://141.218.60.56/~jnz1568/getInfo.php?workbook=13_02.xlsx&amp;sheet=U0&amp;row=1410&amp;col=6&amp;number=3.6&amp;sourceID=14","3.6")</f>
        <v>3.6</v>
      </c>
      <c r="G1410" s="4" t="str">
        <f>HYPERLINK("http://141.218.60.56/~jnz1568/getInfo.php?workbook=13_02.xlsx&amp;sheet=U0&amp;row=1410&amp;col=7&amp;number=0.00564&amp;sourceID=14","0.00564")</f>
        <v>0.00564</v>
      </c>
    </row>
    <row r="1411" spans="1:7">
      <c r="A1411" s="3"/>
      <c r="B1411" s="3"/>
      <c r="C1411" s="3"/>
      <c r="D1411" s="3"/>
      <c r="E1411" s="3">
        <v>8</v>
      </c>
      <c r="F1411" s="4" t="str">
        <f>HYPERLINK("http://141.218.60.56/~jnz1568/getInfo.php?workbook=13_02.xlsx&amp;sheet=U0&amp;row=1411&amp;col=6&amp;number=3.7&amp;sourceID=14","3.7")</f>
        <v>3.7</v>
      </c>
      <c r="G1411" s="4" t="str">
        <f>HYPERLINK("http://141.218.60.56/~jnz1568/getInfo.php?workbook=13_02.xlsx&amp;sheet=U0&amp;row=1411&amp;col=7&amp;number=0.00564&amp;sourceID=14","0.00564")</f>
        <v>0.00564</v>
      </c>
    </row>
    <row r="1412" spans="1:7">
      <c r="A1412" s="3"/>
      <c r="B1412" s="3"/>
      <c r="C1412" s="3"/>
      <c r="D1412" s="3"/>
      <c r="E1412" s="3">
        <v>9</v>
      </c>
      <c r="F1412" s="4" t="str">
        <f>HYPERLINK("http://141.218.60.56/~jnz1568/getInfo.php?workbook=13_02.xlsx&amp;sheet=U0&amp;row=1412&amp;col=6&amp;number=3.8&amp;sourceID=14","3.8")</f>
        <v>3.8</v>
      </c>
      <c r="G1412" s="4" t="str">
        <f>HYPERLINK("http://141.218.60.56/~jnz1568/getInfo.php?workbook=13_02.xlsx&amp;sheet=U0&amp;row=1412&amp;col=7&amp;number=0.00564&amp;sourceID=14","0.00564")</f>
        <v>0.00564</v>
      </c>
    </row>
    <row r="1413" spans="1:7">
      <c r="A1413" s="3"/>
      <c r="B1413" s="3"/>
      <c r="C1413" s="3"/>
      <c r="D1413" s="3"/>
      <c r="E1413" s="3">
        <v>10</v>
      </c>
      <c r="F1413" s="4" t="str">
        <f>HYPERLINK("http://141.218.60.56/~jnz1568/getInfo.php?workbook=13_02.xlsx&amp;sheet=U0&amp;row=1413&amp;col=6&amp;number=3.9&amp;sourceID=14","3.9")</f>
        <v>3.9</v>
      </c>
      <c r="G1413" s="4" t="str">
        <f>HYPERLINK("http://141.218.60.56/~jnz1568/getInfo.php?workbook=13_02.xlsx&amp;sheet=U0&amp;row=1413&amp;col=7&amp;number=0.00564&amp;sourceID=14","0.00564")</f>
        <v>0.00564</v>
      </c>
    </row>
    <row r="1414" spans="1:7">
      <c r="A1414" s="3"/>
      <c r="B1414" s="3"/>
      <c r="C1414" s="3"/>
      <c r="D1414" s="3"/>
      <c r="E1414" s="3">
        <v>11</v>
      </c>
      <c r="F1414" s="4" t="str">
        <f>HYPERLINK("http://141.218.60.56/~jnz1568/getInfo.php?workbook=13_02.xlsx&amp;sheet=U0&amp;row=1414&amp;col=6&amp;number=4&amp;sourceID=14","4")</f>
        <v>4</v>
      </c>
      <c r="G1414" s="4" t="str">
        <f>HYPERLINK("http://141.218.60.56/~jnz1568/getInfo.php?workbook=13_02.xlsx&amp;sheet=U0&amp;row=1414&amp;col=7&amp;number=0.00564&amp;sourceID=14","0.00564")</f>
        <v>0.00564</v>
      </c>
    </row>
    <row r="1415" spans="1:7">
      <c r="A1415" s="3"/>
      <c r="B1415" s="3"/>
      <c r="C1415" s="3"/>
      <c r="D1415" s="3"/>
      <c r="E1415" s="3">
        <v>12</v>
      </c>
      <c r="F1415" s="4" t="str">
        <f>HYPERLINK("http://141.218.60.56/~jnz1568/getInfo.php?workbook=13_02.xlsx&amp;sheet=U0&amp;row=1415&amp;col=6&amp;number=4.1&amp;sourceID=14","4.1")</f>
        <v>4.1</v>
      </c>
      <c r="G1415" s="4" t="str">
        <f>HYPERLINK("http://141.218.60.56/~jnz1568/getInfo.php?workbook=13_02.xlsx&amp;sheet=U0&amp;row=1415&amp;col=7&amp;number=0.00564&amp;sourceID=14","0.00564")</f>
        <v>0.00564</v>
      </c>
    </row>
    <row r="1416" spans="1:7">
      <c r="A1416" s="3"/>
      <c r="B1416" s="3"/>
      <c r="C1416" s="3"/>
      <c r="D1416" s="3"/>
      <c r="E1416" s="3">
        <v>13</v>
      </c>
      <c r="F1416" s="4" t="str">
        <f>HYPERLINK("http://141.218.60.56/~jnz1568/getInfo.php?workbook=13_02.xlsx&amp;sheet=U0&amp;row=1416&amp;col=6&amp;number=4.2&amp;sourceID=14","4.2")</f>
        <v>4.2</v>
      </c>
      <c r="G1416" s="4" t="str">
        <f>HYPERLINK("http://141.218.60.56/~jnz1568/getInfo.php?workbook=13_02.xlsx&amp;sheet=U0&amp;row=1416&amp;col=7&amp;number=0.00564&amp;sourceID=14","0.00564")</f>
        <v>0.00564</v>
      </c>
    </row>
    <row r="1417" spans="1:7">
      <c r="A1417" s="3"/>
      <c r="B1417" s="3"/>
      <c r="C1417" s="3"/>
      <c r="D1417" s="3"/>
      <c r="E1417" s="3">
        <v>14</v>
      </c>
      <c r="F1417" s="4" t="str">
        <f>HYPERLINK("http://141.218.60.56/~jnz1568/getInfo.php?workbook=13_02.xlsx&amp;sheet=U0&amp;row=1417&amp;col=6&amp;number=4.3&amp;sourceID=14","4.3")</f>
        <v>4.3</v>
      </c>
      <c r="G1417" s="4" t="str">
        <f>HYPERLINK("http://141.218.60.56/~jnz1568/getInfo.php?workbook=13_02.xlsx&amp;sheet=U0&amp;row=1417&amp;col=7&amp;number=0.00564&amp;sourceID=14","0.00564")</f>
        <v>0.00564</v>
      </c>
    </row>
    <row r="1418" spans="1:7">
      <c r="A1418" s="3"/>
      <c r="B1418" s="3"/>
      <c r="C1418" s="3"/>
      <c r="D1418" s="3"/>
      <c r="E1418" s="3">
        <v>15</v>
      </c>
      <c r="F1418" s="4" t="str">
        <f>HYPERLINK("http://141.218.60.56/~jnz1568/getInfo.php?workbook=13_02.xlsx&amp;sheet=U0&amp;row=1418&amp;col=6&amp;number=4.4&amp;sourceID=14","4.4")</f>
        <v>4.4</v>
      </c>
      <c r="G1418" s="4" t="str">
        <f>HYPERLINK("http://141.218.60.56/~jnz1568/getInfo.php?workbook=13_02.xlsx&amp;sheet=U0&amp;row=1418&amp;col=7&amp;number=0.00564&amp;sourceID=14","0.00564")</f>
        <v>0.00564</v>
      </c>
    </row>
    <row r="1419" spans="1:7">
      <c r="A1419" s="3"/>
      <c r="B1419" s="3"/>
      <c r="C1419" s="3"/>
      <c r="D1419" s="3"/>
      <c r="E1419" s="3">
        <v>16</v>
      </c>
      <c r="F1419" s="4" t="str">
        <f>HYPERLINK("http://141.218.60.56/~jnz1568/getInfo.php?workbook=13_02.xlsx&amp;sheet=U0&amp;row=1419&amp;col=6&amp;number=4.5&amp;sourceID=14","4.5")</f>
        <v>4.5</v>
      </c>
      <c r="G1419" s="4" t="str">
        <f>HYPERLINK("http://141.218.60.56/~jnz1568/getInfo.php?workbook=13_02.xlsx&amp;sheet=U0&amp;row=1419&amp;col=7&amp;number=0.00564&amp;sourceID=14","0.00564")</f>
        <v>0.00564</v>
      </c>
    </row>
    <row r="1420" spans="1:7">
      <c r="A1420" s="3"/>
      <c r="B1420" s="3"/>
      <c r="C1420" s="3"/>
      <c r="D1420" s="3"/>
      <c r="E1420" s="3">
        <v>17</v>
      </c>
      <c r="F1420" s="4" t="str">
        <f>HYPERLINK("http://141.218.60.56/~jnz1568/getInfo.php?workbook=13_02.xlsx&amp;sheet=U0&amp;row=1420&amp;col=6&amp;number=4.6&amp;sourceID=14","4.6")</f>
        <v>4.6</v>
      </c>
      <c r="G1420" s="4" t="str">
        <f>HYPERLINK("http://141.218.60.56/~jnz1568/getInfo.php?workbook=13_02.xlsx&amp;sheet=U0&amp;row=1420&amp;col=7&amp;number=0.00564&amp;sourceID=14","0.00564")</f>
        <v>0.00564</v>
      </c>
    </row>
    <row r="1421" spans="1:7">
      <c r="A1421" s="3"/>
      <c r="B1421" s="3"/>
      <c r="C1421" s="3"/>
      <c r="D1421" s="3"/>
      <c r="E1421" s="3">
        <v>18</v>
      </c>
      <c r="F1421" s="4" t="str">
        <f>HYPERLINK("http://141.218.60.56/~jnz1568/getInfo.php?workbook=13_02.xlsx&amp;sheet=U0&amp;row=1421&amp;col=6&amp;number=4.7&amp;sourceID=14","4.7")</f>
        <v>4.7</v>
      </c>
      <c r="G1421" s="4" t="str">
        <f>HYPERLINK("http://141.218.60.56/~jnz1568/getInfo.php?workbook=13_02.xlsx&amp;sheet=U0&amp;row=1421&amp;col=7&amp;number=0.00564&amp;sourceID=14","0.00564")</f>
        <v>0.00564</v>
      </c>
    </row>
    <row r="1422" spans="1:7">
      <c r="A1422" s="3"/>
      <c r="B1422" s="3"/>
      <c r="C1422" s="3"/>
      <c r="D1422" s="3"/>
      <c r="E1422" s="3">
        <v>19</v>
      </c>
      <c r="F1422" s="4" t="str">
        <f>HYPERLINK("http://141.218.60.56/~jnz1568/getInfo.php?workbook=13_02.xlsx&amp;sheet=U0&amp;row=1422&amp;col=6&amp;number=4.8&amp;sourceID=14","4.8")</f>
        <v>4.8</v>
      </c>
      <c r="G1422" s="4" t="str">
        <f>HYPERLINK("http://141.218.60.56/~jnz1568/getInfo.php?workbook=13_02.xlsx&amp;sheet=U0&amp;row=1422&amp;col=7&amp;number=0.00565&amp;sourceID=14","0.00565")</f>
        <v>0.00565</v>
      </c>
    </row>
    <row r="1423" spans="1:7">
      <c r="A1423" s="3"/>
      <c r="B1423" s="3"/>
      <c r="C1423" s="3"/>
      <c r="D1423" s="3"/>
      <c r="E1423" s="3">
        <v>20</v>
      </c>
      <c r="F1423" s="4" t="str">
        <f>HYPERLINK("http://141.218.60.56/~jnz1568/getInfo.php?workbook=13_02.xlsx&amp;sheet=U0&amp;row=1423&amp;col=6&amp;number=4.9&amp;sourceID=14","4.9")</f>
        <v>4.9</v>
      </c>
      <c r="G1423" s="4" t="str">
        <f>HYPERLINK("http://141.218.60.56/~jnz1568/getInfo.php?workbook=13_02.xlsx&amp;sheet=U0&amp;row=1423&amp;col=7&amp;number=0.00565&amp;sourceID=14","0.00565")</f>
        <v>0.00565</v>
      </c>
    </row>
    <row r="1424" spans="1:7">
      <c r="A1424" s="3">
        <v>13</v>
      </c>
      <c r="B1424" s="3">
        <v>2</v>
      </c>
      <c r="C1424" s="3" t="s">
        <v>86</v>
      </c>
      <c r="D1424" s="3">
        <v>1</v>
      </c>
      <c r="E1424" s="3">
        <v>1</v>
      </c>
      <c r="F1424" s="4" t="str">
        <f>HYPERLINK("http://141.218.60.56/~jnz1568/getInfo.php?workbook=13_02.xlsx&amp;sheet=U0&amp;row=1424&amp;col=6&amp;number=3&amp;sourceID=14","3")</f>
        <v>3</v>
      </c>
      <c r="G1424" s="4" t="str">
        <f>HYPERLINK("http://141.218.60.56/~jnz1568/getInfo.php?workbook=13_02.xlsx&amp;sheet=U0&amp;row=1424&amp;col=7&amp;number=0.00373&amp;sourceID=14","0.00373")</f>
        <v>0.00373</v>
      </c>
    </row>
    <row r="1425" spans="1:7">
      <c r="A1425" s="3"/>
      <c r="B1425" s="3"/>
      <c r="C1425" s="3"/>
      <c r="D1425" s="3"/>
      <c r="E1425" s="3">
        <v>2</v>
      </c>
      <c r="F1425" s="4" t="str">
        <f>HYPERLINK("http://141.218.60.56/~jnz1568/getInfo.php?workbook=13_02.xlsx&amp;sheet=U0&amp;row=1425&amp;col=6&amp;number=3.1&amp;sourceID=14","3.1")</f>
        <v>3.1</v>
      </c>
      <c r="G1425" s="4" t="str">
        <f>HYPERLINK("http://141.218.60.56/~jnz1568/getInfo.php?workbook=13_02.xlsx&amp;sheet=U0&amp;row=1425&amp;col=7&amp;number=0.00373&amp;sourceID=14","0.00373")</f>
        <v>0.00373</v>
      </c>
    </row>
    <row r="1426" spans="1:7">
      <c r="A1426" s="3"/>
      <c r="B1426" s="3"/>
      <c r="C1426" s="3"/>
      <c r="D1426" s="3"/>
      <c r="E1426" s="3">
        <v>3</v>
      </c>
      <c r="F1426" s="4" t="str">
        <f>HYPERLINK("http://141.218.60.56/~jnz1568/getInfo.php?workbook=13_02.xlsx&amp;sheet=U0&amp;row=1426&amp;col=6&amp;number=3.2&amp;sourceID=14","3.2")</f>
        <v>3.2</v>
      </c>
      <c r="G1426" s="4" t="str">
        <f>HYPERLINK("http://141.218.60.56/~jnz1568/getInfo.php?workbook=13_02.xlsx&amp;sheet=U0&amp;row=1426&amp;col=7&amp;number=0.00373&amp;sourceID=14","0.00373")</f>
        <v>0.00373</v>
      </c>
    </row>
    <row r="1427" spans="1:7">
      <c r="A1427" s="3"/>
      <c r="B1427" s="3"/>
      <c r="C1427" s="3"/>
      <c r="D1427" s="3"/>
      <c r="E1427" s="3">
        <v>4</v>
      </c>
      <c r="F1427" s="4" t="str">
        <f>HYPERLINK("http://141.218.60.56/~jnz1568/getInfo.php?workbook=13_02.xlsx&amp;sheet=U0&amp;row=1427&amp;col=6&amp;number=3.3&amp;sourceID=14","3.3")</f>
        <v>3.3</v>
      </c>
      <c r="G1427" s="4" t="str">
        <f>HYPERLINK("http://141.218.60.56/~jnz1568/getInfo.php?workbook=13_02.xlsx&amp;sheet=U0&amp;row=1427&amp;col=7&amp;number=0.00373&amp;sourceID=14","0.00373")</f>
        <v>0.00373</v>
      </c>
    </row>
    <row r="1428" spans="1:7">
      <c r="A1428" s="3"/>
      <c r="B1428" s="3"/>
      <c r="C1428" s="3"/>
      <c r="D1428" s="3"/>
      <c r="E1428" s="3">
        <v>5</v>
      </c>
      <c r="F1428" s="4" t="str">
        <f>HYPERLINK("http://141.218.60.56/~jnz1568/getInfo.php?workbook=13_02.xlsx&amp;sheet=U0&amp;row=1428&amp;col=6&amp;number=3.4&amp;sourceID=14","3.4")</f>
        <v>3.4</v>
      </c>
      <c r="G1428" s="4" t="str">
        <f>HYPERLINK("http://141.218.60.56/~jnz1568/getInfo.php?workbook=13_02.xlsx&amp;sheet=U0&amp;row=1428&amp;col=7&amp;number=0.00373&amp;sourceID=14","0.00373")</f>
        <v>0.00373</v>
      </c>
    </row>
    <row r="1429" spans="1:7">
      <c r="A1429" s="3"/>
      <c r="B1429" s="3"/>
      <c r="C1429" s="3"/>
      <c r="D1429" s="3"/>
      <c r="E1429" s="3">
        <v>6</v>
      </c>
      <c r="F1429" s="4" t="str">
        <f>HYPERLINK("http://141.218.60.56/~jnz1568/getInfo.php?workbook=13_02.xlsx&amp;sheet=U0&amp;row=1429&amp;col=6&amp;number=3.5&amp;sourceID=14","3.5")</f>
        <v>3.5</v>
      </c>
      <c r="G1429" s="4" t="str">
        <f>HYPERLINK("http://141.218.60.56/~jnz1568/getInfo.php?workbook=13_02.xlsx&amp;sheet=U0&amp;row=1429&amp;col=7&amp;number=0.00373&amp;sourceID=14","0.00373")</f>
        <v>0.00373</v>
      </c>
    </row>
    <row r="1430" spans="1:7">
      <c r="A1430" s="3"/>
      <c r="B1430" s="3"/>
      <c r="C1430" s="3"/>
      <c r="D1430" s="3"/>
      <c r="E1430" s="3">
        <v>7</v>
      </c>
      <c r="F1430" s="4" t="str">
        <f>HYPERLINK("http://141.218.60.56/~jnz1568/getInfo.php?workbook=13_02.xlsx&amp;sheet=U0&amp;row=1430&amp;col=6&amp;number=3.6&amp;sourceID=14","3.6")</f>
        <v>3.6</v>
      </c>
      <c r="G1430" s="4" t="str">
        <f>HYPERLINK("http://141.218.60.56/~jnz1568/getInfo.php?workbook=13_02.xlsx&amp;sheet=U0&amp;row=1430&amp;col=7&amp;number=0.00373&amp;sourceID=14","0.00373")</f>
        <v>0.00373</v>
      </c>
    </row>
    <row r="1431" spans="1:7">
      <c r="A1431" s="3"/>
      <c r="B1431" s="3"/>
      <c r="C1431" s="3"/>
      <c r="D1431" s="3"/>
      <c r="E1431" s="3">
        <v>8</v>
      </c>
      <c r="F1431" s="4" t="str">
        <f>HYPERLINK("http://141.218.60.56/~jnz1568/getInfo.php?workbook=13_02.xlsx&amp;sheet=U0&amp;row=1431&amp;col=6&amp;number=3.7&amp;sourceID=14","3.7")</f>
        <v>3.7</v>
      </c>
      <c r="G1431" s="4" t="str">
        <f>HYPERLINK("http://141.218.60.56/~jnz1568/getInfo.php?workbook=13_02.xlsx&amp;sheet=U0&amp;row=1431&amp;col=7&amp;number=0.00373&amp;sourceID=14","0.00373")</f>
        <v>0.00373</v>
      </c>
    </row>
    <row r="1432" spans="1:7">
      <c r="A1432" s="3"/>
      <c r="B1432" s="3"/>
      <c r="C1432" s="3"/>
      <c r="D1432" s="3"/>
      <c r="E1432" s="3">
        <v>9</v>
      </c>
      <c r="F1432" s="4" t="str">
        <f>HYPERLINK("http://141.218.60.56/~jnz1568/getInfo.php?workbook=13_02.xlsx&amp;sheet=U0&amp;row=1432&amp;col=6&amp;number=3.8&amp;sourceID=14","3.8")</f>
        <v>3.8</v>
      </c>
      <c r="G1432" s="4" t="str">
        <f>HYPERLINK("http://141.218.60.56/~jnz1568/getInfo.php?workbook=13_02.xlsx&amp;sheet=U0&amp;row=1432&amp;col=7&amp;number=0.00373&amp;sourceID=14","0.00373")</f>
        <v>0.00373</v>
      </c>
    </row>
    <row r="1433" spans="1:7">
      <c r="A1433" s="3"/>
      <c r="B1433" s="3"/>
      <c r="C1433" s="3"/>
      <c r="D1433" s="3"/>
      <c r="E1433" s="3">
        <v>10</v>
      </c>
      <c r="F1433" s="4" t="str">
        <f>HYPERLINK("http://141.218.60.56/~jnz1568/getInfo.php?workbook=13_02.xlsx&amp;sheet=U0&amp;row=1433&amp;col=6&amp;number=3.9&amp;sourceID=14","3.9")</f>
        <v>3.9</v>
      </c>
      <c r="G1433" s="4" t="str">
        <f>HYPERLINK("http://141.218.60.56/~jnz1568/getInfo.php?workbook=13_02.xlsx&amp;sheet=U0&amp;row=1433&amp;col=7&amp;number=0.00372&amp;sourceID=14","0.00372")</f>
        <v>0.00372</v>
      </c>
    </row>
    <row r="1434" spans="1:7">
      <c r="A1434" s="3"/>
      <c r="B1434" s="3"/>
      <c r="C1434" s="3"/>
      <c r="D1434" s="3"/>
      <c r="E1434" s="3">
        <v>11</v>
      </c>
      <c r="F1434" s="4" t="str">
        <f>HYPERLINK("http://141.218.60.56/~jnz1568/getInfo.php?workbook=13_02.xlsx&amp;sheet=U0&amp;row=1434&amp;col=6&amp;number=4&amp;sourceID=14","4")</f>
        <v>4</v>
      </c>
      <c r="G1434" s="4" t="str">
        <f>HYPERLINK("http://141.218.60.56/~jnz1568/getInfo.php?workbook=13_02.xlsx&amp;sheet=U0&amp;row=1434&amp;col=7&amp;number=0.00372&amp;sourceID=14","0.00372")</f>
        <v>0.00372</v>
      </c>
    </row>
    <row r="1435" spans="1:7">
      <c r="A1435" s="3"/>
      <c r="B1435" s="3"/>
      <c r="C1435" s="3"/>
      <c r="D1435" s="3"/>
      <c r="E1435" s="3">
        <v>12</v>
      </c>
      <c r="F1435" s="4" t="str">
        <f>HYPERLINK("http://141.218.60.56/~jnz1568/getInfo.php?workbook=13_02.xlsx&amp;sheet=U0&amp;row=1435&amp;col=6&amp;number=4.1&amp;sourceID=14","4.1")</f>
        <v>4.1</v>
      </c>
      <c r="G1435" s="4" t="str">
        <f>HYPERLINK("http://141.218.60.56/~jnz1568/getInfo.php?workbook=13_02.xlsx&amp;sheet=U0&amp;row=1435&amp;col=7&amp;number=0.00372&amp;sourceID=14","0.00372")</f>
        <v>0.00372</v>
      </c>
    </row>
    <row r="1436" spans="1:7">
      <c r="A1436" s="3"/>
      <c r="B1436" s="3"/>
      <c r="C1436" s="3"/>
      <c r="D1436" s="3"/>
      <c r="E1436" s="3">
        <v>13</v>
      </c>
      <c r="F1436" s="4" t="str">
        <f>HYPERLINK("http://141.218.60.56/~jnz1568/getInfo.php?workbook=13_02.xlsx&amp;sheet=U0&amp;row=1436&amp;col=6&amp;number=4.2&amp;sourceID=14","4.2")</f>
        <v>4.2</v>
      </c>
      <c r="G1436" s="4" t="str">
        <f>HYPERLINK("http://141.218.60.56/~jnz1568/getInfo.php?workbook=13_02.xlsx&amp;sheet=U0&amp;row=1436&amp;col=7&amp;number=0.00372&amp;sourceID=14","0.00372")</f>
        <v>0.00372</v>
      </c>
    </row>
    <row r="1437" spans="1:7">
      <c r="A1437" s="3"/>
      <c r="B1437" s="3"/>
      <c r="C1437" s="3"/>
      <c r="D1437" s="3"/>
      <c r="E1437" s="3">
        <v>14</v>
      </c>
      <c r="F1437" s="4" t="str">
        <f>HYPERLINK("http://141.218.60.56/~jnz1568/getInfo.php?workbook=13_02.xlsx&amp;sheet=U0&amp;row=1437&amp;col=6&amp;number=4.3&amp;sourceID=14","4.3")</f>
        <v>4.3</v>
      </c>
      <c r="G1437" s="4" t="str">
        <f>HYPERLINK("http://141.218.60.56/~jnz1568/getInfo.php?workbook=13_02.xlsx&amp;sheet=U0&amp;row=1437&amp;col=7&amp;number=0.00372&amp;sourceID=14","0.00372")</f>
        <v>0.00372</v>
      </c>
    </row>
    <row r="1438" spans="1:7">
      <c r="A1438" s="3"/>
      <c r="B1438" s="3"/>
      <c r="C1438" s="3"/>
      <c r="D1438" s="3"/>
      <c r="E1438" s="3">
        <v>15</v>
      </c>
      <c r="F1438" s="4" t="str">
        <f>HYPERLINK("http://141.218.60.56/~jnz1568/getInfo.php?workbook=13_02.xlsx&amp;sheet=U0&amp;row=1438&amp;col=6&amp;number=4.4&amp;sourceID=14","4.4")</f>
        <v>4.4</v>
      </c>
      <c r="G1438" s="4" t="str">
        <f>HYPERLINK("http://141.218.60.56/~jnz1568/getInfo.php?workbook=13_02.xlsx&amp;sheet=U0&amp;row=1438&amp;col=7&amp;number=0.00372&amp;sourceID=14","0.00372")</f>
        <v>0.00372</v>
      </c>
    </row>
    <row r="1439" spans="1:7">
      <c r="A1439" s="3"/>
      <c r="B1439" s="3"/>
      <c r="C1439" s="3"/>
      <c r="D1439" s="3"/>
      <c r="E1439" s="3">
        <v>16</v>
      </c>
      <c r="F1439" s="4" t="str">
        <f>HYPERLINK("http://141.218.60.56/~jnz1568/getInfo.php?workbook=13_02.xlsx&amp;sheet=U0&amp;row=1439&amp;col=6&amp;number=4.5&amp;sourceID=14","4.5")</f>
        <v>4.5</v>
      </c>
      <c r="G1439" s="4" t="str">
        <f>HYPERLINK("http://141.218.60.56/~jnz1568/getInfo.php?workbook=13_02.xlsx&amp;sheet=U0&amp;row=1439&amp;col=7&amp;number=0.00372&amp;sourceID=14","0.00372")</f>
        <v>0.00372</v>
      </c>
    </row>
    <row r="1440" spans="1:7">
      <c r="A1440" s="3"/>
      <c r="B1440" s="3"/>
      <c r="C1440" s="3"/>
      <c r="D1440" s="3"/>
      <c r="E1440" s="3">
        <v>17</v>
      </c>
      <c r="F1440" s="4" t="str">
        <f>HYPERLINK("http://141.218.60.56/~jnz1568/getInfo.php?workbook=13_02.xlsx&amp;sheet=U0&amp;row=1440&amp;col=6&amp;number=4.6&amp;sourceID=14","4.6")</f>
        <v>4.6</v>
      </c>
      <c r="G1440" s="4" t="str">
        <f>HYPERLINK("http://141.218.60.56/~jnz1568/getInfo.php?workbook=13_02.xlsx&amp;sheet=U0&amp;row=1440&amp;col=7&amp;number=0.00371&amp;sourceID=14","0.00371")</f>
        <v>0.00371</v>
      </c>
    </row>
    <row r="1441" spans="1:7">
      <c r="A1441" s="3"/>
      <c r="B1441" s="3"/>
      <c r="C1441" s="3"/>
      <c r="D1441" s="3"/>
      <c r="E1441" s="3">
        <v>18</v>
      </c>
      <c r="F1441" s="4" t="str">
        <f>HYPERLINK("http://141.218.60.56/~jnz1568/getInfo.php?workbook=13_02.xlsx&amp;sheet=U0&amp;row=1441&amp;col=6&amp;number=4.7&amp;sourceID=14","4.7")</f>
        <v>4.7</v>
      </c>
      <c r="G1441" s="4" t="str">
        <f>HYPERLINK("http://141.218.60.56/~jnz1568/getInfo.php?workbook=13_02.xlsx&amp;sheet=U0&amp;row=1441&amp;col=7&amp;number=0.00371&amp;sourceID=14","0.00371")</f>
        <v>0.00371</v>
      </c>
    </row>
    <row r="1442" spans="1:7">
      <c r="A1442" s="3"/>
      <c r="B1442" s="3"/>
      <c r="C1442" s="3"/>
      <c r="D1442" s="3"/>
      <c r="E1442" s="3">
        <v>19</v>
      </c>
      <c r="F1442" s="4" t="str">
        <f>HYPERLINK("http://141.218.60.56/~jnz1568/getInfo.php?workbook=13_02.xlsx&amp;sheet=U0&amp;row=1442&amp;col=6&amp;number=4.8&amp;sourceID=14","4.8")</f>
        <v>4.8</v>
      </c>
      <c r="G1442" s="4" t="str">
        <f>HYPERLINK("http://141.218.60.56/~jnz1568/getInfo.php?workbook=13_02.xlsx&amp;sheet=U0&amp;row=1442&amp;col=7&amp;number=0.00371&amp;sourceID=14","0.00371")</f>
        <v>0.00371</v>
      </c>
    </row>
    <row r="1443" spans="1:7">
      <c r="A1443" s="3"/>
      <c r="B1443" s="3"/>
      <c r="C1443" s="3"/>
      <c r="D1443" s="3"/>
      <c r="E1443" s="3">
        <v>20</v>
      </c>
      <c r="F1443" s="4" t="str">
        <f>HYPERLINK("http://141.218.60.56/~jnz1568/getInfo.php?workbook=13_02.xlsx&amp;sheet=U0&amp;row=1443&amp;col=6&amp;number=4.9&amp;sourceID=14","4.9")</f>
        <v>4.9</v>
      </c>
      <c r="G1443" s="4" t="str">
        <f>HYPERLINK("http://141.218.60.56/~jnz1568/getInfo.php?workbook=13_02.xlsx&amp;sheet=U0&amp;row=1443&amp;col=7&amp;number=0.0037&amp;sourceID=14","0.0037")</f>
        <v>0.0037</v>
      </c>
    </row>
    <row r="1444" spans="1:7">
      <c r="A1444" s="3">
        <v>13</v>
      </c>
      <c r="B1444" s="3">
        <v>2</v>
      </c>
      <c r="C1444" s="3" t="s">
        <v>86</v>
      </c>
      <c r="D1444" s="3">
        <v>2</v>
      </c>
      <c r="E1444" s="3">
        <v>1</v>
      </c>
      <c r="F1444" s="4" t="str">
        <f>HYPERLINK("http://141.218.60.56/~jnz1568/getInfo.php?workbook=13_02.xlsx&amp;sheet=U0&amp;row=1444&amp;col=6&amp;number=3&amp;sourceID=14","3")</f>
        <v>3</v>
      </c>
      <c r="G1444" s="4" t="str">
        <f>HYPERLINK("http://141.218.60.56/~jnz1568/getInfo.php?workbook=13_02.xlsx&amp;sheet=U0&amp;row=1444&amp;col=7&amp;number=0.00629&amp;sourceID=14","0.00629")</f>
        <v>0.00629</v>
      </c>
    </row>
    <row r="1445" spans="1:7">
      <c r="A1445" s="3"/>
      <c r="B1445" s="3"/>
      <c r="C1445" s="3"/>
      <c r="D1445" s="3"/>
      <c r="E1445" s="3">
        <v>2</v>
      </c>
      <c r="F1445" s="4" t="str">
        <f>HYPERLINK("http://141.218.60.56/~jnz1568/getInfo.php?workbook=13_02.xlsx&amp;sheet=U0&amp;row=1445&amp;col=6&amp;number=3.1&amp;sourceID=14","3.1")</f>
        <v>3.1</v>
      </c>
      <c r="G1445" s="4" t="str">
        <f>HYPERLINK("http://141.218.60.56/~jnz1568/getInfo.php?workbook=13_02.xlsx&amp;sheet=U0&amp;row=1445&amp;col=7&amp;number=0.00629&amp;sourceID=14","0.00629")</f>
        <v>0.00629</v>
      </c>
    </row>
    <row r="1446" spans="1:7">
      <c r="A1446" s="3"/>
      <c r="B1446" s="3"/>
      <c r="C1446" s="3"/>
      <c r="D1446" s="3"/>
      <c r="E1446" s="3">
        <v>3</v>
      </c>
      <c r="F1446" s="4" t="str">
        <f>HYPERLINK("http://141.218.60.56/~jnz1568/getInfo.php?workbook=13_02.xlsx&amp;sheet=U0&amp;row=1446&amp;col=6&amp;number=3.2&amp;sourceID=14","3.2")</f>
        <v>3.2</v>
      </c>
      <c r="G1446" s="4" t="str">
        <f>HYPERLINK("http://141.218.60.56/~jnz1568/getInfo.php?workbook=13_02.xlsx&amp;sheet=U0&amp;row=1446&amp;col=7&amp;number=0.00629&amp;sourceID=14","0.00629")</f>
        <v>0.00629</v>
      </c>
    </row>
    <row r="1447" spans="1:7">
      <c r="A1447" s="3"/>
      <c r="B1447" s="3"/>
      <c r="C1447" s="3"/>
      <c r="D1447" s="3"/>
      <c r="E1447" s="3">
        <v>4</v>
      </c>
      <c r="F1447" s="4" t="str">
        <f>HYPERLINK("http://141.218.60.56/~jnz1568/getInfo.php?workbook=13_02.xlsx&amp;sheet=U0&amp;row=1447&amp;col=6&amp;number=3.3&amp;sourceID=14","3.3")</f>
        <v>3.3</v>
      </c>
      <c r="G1447" s="4" t="str">
        <f>HYPERLINK("http://141.218.60.56/~jnz1568/getInfo.php?workbook=13_02.xlsx&amp;sheet=U0&amp;row=1447&amp;col=7&amp;number=0.00629&amp;sourceID=14","0.00629")</f>
        <v>0.00629</v>
      </c>
    </row>
    <row r="1448" spans="1:7">
      <c r="A1448" s="3"/>
      <c r="B1448" s="3"/>
      <c r="C1448" s="3"/>
      <c r="D1448" s="3"/>
      <c r="E1448" s="3">
        <v>5</v>
      </c>
      <c r="F1448" s="4" t="str">
        <f>HYPERLINK("http://141.218.60.56/~jnz1568/getInfo.php?workbook=13_02.xlsx&amp;sheet=U0&amp;row=1448&amp;col=6&amp;number=3.4&amp;sourceID=14","3.4")</f>
        <v>3.4</v>
      </c>
      <c r="G1448" s="4" t="str">
        <f>HYPERLINK("http://141.218.60.56/~jnz1568/getInfo.php?workbook=13_02.xlsx&amp;sheet=U0&amp;row=1448&amp;col=7&amp;number=0.00629&amp;sourceID=14","0.00629")</f>
        <v>0.00629</v>
      </c>
    </row>
    <row r="1449" spans="1:7">
      <c r="A1449" s="3"/>
      <c r="B1449" s="3"/>
      <c r="C1449" s="3"/>
      <c r="D1449" s="3"/>
      <c r="E1449" s="3">
        <v>6</v>
      </c>
      <c r="F1449" s="4" t="str">
        <f>HYPERLINK("http://141.218.60.56/~jnz1568/getInfo.php?workbook=13_02.xlsx&amp;sheet=U0&amp;row=1449&amp;col=6&amp;number=3.5&amp;sourceID=14","3.5")</f>
        <v>3.5</v>
      </c>
      <c r="G1449" s="4" t="str">
        <f>HYPERLINK("http://141.218.60.56/~jnz1568/getInfo.php?workbook=13_02.xlsx&amp;sheet=U0&amp;row=1449&amp;col=7&amp;number=0.00629&amp;sourceID=14","0.00629")</f>
        <v>0.00629</v>
      </c>
    </row>
    <row r="1450" spans="1:7">
      <c r="A1450" s="3"/>
      <c r="B1450" s="3"/>
      <c r="C1450" s="3"/>
      <c r="D1450" s="3"/>
      <c r="E1450" s="3">
        <v>7</v>
      </c>
      <c r="F1450" s="4" t="str">
        <f>HYPERLINK("http://141.218.60.56/~jnz1568/getInfo.php?workbook=13_02.xlsx&amp;sheet=U0&amp;row=1450&amp;col=6&amp;number=3.6&amp;sourceID=14","3.6")</f>
        <v>3.6</v>
      </c>
      <c r="G1450" s="4" t="str">
        <f>HYPERLINK("http://141.218.60.56/~jnz1568/getInfo.php?workbook=13_02.xlsx&amp;sheet=U0&amp;row=1450&amp;col=7&amp;number=0.00629&amp;sourceID=14","0.00629")</f>
        <v>0.00629</v>
      </c>
    </row>
    <row r="1451" spans="1:7">
      <c r="A1451" s="3"/>
      <c r="B1451" s="3"/>
      <c r="C1451" s="3"/>
      <c r="D1451" s="3"/>
      <c r="E1451" s="3">
        <v>8</v>
      </c>
      <c r="F1451" s="4" t="str">
        <f>HYPERLINK("http://141.218.60.56/~jnz1568/getInfo.php?workbook=13_02.xlsx&amp;sheet=U0&amp;row=1451&amp;col=6&amp;number=3.7&amp;sourceID=14","3.7")</f>
        <v>3.7</v>
      </c>
      <c r="G1451" s="4" t="str">
        <f>HYPERLINK("http://141.218.60.56/~jnz1568/getInfo.php?workbook=13_02.xlsx&amp;sheet=U0&amp;row=1451&amp;col=7&amp;number=0.00629&amp;sourceID=14","0.00629")</f>
        <v>0.00629</v>
      </c>
    </row>
    <row r="1452" spans="1:7">
      <c r="A1452" s="3"/>
      <c r="B1452" s="3"/>
      <c r="C1452" s="3"/>
      <c r="D1452" s="3"/>
      <c r="E1452" s="3">
        <v>9</v>
      </c>
      <c r="F1452" s="4" t="str">
        <f>HYPERLINK("http://141.218.60.56/~jnz1568/getInfo.php?workbook=13_02.xlsx&amp;sheet=U0&amp;row=1452&amp;col=6&amp;number=3.8&amp;sourceID=14","3.8")</f>
        <v>3.8</v>
      </c>
      <c r="G1452" s="4" t="str">
        <f>HYPERLINK("http://141.218.60.56/~jnz1568/getInfo.php?workbook=13_02.xlsx&amp;sheet=U0&amp;row=1452&amp;col=7&amp;number=0.00629&amp;sourceID=14","0.00629")</f>
        <v>0.00629</v>
      </c>
    </row>
    <row r="1453" spans="1:7">
      <c r="A1453" s="3"/>
      <c r="B1453" s="3"/>
      <c r="C1453" s="3"/>
      <c r="D1453" s="3"/>
      <c r="E1453" s="3">
        <v>10</v>
      </c>
      <c r="F1453" s="4" t="str">
        <f>HYPERLINK("http://141.218.60.56/~jnz1568/getInfo.php?workbook=13_02.xlsx&amp;sheet=U0&amp;row=1453&amp;col=6&amp;number=3.9&amp;sourceID=14","3.9")</f>
        <v>3.9</v>
      </c>
      <c r="G1453" s="4" t="str">
        <f>HYPERLINK("http://141.218.60.56/~jnz1568/getInfo.php?workbook=13_02.xlsx&amp;sheet=U0&amp;row=1453&amp;col=7&amp;number=0.0063&amp;sourceID=14","0.0063")</f>
        <v>0.0063</v>
      </c>
    </row>
    <row r="1454" spans="1:7">
      <c r="A1454" s="3"/>
      <c r="B1454" s="3"/>
      <c r="C1454" s="3"/>
      <c r="D1454" s="3"/>
      <c r="E1454" s="3">
        <v>11</v>
      </c>
      <c r="F1454" s="4" t="str">
        <f>HYPERLINK("http://141.218.60.56/~jnz1568/getInfo.php?workbook=13_02.xlsx&amp;sheet=U0&amp;row=1454&amp;col=6&amp;number=4&amp;sourceID=14","4")</f>
        <v>4</v>
      </c>
      <c r="G1454" s="4" t="str">
        <f>HYPERLINK("http://141.218.60.56/~jnz1568/getInfo.php?workbook=13_02.xlsx&amp;sheet=U0&amp;row=1454&amp;col=7&amp;number=0.0063&amp;sourceID=14","0.0063")</f>
        <v>0.0063</v>
      </c>
    </row>
    <row r="1455" spans="1:7">
      <c r="A1455" s="3"/>
      <c r="B1455" s="3"/>
      <c r="C1455" s="3"/>
      <c r="D1455" s="3"/>
      <c r="E1455" s="3">
        <v>12</v>
      </c>
      <c r="F1455" s="4" t="str">
        <f>HYPERLINK("http://141.218.60.56/~jnz1568/getInfo.php?workbook=13_02.xlsx&amp;sheet=U0&amp;row=1455&amp;col=6&amp;number=4.1&amp;sourceID=14","4.1")</f>
        <v>4.1</v>
      </c>
      <c r="G1455" s="4" t="str">
        <f>HYPERLINK("http://141.218.60.56/~jnz1568/getInfo.php?workbook=13_02.xlsx&amp;sheet=U0&amp;row=1455&amp;col=7&amp;number=0.0063&amp;sourceID=14","0.0063")</f>
        <v>0.0063</v>
      </c>
    </row>
    <row r="1456" spans="1:7">
      <c r="A1456" s="3"/>
      <c r="B1456" s="3"/>
      <c r="C1456" s="3"/>
      <c r="D1456" s="3"/>
      <c r="E1456" s="3">
        <v>13</v>
      </c>
      <c r="F1456" s="4" t="str">
        <f>HYPERLINK("http://141.218.60.56/~jnz1568/getInfo.php?workbook=13_02.xlsx&amp;sheet=U0&amp;row=1456&amp;col=6&amp;number=4.2&amp;sourceID=14","4.2")</f>
        <v>4.2</v>
      </c>
      <c r="G1456" s="4" t="str">
        <f>HYPERLINK("http://141.218.60.56/~jnz1568/getInfo.php?workbook=13_02.xlsx&amp;sheet=U0&amp;row=1456&amp;col=7&amp;number=0.0063&amp;sourceID=14","0.0063")</f>
        <v>0.0063</v>
      </c>
    </row>
    <row r="1457" spans="1:7">
      <c r="A1457" s="3"/>
      <c r="B1457" s="3"/>
      <c r="C1457" s="3"/>
      <c r="D1457" s="3"/>
      <c r="E1457" s="3">
        <v>14</v>
      </c>
      <c r="F1457" s="4" t="str">
        <f>HYPERLINK("http://141.218.60.56/~jnz1568/getInfo.php?workbook=13_02.xlsx&amp;sheet=U0&amp;row=1457&amp;col=6&amp;number=4.3&amp;sourceID=14","4.3")</f>
        <v>4.3</v>
      </c>
      <c r="G1457" s="4" t="str">
        <f>HYPERLINK("http://141.218.60.56/~jnz1568/getInfo.php?workbook=13_02.xlsx&amp;sheet=U0&amp;row=1457&amp;col=7&amp;number=0.0063&amp;sourceID=14","0.0063")</f>
        <v>0.0063</v>
      </c>
    </row>
    <row r="1458" spans="1:7">
      <c r="A1458" s="3"/>
      <c r="B1458" s="3"/>
      <c r="C1458" s="3"/>
      <c r="D1458" s="3"/>
      <c r="E1458" s="3">
        <v>15</v>
      </c>
      <c r="F1458" s="4" t="str">
        <f>HYPERLINK("http://141.218.60.56/~jnz1568/getInfo.php?workbook=13_02.xlsx&amp;sheet=U0&amp;row=1458&amp;col=6&amp;number=4.4&amp;sourceID=14","4.4")</f>
        <v>4.4</v>
      </c>
      <c r="G1458" s="4" t="str">
        <f>HYPERLINK("http://141.218.60.56/~jnz1568/getInfo.php?workbook=13_02.xlsx&amp;sheet=U0&amp;row=1458&amp;col=7&amp;number=0.0063&amp;sourceID=14","0.0063")</f>
        <v>0.0063</v>
      </c>
    </row>
    <row r="1459" spans="1:7">
      <c r="A1459" s="3"/>
      <c r="B1459" s="3"/>
      <c r="C1459" s="3"/>
      <c r="D1459" s="3"/>
      <c r="E1459" s="3">
        <v>16</v>
      </c>
      <c r="F1459" s="4" t="str">
        <f>HYPERLINK("http://141.218.60.56/~jnz1568/getInfo.php?workbook=13_02.xlsx&amp;sheet=U0&amp;row=1459&amp;col=6&amp;number=4.5&amp;sourceID=14","4.5")</f>
        <v>4.5</v>
      </c>
      <c r="G1459" s="4" t="str">
        <f>HYPERLINK("http://141.218.60.56/~jnz1568/getInfo.php?workbook=13_02.xlsx&amp;sheet=U0&amp;row=1459&amp;col=7&amp;number=0.0063&amp;sourceID=14","0.0063")</f>
        <v>0.0063</v>
      </c>
    </row>
    <row r="1460" spans="1:7">
      <c r="A1460" s="3"/>
      <c r="B1460" s="3"/>
      <c r="C1460" s="3"/>
      <c r="D1460" s="3"/>
      <c r="E1460" s="3">
        <v>17</v>
      </c>
      <c r="F1460" s="4" t="str">
        <f>HYPERLINK("http://141.218.60.56/~jnz1568/getInfo.php?workbook=13_02.xlsx&amp;sheet=U0&amp;row=1460&amp;col=6&amp;number=4.6&amp;sourceID=14","4.6")</f>
        <v>4.6</v>
      </c>
      <c r="G1460" s="4" t="str">
        <f>HYPERLINK("http://141.218.60.56/~jnz1568/getInfo.php?workbook=13_02.xlsx&amp;sheet=U0&amp;row=1460&amp;col=7&amp;number=0.0063&amp;sourceID=14","0.0063")</f>
        <v>0.0063</v>
      </c>
    </row>
    <row r="1461" spans="1:7">
      <c r="A1461" s="3"/>
      <c r="B1461" s="3"/>
      <c r="C1461" s="3"/>
      <c r="D1461" s="3"/>
      <c r="E1461" s="3">
        <v>18</v>
      </c>
      <c r="F1461" s="4" t="str">
        <f>HYPERLINK("http://141.218.60.56/~jnz1568/getInfo.php?workbook=13_02.xlsx&amp;sheet=U0&amp;row=1461&amp;col=6&amp;number=4.7&amp;sourceID=14","4.7")</f>
        <v>4.7</v>
      </c>
      <c r="G1461" s="4" t="str">
        <f>HYPERLINK("http://141.218.60.56/~jnz1568/getInfo.php?workbook=13_02.xlsx&amp;sheet=U0&amp;row=1461&amp;col=7&amp;number=0.0063&amp;sourceID=14","0.0063")</f>
        <v>0.0063</v>
      </c>
    </row>
    <row r="1462" spans="1:7">
      <c r="A1462" s="3"/>
      <c r="B1462" s="3"/>
      <c r="C1462" s="3"/>
      <c r="D1462" s="3"/>
      <c r="E1462" s="3">
        <v>19</v>
      </c>
      <c r="F1462" s="4" t="str">
        <f>HYPERLINK("http://141.218.60.56/~jnz1568/getInfo.php?workbook=13_02.xlsx&amp;sheet=U0&amp;row=1462&amp;col=6&amp;number=4.8&amp;sourceID=14","4.8")</f>
        <v>4.8</v>
      </c>
      <c r="G1462" s="4" t="str">
        <f>HYPERLINK("http://141.218.60.56/~jnz1568/getInfo.php?workbook=13_02.xlsx&amp;sheet=U0&amp;row=1462&amp;col=7&amp;number=0.0063&amp;sourceID=14","0.0063")</f>
        <v>0.0063</v>
      </c>
    </row>
    <row r="1463" spans="1:7">
      <c r="A1463" s="3"/>
      <c r="B1463" s="3"/>
      <c r="C1463" s="3"/>
      <c r="D1463" s="3"/>
      <c r="E1463" s="3">
        <v>20</v>
      </c>
      <c r="F1463" s="4" t="str">
        <f>HYPERLINK("http://141.218.60.56/~jnz1568/getInfo.php?workbook=13_02.xlsx&amp;sheet=U0&amp;row=1463&amp;col=6&amp;number=4.9&amp;sourceID=14","4.9")</f>
        <v>4.9</v>
      </c>
      <c r="G1463" s="4" t="str">
        <f>HYPERLINK("http://141.218.60.56/~jnz1568/getInfo.php?workbook=13_02.xlsx&amp;sheet=U0&amp;row=1463&amp;col=7&amp;number=0.00631&amp;sourceID=14","0.00631")</f>
        <v>0.00631</v>
      </c>
    </row>
    <row r="1464" spans="1:7">
      <c r="A1464" s="3">
        <v>13</v>
      </c>
      <c r="B1464" s="3">
        <v>2</v>
      </c>
      <c r="C1464" s="3" t="s">
        <v>86</v>
      </c>
      <c r="D1464" s="3">
        <v>3</v>
      </c>
      <c r="E1464" s="3">
        <v>1</v>
      </c>
      <c r="F1464" s="4" t="str">
        <f>HYPERLINK("http://141.218.60.56/~jnz1568/getInfo.php?workbook=13_02.xlsx&amp;sheet=U0&amp;row=1464&amp;col=6&amp;number=3&amp;sourceID=14","3")</f>
        <v>3</v>
      </c>
      <c r="G1464" s="4" t="str">
        <f>HYPERLINK("http://141.218.60.56/~jnz1568/getInfo.php?workbook=13_02.xlsx&amp;sheet=U0&amp;row=1464&amp;col=7&amp;number=0.000344&amp;sourceID=14","0.000344")</f>
        <v>0.000344</v>
      </c>
    </row>
    <row r="1465" spans="1:7">
      <c r="A1465" s="3"/>
      <c r="B1465" s="3"/>
      <c r="C1465" s="3"/>
      <c r="D1465" s="3"/>
      <c r="E1465" s="3">
        <v>2</v>
      </c>
      <c r="F1465" s="4" t="str">
        <f>HYPERLINK("http://141.218.60.56/~jnz1568/getInfo.php?workbook=13_02.xlsx&amp;sheet=U0&amp;row=1465&amp;col=6&amp;number=3.1&amp;sourceID=14","3.1")</f>
        <v>3.1</v>
      </c>
      <c r="G1465" s="4" t="str">
        <f>HYPERLINK("http://141.218.60.56/~jnz1568/getInfo.php?workbook=13_02.xlsx&amp;sheet=U0&amp;row=1465&amp;col=7&amp;number=0.000344&amp;sourceID=14","0.000344")</f>
        <v>0.000344</v>
      </c>
    </row>
    <row r="1466" spans="1:7">
      <c r="A1466" s="3"/>
      <c r="B1466" s="3"/>
      <c r="C1466" s="3"/>
      <c r="D1466" s="3"/>
      <c r="E1466" s="3">
        <v>3</v>
      </c>
      <c r="F1466" s="4" t="str">
        <f>HYPERLINK("http://141.218.60.56/~jnz1568/getInfo.php?workbook=13_02.xlsx&amp;sheet=U0&amp;row=1466&amp;col=6&amp;number=3.2&amp;sourceID=14","3.2")</f>
        <v>3.2</v>
      </c>
      <c r="G1466" s="4" t="str">
        <f>HYPERLINK("http://141.218.60.56/~jnz1568/getInfo.php?workbook=13_02.xlsx&amp;sheet=U0&amp;row=1466&amp;col=7&amp;number=0.000344&amp;sourceID=14","0.000344")</f>
        <v>0.000344</v>
      </c>
    </row>
    <row r="1467" spans="1:7">
      <c r="A1467" s="3"/>
      <c r="B1467" s="3"/>
      <c r="C1467" s="3"/>
      <c r="D1467" s="3"/>
      <c r="E1467" s="3">
        <v>4</v>
      </c>
      <c r="F1467" s="4" t="str">
        <f>HYPERLINK("http://141.218.60.56/~jnz1568/getInfo.php?workbook=13_02.xlsx&amp;sheet=U0&amp;row=1467&amp;col=6&amp;number=3.3&amp;sourceID=14","3.3")</f>
        <v>3.3</v>
      </c>
      <c r="G1467" s="4" t="str">
        <f>HYPERLINK("http://141.218.60.56/~jnz1568/getInfo.php?workbook=13_02.xlsx&amp;sheet=U0&amp;row=1467&amp;col=7&amp;number=0.000344&amp;sourceID=14","0.000344")</f>
        <v>0.000344</v>
      </c>
    </row>
    <row r="1468" spans="1:7">
      <c r="A1468" s="3"/>
      <c r="B1468" s="3"/>
      <c r="C1468" s="3"/>
      <c r="D1468" s="3"/>
      <c r="E1468" s="3">
        <v>5</v>
      </c>
      <c r="F1468" s="4" t="str">
        <f>HYPERLINK("http://141.218.60.56/~jnz1568/getInfo.php?workbook=13_02.xlsx&amp;sheet=U0&amp;row=1468&amp;col=6&amp;number=3.4&amp;sourceID=14","3.4")</f>
        <v>3.4</v>
      </c>
      <c r="G1468" s="4" t="str">
        <f>HYPERLINK("http://141.218.60.56/~jnz1568/getInfo.php?workbook=13_02.xlsx&amp;sheet=U0&amp;row=1468&amp;col=7&amp;number=0.000344&amp;sourceID=14","0.000344")</f>
        <v>0.000344</v>
      </c>
    </row>
    <row r="1469" spans="1:7">
      <c r="A1469" s="3"/>
      <c r="B1469" s="3"/>
      <c r="C1469" s="3"/>
      <c r="D1469" s="3"/>
      <c r="E1469" s="3">
        <v>6</v>
      </c>
      <c r="F1469" s="4" t="str">
        <f>HYPERLINK("http://141.218.60.56/~jnz1568/getInfo.php?workbook=13_02.xlsx&amp;sheet=U0&amp;row=1469&amp;col=6&amp;number=3.5&amp;sourceID=14","3.5")</f>
        <v>3.5</v>
      </c>
      <c r="G1469" s="4" t="str">
        <f>HYPERLINK("http://141.218.60.56/~jnz1568/getInfo.php?workbook=13_02.xlsx&amp;sheet=U0&amp;row=1469&amp;col=7&amp;number=0.000344&amp;sourceID=14","0.000344")</f>
        <v>0.000344</v>
      </c>
    </row>
    <row r="1470" spans="1:7">
      <c r="A1470" s="3"/>
      <c r="B1470" s="3"/>
      <c r="C1470" s="3"/>
      <c r="D1470" s="3"/>
      <c r="E1470" s="3">
        <v>7</v>
      </c>
      <c r="F1470" s="4" t="str">
        <f>HYPERLINK("http://141.218.60.56/~jnz1568/getInfo.php?workbook=13_02.xlsx&amp;sheet=U0&amp;row=1470&amp;col=6&amp;number=3.6&amp;sourceID=14","3.6")</f>
        <v>3.6</v>
      </c>
      <c r="G1470" s="4" t="str">
        <f>HYPERLINK("http://141.218.60.56/~jnz1568/getInfo.php?workbook=13_02.xlsx&amp;sheet=U0&amp;row=1470&amp;col=7&amp;number=0.000344&amp;sourceID=14","0.000344")</f>
        <v>0.000344</v>
      </c>
    </row>
    <row r="1471" spans="1:7">
      <c r="A1471" s="3"/>
      <c r="B1471" s="3"/>
      <c r="C1471" s="3"/>
      <c r="D1471" s="3"/>
      <c r="E1471" s="3">
        <v>8</v>
      </c>
      <c r="F1471" s="4" t="str">
        <f>HYPERLINK("http://141.218.60.56/~jnz1568/getInfo.php?workbook=13_02.xlsx&amp;sheet=U0&amp;row=1471&amp;col=6&amp;number=3.7&amp;sourceID=14","3.7")</f>
        <v>3.7</v>
      </c>
      <c r="G1471" s="4" t="str">
        <f>HYPERLINK("http://141.218.60.56/~jnz1568/getInfo.php?workbook=13_02.xlsx&amp;sheet=U0&amp;row=1471&amp;col=7&amp;number=0.000344&amp;sourceID=14","0.000344")</f>
        <v>0.000344</v>
      </c>
    </row>
    <row r="1472" spans="1:7">
      <c r="A1472" s="3"/>
      <c r="B1472" s="3"/>
      <c r="C1472" s="3"/>
      <c r="D1472" s="3"/>
      <c r="E1472" s="3">
        <v>9</v>
      </c>
      <c r="F1472" s="4" t="str">
        <f>HYPERLINK("http://141.218.60.56/~jnz1568/getInfo.php?workbook=13_02.xlsx&amp;sheet=U0&amp;row=1472&amp;col=6&amp;number=3.8&amp;sourceID=14","3.8")</f>
        <v>3.8</v>
      </c>
      <c r="G1472" s="4" t="str">
        <f>HYPERLINK("http://141.218.60.56/~jnz1568/getInfo.php?workbook=13_02.xlsx&amp;sheet=U0&amp;row=1472&amp;col=7&amp;number=0.000344&amp;sourceID=14","0.000344")</f>
        <v>0.000344</v>
      </c>
    </row>
    <row r="1473" spans="1:7">
      <c r="A1473" s="3"/>
      <c r="B1473" s="3"/>
      <c r="C1473" s="3"/>
      <c r="D1473" s="3"/>
      <c r="E1473" s="3">
        <v>10</v>
      </c>
      <c r="F1473" s="4" t="str">
        <f>HYPERLINK("http://141.218.60.56/~jnz1568/getInfo.php?workbook=13_02.xlsx&amp;sheet=U0&amp;row=1473&amp;col=6&amp;number=3.9&amp;sourceID=14","3.9")</f>
        <v>3.9</v>
      </c>
      <c r="G1473" s="4" t="str">
        <f>HYPERLINK("http://141.218.60.56/~jnz1568/getInfo.php?workbook=13_02.xlsx&amp;sheet=U0&amp;row=1473&amp;col=7&amp;number=0.000343&amp;sourceID=14","0.000343")</f>
        <v>0.000343</v>
      </c>
    </row>
    <row r="1474" spans="1:7">
      <c r="A1474" s="3"/>
      <c r="B1474" s="3"/>
      <c r="C1474" s="3"/>
      <c r="D1474" s="3"/>
      <c r="E1474" s="3">
        <v>11</v>
      </c>
      <c r="F1474" s="4" t="str">
        <f>HYPERLINK("http://141.218.60.56/~jnz1568/getInfo.php?workbook=13_02.xlsx&amp;sheet=U0&amp;row=1474&amp;col=6&amp;number=4&amp;sourceID=14","4")</f>
        <v>4</v>
      </c>
      <c r="G1474" s="4" t="str">
        <f>HYPERLINK("http://141.218.60.56/~jnz1568/getInfo.php?workbook=13_02.xlsx&amp;sheet=U0&amp;row=1474&amp;col=7&amp;number=0.000343&amp;sourceID=14","0.000343")</f>
        <v>0.000343</v>
      </c>
    </row>
    <row r="1475" spans="1:7">
      <c r="A1475" s="3"/>
      <c r="B1475" s="3"/>
      <c r="C1475" s="3"/>
      <c r="D1475" s="3"/>
      <c r="E1475" s="3">
        <v>12</v>
      </c>
      <c r="F1475" s="4" t="str">
        <f>HYPERLINK("http://141.218.60.56/~jnz1568/getInfo.php?workbook=13_02.xlsx&amp;sheet=U0&amp;row=1475&amp;col=6&amp;number=4.1&amp;sourceID=14","4.1")</f>
        <v>4.1</v>
      </c>
      <c r="G1475" s="4" t="str">
        <f>HYPERLINK("http://141.218.60.56/~jnz1568/getInfo.php?workbook=13_02.xlsx&amp;sheet=U0&amp;row=1475&amp;col=7&amp;number=0.000343&amp;sourceID=14","0.000343")</f>
        <v>0.000343</v>
      </c>
    </row>
    <row r="1476" spans="1:7">
      <c r="A1476" s="3"/>
      <c r="B1476" s="3"/>
      <c r="C1476" s="3"/>
      <c r="D1476" s="3"/>
      <c r="E1476" s="3">
        <v>13</v>
      </c>
      <c r="F1476" s="4" t="str">
        <f>HYPERLINK("http://141.218.60.56/~jnz1568/getInfo.php?workbook=13_02.xlsx&amp;sheet=U0&amp;row=1476&amp;col=6&amp;number=4.2&amp;sourceID=14","4.2")</f>
        <v>4.2</v>
      </c>
      <c r="G1476" s="4" t="str">
        <f>HYPERLINK("http://141.218.60.56/~jnz1568/getInfo.php?workbook=13_02.xlsx&amp;sheet=U0&amp;row=1476&amp;col=7&amp;number=0.000343&amp;sourceID=14","0.000343")</f>
        <v>0.000343</v>
      </c>
    </row>
    <row r="1477" spans="1:7">
      <c r="A1477" s="3"/>
      <c r="B1477" s="3"/>
      <c r="C1477" s="3"/>
      <c r="D1477" s="3"/>
      <c r="E1477" s="3">
        <v>14</v>
      </c>
      <c r="F1477" s="4" t="str">
        <f>HYPERLINK("http://141.218.60.56/~jnz1568/getInfo.php?workbook=13_02.xlsx&amp;sheet=U0&amp;row=1477&amp;col=6&amp;number=4.3&amp;sourceID=14","4.3")</f>
        <v>4.3</v>
      </c>
      <c r="G1477" s="4" t="str">
        <f>HYPERLINK("http://141.218.60.56/~jnz1568/getInfo.php?workbook=13_02.xlsx&amp;sheet=U0&amp;row=1477&amp;col=7&amp;number=0.000343&amp;sourceID=14","0.000343")</f>
        <v>0.000343</v>
      </c>
    </row>
    <row r="1478" spans="1:7">
      <c r="A1478" s="3"/>
      <c r="B1478" s="3"/>
      <c r="C1478" s="3"/>
      <c r="D1478" s="3"/>
      <c r="E1478" s="3">
        <v>15</v>
      </c>
      <c r="F1478" s="4" t="str">
        <f>HYPERLINK("http://141.218.60.56/~jnz1568/getInfo.php?workbook=13_02.xlsx&amp;sheet=U0&amp;row=1478&amp;col=6&amp;number=4.4&amp;sourceID=14","4.4")</f>
        <v>4.4</v>
      </c>
      <c r="G1478" s="4" t="str">
        <f>HYPERLINK("http://141.218.60.56/~jnz1568/getInfo.php?workbook=13_02.xlsx&amp;sheet=U0&amp;row=1478&amp;col=7&amp;number=0.000342&amp;sourceID=14","0.000342")</f>
        <v>0.000342</v>
      </c>
    </row>
    <row r="1479" spans="1:7">
      <c r="A1479" s="3"/>
      <c r="B1479" s="3"/>
      <c r="C1479" s="3"/>
      <c r="D1479" s="3"/>
      <c r="E1479" s="3">
        <v>16</v>
      </c>
      <c r="F1479" s="4" t="str">
        <f>HYPERLINK("http://141.218.60.56/~jnz1568/getInfo.php?workbook=13_02.xlsx&amp;sheet=U0&amp;row=1479&amp;col=6&amp;number=4.5&amp;sourceID=14","4.5")</f>
        <v>4.5</v>
      </c>
      <c r="G1479" s="4" t="str">
        <f>HYPERLINK("http://141.218.60.56/~jnz1568/getInfo.php?workbook=13_02.xlsx&amp;sheet=U0&amp;row=1479&amp;col=7&amp;number=0.000342&amp;sourceID=14","0.000342")</f>
        <v>0.000342</v>
      </c>
    </row>
    <row r="1480" spans="1:7">
      <c r="A1480" s="3"/>
      <c r="B1480" s="3"/>
      <c r="C1480" s="3"/>
      <c r="D1480" s="3"/>
      <c r="E1480" s="3">
        <v>17</v>
      </c>
      <c r="F1480" s="4" t="str">
        <f>HYPERLINK("http://141.218.60.56/~jnz1568/getInfo.php?workbook=13_02.xlsx&amp;sheet=U0&amp;row=1480&amp;col=6&amp;number=4.6&amp;sourceID=14","4.6")</f>
        <v>4.6</v>
      </c>
      <c r="G1480" s="4" t="str">
        <f>HYPERLINK("http://141.218.60.56/~jnz1568/getInfo.php?workbook=13_02.xlsx&amp;sheet=U0&amp;row=1480&amp;col=7&amp;number=0.000341&amp;sourceID=14","0.000341")</f>
        <v>0.000341</v>
      </c>
    </row>
    <row r="1481" spans="1:7">
      <c r="A1481" s="3"/>
      <c r="B1481" s="3"/>
      <c r="C1481" s="3"/>
      <c r="D1481" s="3"/>
      <c r="E1481" s="3">
        <v>18</v>
      </c>
      <c r="F1481" s="4" t="str">
        <f>HYPERLINK("http://141.218.60.56/~jnz1568/getInfo.php?workbook=13_02.xlsx&amp;sheet=U0&amp;row=1481&amp;col=6&amp;number=4.7&amp;sourceID=14","4.7")</f>
        <v>4.7</v>
      </c>
      <c r="G1481" s="4" t="str">
        <f>HYPERLINK("http://141.218.60.56/~jnz1568/getInfo.php?workbook=13_02.xlsx&amp;sheet=U0&amp;row=1481&amp;col=7&amp;number=0.000341&amp;sourceID=14","0.000341")</f>
        <v>0.000341</v>
      </c>
    </row>
    <row r="1482" spans="1:7">
      <c r="A1482" s="3"/>
      <c r="B1482" s="3"/>
      <c r="C1482" s="3"/>
      <c r="D1482" s="3"/>
      <c r="E1482" s="3">
        <v>19</v>
      </c>
      <c r="F1482" s="4" t="str">
        <f>HYPERLINK("http://141.218.60.56/~jnz1568/getInfo.php?workbook=13_02.xlsx&amp;sheet=U0&amp;row=1482&amp;col=6&amp;number=4.8&amp;sourceID=14","4.8")</f>
        <v>4.8</v>
      </c>
      <c r="G1482" s="4" t="str">
        <f>HYPERLINK("http://141.218.60.56/~jnz1568/getInfo.php?workbook=13_02.xlsx&amp;sheet=U0&amp;row=1482&amp;col=7&amp;number=0.00034&amp;sourceID=14","0.00034")</f>
        <v>0.00034</v>
      </c>
    </row>
    <row r="1483" spans="1:7">
      <c r="A1483" s="3"/>
      <c r="B1483" s="3"/>
      <c r="C1483" s="3"/>
      <c r="D1483" s="3"/>
      <c r="E1483" s="3">
        <v>20</v>
      </c>
      <c r="F1483" s="4" t="str">
        <f>HYPERLINK("http://141.218.60.56/~jnz1568/getInfo.php?workbook=13_02.xlsx&amp;sheet=U0&amp;row=1483&amp;col=6&amp;number=4.9&amp;sourceID=14","4.9")</f>
        <v>4.9</v>
      </c>
      <c r="G1483" s="4" t="str">
        <f>HYPERLINK("http://141.218.60.56/~jnz1568/getInfo.php?workbook=13_02.xlsx&amp;sheet=U0&amp;row=1483&amp;col=7&amp;number=0.000338&amp;sourceID=14","0.000338")</f>
        <v>0.000338</v>
      </c>
    </row>
    <row r="1484" spans="1:7">
      <c r="A1484" s="3">
        <v>13</v>
      </c>
      <c r="B1484" s="3">
        <v>2</v>
      </c>
      <c r="C1484" s="3" t="s">
        <v>86</v>
      </c>
      <c r="D1484" s="3">
        <v>4</v>
      </c>
      <c r="E1484" s="3">
        <v>1</v>
      </c>
      <c r="F1484" s="4" t="str">
        <f>HYPERLINK("http://141.218.60.56/~jnz1568/getInfo.php?workbook=13_02.xlsx&amp;sheet=U0&amp;row=1484&amp;col=6&amp;number=3&amp;sourceID=14","3")</f>
        <v>3</v>
      </c>
      <c r="G1484" s="4" t="str">
        <f>HYPERLINK("http://141.218.60.56/~jnz1568/getInfo.php?workbook=13_02.xlsx&amp;sheet=U0&amp;row=1484&amp;col=7&amp;number=0.000702&amp;sourceID=14","0.000702")</f>
        <v>0.000702</v>
      </c>
    </row>
    <row r="1485" spans="1:7">
      <c r="A1485" s="3"/>
      <c r="B1485" s="3"/>
      <c r="C1485" s="3"/>
      <c r="D1485" s="3"/>
      <c r="E1485" s="3">
        <v>2</v>
      </c>
      <c r="F1485" s="4" t="str">
        <f>HYPERLINK("http://141.218.60.56/~jnz1568/getInfo.php?workbook=13_02.xlsx&amp;sheet=U0&amp;row=1485&amp;col=6&amp;number=3.1&amp;sourceID=14","3.1")</f>
        <v>3.1</v>
      </c>
      <c r="G1485" s="4" t="str">
        <f>HYPERLINK("http://141.218.60.56/~jnz1568/getInfo.php?workbook=13_02.xlsx&amp;sheet=U0&amp;row=1485&amp;col=7&amp;number=0.000702&amp;sourceID=14","0.000702")</f>
        <v>0.000702</v>
      </c>
    </row>
    <row r="1486" spans="1:7">
      <c r="A1486" s="3"/>
      <c r="B1486" s="3"/>
      <c r="C1486" s="3"/>
      <c r="D1486" s="3"/>
      <c r="E1486" s="3">
        <v>3</v>
      </c>
      <c r="F1486" s="4" t="str">
        <f>HYPERLINK("http://141.218.60.56/~jnz1568/getInfo.php?workbook=13_02.xlsx&amp;sheet=U0&amp;row=1486&amp;col=6&amp;number=3.2&amp;sourceID=14","3.2")</f>
        <v>3.2</v>
      </c>
      <c r="G1486" s="4" t="str">
        <f>HYPERLINK("http://141.218.60.56/~jnz1568/getInfo.php?workbook=13_02.xlsx&amp;sheet=U0&amp;row=1486&amp;col=7&amp;number=0.000702&amp;sourceID=14","0.000702")</f>
        <v>0.000702</v>
      </c>
    </row>
    <row r="1487" spans="1:7">
      <c r="A1487" s="3"/>
      <c r="B1487" s="3"/>
      <c r="C1487" s="3"/>
      <c r="D1487" s="3"/>
      <c r="E1487" s="3">
        <v>4</v>
      </c>
      <c r="F1487" s="4" t="str">
        <f>HYPERLINK("http://141.218.60.56/~jnz1568/getInfo.php?workbook=13_02.xlsx&amp;sheet=U0&amp;row=1487&amp;col=6&amp;number=3.3&amp;sourceID=14","3.3")</f>
        <v>3.3</v>
      </c>
      <c r="G1487" s="4" t="str">
        <f>HYPERLINK("http://141.218.60.56/~jnz1568/getInfo.php?workbook=13_02.xlsx&amp;sheet=U0&amp;row=1487&amp;col=7&amp;number=0.000702&amp;sourceID=14","0.000702")</f>
        <v>0.000702</v>
      </c>
    </row>
    <row r="1488" spans="1:7">
      <c r="A1488" s="3"/>
      <c r="B1488" s="3"/>
      <c r="C1488" s="3"/>
      <c r="D1488" s="3"/>
      <c r="E1488" s="3">
        <v>5</v>
      </c>
      <c r="F1488" s="4" t="str">
        <f>HYPERLINK("http://141.218.60.56/~jnz1568/getInfo.php?workbook=13_02.xlsx&amp;sheet=U0&amp;row=1488&amp;col=6&amp;number=3.4&amp;sourceID=14","3.4")</f>
        <v>3.4</v>
      </c>
      <c r="G1488" s="4" t="str">
        <f>HYPERLINK("http://141.218.60.56/~jnz1568/getInfo.php?workbook=13_02.xlsx&amp;sheet=U0&amp;row=1488&amp;col=7&amp;number=0.000702&amp;sourceID=14","0.000702")</f>
        <v>0.000702</v>
      </c>
    </row>
    <row r="1489" spans="1:7">
      <c r="A1489" s="3"/>
      <c r="B1489" s="3"/>
      <c r="C1489" s="3"/>
      <c r="D1489" s="3"/>
      <c r="E1489" s="3">
        <v>6</v>
      </c>
      <c r="F1489" s="4" t="str">
        <f>HYPERLINK("http://141.218.60.56/~jnz1568/getInfo.php?workbook=13_02.xlsx&amp;sheet=U0&amp;row=1489&amp;col=6&amp;number=3.5&amp;sourceID=14","3.5")</f>
        <v>3.5</v>
      </c>
      <c r="G1489" s="4" t="str">
        <f>HYPERLINK("http://141.218.60.56/~jnz1568/getInfo.php?workbook=13_02.xlsx&amp;sheet=U0&amp;row=1489&amp;col=7&amp;number=0.000702&amp;sourceID=14","0.000702")</f>
        <v>0.000702</v>
      </c>
    </row>
    <row r="1490" spans="1:7">
      <c r="A1490" s="3"/>
      <c r="B1490" s="3"/>
      <c r="C1490" s="3"/>
      <c r="D1490" s="3"/>
      <c r="E1490" s="3">
        <v>7</v>
      </c>
      <c r="F1490" s="4" t="str">
        <f>HYPERLINK("http://141.218.60.56/~jnz1568/getInfo.php?workbook=13_02.xlsx&amp;sheet=U0&amp;row=1490&amp;col=6&amp;number=3.6&amp;sourceID=14","3.6")</f>
        <v>3.6</v>
      </c>
      <c r="G1490" s="4" t="str">
        <f>HYPERLINK("http://141.218.60.56/~jnz1568/getInfo.php?workbook=13_02.xlsx&amp;sheet=U0&amp;row=1490&amp;col=7&amp;number=0.000702&amp;sourceID=14","0.000702")</f>
        <v>0.000702</v>
      </c>
    </row>
    <row r="1491" spans="1:7">
      <c r="A1491" s="3"/>
      <c r="B1491" s="3"/>
      <c r="C1491" s="3"/>
      <c r="D1491" s="3"/>
      <c r="E1491" s="3">
        <v>8</v>
      </c>
      <c r="F1491" s="4" t="str">
        <f>HYPERLINK("http://141.218.60.56/~jnz1568/getInfo.php?workbook=13_02.xlsx&amp;sheet=U0&amp;row=1491&amp;col=6&amp;number=3.7&amp;sourceID=14","3.7")</f>
        <v>3.7</v>
      </c>
      <c r="G1491" s="4" t="str">
        <f>HYPERLINK("http://141.218.60.56/~jnz1568/getInfo.php?workbook=13_02.xlsx&amp;sheet=U0&amp;row=1491&amp;col=7&amp;number=0.000703&amp;sourceID=14","0.000703")</f>
        <v>0.000703</v>
      </c>
    </row>
    <row r="1492" spans="1:7">
      <c r="A1492" s="3"/>
      <c r="B1492" s="3"/>
      <c r="C1492" s="3"/>
      <c r="D1492" s="3"/>
      <c r="E1492" s="3">
        <v>9</v>
      </c>
      <c r="F1492" s="4" t="str">
        <f>HYPERLINK("http://141.218.60.56/~jnz1568/getInfo.php?workbook=13_02.xlsx&amp;sheet=U0&amp;row=1492&amp;col=6&amp;number=3.8&amp;sourceID=14","3.8")</f>
        <v>3.8</v>
      </c>
      <c r="G1492" s="4" t="str">
        <f>HYPERLINK("http://141.218.60.56/~jnz1568/getInfo.php?workbook=13_02.xlsx&amp;sheet=U0&amp;row=1492&amp;col=7&amp;number=0.000703&amp;sourceID=14","0.000703")</f>
        <v>0.000703</v>
      </c>
    </row>
    <row r="1493" spans="1:7">
      <c r="A1493" s="3"/>
      <c r="B1493" s="3"/>
      <c r="C1493" s="3"/>
      <c r="D1493" s="3"/>
      <c r="E1493" s="3">
        <v>10</v>
      </c>
      <c r="F1493" s="4" t="str">
        <f>HYPERLINK("http://141.218.60.56/~jnz1568/getInfo.php?workbook=13_02.xlsx&amp;sheet=U0&amp;row=1493&amp;col=6&amp;number=3.9&amp;sourceID=14","3.9")</f>
        <v>3.9</v>
      </c>
      <c r="G1493" s="4" t="str">
        <f>HYPERLINK("http://141.218.60.56/~jnz1568/getInfo.php?workbook=13_02.xlsx&amp;sheet=U0&amp;row=1493&amp;col=7&amp;number=0.000703&amp;sourceID=14","0.000703")</f>
        <v>0.000703</v>
      </c>
    </row>
    <row r="1494" spans="1:7">
      <c r="A1494" s="3"/>
      <c r="B1494" s="3"/>
      <c r="C1494" s="3"/>
      <c r="D1494" s="3"/>
      <c r="E1494" s="3">
        <v>11</v>
      </c>
      <c r="F1494" s="4" t="str">
        <f>HYPERLINK("http://141.218.60.56/~jnz1568/getInfo.php?workbook=13_02.xlsx&amp;sheet=U0&amp;row=1494&amp;col=6&amp;number=4&amp;sourceID=14","4")</f>
        <v>4</v>
      </c>
      <c r="G1494" s="4" t="str">
        <f>HYPERLINK("http://141.218.60.56/~jnz1568/getInfo.php?workbook=13_02.xlsx&amp;sheet=U0&amp;row=1494&amp;col=7&amp;number=0.000703&amp;sourceID=14","0.000703")</f>
        <v>0.000703</v>
      </c>
    </row>
    <row r="1495" spans="1:7">
      <c r="A1495" s="3"/>
      <c r="B1495" s="3"/>
      <c r="C1495" s="3"/>
      <c r="D1495" s="3"/>
      <c r="E1495" s="3">
        <v>12</v>
      </c>
      <c r="F1495" s="4" t="str">
        <f>HYPERLINK("http://141.218.60.56/~jnz1568/getInfo.php?workbook=13_02.xlsx&amp;sheet=U0&amp;row=1495&amp;col=6&amp;number=4.1&amp;sourceID=14","4.1")</f>
        <v>4.1</v>
      </c>
      <c r="G1495" s="4" t="str">
        <f>HYPERLINK("http://141.218.60.56/~jnz1568/getInfo.php?workbook=13_02.xlsx&amp;sheet=U0&amp;row=1495&amp;col=7&amp;number=0.000703&amp;sourceID=14","0.000703")</f>
        <v>0.000703</v>
      </c>
    </row>
    <row r="1496" spans="1:7">
      <c r="A1496" s="3"/>
      <c r="B1496" s="3"/>
      <c r="C1496" s="3"/>
      <c r="D1496" s="3"/>
      <c r="E1496" s="3">
        <v>13</v>
      </c>
      <c r="F1496" s="4" t="str">
        <f>HYPERLINK("http://141.218.60.56/~jnz1568/getInfo.php?workbook=13_02.xlsx&amp;sheet=U0&amp;row=1496&amp;col=6&amp;number=4.2&amp;sourceID=14","4.2")</f>
        <v>4.2</v>
      </c>
      <c r="G1496" s="4" t="str">
        <f>HYPERLINK("http://141.218.60.56/~jnz1568/getInfo.php?workbook=13_02.xlsx&amp;sheet=U0&amp;row=1496&amp;col=7&amp;number=0.000704&amp;sourceID=14","0.000704")</f>
        <v>0.000704</v>
      </c>
    </row>
    <row r="1497" spans="1:7">
      <c r="A1497" s="3"/>
      <c r="B1497" s="3"/>
      <c r="C1497" s="3"/>
      <c r="D1497" s="3"/>
      <c r="E1497" s="3">
        <v>14</v>
      </c>
      <c r="F1497" s="4" t="str">
        <f>HYPERLINK("http://141.218.60.56/~jnz1568/getInfo.php?workbook=13_02.xlsx&amp;sheet=U0&amp;row=1497&amp;col=6&amp;number=4.3&amp;sourceID=14","4.3")</f>
        <v>4.3</v>
      </c>
      <c r="G1497" s="4" t="str">
        <f>HYPERLINK("http://141.218.60.56/~jnz1568/getInfo.php?workbook=13_02.xlsx&amp;sheet=U0&amp;row=1497&amp;col=7&amp;number=0.000704&amp;sourceID=14","0.000704")</f>
        <v>0.000704</v>
      </c>
    </row>
    <row r="1498" spans="1:7">
      <c r="A1498" s="3"/>
      <c r="B1498" s="3"/>
      <c r="C1498" s="3"/>
      <c r="D1498" s="3"/>
      <c r="E1498" s="3">
        <v>15</v>
      </c>
      <c r="F1498" s="4" t="str">
        <f>HYPERLINK("http://141.218.60.56/~jnz1568/getInfo.php?workbook=13_02.xlsx&amp;sheet=U0&amp;row=1498&amp;col=6&amp;number=4.4&amp;sourceID=14","4.4")</f>
        <v>4.4</v>
      </c>
      <c r="G1498" s="4" t="str">
        <f>HYPERLINK("http://141.218.60.56/~jnz1568/getInfo.php?workbook=13_02.xlsx&amp;sheet=U0&amp;row=1498&amp;col=7&amp;number=0.000705&amp;sourceID=14","0.000705")</f>
        <v>0.000705</v>
      </c>
    </row>
    <row r="1499" spans="1:7">
      <c r="A1499" s="3"/>
      <c r="B1499" s="3"/>
      <c r="C1499" s="3"/>
      <c r="D1499" s="3"/>
      <c r="E1499" s="3">
        <v>16</v>
      </c>
      <c r="F1499" s="4" t="str">
        <f>HYPERLINK("http://141.218.60.56/~jnz1568/getInfo.php?workbook=13_02.xlsx&amp;sheet=U0&amp;row=1499&amp;col=6&amp;number=4.5&amp;sourceID=14","4.5")</f>
        <v>4.5</v>
      </c>
      <c r="G1499" s="4" t="str">
        <f>HYPERLINK("http://141.218.60.56/~jnz1568/getInfo.php?workbook=13_02.xlsx&amp;sheet=U0&amp;row=1499&amp;col=7&amp;number=0.000706&amp;sourceID=14","0.000706")</f>
        <v>0.000706</v>
      </c>
    </row>
    <row r="1500" spans="1:7">
      <c r="A1500" s="3"/>
      <c r="B1500" s="3"/>
      <c r="C1500" s="3"/>
      <c r="D1500" s="3"/>
      <c r="E1500" s="3">
        <v>17</v>
      </c>
      <c r="F1500" s="4" t="str">
        <f>HYPERLINK("http://141.218.60.56/~jnz1568/getInfo.php?workbook=13_02.xlsx&amp;sheet=U0&amp;row=1500&amp;col=6&amp;number=4.6&amp;sourceID=14","4.6")</f>
        <v>4.6</v>
      </c>
      <c r="G1500" s="4" t="str">
        <f>HYPERLINK("http://141.218.60.56/~jnz1568/getInfo.php?workbook=13_02.xlsx&amp;sheet=U0&amp;row=1500&amp;col=7&amp;number=0.000706&amp;sourceID=14","0.000706")</f>
        <v>0.000706</v>
      </c>
    </row>
    <row r="1501" spans="1:7">
      <c r="A1501" s="3"/>
      <c r="B1501" s="3"/>
      <c r="C1501" s="3"/>
      <c r="D1501" s="3"/>
      <c r="E1501" s="3">
        <v>18</v>
      </c>
      <c r="F1501" s="4" t="str">
        <f>HYPERLINK("http://141.218.60.56/~jnz1568/getInfo.php?workbook=13_02.xlsx&amp;sheet=U0&amp;row=1501&amp;col=6&amp;number=4.7&amp;sourceID=14","4.7")</f>
        <v>4.7</v>
      </c>
      <c r="G1501" s="4" t="str">
        <f>HYPERLINK("http://141.218.60.56/~jnz1568/getInfo.php?workbook=13_02.xlsx&amp;sheet=U0&amp;row=1501&amp;col=7&amp;number=0.000708&amp;sourceID=14","0.000708")</f>
        <v>0.000708</v>
      </c>
    </row>
    <row r="1502" spans="1:7">
      <c r="A1502" s="3"/>
      <c r="B1502" s="3"/>
      <c r="C1502" s="3"/>
      <c r="D1502" s="3"/>
      <c r="E1502" s="3">
        <v>19</v>
      </c>
      <c r="F1502" s="4" t="str">
        <f>HYPERLINK("http://141.218.60.56/~jnz1568/getInfo.php?workbook=13_02.xlsx&amp;sheet=U0&amp;row=1502&amp;col=6&amp;number=4.8&amp;sourceID=14","4.8")</f>
        <v>4.8</v>
      </c>
      <c r="G1502" s="4" t="str">
        <f>HYPERLINK("http://141.218.60.56/~jnz1568/getInfo.php?workbook=13_02.xlsx&amp;sheet=U0&amp;row=1502&amp;col=7&amp;number=0.000709&amp;sourceID=14","0.000709")</f>
        <v>0.000709</v>
      </c>
    </row>
    <row r="1503" spans="1:7">
      <c r="A1503" s="3"/>
      <c r="B1503" s="3"/>
      <c r="C1503" s="3"/>
      <c r="D1503" s="3"/>
      <c r="E1503" s="3">
        <v>20</v>
      </c>
      <c r="F1503" s="4" t="str">
        <f>HYPERLINK("http://141.218.60.56/~jnz1568/getInfo.php?workbook=13_02.xlsx&amp;sheet=U0&amp;row=1503&amp;col=6&amp;number=4.9&amp;sourceID=14","4.9")</f>
        <v>4.9</v>
      </c>
      <c r="G1503" s="4" t="str">
        <f>HYPERLINK("http://141.218.60.56/~jnz1568/getInfo.php?workbook=13_02.xlsx&amp;sheet=U0&amp;row=1503&amp;col=7&amp;number=0.000711&amp;sourceID=14","0.000711")</f>
        <v>0.000711</v>
      </c>
    </row>
    <row r="1504" spans="1:7">
      <c r="A1504" s="3">
        <v>13</v>
      </c>
      <c r="B1504" s="3">
        <v>2</v>
      </c>
      <c r="C1504" s="3" t="s">
        <v>86</v>
      </c>
      <c r="D1504" s="3">
        <v>5</v>
      </c>
      <c r="E1504" s="3">
        <v>1</v>
      </c>
      <c r="F1504" s="4" t="str">
        <f>HYPERLINK("http://141.218.60.56/~jnz1568/getInfo.php?workbook=13_02.xlsx&amp;sheet=U0&amp;row=1504&amp;col=6&amp;number=3&amp;sourceID=14","3")</f>
        <v>3</v>
      </c>
      <c r="G1504" s="4" t="str">
        <f>HYPERLINK("http://141.218.60.56/~jnz1568/getInfo.php?workbook=13_02.xlsx&amp;sheet=U0&amp;row=1504&amp;col=7&amp;number=0.0021&amp;sourceID=14","0.0021")</f>
        <v>0.0021</v>
      </c>
    </row>
    <row r="1505" spans="1:7">
      <c r="A1505" s="3"/>
      <c r="B1505" s="3"/>
      <c r="C1505" s="3"/>
      <c r="D1505" s="3"/>
      <c r="E1505" s="3">
        <v>2</v>
      </c>
      <c r="F1505" s="4" t="str">
        <f>HYPERLINK("http://141.218.60.56/~jnz1568/getInfo.php?workbook=13_02.xlsx&amp;sheet=U0&amp;row=1505&amp;col=6&amp;number=3.1&amp;sourceID=14","3.1")</f>
        <v>3.1</v>
      </c>
      <c r="G1505" s="4" t="str">
        <f>HYPERLINK("http://141.218.60.56/~jnz1568/getInfo.php?workbook=13_02.xlsx&amp;sheet=U0&amp;row=1505&amp;col=7&amp;number=0.0021&amp;sourceID=14","0.0021")</f>
        <v>0.0021</v>
      </c>
    </row>
    <row r="1506" spans="1:7">
      <c r="A1506" s="3"/>
      <c r="B1506" s="3"/>
      <c r="C1506" s="3"/>
      <c r="D1506" s="3"/>
      <c r="E1506" s="3">
        <v>3</v>
      </c>
      <c r="F1506" s="4" t="str">
        <f>HYPERLINK("http://141.218.60.56/~jnz1568/getInfo.php?workbook=13_02.xlsx&amp;sheet=U0&amp;row=1506&amp;col=6&amp;number=3.2&amp;sourceID=14","3.2")</f>
        <v>3.2</v>
      </c>
      <c r="G1506" s="4" t="str">
        <f>HYPERLINK("http://141.218.60.56/~jnz1568/getInfo.php?workbook=13_02.xlsx&amp;sheet=U0&amp;row=1506&amp;col=7&amp;number=0.0021&amp;sourceID=14","0.0021")</f>
        <v>0.0021</v>
      </c>
    </row>
    <row r="1507" spans="1:7">
      <c r="A1507" s="3"/>
      <c r="B1507" s="3"/>
      <c r="C1507" s="3"/>
      <c r="D1507" s="3"/>
      <c r="E1507" s="3">
        <v>4</v>
      </c>
      <c r="F1507" s="4" t="str">
        <f>HYPERLINK("http://141.218.60.56/~jnz1568/getInfo.php?workbook=13_02.xlsx&amp;sheet=U0&amp;row=1507&amp;col=6&amp;number=3.3&amp;sourceID=14","3.3")</f>
        <v>3.3</v>
      </c>
      <c r="G1507" s="4" t="str">
        <f>HYPERLINK("http://141.218.60.56/~jnz1568/getInfo.php?workbook=13_02.xlsx&amp;sheet=U0&amp;row=1507&amp;col=7&amp;number=0.0021&amp;sourceID=14","0.0021")</f>
        <v>0.0021</v>
      </c>
    </row>
    <row r="1508" spans="1:7">
      <c r="A1508" s="3"/>
      <c r="B1508" s="3"/>
      <c r="C1508" s="3"/>
      <c r="D1508" s="3"/>
      <c r="E1508" s="3">
        <v>5</v>
      </c>
      <c r="F1508" s="4" t="str">
        <f>HYPERLINK("http://141.218.60.56/~jnz1568/getInfo.php?workbook=13_02.xlsx&amp;sheet=U0&amp;row=1508&amp;col=6&amp;number=3.4&amp;sourceID=14","3.4")</f>
        <v>3.4</v>
      </c>
      <c r="G1508" s="4" t="str">
        <f>HYPERLINK("http://141.218.60.56/~jnz1568/getInfo.php?workbook=13_02.xlsx&amp;sheet=U0&amp;row=1508&amp;col=7&amp;number=0.0021&amp;sourceID=14","0.0021")</f>
        <v>0.0021</v>
      </c>
    </row>
    <row r="1509" spans="1:7">
      <c r="A1509" s="3"/>
      <c r="B1509" s="3"/>
      <c r="C1509" s="3"/>
      <c r="D1509" s="3"/>
      <c r="E1509" s="3">
        <v>6</v>
      </c>
      <c r="F1509" s="4" t="str">
        <f>HYPERLINK("http://141.218.60.56/~jnz1568/getInfo.php?workbook=13_02.xlsx&amp;sheet=U0&amp;row=1509&amp;col=6&amp;number=3.5&amp;sourceID=14","3.5")</f>
        <v>3.5</v>
      </c>
      <c r="G1509" s="4" t="str">
        <f>HYPERLINK("http://141.218.60.56/~jnz1568/getInfo.php?workbook=13_02.xlsx&amp;sheet=U0&amp;row=1509&amp;col=7&amp;number=0.0021&amp;sourceID=14","0.0021")</f>
        <v>0.0021</v>
      </c>
    </row>
    <row r="1510" spans="1:7">
      <c r="A1510" s="3"/>
      <c r="B1510" s="3"/>
      <c r="C1510" s="3"/>
      <c r="D1510" s="3"/>
      <c r="E1510" s="3">
        <v>7</v>
      </c>
      <c r="F1510" s="4" t="str">
        <f>HYPERLINK("http://141.218.60.56/~jnz1568/getInfo.php?workbook=13_02.xlsx&amp;sheet=U0&amp;row=1510&amp;col=6&amp;number=3.6&amp;sourceID=14","3.6")</f>
        <v>3.6</v>
      </c>
      <c r="G1510" s="4" t="str">
        <f>HYPERLINK("http://141.218.60.56/~jnz1568/getInfo.php?workbook=13_02.xlsx&amp;sheet=U0&amp;row=1510&amp;col=7&amp;number=0.0021&amp;sourceID=14","0.0021")</f>
        <v>0.0021</v>
      </c>
    </row>
    <row r="1511" spans="1:7">
      <c r="A1511" s="3"/>
      <c r="B1511" s="3"/>
      <c r="C1511" s="3"/>
      <c r="D1511" s="3"/>
      <c r="E1511" s="3">
        <v>8</v>
      </c>
      <c r="F1511" s="4" t="str">
        <f>HYPERLINK("http://141.218.60.56/~jnz1568/getInfo.php?workbook=13_02.xlsx&amp;sheet=U0&amp;row=1511&amp;col=6&amp;number=3.7&amp;sourceID=14","3.7")</f>
        <v>3.7</v>
      </c>
      <c r="G1511" s="4" t="str">
        <f>HYPERLINK("http://141.218.60.56/~jnz1568/getInfo.php?workbook=13_02.xlsx&amp;sheet=U0&amp;row=1511&amp;col=7&amp;number=0.0021&amp;sourceID=14","0.0021")</f>
        <v>0.0021</v>
      </c>
    </row>
    <row r="1512" spans="1:7">
      <c r="A1512" s="3"/>
      <c r="B1512" s="3"/>
      <c r="C1512" s="3"/>
      <c r="D1512" s="3"/>
      <c r="E1512" s="3">
        <v>9</v>
      </c>
      <c r="F1512" s="4" t="str">
        <f>HYPERLINK("http://141.218.60.56/~jnz1568/getInfo.php?workbook=13_02.xlsx&amp;sheet=U0&amp;row=1512&amp;col=6&amp;number=3.8&amp;sourceID=14","3.8")</f>
        <v>3.8</v>
      </c>
      <c r="G1512" s="4" t="str">
        <f>HYPERLINK("http://141.218.60.56/~jnz1568/getInfo.php?workbook=13_02.xlsx&amp;sheet=U0&amp;row=1512&amp;col=7&amp;number=0.0021&amp;sourceID=14","0.0021")</f>
        <v>0.0021</v>
      </c>
    </row>
    <row r="1513" spans="1:7">
      <c r="A1513" s="3"/>
      <c r="B1513" s="3"/>
      <c r="C1513" s="3"/>
      <c r="D1513" s="3"/>
      <c r="E1513" s="3">
        <v>10</v>
      </c>
      <c r="F1513" s="4" t="str">
        <f>HYPERLINK("http://141.218.60.56/~jnz1568/getInfo.php?workbook=13_02.xlsx&amp;sheet=U0&amp;row=1513&amp;col=6&amp;number=3.9&amp;sourceID=14","3.9")</f>
        <v>3.9</v>
      </c>
      <c r="G1513" s="4" t="str">
        <f>HYPERLINK("http://141.218.60.56/~jnz1568/getInfo.php?workbook=13_02.xlsx&amp;sheet=U0&amp;row=1513&amp;col=7&amp;number=0.0021&amp;sourceID=14","0.0021")</f>
        <v>0.0021</v>
      </c>
    </row>
    <row r="1514" spans="1:7">
      <c r="A1514" s="3"/>
      <c r="B1514" s="3"/>
      <c r="C1514" s="3"/>
      <c r="D1514" s="3"/>
      <c r="E1514" s="3">
        <v>11</v>
      </c>
      <c r="F1514" s="4" t="str">
        <f>HYPERLINK("http://141.218.60.56/~jnz1568/getInfo.php?workbook=13_02.xlsx&amp;sheet=U0&amp;row=1514&amp;col=6&amp;number=4&amp;sourceID=14","4")</f>
        <v>4</v>
      </c>
      <c r="G1514" s="4" t="str">
        <f>HYPERLINK("http://141.218.60.56/~jnz1568/getInfo.php?workbook=13_02.xlsx&amp;sheet=U0&amp;row=1514&amp;col=7&amp;number=0.0021&amp;sourceID=14","0.0021")</f>
        <v>0.0021</v>
      </c>
    </row>
    <row r="1515" spans="1:7">
      <c r="A1515" s="3"/>
      <c r="B1515" s="3"/>
      <c r="C1515" s="3"/>
      <c r="D1515" s="3"/>
      <c r="E1515" s="3">
        <v>12</v>
      </c>
      <c r="F1515" s="4" t="str">
        <f>HYPERLINK("http://141.218.60.56/~jnz1568/getInfo.php?workbook=13_02.xlsx&amp;sheet=U0&amp;row=1515&amp;col=6&amp;number=4.1&amp;sourceID=14","4.1")</f>
        <v>4.1</v>
      </c>
      <c r="G1515" s="4" t="str">
        <f>HYPERLINK("http://141.218.60.56/~jnz1568/getInfo.php?workbook=13_02.xlsx&amp;sheet=U0&amp;row=1515&amp;col=7&amp;number=0.00211&amp;sourceID=14","0.00211")</f>
        <v>0.00211</v>
      </c>
    </row>
    <row r="1516" spans="1:7">
      <c r="A1516" s="3"/>
      <c r="B1516" s="3"/>
      <c r="C1516" s="3"/>
      <c r="D1516" s="3"/>
      <c r="E1516" s="3">
        <v>13</v>
      </c>
      <c r="F1516" s="4" t="str">
        <f>HYPERLINK("http://141.218.60.56/~jnz1568/getInfo.php?workbook=13_02.xlsx&amp;sheet=U0&amp;row=1516&amp;col=6&amp;number=4.2&amp;sourceID=14","4.2")</f>
        <v>4.2</v>
      </c>
      <c r="G1516" s="4" t="str">
        <f>HYPERLINK("http://141.218.60.56/~jnz1568/getInfo.php?workbook=13_02.xlsx&amp;sheet=U0&amp;row=1516&amp;col=7&amp;number=0.00211&amp;sourceID=14","0.00211")</f>
        <v>0.00211</v>
      </c>
    </row>
    <row r="1517" spans="1:7">
      <c r="A1517" s="3"/>
      <c r="B1517" s="3"/>
      <c r="C1517" s="3"/>
      <c r="D1517" s="3"/>
      <c r="E1517" s="3">
        <v>14</v>
      </c>
      <c r="F1517" s="4" t="str">
        <f>HYPERLINK("http://141.218.60.56/~jnz1568/getInfo.php?workbook=13_02.xlsx&amp;sheet=U0&amp;row=1517&amp;col=6&amp;number=4.3&amp;sourceID=14","4.3")</f>
        <v>4.3</v>
      </c>
      <c r="G1517" s="4" t="str">
        <f>HYPERLINK("http://141.218.60.56/~jnz1568/getInfo.php?workbook=13_02.xlsx&amp;sheet=U0&amp;row=1517&amp;col=7&amp;number=0.00211&amp;sourceID=14","0.00211")</f>
        <v>0.00211</v>
      </c>
    </row>
    <row r="1518" spans="1:7">
      <c r="A1518" s="3"/>
      <c r="B1518" s="3"/>
      <c r="C1518" s="3"/>
      <c r="D1518" s="3"/>
      <c r="E1518" s="3">
        <v>15</v>
      </c>
      <c r="F1518" s="4" t="str">
        <f>HYPERLINK("http://141.218.60.56/~jnz1568/getInfo.php?workbook=13_02.xlsx&amp;sheet=U0&amp;row=1518&amp;col=6&amp;number=4.4&amp;sourceID=14","4.4")</f>
        <v>4.4</v>
      </c>
      <c r="G1518" s="4" t="str">
        <f>HYPERLINK("http://141.218.60.56/~jnz1568/getInfo.php?workbook=13_02.xlsx&amp;sheet=U0&amp;row=1518&amp;col=7&amp;number=0.00211&amp;sourceID=14","0.00211")</f>
        <v>0.00211</v>
      </c>
    </row>
    <row r="1519" spans="1:7">
      <c r="A1519" s="3"/>
      <c r="B1519" s="3"/>
      <c r="C1519" s="3"/>
      <c r="D1519" s="3"/>
      <c r="E1519" s="3">
        <v>16</v>
      </c>
      <c r="F1519" s="4" t="str">
        <f>HYPERLINK("http://141.218.60.56/~jnz1568/getInfo.php?workbook=13_02.xlsx&amp;sheet=U0&amp;row=1519&amp;col=6&amp;number=4.5&amp;sourceID=14","4.5")</f>
        <v>4.5</v>
      </c>
      <c r="G1519" s="4" t="str">
        <f>HYPERLINK("http://141.218.60.56/~jnz1568/getInfo.php?workbook=13_02.xlsx&amp;sheet=U0&amp;row=1519&amp;col=7&amp;number=0.00211&amp;sourceID=14","0.00211")</f>
        <v>0.00211</v>
      </c>
    </row>
    <row r="1520" spans="1:7">
      <c r="A1520" s="3"/>
      <c r="B1520" s="3"/>
      <c r="C1520" s="3"/>
      <c r="D1520" s="3"/>
      <c r="E1520" s="3">
        <v>17</v>
      </c>
      <c r="F1520" s="4" t="str">
        <f>HYPERLINK("http://141.218.60.56/~jnz1568/getInfo.php?workbook=13_02.xlsx&amp;sheet=U0&amp;row=1520&amp;col=6&amp;number=4.6&amp;sourceID=14","4.6")</f>
        <v>4.6</v>
      </c>
      <c r="G1520" s="4" t="str">
        <f>HYPERLINK("http://141.218.60.56/~jnz1568/getInfo.php?workbook=13_02.xlsx&amp;sheet=U0&amp;row=1520&amp;col=7&amp;number=0.00211&amp;sourceID=14","0.00211")</f>
        <v>0.00211</v>
      </c>
    </row>
    <row r="1521" spans="1:7">
      <c r="A1521" s="3"/>
      <c r="B1521" s="3"/>
      <c r="C1521" s="3"/>
      <c r="D1521" s="3"/>
      <c r="E1521" s="3">
        <v>18</v>
      </c>
      <c r="F1521" s="4" t="str">
        <f>HYPERLINK("http://141.218.60.56/~jnz1568/getInfo.php?workbook=13_02.xlsx&amp;sheet=U0&amp;row=1521&amp;col=6&amp;number=4.7&amp;sourceID=14","4.7")</f>
        <v>4.7</v>
      </c>
      <c r="G1521" s="4" t="str">
        <f>HYPERLINK("http://141.218.60.56/~jnz1568/getInfo.php?workbook=13_02.xlsx&amp;sheet=U0&amp;row=1521&amp;col=7&amp;number=0.00212&amp;sourceID=14","0.00212")</f>
        <v>0.00212</v>
      </c>
    </row>
    <row r="1522" spans="1:7">
      <c r="A1522" s="3"/>
      <c r="B1522" s="3"/>
      <c r="C1522" s="3"/>
      <c r="D1522" s="3"/>
      <c r="E1522" s="3">
        <v>19</v>
      </c>
      <c r="F1522" s="4" t="str">
        <f>HYPERLINK("http://141.218.60.56/~jnz1568/getInfo.php?workbook=13_02.xlsx&amp;sheet=U0&amp;row=1522&amp;col=6&amp;number=4.8&amp;sourceID=14","4.8")</f>
        <v>4.8</v>
      </c>
      <c r="G1522" s="4" t="str">
        <f>HYPERLINK("http://141.218.60.56/~jnz1568/getInfo.php?workbook=13_02.xlsx&amp;sheet=U0&amp;row=1522&amp;col=7&amp;number=0.00212&amp;sourceID=14","0.00212")</f>
        <v>0.00212</v>
      </c>
    </row>
    <row r="1523" spans="1:7">
      <c r="A1523" s="3"/>
      <c r="B1523" s="3"/>
      <c r="C1523" s="3"/>
      <c r="D1523" s="3"/>
      <c r="E1523" s="3">
        <v>20</v>
      </c>
      <c r="F1523" s="4" t="str">
        <f>HYPERLINK("http://141.218.60.56/~jnz1568/getInfo.php?workbook=13_02.xlsx&amp;sheet=U0&amp;row=1523&amp;col=6&amp;number=4.9&amp;sourceID=14","4.9")</f>
        <v>4.9</v>
      </c>
      <c r="G1523" s="4" t="str">
        <f>HYPERLINK("http://141.218.60.56/~jnz1568/getInfo.php?workbook=13_02.xlsx&amp;sheet=U0&amp;row=1523&amp;col=7&amp;number=0.00213&amp;sourceID=14","0.00213")</f>
        <v>0.00213</v>
      </c>
    </row>
    <row r="1524" spans="1:7">
      <c r="A1524" s="3">
        <v>13</v>
      </c>
      <c r="B1524" s="3">
        <v>2</v>
      </c>
      <c r="C1524" s="3" t="s">
        <v>86</v>
      </c>
      <c r="D1524" s="3">
        <v>6</v>
      </c>
      <c r="E1524" s="3">
        <v>1</v>
      </c>
      <c r="F1524" s="4" t="str">
        <f>HYPERLINK("http://141.218.60.56/~jnz1568/getInfo.php?workbook=13_02.xlsx&amp;sheet=U0&amp;row=1524&amp;col=6&amp;number=3&amp;sourceID=14","3")</f>
        <v>3</v>
      </c>
      <c r="G1524" s="4" t="str">
        <f>HYPERLINK("http://141.218.60.56/~jnz1568/getInfo.php?workbook=13_02.xlsx&amp;sheet=U0&amp;row=1524&amp;col=7&amp;number=0.00351&amp;sourceID=14","0.00351")</f>
        <v>0.00351</v>
      </c>
    </row>
    <row r="1525" spans="1:7">
      <c r="A1525" s="3"/>
      <c r="B1525" s="3"/>
      <c r="C1525" s="3"/>
      <c r="D1525" s="3"/>
      <c r="E1525" s="3">
        <v>2</v>
      </c>
      <c r="F1525" s="4" t="str">
        <f>HYPERLINK("http://141.218.60.56/~jnz1568/getInfo.php?workbook=13_02.xlsx&amp;sheet=U0&amp;row=1525&amp;col=6&amp;number=3.1&amp;sourceID=14","3.1")</f>
        <v>3.1</v>
      </c>
      <c r="G1525" s="4" t="str">
        <f>HYPERLINK("http://141.218.60.56/~jnz1568/getInfo.php?workbook=13_02.xlsx&amp;sheet=U0&amp;row=1525&amp;col=7&amp;number=0.00351&amp;sourceID=14","0.00351")</f>
        <v>0.00351</v>
      </c>
    </row>
    <row r="1526" spans="1:7">
      <c r="A1526" s="3"/>
      <c r="B1526" s="3"/>
      <c r="C1526" s="3"/>
      <c r="D1526" s="3"/>
      <c r="E1526" s="3">
        <v>3</v>
      </c>
      <c r="F1526" s="4" t="str">
        <f>HYPERLINK("http://141.218.60.56/~jnz1568/getInfo.php?workbook=13_02.xlsx&amp;sheet=U0&amp;row=1526&amp;col=6&amp;number=3.2&amp;sourceID=14","3.2")</f>
        <v>3.2</v>
      </c>
      <c r="G1526" s="4" t="str">
        <f>HYPERLINK("http://141.218.60.56/~jnz1568/getInfo.php?workbook=13_02.xlsx&amp;sheet=U0&amp;row=1526&amp;col=7&amp;number=0.00351&amp;sourceID=14","0.00351")</f>
        <v>0.00351</v>
      </c>
    </row>
    <row r="1527" spans="1:7">
      <c r="A1527" s="3"/>
      <c r="B1527" s="3"/>
      <c r="C1527" s="3"/>
      <c r="D1527" s="3"/>
      <c r="E1527" s="3">
        <v>4</v>
      </c>
      <c r="F1527" s="4" t="str">
        <f>HYPERLINK("http://141.218.60.56/~jnz1568/getInfo.php?workbook=13_02.xlsx&amp;sheet=U0&amp;row=1527&amp;col=6&amp;number=3.3&amp;sourceID=14","3.3")</f>
        <v>3.3</v>
      </c>
      <c r="G1527" s="4" t="str">
        <f>HYPERLINK("http://141.218.60.56/~jnz1568/getInfo.php?workbook=13_02.xlsx&amp;sheet=U0&amp;row=1527&amp;col=7&amp;number=0.00351&amp;sourceID=14","0.00351")</f>
        <v>0.00351</v>
      </c>
    </row>
    <row r="1528" spans="1:7">
      <c r="A1528" s="3"/>
      <c r="B1528" s="3"/>
      <c r="C1528" s="3"/>
      <c r="D1528" s="3"/>
      <c r="E1528" s="3">
        <v>5</v>
      </c>
      <c r="F1528" s="4" t="str">
        <f>HYPERLINK("http://141.218.60.56/~jnz1568/getInfo.php?workbook=13_02.xlsx&amp;sheet=U0&amp;row=1528&amp;col=6&amp;number=3.4&amp;sourceID=14","3.4")</f>
        <v>3.4</v>
      </c>
      <c r="G1528" s="4" t="str">
        <f>HYPERLINK("http://141.218.60.56/~jnz1568/getInfo.php?workbook=13_02.xlsx&amp;sheet=U0&amp;row=1528&amp;col=7&amp;number=0.00351&amp;sourceID=14","0.00351")</f>
        <v>0.00351</v>
      </c>
    </row>
    <row r="1529" spans="1:7">
      <c r="A1529" s="3"/>
      <c r="B1529" s="3"/>
      <c r="C1529" s="3"/>
      <c r="D1529" s="3"/>
      <c r="E1529" s="3">
        <v>6</v>
      </c>
      <c r="F1529" s="4" t="str">
        <f>HYPERLINK("http://141.218.60.56/~jnz1568/getInfo.php?workbook=13_02.xlsx&amp;sheet=U0&amp;row=1529&amp;col=6&amp;number=3.5&amp;sourceID=14","3.5")</f>
        <v>3.5</v>
      </c>
      <c r="G1529" s="4" t="str">
        <f>HYPERLINK("http://141.218.60.56/~jnz1568/getInfo.php?workbook=13_02.xlsx&amp;sheet=U0&amp;row=1529&amp;col=7&amp;number=0.00351&amp;sourceID=14","0.00351")</f>
        <v>0.00351</v>
      </c>
    </row>
    <row r="1530" spans="1:7">
      <c r="A1530" s="3"/>
      <c r="B1530" s="3"/>
      <c r="C1530" s="3"/>
      <c r="D1530" s="3"/>
      <c r="E1530" s="3">
        <v>7</v>
      </c>
      <c r="F1530" s="4" t="str">
        <f>HYPERLINK("http://141.218.60.56/~jnz1568/getInfo.php?workbook=13_02.xlsx&amp;sheet=U0&amp;row=1530&amp;col=6&amp;number=3.6&amp;sourceID=14","3.6")</f>
        <v>3.6</v>
      </c>
      <c r="G1530" s="4" t="str">
        <f>HYPERLINK("http://141.218.60.56/~jnz1568/getInfo.php?workbook=13_02.xlsx&amp;sheet=U0&amp;row=1530&amp;col=7&amp;number=0.00351&amp;sourceID=14","0.00351")</f>
        <v>0.00351</v>
      </c>
    </row>
    <row r="1531" spans="1:7">
      <c r="A1531" s="3"/>
      <c r="B1531" s="3"/>
      <c r="C1531" s="3"/>
      <c r="D1531" s="3"/>
      <c r="E1531" s="3">
        <v>8</v>
      </c>
      <c r="F1531" s="4" t="str">
        <f>HYPERLINK("http://141.218.60.56/~jnz1568/getInfo.php?workbook=13_02.xlsx&amp;sheet=U0&amp;row=1531&amp;col=6&amp;number=3.7&amp;sourceID=14","3.7")</f>
        <v>3.7</v>
      </c>
      <c r="G1531" s="4" t="str">
        <f>HYPERLINK("http://141.218.60.56/~jnz1568/getInfo.php?workbook=13_02.xlsx&amp;sheet=U0&amp;row=1531&amp;col=7&amp;number=0.00351&amp;sourceID=14","0.00351")</f>
        <v>0.00351</v>
      </c>
    </row>
    <row r="1532" spans="1:7">
      <c r="A1532" s="3"/>
      <c r="B1532" s="3"/>
      <c r="C1532" s="3"/>
      <c r="D1532" s="3"/>
      <c r="E1532" s="3">
        <v>9</v>
      </c>
      <c r="F1532" s="4" t="str">
        <f>HYPERLINK("http://141.218.60.56/~jnz1568/getInfo.php?workbook=13_02.xlsx&amp;sheet=U0&amp;row=1532&amp;col=6&amp;number=3.8&amp;sourceID=14","3.8")</f>
        <v>3.8</v>
      </c>
      <c r="G1532" s="4" t="str">
        <f>HYPERLINK("http://141.218.60.56/~jnz1568/getInfo.php?workbook=13_02.xlsx&amp;sheet=U0&amp;row=1532&amp;col=7&amp;number=0.00351&amp;sourceID=14","0.00351")</f>
        <v>0.00351</v>
      </c>
    </row>
    <row r="1533" spans="1:7">
      <c r="A1533" s="3"/>
      <c r="B1533" s="3"/>
      <c r="C1533" s="3"/>
      <c r="D1533" s="3"/>
      <c r="E1533" s="3">
        <v>10</v>
      </c>
      <c r="F1533" s="4" t="str">
        <f>HYPERLINK("http://141.218.60.56/~jnz1568/getInfo.php?workbook=13_02.xlsx&amp;sheet=U0&amp;row=1533&amp;col=6&amp;number=3.9&amp;sourceID=14","3.9")</f>
        <v>3.9</v>
      </c>
      <c r="G1533" s="4" t="str">
        <f>HYPERLINK("http://141.218.60.56/~jnz1568/getInfo.php?workbook=13_02.xlsx&amp;sheet=U0&amp;row=1533&amp;col=7&amp;number=0.00351&amp;sourceID=14","0.00351")</f>
        <v>0.00351</v>
      </c>
    </row>
    <row r="1534" spans="1:7">
      <c r="A1534" s="3"/>
      <c r="B1534" s="3"/>
      <c r="C1534" s="3"/>
      <c r="D1534" s="3"/>
      <c r="E1534" s="3">
        <v>11</v>
      </c>
      <c r="F1534" s="4" t="str">
        <f>HYPERLINK("http://141.218.60.56/~jnz1568/getInfo.php?workbook=13_02.xlsx&amp;sheet=U0&amp;row=1534&amp;col=6&amp;number=4&amp;sourceID=14","4")</f>
        <v>4</v>
      </c>
      <c r="G1534" s="4" t="str">
        <f>HYPERLINK("http://141.218.60.56/~jnz1568/getInfo.php?workbook=13_02.xlsx&amp;sheet=U0&amp;row=1534&amp;col=7&amp;number=0.00352&amp;sourceID=14","0.00352")</f>
        <v>0.00352</v>
      </c>
    </row>
    <row r="1535" spans="1:7">
      <c r="A1535" s="3"/>
      <c r="B1535" s="3"/>
      <c r="C1535" s="3"/>
      <c r="D1535" s="3"/>
      <c r="E1535" s="3">
        <v>12</v>
      </c>
      <c r="F1535" s="4" t="str">
        <f>HYPERLINK("http://141.218.60.56/~jnz1568/getInfo.php?workbook=13_02.xlsx&amp;sheet=U0&amp;row=1535&amp;col=6&amp;number=4.1&amp;sourceID=14","4.1")</f>
        <v>4.1</v>
      </c>
      <c r="G1535" s="4" t="str">
        <f>HYPERLINK("http://141.218.60.56/~jnz1568/getInfo.php?workbook=13_02.xlsx&amp;sheet=U0&amp;row=1535&amp;col=7&amp;number=0.00352&amp;sourceID=14","0.00352")</f>
        <v>0.00352</v>
      </c>
    </row>
    <row r="1536" spans="1:7">
      <c r="A1536" s="3"/>
      <c r="B1536" s="3"/>
      <c r="C1536" s="3"/>
      <c r="D1536" s="3"/>
      <c r="E1536" s="3">
        <v>13</v>
      </c>
      <c r="F1536" s="4" t="str">
        <f>HYPERLINK("http://141.218.60.56/~jnz1568/getInfo.php?workbook=13_02.xlsx&amp;sheet=U0&amp;row=1536&amp;col=6&amp;number=4.2&amp;sourceID=14","4.2")</f>
        <v>4.2</v>
      </c>
      <c r="G1536" s="4" t="str">
        <f>HYPERLINK("http://141.218.60.56/~jnz1568/getInfo.php?workbook=13_02.xlsx&amp;sheet=U0&amp;row=1536&amp;col=7&amp;number=0.00352&amp;sourceID=14","0.00352")</f>
        <v>0.00352</v>
      </c>
    </row>
    <row r="1537" spans="1:7">
      <c r="A1537" s="3"/>
      <c r="B1537" s="3"/>
      <c r="C1537" s="3"/>
      <c r="D1537" s="3"/>
      <c r="E1537" s="3">
        <v>14</v>
      </c>
      <c r="F1537" s="4" t="str">
        <f>HYPERLINK("http://141.218.60.56/~jnz1568/getInfo.php?workbook=13_02.xlsx&amp;sheet=U0&amp;row=1537&amp;col=6&amp;number=4.3&amp;sourceID=14","4.3")</f>
        <v>4.3</v>
      </c>
      <c r="G1537" s="4" t="str">
        <f>HYPERLINK("http://141.218.60.56/~jnz1568/getInfo.php?workbook=13_02.xlsx&amp;sheet=U0&amp;row=1537&amp;col=7&amp;number=0.00352&amp;sourceID=14","0.00352")</f>
        <v>0.00352</v>
      </c>
    </row>
    <row r="1538" spans="1:7">
      <c r="A1538" s="3"/>
      <c r="B1538" s="3"/>
      <c r="C1538" s="3"/>
      <c r="D1538" s="3"/>
      <c r="E1538" s="3">
        <v>15</v>
      </c>
      <c r="F1538" s="4" t="str">
        <f>HYPERLINK("http://141.218.60.56/~jnz1568/getInfo.php?workbook=13_02.xlsx&amp;sheet=U0&amp;row=1538&amp;col=6&amp;number=4.4&amp;sourceID=14","4.4")</f>
        <v>4.4</v>
      </c>
      <c r="G1538" s="4" t="str">
        <f>HYPERLINK("http://141.218.60.56/~jnz1568/getInfo.php?workbook=13_02.xlsx&amp;sheet=U0&amp;row=1538&amp;col=7&amp;number=0.00352&amp;sourceID=14","0.00352")</f>
        <v>0.00352</v>
      </c>
    </row>
    <row r="1539" spans="1:7">
      <c r="A1539" s="3"/>
      <c r="B1539" s="3"/>
      <c r="C1539" s="3"/>
      <c r="D1539" s="3"/>
      <c r="E1539" s="3">
        <v>16</v>
      </c>
      <c r="F1539" s="4" t="str">
        <f>HYPERLINK("http://141.218.60.56/~jnz1568/getInfo.php?workbook=13_02.xlsx&amp;sheet=U0&amp;row=1539&amp;col=6&amp;number=4.5&amp;sourceID=14","4.5")</f>
        <v>4.5</v>
      </c>
      <c r="G1539" s="4" t="str">
        <f>HYPERLINK("http://141.218.60.56/~jnz1568/getInfo.php?workbook=13_02.xlsx&amp;sheet=U0&amp;row=1539&amp;col=7&amp;number=0.00353&amp;sourceID=14","0.00353")</f>
        <v>0.00353</v>
      </c>
    </row>
    <row r="1540" spans="1:7">
      <c r="A1540" s="3"/>
      <c r="B1540" s="3"/>
      <c r="C1540" s="3"/>
      <c r="D1540" s="3"/>
      <c r="E1540" s="3">
        <v>17</v>
      </c>
      <c r="F1540" s="4" t="str">
        <f>HYPERLINK("http://141.218.60.56/~jnz1568/getInfo.php?workbook=13_02.xlsx&amp;sheet=U0&amp;row=1540&amp;col=6&amp;number=4.6&amp;sourceID=14","4.6")</f>
        <v>4.6</v>
      </c>
      <c r="G1540" s="4" t="str">
        <f>HYPERLINK("http://141.218.60.56/~jnz1568/getInfo.php?workbook=13_02.xlsx&amp;sheet=U0&amp;row=1540&amp;col=7&amp;number=0.00353&amp;sourceID=14","0.00353")</f>
        <v>0.00353</v>
      </c>
    </row>
    <row r="1541" spans="1:7">
      <c r="A1541" s="3"/>
      <c r="B1541" s="3"/>
      <c r="C1541" s="3"/>
      <c r="D1541" s="3"/>
      <c r="E1541" s="3">
        <v>18</v>
      </c>
      <c r="F1541" s="4" t="str">
        <f>HYPERLINK("http://141.218.60.56/~jnz1568/getInfo.php?workbook=13_02.xlsx&amp;sheet=U0&amp;row=1541&amp;col=6&amp;number=4.7&amp;sourceID=14","4.7")</f>
        <v>4.7</v>
      </c>
      <c r="G1541" s="4" t="str">
        <f>HYPERLINK("http://141.218.60.56/~jnz1568/getInfo.php?workbook=13_02.xlsx&amp;sheet=U0&amp;row=1541&amp;col=7&amp;number=0.00354&amp;sourceID=14","0.00354")</f>
        <v>0.00354</v>
      </c>
    </row>
    <row r="1542" spans="1:7">
      <c r="A1542" s="3"/>
      <c r="B1542" s="3"/>
      <c r="C1542" s="3"/>
      <c r="D1542" s="3"/>
      <c r="E1542" s="3">
        <v>19</v>
      </c>
      <c r="F1542" s="4" t="str">
        <f>HYPERLINK("http://141.218.60.56/~jnz1568/getInfo.php?workbook=13_02.xlsx&amp;sheet=U0&amp;row=1542&amp;col=6&amp;number=4.8&amp;sourceID=14","4.8")</f>
        <v>4.8</v>
      </c>
      <c r="G1542" s="4" t="str">
        <f>HYPERLINK("http://141.218.60.56/~jnz1568/getInfo.php?workbook=13_02.xlsx&amp;sheet=U0&amp;row=1542&amp;col=7&amp;number=0.00355&amp;sourceID=14","0.00355")</f>
        <v>0.00355</v>
      </c>
    </row>
    <row r="1543" spans="1:7">
      <c r="A1543" s="3"/>
      <c r="B1543" s="3"/>
      <c r="C1543" s="3"/>
      <c r="D1543" s="3"/>
      <c r="E1543" s="3">
        <v>20</v>
      </c>
      <c r="F1543" s="4" t="str">
        <f>HYPERLINK("http://141.218.60.56/~jnz1568/getInfo.php?workbook=13_02.xlsx&amp;sheet=U0&amp;row=1543&amp;col=6&amp;number=4.9&amp;sourceID=14","4.9")</f>
        <v>4.9</v>
      </c>
      <c r="G1543" s="4" t="str">
        <f>HYPERLINK("http://141.218.60.56/~jnz1568/getInfo.php?workbook=13_02.xlsx&amp;sheet=U0&amp;row=1543&amp;col=7&amp;number=0.00355&amp;sourceID=14","0.00355")</f>
        <v>0.00355</v>
      </c>
    </row>
    <row r="1544" spans="1:7">
      <c r="A1544" s="3">
        <v>13</v>
      </c>
      <c r="B1544" s="3">
        <v>2</v>
      </c>
      <c r="C1544" s="3" t="s">
        <v>86</v>
      </c>
      <c r="D1544" s="3">
        <v>7</v>
      </c>
      <c r="E1544" s="3">
        <v>1</v>
      </c>
      <c r="F1544" s="4" t="str">
        <f>HYPERLINK("http://141.218.60.56/~jnz1568/getInfo.php?workbook=13_02.xlsx&amp;sheet=U0&amp;row=1544&amp;col=6&amp;number=3&amp;sourceID=14","3")</f>
        <v>3</v>
      </c>
      <c r="G1544" s="4" t="str">
        <f>HYPERLINK("http://141.218.60.56/~jnz1568/getInfo.php?workbook=13_02.xlsx&amp;sheet=U0&amp;row=1544&amp;col=7&amp;number=0.000972&amp;sourceID=14","0.000972")</f>
        <v>0.000972</v>
      </c>
    </row>
    <row r="1545" spans="1:7">
      <c r="A1545" s="3"/>
      <c r="B1545" s="3"/>
      <c r="C1545" s="3"/>
      <c r="D1545" s="3"/>
      <c r="E1545" s="3">
        <v>2</v>
      </c>
      <c r="F1545" s="4" t="str">
        <f>HYPERLINK("http://141.218.60.56/~jnz1568/getInfo.php?workbook=13_02.xlsx&amp;sheet=U0&amp;row=1545&amp;col=6&amp;number=3.1&amp;sourceID=14","3.1")</f>
        <v>3.1</v>
      </c>
      <c r="G1545" s="4" t="str">
        <f>HYPERLINK("http://141.218.60.56/~jnz1568/getInfo.php?workbook=13_02.xlsx&amp;sheet=U0&amp;row=1545&amp;col=7&amp;number=0.000972&amp;sourceID=14","0.000972")</f>
        <v>0.000972</v>
      </c>
    </row>
    <row r="1546" spans="1:7">
      <c r="A1546" s="3"/>
      <c r="B1546" s="3"/>
      <c r="C1546" s="3"/>
      <c r="D1546" s="3"/>
      <c r="E1546" s="3">
        <v>3</v>
      </c>
      <c r="F1546" s="4" t="str">
        <f>HYPERLINK("http://141.218.60.56/~jnz1568/getInfo.php?workbook=13_02.xlsx&amp;sheet=U0&amp;row=1546&amp;col=6&amp;number=3.2&amp;sourceID=14","3.2")</f>
        <v>3.2</v>
      </c>
      <c r="G1546" s="4" t="str">
        <f>HYPERLINK("http://141.218.60.56/~jnz1568/getInfo.php?workbook=13_02.xlsx&amp;sheet=U0&amp;row=1546&amp;col=7&amp;number=0.000972&amp;sourceID=14","0.000972")</f>
        <v>0.000972</v>
      </c>
    </row>
    <row r="1547" spans="1:7">
      <c r="A1547" s="3"/>
      <c r="B1547" s="3"/>
      <c r="C1547" s="3"/>
      <c r="D1547" s="3"/>
      <c r="E1547" s="3">
        <v>4</v>
      </c>
      <c r="F1547" s="4" t="str">
        <f>HYPERLINK("http://141.218.60.56/~jnz1568/getInfo.php?workbook=13_02.xlsx&amp;sheet=U0&amp;row=1547&amp;col=6&amp;number=3.3&amp;sourceID=14","3.3")</f>
        <v>3.3</v>
      </c>
      <c r="G1547" s="4" t="str">
        <f>HYPERLINK("http://141.218.60.56/~jnz1568/getInfo.php?workbook=13_02.xlsx&amp;sheet=U0&amp;row=1547&amp;col=7&amp;number=0.000972&amp;sourceID=14","0.000972")</f>
        <v>0.000972</v>
      </c>
    </row>
    <row r="1548" spans="1:7">
      <c r="A1548" s="3"/>
      <c r="B1548" s="3"/>
      <c r="C1548" s="3"/>
      <c r="D1548" s="3"/>
      <c r="E1548" s="3">
        <v>5</v>
      </c>
      <c r="F1548" s="4" t="str">
        <f>HYPERLINK("http://141.218.60.56/~jnz1568/getInfo.php?workbook=13_02.xlsx&amp;sheet=U0&amp;row=1548&amp;col=6&amp;number=3.4&amp;sourceID=14","3.4")</f>
        <v>3.4</v>
      </c>
      <c r="G1548" s="4" t="str">
        <f>HYPERLINK("http://141.218.60.56/~jnz1568/getInfo.php?workbook=13_02.xlsx&amp;sheet=U0&amp;row=1548&amp;col=7&amp;number=0.000972&amp;sourceID=14","0.000972")</f>
        <v>0.000972</v>
      </c>
    </row>
    <row r="1549" spans="1:7">
      <c r="A1549" s="3"/>
      <c r="B1549" s="3"/>
      <c r="C1549" s="3"/>
      <c r="D1549" s="3"/>
      <c r="E1549" s="3">
        <v>6</v>
      </c>
      <c r="F1549" s="4" t="str">
        <f>HYPERLINK("http://141.218.60.56/~jnz1568/getInfo.php?workbook=13_02.xlsx&amp;sheet=U0&amp;row=1549&amp;col=6&amp;number=3.5&amp;sourceID=14","3.5")</f>
        <v>3.5</v>
      </c>
      <c r="G1549" s="4" t="str">
        <f>HYPERLINK("http://141.218.60.56/~jnz1568/getInfo.php?workbook=13_02.xlsx&amp;sheet=U0&amp;row=1549&amp;col=7&amp;number=0.000971&amp;sourceID=14","0.000971")</f>
        <v>0.000971</v>
      </c>
    </row>
    <row r="1550" spans="1:7">
      <c r="A1550" s="3"/>
      <c r="B1550" s="3"/>
      <c r="C1550" s="3"/>
      <c r="D1550" s="3"/>
      <c r="E1550" s="3">
        <v>7</v>
      </c>
      <c r="F1550" s="4" t="str">
        <f>HYPERLINK("http://141.218.60.56/~jnz1568/getInfo.php?workbook=13_02.xlsx&amp;sheet=U0&amp;row=1550&amp;col=6&amp;number=3.6&amp;sourceID=14","3.6")</f>
        <v>3.6</v>
      </c>
      <c r="G1550" s="4" t="str">
        <f>HYPERLINK("http://141.218.60.56/~jnz1568/getInfo.php?workbook=13_02.xlsx&amp;sheet=U0&amp;row=1550&amp;col=7&amp;number=0.000971&amp;sourceID=14","0.000971")</f>
        <v>0.000971</v>
      </c>
    </row>
    <row r="1551" spans="1:7">
      <c r="A1551" s="3"/>
      <c r="B1551" s="3"/>
      <c r="C1551" s="3"/>
      <c r="D1551" s="3"/>
      <c r="E1551" s="3">
        <v>8</v>
      </c>
      <c r="F1551" s="4" t="str">
        <f>HYPERLINK("http://141.218.60.56/~jnz1568/getInfo.php?workbook=13_02.xlsx&amp;sheet=U0&amp;row=1551&amp;col=6&amp;number=3.7&amp;sourceID=14","3.7")</f>
        <v>3.7</v>
      </c>
      <c r="G1551" s="4" t="str">
        <f>HYPERLINK("http://141.218.60.56/~jnz1568/getInfo.php?workbook=13_02.xlsx&amp;sheet=U0&amp;row=1551&amp;col=7&amp;number=0.000971&amp;sourceID=14","0.000971")</f>
        <v>0.000971</v>
      </c>
    </row>
    <row r="1552" spans="1:7">
      <c r="A1552" s="3"/>
      <c r="B1552" s="3"/>
      <c r="C1552" s="3"/>
      <c r="D1552" s="3"/>
      <c r="E1552" s="3">
        <v>9</v>
      </c>
      <c r="F1552" s="4" t="str">
        <f>HYPERLINK("http://141.218.60.56/~jnz1568/getInfo.php?workbook=13_02.xlsx&amp;sheet=U0&amp;row=1552&amp;col=6&amp;number=3.8&amp;sourceID=14","3.8")</f>
        <v>3.8</v>
      </c>
      <c r="G1552" s="4" t="str">
        <f>HYPERLINK("http://141.218.60.56/~jnz1568/getInfo.php?workbook=13_02.xlsx&amp;sheet=U0&amp;row=1552&amp;col=7&amp;number=0.000971&amp;sourceID=14","0.000971")</f>
        <v>0.000971</v>
      </c>
    </row>
    <row r="1553" spans="1:7">
      <c r="A1553" s="3"/>
      <c r="B1553" s="3"/>
      <c r="C1553" s="3"/>
      <c r="D1553" s="3"/>
      <c r="E1553" s="3">
        <v>10</v>
      </c>
      <c r="F1553" s="4" t="str">
        <f>HYPERLINK("http://141.218.60.56/~jnz1568/getInfo.php?workbook=13_02.xlsx&amp;sheet=U0&amp;row=1553&amp;col=6&amp;number=3.9&amp;sourceID=14","3.9")</f>
        <v>3.9</v>
      </c>
      <c r="G1553" s="4" t="str">
        <f>HYPERLINK("http://141.218.60.56/~jnz1568/getInfo.php?workbook=13_02.xlsx&amp;sheet=U0&amp;row=1553&amp;col=7&amp;number=0.00097&amp;sourceID=14","0.00097")</f>
        <v>0.00097</v>
      </c>
    </row>
    <row r="1554" spans="1:7">
      <c r="A1554" s="3"/>
      <c r="B1554" s="3"/>
      <c r="C1554" s="3"/>
      <c r="D1554" s="3"/>
      <c r="E1554" s="3">
        <v>11</v>
      </c>
      <c r="F1554" s="4" t="str">
        <f>HYPERLINK("http://141.218.60.56/~jnz1568/getInfo.php?workbook=13_02.xlsx&amp;sheet=U0&amp;row=1554&amp;col=6&amp;number=4&amp;sourceID=14","4")</f>
        <v>4</v>
      </c>
      <c r="G1554" s="4" t="str">
        <f>HYPERLINK("http://141.218.60.56/~jnz1568/getInfo.php?workbook=13_02.xlsx&amp;sheet=U0&amp;row=1554&amp;col=7&amp;number=0.00097&amp;sourceID=14","0.00097")</f>
        <v>0.00097</v>
      </c>
    </row>
    <row r="1555" spans="1:7">
      <c r="A1555" s="3"/>
      <c r="B1555" s="3"/>
      <c r="C1555" s="3"/>
      <c r="D1555" s="3"/>
      <c r="E1555" s="3">
        <v>12</v>
      </c>
      <c r="F1555" s="4" t="str">
        <f>HYPERLINK("http://141.218.60.56/~jnz1568/getInfo.php?workbook=13_02.xlsx&amp;sheet=U0&amp;row=1555&amp;col=6&amp;number=4.1&amp;sourceID=14","4.1")</f>
        <v>4.1</v>
      </c>
      <c r="G1555" s="4" t="str">
        <f>HYPERLINK("http://141.218.60.56/~jnz1568/getInfo.php?workbook=13_02.xlsx&amp;sheet=U0&amp;row=1555&amp;col=7&amp;number=0.000969&amp;sourceID=14","0.000969")</f>
        <v>0.000969</v>
      </c>
    </row>
    <row r="1556" spans="1:7">
      <c r="A1556" s="3"/>
      <c r="B1556" s="3"/>
      <c r="C1556" s="3"/>
      <c r="D1556" s="3"/>
      <c r="E1556" s="3">
        <v>13</v>
      </c>
      <c r="F1556" s="4" t="str">
        <f>HYPERLINK("http://141.218.60.56/~jnz1568/getInfo.php?workbook=13_02.xlsx&amp;sheet=U0&amp;row=1556&amp;col=6&amp;number=4.2&amp;sourceID=14","4.2")</f>
        <v>4.2</v>
      </c>
      <c r="G1556" s="4" t="str">
        <f>HYPERLINK("http://141.218.60.56/~jnz1568/getInfo.php?workbook=13_02.xlsx&amp;sheet=U0&amp;row=1556&amp;col=7&amp;number=0.000969&amp;sourceID=14","0.000969")</f>
        <v>0.000969</v>
      </c>
    </row>
    <row r="1557" spans="1:7">
      <c r="A1557" s="3"/>
      <c r="B1557" s="3"/>
      <c r="C1557" s="3"/>
      <c r="D1557" s="3"/>
      <c r="E1557" s="3">
        <v>14</v>
      </c>
      <c r="F1557" s="4" t="str">
        <f>HYPERLINK("http://141.218.60.56/~jnz1568/getInfo.php?workbook=13_02.xlsx&amp;sheet=U0&amp;row=1557&amp;col=6&amp;number=4.3&amp;sourceID=14","4.3")</f>
        <v>4.3</v>
      </c>
      <c r="G1557" s="4" t="str">
        <f>HYPERLINK("http://141.218.60.56/~jnz1568/getInfo.php?workbook=13_02.xlsx&amp;sheet=U0&amp;row=1557&amp;col=7&amp;number=0.000968&amp;sourceID=14","0.000968")</f>
        <v>0.000968</v>
      </c>
    </row>
    <row r="1558" spans="1:7">
      <c r="A1558" s="3"/>
      <c r="B1558" s="3"/>
      <c r="C1558" s="3"/>
      <c r="D1558" s="3"/>
      <c r="E1558" s="3">
        <v>15</v>
      </c>
      <c r="F1558" s="4" t="str">
        <f>HYPERLINK("http://141.218.60.56/~jnz1568/getInfo.php?workbook=13_02.xlsx&amp;sheet=U0&amp;row=1558&amp;col=6&amp;number=4.4&amp;sourceID=14","4.4")</f>
        <v>4.4</v>
      </c>
      <c r="G1558" s="4" t="str">
        <f>HYPERLINK("http://141.218.60.56/~jnz1568/getInfo.php?workbook=13_02.xlsx&amp;sheet=U0&amp;row=1558&amp;col=7&amp;number=0.000967&amp;sourceID=14","0.000967")</f>
        <v>0.000967</v>
      </c>
    </row>
    <row r="1559" spans="1:7">
      <c r="A1559" s="3"/>
      <c r="B1559" s="3"/>
      <c r="C1559" s="3"/>
      <c r="D1559" s="3"/>
      <c r="E1559" s="3">
        <v>16</v>
      </c>
      <c r="F1559" s="4" t="str">
        <f>HYPERLINK("http://141.218.60.56/~jnz1568/getInfo.php?workbook=13_02.xlsx&amp;sheet=U0&amp;row=1559&amp;col=6&amp;number=4.5&amp;sourceID=14","4.5")</f>
        <v>4.5</v>
      </c>
      <c r="G1559" s="4" t="str">
        <f>HYPERLINK("http://141.218.60.56/~jnz1568/getInfo.php?workbook=13_02.xlsx&amp;sheet=U0&amp;row=1559&amp;col=7&amp;number=0.000966&amp;sourceID=14","0.000966")</f>
        <v>0.000966</v>
      </c>
    </row>
    <row r="1560" spans="1:7">
      <c r="A1560" s="3"/>
      <c r="B1560" s="3"/>
      <c r="C1560" s="3"/>
      <c r="D1560" s="3"/>
      <c r="E1560" s="3">
        <v>17</v>
      </c>
      <c r="F1560" s="4" t="str">
        <f>HYPERLINK("http://141.218.60.56/~jnz1568/getInfo.php?workbook=13_02.xlsx&amp;sheet=U0&amp;row=1560&amp;col=6&amp;number=4.6&amp;sourceID=14","4.6")</f>
        <v>4.6</v>
      </c>
      <c r="G1560" s="4" t="str">
        <f>HYPERLINK("http://141.218.60.56/~jnz1568/getInfo.php?workbook=13_02.xlsx&amp;sheet=U0&amp;row=1560&amp;col=7&amp;number=0.000964&amp;sourceID=14","0.000964")</f>
        <v>0.000964</v>
      </c>
    </row>
    <row r="1561" spans="1:7">
      <c r="A1561" s="3"/>
      <c r="B1561" s="3"/>
      <c r="C1561" s="3"/>
      <c r="D1561" s="3"/>
      <c r="E1561" s="3">
        <v>18</v>
      </c>
      <c r="F1561" s="4" t="str">
        <f>HYPERLINK("http://141.218.60.56/~jnz1568/getInfo.php?workbook=13_02.xlsx&amp;sheet=U0&amp;row=1561&amp;col=6&amp;number=4.7&amp;sourceID=14","4.7")</f>
        <v>4.7</v>
      </c>
      <c r="G1561" s="4" t="str">
        <f>HYPERLINK("http://141.218.60.56/~jnz1568/getInfo.php?workbook=13_02.xlsx&amp;sheet=U0&amp;row=1561&amp;col=7&amp;number=0.000962&amp;sourceID=14","0.000962")</f>
        <v>0.000962</v>
      </c>
    </row>
    <row r="1562" spans="1:7">
      <c r="A1562" s="3"/>
      <c r="B1562" s="3"/>
      <c r="C1562" s="3"/>
      <c r="D1562" s="3"/>
      <c r="E1562" s="3">
        <v>19</v>
      </c>
      <c r="F1562" s="4" t="str">
        <f>HYPERLINK("http://141.218.60.56/~jnz1568/getInfo.php?workbook=13_02.xlsx&amp;sheet=U0&amp;row=1562&amp;col=6&amp;number=4.8&amp;sourceID=14","4.8")</f>
        <v>4.8</v>
      </c>
      <c r="G1562" s="4" t="str">
        <f>HYPERLINK("http://141.218.60.56/~jnz1568/getInfo.php?workbook=13_02.xlsx&amp;sheet=U0&amp;row=1562&amp;col=7&amp;number=0.000959&amp;sourceID=14","0.000959")</f>
        <v>0.000959</v>
      </c>
    </row>
    <row r="1563" spans="1:7">
      <c r="A1563" s="3"/>
      <c r="B1563" s="3"/>
      <c r="C1563" s="3"/>
      <c r="D1563" s="3"/>
      <c r="E1563" s="3">
        <v>20</v>
      </c>
      <c r="F1563" s="4" t="str">
        <f>HYPERLINK("http://141.218.60.56/~jnz1568/getInfo.php?workbook=13_02.xlsx&amp;sheet=U0&amp;row=1563&amp;col=6&amp;number=4.9&amp;sourceID=14","4.9")</f>
        <v>4.9</v>
      </c>
      <c r="G1563" s="4" t="str">
        <f>HYPERLINK("http://141.218.60.56/~jnz1568/getInfo.php?workbook=13_02.xlsx&amp;sheet=U0&amp;row=1563&amp;col=7&amp;number=0.000956&amp;sourceID=14","0.000956")</f>
        <v>0.000956</v>
      </c>
    </row>
    <row r="1564" spans="1:7">
      <c r="A1564" s="3">
        <v>13</v>
      </c>
      <c r="B1564" s="3">
        <v>2</v>
      </c>
      <c r="C1564" s="3" t="s">
        <v>86</v>
      </c>
      <c r="D1564" s="3">
        <v>8</v>
      </c>
      <c r="E1564" s="3">
        <v>1</v>
      </c>
      <c r="F1564" s="4" t="str">
        <f>HYPERLINK("http://141.218.60.56/~jnz1568/getInfo.php?workbook=13_02.xlsx&amp;sheet=U0&amp;row=1564&amp;col=6&amp;number=3&amp;sourceID=14","3")</f>
        <v>3</v>
      </c>
      <c r="G1564" s="4" t="str">
        <f>HYPERLINK("http://141.218.60.56/~jnz1568/getInfo.php?workbook=13_02.xlsx&amp;sheet=U0&amp;row=1564&amp;col=7&amp;number=0.00138&amp;sourceID=14","0.00138")</f>
        <v>0.00138</v>
      </c>
    </row>
    <row r="1565" spans="1:7">
      <c r="A1565" s="3"/>
      <c r="B1565" s="3"/>
      <c r="C1565" s="3"/>
      <c r="D1565" s="3"/>
      <c r="E1565" s="3">
        <v>2</v>
      </c>
      <c r="F1565" s="4" t="str">
        <f>HYPERLINK("http://141.218.60.56/~jnz1568/getInfo.php?workbook=13_02.xlsx&amp;sheet=U0&amp;row=1565&amp;col=6&amp;number=3.1&amp;sourceID=14","3.1")</f>
        <v>3.1</v>
      </c>
      <c r="G1565" s="4" t="str">
        <f>HYPERLINK("http://141.218.60.56/~jnz1568/getInfo.php?workbook=13_02.xlsx&amp;sheet=U0&amp;row=1565&amp;col=7&amp;number=0.00138&amp;sourceID=14","0.00138")</f>
        <v>0.00138</v>
      </c>
    </row>
    <row r="1566" spans="1:7">
      <c r="A1566" s="3"/>
      <c r="B1566" s="3"/>
      <c r="C1566" s="3"/>
      <c r="D1566" s="3"/>
      <c r="E1566" s="3">
        <v>3</v>
      </c>
      <c r="F1566" s="4" t="str">
        <f>HYPERLINK("http://141.218.60.56/~jnz1568/getInfo.php?workbook=13_02.xlsx&amp;sheet=U0&amp;row=1566&amp;col=6&amp;number=3.2&amp;sourceID=14","3.2")</f>
        <v>3.2</v>
      </c>
      <c r="G1566" s="4" t="str">
        <f>HYPERLINK("http://141.218.60.56/~jnz1568/getInfo.php?workbook=13_02.xlsx&amp;sheet=U0&amp;row=1566&amp;col=7&amp;number=0.00138&amp;sourceID=14","0.00138")</f>
        <v>0.00138</v>
      </c>
    </row>
    <row r="1567" spans="1:7">
      <c r="A1567" s="3"/>
      <c r="B1567" s="3"/>
      <c r="C1567" s="3"/>
      <c r="D1567" s="3"/>
      <c r="E1567" s="3">
        <v>4</v>
      </c>
      <c r="F1567" s="4" t="str">
        <f>HYPERLINK("http://141.218.60.56/~jnz1568/getInfo.php?workbook=13_02.xlsx&amp;sheet=U0&amp;row=1567&amp;col=6&amp;number=3.3&amp;sourceID=14","3.3")</f>
        <v>3.3</v>
      </c>
      <c r="G1567" s="4" t="str">
        <f>HYPERLINK("http://141.218.60.56/~jnz1568/getInfo.php?workbook=13_02.xlsx&amp;sheet=U0&amp;row=1567&amp;col=7&amp;number=0.00138&amp;sourceID=14","0.00138")</f>
        <v>0.00138</v>
      </c>
    </row>
    <row r="1568" spans="1:7">
      <c r="A1568" s="3"/>
      <c r="B1568" s="3"/>
      <c r="C1568" s="3"/>
      <c r="D1568" s="3"/>
      <c r="E1568" s="3">
        <v>5</v>
      </c>
      <c r="F1568" s="4" t="str">
        <f>HYPERLINK("http://141.218.60.56/~jnz1568/getInfo.php?workbook=13_02.xlsx&amp;sheet=U0&amp;row=1568&amp;col=6&amp;number=3.4&amp;sourceID=14","3.4")</f>
        <v>3.4</v>
      </c>
      <c r="G1568" s="4" t="str">
        <f>HYPERLINK("http://141.218.60.56/~jnz1568/getInfo.php?workbook=13_02.xlsx&amp;sheet=U0&amp;row=1568&amp;col=7&amp;number=0.00138&amp;sourceID=14","0.00138")</f>
        <v>0.00138</v>
      </c>
    </row>
    <row r="1569" spans="1:7">
      <c r="A1569" s="3"/>
      <c r="B1569" s="3"/>
      <c r="C1569" s="3"/>
      <c r="D1569" s="3"/>
      <c r="E1569" s="3">
        <v>6</v>
      </c>
      <c r="F1569" s="4" t="str">
        <f>HYPERLINK("http://141.218.60.56/~jnz1568/getInfo.php?workbook=13_02.xlsx&amp;sheet=U0&amp;row=1569&amp;col=6&amp;number=3.5&amp;sourceID=14","3.5")</f>
        <v>3.5</v>
      </c>
      <c r="G1569" s="4" t="str">
        <f>HYPERLINK("http://141.218.60.56/~jnz1568/getInfo.php?workbook=13_02.xlsx&amp;sheet=U0&amp;row=1569&amp;col=7&amp;number=0.00138&amp;sourceID=14","0.00138")</f>
        <v>0.00138</v>
      </c>
    </row>
    <row r="1570" spans="1:7">
      <c r="A1570" s="3"/>
      <c r="B1570" s="3"/>
      <c r="C1570" s="3"/>
      <c r="D1570" s="3"/>
      <c r="E1570" s="3">
        <v>7</v>
      </c>
      <c r="F1570" s="4" t="str">
        <f>HYPERLINK("http://141.218.60.56/~jnz1568/getInfo.php?workbook=13_02.xlsx&amp;sheet=U0&amp;row=1570&amp;col=6&amp;number=3.6&amp;sourceID=14","3.6")</f>
        <v>3.6</v>
      </c>
      <c r="G1570" s="4" t="str">
        <f>HYPERLINK("http://141.218.60.56/~jnz1568/getInfo.php?workbook=13_02.xlsx&amp;sheet=U0&amp;row=1570&amp;col=7&amp;number=0.00138&amp;sourceID=14","0.00138")</f>
        <v>0.00138</v>
      </c>
    </row>
    <row r="1571" spans="1:7">
      <c r="A1571" s="3"/>
      <c r="B1571" s="3"/>
      <c r="C1571" s="3"/>
      <c r="D1571" s="3"/>
      <c r="E1571" s="3">
        <v>8</v>
      </c>
      <c r="F1571" s="4" t="str">
        <f>HYPERLINK("http://141.218.60.56/~jnz1568/getInfo.php?workbook=13_02.xlsx&amp;sheet=U0&amp;row=1571&amp;col=6&amp;number=3.7&amp;sourceID=14","3.7")</f>
        <v>3.7</v>
      </c>
      <c r="G1571" s="4" t="str">
        <f>HYPERLINK("http://141.218.60.56/~jnz1568/getInfo.php?workbook=13_02.xlsx&amp;sheet=U0&amp;row=1571&amp;col=7&amp;number=0.00138&amp;sourceID=14","0.00138")</f>
        <v>0.00138</v>
      </c>
    </row>
    <row r="1572" spans="1:7">
      <c r="A1572" s="3"/>
      <c r="B1572" s="3"/>
      <c r="C1572" s="3"/>
      <c r="D1572" s="3"/>
      <c r="E1572" s="3">
        <v>9</v>
      </c>
      <c r="F1572" s="4" t="str">
        <f>HYPERLINK("http://141.218.60.56/~jnz1568/getInfo.php?workbook=13_02.xlsx&amp;sheet=U0&amp;row=1572&amp;col=6&amp;number=3.8&amp;sourceID=14","3.8")</f>
        <v>3.8</v>
      </c>
      <c r="G1572" s="4" t="str">
        <f>HYPERLINK("http://141.218.60.56/~jnz1568/getInfo.php?workbook=13_02.xlsx&amp;sheet=U0&amp;row=1572&amp;col=7&amp;number=0.00138&amp;sourceID=14","0.00138")</f>
        <v>0.00138</v>
      </c>
    </row>
    <row r="1573" spans="1:7">
      <c r="A1573" s="3"/>
      <c r="B1573" s="3"/>
      <c r="C1573" s="3"/>
      <c r="D1573" s="3"/>
      <c r="E1573" s="3">
        <v>10</v>
      </c>
      <c r="F1573" s="4" t="str">
        <f>HYPERLINK("http://141.218.60.56/~jnz1568/getInfo.php?workbook=13_02.xlsx&amp;sheet=U0&amp;row=1573&amp;col=6&amp;number=3.9&amp;sourceID=14","3.9")</f>
        <v>3.9</v>
      </c>
      <c r="G1573" s="4" t="str">
        <f>HYPERLINK("http://141.218.60.56/~jnz1568/getInfo.php?workbook=13_02.xlsx&amp;sheet=U0&amp;row=1573&amp;col=7&amp;number=0.00138&amp;sourceID=14","0.00138")</f>
        <v>0.00138</v>
      </c>
    </row>
    <row r="1574" spans="1:7">
      <c r="A1574" s="3"/>
      <c r="B1574" s="3"/>
      <c r="C1574" s="3"/>
      <c r="D1574" s="3"/>
      <c r="E1574" s="3">
        <v>11</v>
      </c>
      <c r="F1574" s="4" t="str">
        <f>HYPERLINK("http://141.218.60.56/~jnz1568/getInfo.php?workbook=13_02.xlsx&amp;sheet=U0&amp;row=1574&amp;col=6&amp;number=4&amp;sourceID=14","4")</f>
        <v>4</v>
      </c>
      <c r="G1574" s="4" t="str">
        <f>HYPERLINK("http://141.218.60.56/~jnz1568/getInfo.php?workbook=13_02.xlsx&amp;sheet=U0&amp;row=1574&amp;col=7&amp;number=0.00138&amp;sourceID=14","0.00138")</f>
        <v>0.00138</v>
      </c>
    </row>
    <row r="1575" spans="1:7">
      <c r="A1575" s="3"/>
      <c r="B1575" s="3"/>
      <c r="C1575" s="3"/>
      <c r="D1575" s="3"/>
      <c r="E1575" s="3">
        <v>12</v>
      </c>
      <c r="F1575" s="4" t="str">
        <f>HYPERLINK("http://141.218.60.56/~jnz1568/getInfo.php?workbook=13_02.xlsx&amp;sheet=U0&amp;row=1575&amp;col=6&amp;number=4.1&amp;sourceID=14","4.1")</f>
        <v>4.1</v>
      </c>
      <c r="G1575" s="4" t="str">
        <f>HYPERLINK("http://141.218.60.56/~jnz1568/getInfo.php?workbook=13_02.xlsx&amp;sheet=U0&amp;row=1575&amp;col=7&amp;number=0.00138&amp;sourceID=14","0.00138")</f>
        <v>0.00138</v>
      </c>
    </row>
    <row r="1576" spans="1:7">
      <c r="A1576" s="3"/>
      <c r="B1576" s="3"/>
      <c r="C1576" s="3"/>
      <c r="D1576" s="3"/>
      <c r="E1576" s="3">
        <v>13</v>
      </c>
      <c r="F1576" s="4" t="str">
        <f>HYPERLINK("http://141.218.60.56/~jnz1568/getInfo.php?workbook=13_02.xlsx&amp;sheet=U0&amp;row=1576&amp;col=6&amp;number=4.2&amp;sourceID=14","4.2")</f>
        <v>4.2</v>
      </c>
      <c r="G1576" s="4" t="str">
        <f>HYPERLINK("http://141.218.60.56/~jnz1568/getInfo.php?workbook=13_02.xlsx&amp;sheet=U0&amp;row=1576&amp;col=7&amp;number=0.00138&amp;sourceID=14","0.00138")</f>
        <v>0.00138</v>
      </c>
    </row>
    <row r="1577" spans="1:7">
      <c r="A1577" s="3"/>
      <c r="B1577" s="3"/>
      <c r="C1577" s="3"/>
      <c r="D1577" s="3"/>
      <c r="E1577" s="3">
        <v>14</v>
      </c>
      <c r="F1577" s="4" t="str">
        <f>HYPERLINK("http://141.218.60.56/~jnz1568/getInfo.php?workbook=13_02.xlsx&amp;sheet=U0&amp;row=1577&amp;col=6&amp;number=4.3&amp;sourceID=14","4.3")</f>
        <v>4.3</v>
      </c>
      <c r="G1577" s="4" t="str">
        <f>HYPERLINK("http://141.218.60.56/~jnz1568/getInfo.php?workbook=13_02.xlsx&amp;sheet=U0&amp;row=1577&amp;col=7&amp;number=0.00138&amp;sourceID=14","0.00138")</f>
        <v>0.00138</v>
      </c>
    </row>
    <row r="1578" spans="1:7">
      <c r="A1578" s="3"/>
      <c r="B1578" s="3"/>
      <c r="C1578" s="3"/>
      <c r="D1578" s="3"/>
      <c r="E1578" s="3">
        <v>15</v>
      </c>
      <c r="F1578" s="4" t="str">
        <f>HYPERLINK("http://141.218.60.56/~jnz1568/getInfo.php?workbook=13_02.xlsx&amp;sheet=U0&amp;row=1578&amp;col=6&amp;number=4.4&amp;sourceID=14","4.4")</f>
        <v>4.4</v>
      </c>
      <c r="G1578" s="4" t="str">
        <f>HYPERLINK("http://141.218.60.56/~jnz1568/getInfo.php?workbook=13_02.xlsx&amp;sheet=U0&amp;row=1578&amp;col=7&amp;number=0.00138&amp;sourceID=14","0.00138")</f>
        <v>0.00138</v>
      </c>
    </row>
    <row r="1579" spans="1:7">
      <c r="A1579" s="3"/>
      <c r="B1579" s="3"/>
      <c r="C1579" s="3"/>
      <c r="D1579" s="3"/>
      <c r="E1579" s="3">
        <v>16</v>
      </c>
      <c r="F1579" s="4" t="str">
        <f>HYPERLINK("http://141.218.60.56/~jnz1568/getInfo.php?workbook=13_02.xlsx&amp;sheet=U0&amp;row=1579&amp;col=6&amp;number=4.5&amp;sourceID=14","4.5")</f>
        <v>4.5</v>
      </c>
      <c r="G1579" s="4" t="str">
        <f>HYPERLINK("http://141.218.60.56/~jnz1568/getInfo.php?workbook=13_02.xlsx&amp;sheet=U0&amp;row=1579&amp;col=7&amp;number=0.00138&amp;sourceID=14","0.00138")</f>
        <v>0.00138</v>
      </c>
    </row>
    <row r="1580" spans="1:7">
      <c r="A1580" s="3"/>
      <c r="B1580" s="3"/>
      <c r="C1580" s="3"/>
      <c r="D1580" s="3"/>
      <c r="E1580" s="3">
        <v>17</v>
      </c>
      <c r="F1580" s="4" t="str">
        <f>HYPERLINK("http://141.218.60.56/~jnz1568/getInfo.php?workbook=13_02.xlsx&amp;sheet=U0&amp;row=1580&amp;col=6&amp;number=4.6&amp;sourceID=14","4.6")</f>
        <v>4.6</v>
      </c>
      <c r="G1580" s="4" t="str">
        <f>HYPERLINK("http://141.218.60.56/~jnz1568/getInfo.php?workbook=13_02.xlsx&amp;sheet=U0&amp;row=1580&amp;col=7&amp;number=0.00138&amp;sourceID=14","0.00138")</f>
        <v>0.00138</v>
      </c>
    </row>
    <row r="1581" spans="1:7">
      <c r="A1581" s="3"/>
      <c r="B1581" s="3"/>
      <c r="C1581" s="3"/>
      <c r="D1581" s="3"/>
      <c r="E1581" s="3">
        <v>18</v>
      </c>
      <c r="F1581" s="4" t="str">
        <f>HYPERLINK("http://141.218.60.56/~jnz1568/getInfo.php?workbook=13_02.xlsx&amp;sheet=U0&amp;row=1581&amp;col=6&amp;number=4.7&amp;sourceID=14","4.7")</f>
        <v>4.7</v>
      </c>
      <c r="G1581" s="4" t="str">
        <f>HYPERLINK("http://141.218.60.56/~jnz1568/getInfo.php?workbook=13_02.xlsx&amp;sheet=U0&amp;row=1581&amp;col=7&amp;number=0.00138&amp;sourceID=14","0.00138")</f>
        <v>0.00138</v>
      </c>
    </row>
    <row r="1582" spans="1:7">
      <c r="A1582" s="3"/>
      <c r="B1582" s="3"/>
      <c r="C1582" s="3"/>
      <c r="D1582" s="3"/>
      <c r="E1582" s="3">
        <v>19</v>
      </c>
      <c r="F1582" s="4" t="str">
        <f>HYPERLINK("http://141.218.60.56/~jnz1568/getInfo.php?workbook=13_02.xlsx&amp;sheet=U0&amp;row=1582&amp;col=6&amp;number=4.8&amp;sourceID=14","4.8")</f>
        <v>4.8</v>
      </c>
      <c r="G1582" s="4" t="str">
        <f>HYPERLINK("http://141.218.60.56/~jnz1568/getInfo.php?workbook=13_02.xlsx&amp;sheet=U0&amp;row=1582&amp;col=7&amp;number=0.00138&amp;sourceID=14","0.00138")</f>
        <v>0.00138</v>
      </c>
    </row>
    <row r="1583" spans="1:7">
      <c r="A1583" s="3"/>
      <c r="B1583" s="3"/>
      <c r="C1583" s="3"/>
      <c r="D1583" s="3"/>
      <c r="E1583" s="3">
        <v>20</v>
      </c>
      <c r="F1583" s="4" t="str">
        <f>HYPERLINK("http://141.218.60.56/~jnz1568/getInfo.php?workbook=13_02.xlsx&amp;sheet=U0&amp;row=1583&amp;col=6&amp;number=4.9&amp;sourceID=14","4.9")</f>
        <v>4.9</v>
      </c>
      <c r="G1583" s="4" t="str">
        <f>HYPERLINK("http://141.218.60.56/~jnz1568/getInfo.php?workbook=13_02.xlsx&amp;sheet=U0&amp;row=1583&amp;col=7&amp;number=0.00138&amp;sourceID=14","0.00138")</f>
        <v>0.00138</v>
      </c>
    </row>
    <row r="1584" spans="1:7">
      <c r="A1584" s="3">
        <v>13</v>
      </c>
      <c r="B1584" s="3">
        <v>2</v>
      </c>
      <c r="C1584" s="3" t="s">
        <v>86</v>
      </c>
      <c r="D1584" s="3">
        <v>9</v>
      </c>
      <c r="E1584" s="3">
        <v>1</v>
      </c>
      <c r="F1584" s="4" t="str">
        <f>HYPERLINK("http://141.218.60.56/~jnz1568/getInfo.php?workbook=13_02.xlsx&amp;sheet=U0&amp;row=1584&amp;col=6&amp;number=3&amp;sourceID=14","3")</f>
        <v>3</v>
      </c>
      <c r="G1584" s="4" t="str">
        <f>HYPERLINK("http://141.218.60.56/~jnz1568/getInfo.php?workbook=13_02.xlsx&amp;sheet=U0&amp;row=1584&amp;col=7&amp;number=0.00315&amp;sourceID=14","0.00315")</f>
        <v>0.00315</v>
      </c>
    </row>
    <row r="1585" spans="1:7">
      <c r="A1585" s="3"/>
      <c r="B1585" s="3"/>
      <c r="C1585" s="3"/>
      <c r="D1585" s="3"/>
      <c r="E1585" s="3">
        <v>2</v>
      </c>
      <c r="F1585" s="4" t="str">
        <f>HYPERLINK("http://141.218.60.56/~jnz1568/getInfo.php?workbook=13_02.xlsx&amp;sheet=U0&amp;row=1585&amp;col=6&amp;number=3.1&amp;sourceID=14","3.1")</f>
        <v>3.1</v>
      </c>
      <c r="G1585" s="4" t="str">
        <f>HYPERLINK("http://141.218.60.56/~jnz1568/getInfo.php?workbook=13_02.xlsx&amp;sheet=U0&amp;row=1585&amp;col=7&amp;number=0.00315&amp;sourceID=14","0.00315")</f>
        <v>0.00315</v>
      </c>
    </row>
    <row r="1586" spans="1:7">
      <c r="A1586" s="3"/>
      <c r="B1586" s="3"/>
      <c r="C1586" s="3"/>
      <c r="D1586" s="3"/>
      <c r="E1586" s="3">
        <v>3</v>
      </c>
      <c r="F1586" s="4" t="str">
        <f>HYPERLINK("http://141.218.60.56/~jnz1568/getInfo.php?workbook=13_02.xlsx&amp;sheet=U0&amp;row=1586&amp;col=6&amp;number=3.2&amp;sourceID=14","3.2")</f>
        <v>3.2</v>
      </c>
      <c r="G1586" s="4" t="str">
        <f>HYPERLINK("http://141.218.60.56/~jnz1568/getInfo.php?workbook=13_02.xlsx&amp;sheet=U0&amp;row=1586&amp;col=7&amp;number=0.00315&amp;sourceID=14","0.00315")</f>
        <v>0.00315</v>
      </c>
    </row>
    <row r="1587" spans="1:7">
      <c r="A1587" s="3"/>
      <c r="B1587" s="3"/>
      <c r="C1587" s="3"/>
      <c r="D1587" s="3"/>
      <c r="E1587" s="3">
        <v>4</v>
      </c>
      <c r="F1587" s="4" t="str">
        <f>HYPERLINK("http://141.218.60.56/~jnz1568/getInfo.php?workbook=13_02.xlsx&amp;sheet=U0&amp;row=1587&amp;col=6&amp;number=3.3&amp;sourceID=14","3.3")</f>
        <v>3.3</v>
      </c>
      <c r="G1587" s="4" t="str">
        <f>HYPERLINK("http://141.218.60.56/~jnz1568/getInfo.php?workbook=13_02.xlsx&amp;sheet=U0&amp;row=1587&amp;col=7&amp;number=0.00315&amp;sourceID=14","0.00315")</f>
        <v>0.00315</v>
      </c>
    </row>
    <row r="1588" spans="1:7">
      <c r="A1588" s="3"/>
      <c r="B1588" s="3"/>
      <c r="C1588" s="3"/>
      <c r="D1588" s="3"/>
      <c r="E1588" s="3">
        <v>5</v>
      </c>
      <c r="F1588" s="4" t="str">
        <f>HYPERLINK("http://141.218.60.56/~jnz1568/getInfo.php?workbook=13_02.xlsx&amp;sheet=U0&amp;row=1588&amp;col=6&amp;number=3.4&amp;sourceID=14","3.4")</f>
        <v>3.4</v>
      </c>
      <c r="G1588" s="4" t="str">
        <f>HYPERLINK("http://141.218.60.56/~jnz1568/getInfo.php?workbook=13_02.xlsx&amp;sheet=U0&amp;row=1588&amp;col=7&amp;number=0.00315&amp;sourceID=14","0.00315")</f>
        <v>0.00315</v>
      </c>
    </row>
    <row r="1589" spans="1:7">
      <c r="A1589" s="3"/>
      <c r="B1589" s="3"/>
      <c r="C1589" s="3"/>
      <c r="D1589" s="3"/>
      <c r="E1589" s="3">
        <v>6</v>
      </c>
      <c r="F1589" s="4" t="str">
        <f>HYPERLINK("http://141.218.60.56/~jnz1568/getInfo.php?workbook=13_02.xlsx&amp;sheet=U0&amp;row=1589&amp;col=6&amp;number=3.5&amp;sourceID=14","3.5")</f>
        <v>3.5</v>
      </c>
      <c r="G1589" s="4" t="str">
        <f>HYPERLINK("http://141.218.60.56/~jnz1568/getInfo.php?workbook=13_02.xlsx&amp;sheet=U0&amp;row=1589&amp;col=7&amp;number=0.00315&amp;sourceID=14","0.00315")</f>
        <v>0.00315</v>
      </c>
    </row>
    <row r="1590" spans="1:7">
      <c r="A1590" s="3"/>
      <c r="B1590" s="3"/>
      <c r="C1590" s="3"/>
      <c r="D1590" s="3"/>
      <c r="E1590" s="3">
        <v>7</v>
      </c>
      <c r="F1590" s="4" t="str">
        <f>HYPERLINK("http://141.218.60.56/~jnz1568/getInfo.php?workbook=13_02.xlsx&amp;sheet=U0&amp;row=1590&amp;col=6&amp;number=3.6&amp;sourceID=14","3.6")</f>
        <v>3.6</v>
      </c>
      <c r="G1590" s="4" t="str">
        <f>HYPERLINK("http://141.218.60.56/~jnz1568/getInfo.php?workbook=13_02.xlsx&amp;sheet=U0&amp;row=1590&amp;col=7&amp;number=0.00315&amp;sourceID=14","0.00315")</f>
        <v>0.00315</v>
      </c>
    </row>
    <row r="1591" spans="1:7">
      <c r="A1591" s="3"/>
      <c r="B1591" s="3"/>
      <c r="C1591" s="3"/>
      <c r="D1591" s="3"/>
      <c r="E1591" s="3">
        <v>8</v>
      </c>
      <c r="F1591" s="4" t="str">
        <f>HYPERLINK("http://141.218.60.56/~jnz1568/getInfo.php?workbook=13_02.xlsx&amp;sheet=U0&amp;row=1591&amp;col=6&amp;number=3.7&amp;sourceID=14","3.7")</f>
        <v>3.7</v>
      </c>
      <c r="G1591" s="4" t="str">
        <f>HYPERLINK("http://141.218.60.56/~jnz1568/getInfo.php?workbook=13_02.xlsx&amp;sheet=U0&amp;row=1591&amp;col=7&amp;number=0.00315&amp;sourceID=14","0.00315")</f>
        <v>0.00315</v>
      </c>
    </row>
    <row r="1592" spans="1:7">
      <c r="A1592" s="3"/>
      <c r="B1592" s="3"/>
      <c r="C1592" s="3"/>
      <c r="D1592" s="3"/>
      <c r="E1592" s="3">
        <v>9</v>
      </c>
      <c r="F1592" s="4" t="str">
        <f>HYPERLINK("http://141.218.60.56/~jnz1568/getInfo.php?workbook=13_02.xlsx&amp;sheet=U0&amp;row=1592&amp;col=6&amp;number=3.8&amp;sourceID=14","3.8")</f>
        <v>3.8</v>
      </c>
      <c r="G1592" s="4" t="str">
        <f>HYPERLINK("http://141.218.60.56/~jnz1568/getInfo.php?workbook=13_02.xlsx&amp;sheet=U0&amp;row=1592&amp;col=7&amp;number=0.00315&amp;sourceID=14","0.00315")</f>
        <v>0.00315</v>
      </c>
    </row>
    <row r="1593" spans="1:7">
      <c r="A1593" s="3"/>
      <c r="B1593" s="3"/>
      <c r="C1593" s="3"/>
      <c r="D1593" s="3"/>
      <c r="E1593" s="3">
        <v>10</v>
      </c>
      <c r="F1593" s="4" t="str">
        <f>HYPERLINK("http://141.218.60.56/~jnz1568/getInfo.php?workbook=13_02.xlsx&amp;sheet=U0&amp;row=1593&amp;col=6&amp;number=3.9&amp;sourceID=14","3.9")</f>
        <v>3.9</v>
      </c>
      <c r="G1593" s="4" t="str">
        <f>HYPERLINK("http://141.218.60.56/~jnz1568/getInfo.php?workbook=13_02.xlsx&amp;sheet=U0&amp;row=1593&amp;col=7&amp;number=0.00315&amp;sourceID=14","0.00315")</f>
        <v>0.00315</v>
      </c>
    </row>
    <row r="1594" spans="1:7">
      <c r="A1594" s="3"/>
      <c r="B1594" s="3"/>
      <c r="C1594" s="3"/>
      <c r="D1594" s="3"/>
      <c r="E1594" s="3">
        <v>11</v>
      </c>
      <c r="F1594" s="4" t="str">
        <f>HYPERLINK("http://141.218.60.56/~jnz1568/getInfo.php?workbook=13_02.xlsx&amp;sheet=U0&amp;row=1594&amp;col=6&amp;number=4&amp;sourceID=14","4")</f>
        <v>4</v>
      </c>
      <c r="G1594" s="4" t="str">
        <f>HYPERLINK("http://141.218.60.56/~jnz1568/getInfo.php?workbook=13_02.xlsx&amp;sheet=U0&amp;row=1594&amp;col=7&amp;number=0.00315&amp;sourceID=14","0.00315")</f>
        <v>0.00315</v>
      </c>
    </row>
    <row r="1595" spans="1:7">
      <c r="A1595" s="3"/>
      <c r="B1595" s="3"/>
      <c r="C1595" s="3"/>
      <c r="D1595" s="3"/>
      <c r="E1595" s="3">
        <v>12</v>
      </c>
      <c r="F1595" s="4" t="str">
        <f>HYPERLINK("http://141.218.60.56/~jnz1568/getInfo.php?workbook=13_02.xlsx&amp;sheet=U0&amp;row=1595&amp;col=6&amp;number=4.1&amp;sourceID=14","4.1")</f>
        <v>4.1</v>
      </c>
      <c r="G1595" s="4" t="str">
        <f>HYPERLINK("http://141.218.60.56/~jnz1568/getInfo.php?workbook=13_02.xlsx&amp;sheet=U0&amp;row=1595&amp;col=7&amp;number=0.00315&amp;sourceID=14","0.00315")</f>
        <v>0.00315</v>
      </c>
    </row>
    <row r="1596" spans="1:7">
      <c r="A1596" s="3"/>
      <c r="B1596" s="3"/>
      <c r="C1596" s="3"/>
      <c r="D1596" s="3"/>
      <c r="E1596" s="3">
        <v>13</v>
      </c>
      <c r="F1596" s="4" t="str">
        <f>HYPERLINK("http://141.218.60.56/~jnz1568/getInfo.php?workbook=13_02.xlsx&amp;sheet=U0&amp;row=1596&amp;col=6&amp;number=4.2&amp;sourceID=14","4.2")</f>
        <v>4.2</v>
      </c>
      <c r="G1596" s="4" t="str">
        <f>HYPERLINK("http://141.218.60.56/~jnz1568/getInfo.php?workbook=13_02.xlsx&amp;sheet=U0&amp;row=1596&amp;col=7&amp;number=0.00315&amp;sourceID=14","0.00315")</f>
        <v>0.00315</v>
      </c>
    </row>
    <row r="1597" spans="1:7">
      <c r="A1597" s="3"/>
      <c r="B1597" s="3"/>
      <c r="C1597" s="3"/>
      <c r="D1597" s="3"/>
      <c r="E1597" s="3">
        <v>14</v>
      </c>
      <c r="F1597" s="4" t="str">
        <f>HYPERLINK("http://141.218.60.56/~jnz1568/getInfo.php?workbook=13_02.xlsx&amp;sheet=U0&amp;row=1597&amp;col=6&amp;number=4.3&amp;sourceID=14","4.3")</f>
        <v>4.3</v>
      </c>
      <c r="G1597" s="4" t="str">
        <f>HYPERLINK("http://141.218.60.56/~jnz1568/getInfo.php?workbook=13_02.xlsx&amp;sheet=U0&amp;row=1597&amp;col=7&amp;number=0.00315&amp;sourceID=14","0.00315")</f>
        <v>0.00315</v>
      </c>
    </row>
    <row r="1598" spans="1:7">
      <c r="A1598" s="3"/>
      <c r="B1598" s="3"/>
      <c r="C1598" s="3"/>
      <c r="D1598" s="3"/>
      <c r="E1598" s="3">
        <v>15</v>
      </c>
      <c r="F1598" s="4" t="str">
        <f>HYPERLINK("http://141.218.60.56/~jnz1568/getInfo.php?workbook=13_02.xlsx&amp;sheet=U0&amp;row=1598&amp;col=6&amp;number=4.4&amp;sourceID=14","4.4")</f>
        <v>4.4</v>
      </c>
      <c r="G1598" s="4" t="str">
        <f>HYPERLINK("http://141.218.60.56/~jnz1568/getInfo.php?workbook=13_02.xlsx&amp;sheet=U0&amp;row=1598&amp;col=7&amp;number=0.00315&amp;sourceID=14","0.00315")</f>
        <v>0.00315</v>
      </c>
    </row>
    <row r="1599" spans="1:7">
      <c r="A1599" s="3"/>
      <c r="B1599" s="3"/>
      <c r="C1599" s="3"/>
      <c r="D1599" s="3"/>
      <c r="E1599" s="3">
        <v>16</v>
      </c>
      <c r="F1599" s="4" t="str">
        <f>HYPERLINK("http://141.218.60.56/~jnz1568/getInfo.php?workbook=13_02.xlsx&amp;sheet=U0&amp;row=1599&amp;col=6&amp;number=4.5&amp;sourceID=14","4.5")</f>
        <v>4.5</v>
      </c>
      <c r="G1599" s="4" t="str">
        <f>HYPERLINK("http://141.218.60.56/~jnz1568/getInfo.php?workbook=13_02.xlsx&amp;sheet=U0&amp;row=1599&amp;col=7&amp;number=0.00315&amp;sourceID=14","0.00315")</f>
        <v>0.00315</v>
      </c>
    </row>
    <row r="1600" spans="1:7">
      <c r="A1600" s="3"/>
      <c r="B1600" s="3"/>
      <c r="C1600" s="3"/>
      <c r="D1600" s="3"/>
      <c r="E1600" s="3">
        <v>17</v>
      </c>
      <c r="F1600" s="4" t="str">
        <f>HYPERLINK("http://141.218.60.56/~jnz1568/getInfo.php?workbook=13_02.xlsx&amp;sheet=U0&amp;row=1600&amp;col=6&amp;number=4.6&amp;sourceID=14","4.6")</f>
        <v>4.6</v>
      </c>
      <c r="G1600" s="4" t="str">
        <f>HYPERLINK("http://141.218.60.56/~jnz1568/getInfo.php?workbook=13_02.xlsx&amp;sheet=U0&amp;row=1600&amp;col=7&amp;number=0.00315&amp;sourceID=14","0.00315")</f>
        <v>0.00315</v>
      </c>
    </row>
    <row r="1601" spans="1:7">
      <c r="A1601" s="3"/>
      <c r="B1601" s="3"/>
      <c r="C1601" s="3"/>
      <c r="D1601" s="3"/>
      <c r="E1601" s="3">
        <v>18</v>
      </c>
      <c r="F1601" s="4" t="str">
        <f>HYPERLINK("http://141.218.60.56/~jnz1568/getInfo.php?workbook=13_02.xlsx&amp;sheet=U0&amp;row=1601&amp;col=6&amp;number=4.7&amp;sourceID=14","4.7")</f>
        <v>4.7</v>
      </c>
      <c r="G1601" s="4" t="str">
        <f>HYPERLINK("http://141.218.60.56/~jnz1568/getInfo.php?workbook=13_02.xlsx&amp;sheet=U0&amp;row=1601&amp;col=7&amp;number=0.00315&amp;sourceID=14","0.00315")</f>
        <v>0.00315</v>
      </c>
    </row>
    <row r="1602" spans="1:7">
      <c r="A1602" s="3"/>
      <c r="B1602" s="3"/>
      <c r="C1602" s="3"/>
      <c r="D1602" s="3"/>
      <c r="E1602" s="3">
        <v>19</v>
      </c>
      <c r="F1602" s="4" t="str">
        <f>HYPERLINK("http://141.218.60.56/~jnz1568/getInfo.php?workbook=13_02.xlsx&amp;sheet=U0&amp;row=1602&amp;col=6&amp;number=4.8&amp;sourceID=14","4.8")</f>
        <v>4.8</v>
      </c>
      <c r="G1602" s="4" t="str">
        <f>HYPERLINK("http://141.218.60.56/~jnz1568/getInfo.php?workbook=13_02.xlsx&amp;sheet=U0&amp;row=1602&amp;col=7&amp;number=0.00315&amp;sourceID=14","0.00315")</f>
        <v>0.00315</v>
      </c>
    </row>
    <row r="1603" spans="1:7">
      <c r="A1603" s="3"/>
      <c r="B1603" s="3"/>
      <c r="C1603" s="3"/>
      <c r="D1603" s="3"/>
      <c r="E1603" s="3">
        <v>20</v>
      </c>
      <c r="F1603" s="4" t="str">
        <f>HYPERLINK("http://141.218.60.56/~jnz1568/getInfo.php?workbook=13_02.xlsx&amp;sheet=U0&amp;row=1603&amp;col=6&amp;number=4.9&amp;sourceID=14","4.9")</f>
        <v>4.9</v>
      </c>
      <c r="G1603" s="4" t="str">
        <f>HYPERLINK("http://141.218.60.56/~jnz1568/getInfo.php?workbook=13_02.xlsx&amp;sheet=U0&amp;row=1603&amp;col=7&amp;number=0.00315&amp;sourceID=14","0.00315")</f>
        <v>0.00315</v>
      </c>
    </row>
    <row r="1604" spans="1:7">
      <c r="A1604" s="3">
        <v>13</v>
      </c>
      <c r="B1604" s="3">
        <v>2</v>
      </c>
      <c r="C1604" s="3" t="s">
        <v>87</v>
      </c>
      <c r="D1604" s="3">
        <v>0</v>
      </c>
      <c r="E1604" s="3">
        <v>1</v>
      </c>
      <c r="F1604" s="4" t="str">
        <f>HYPERLINK("http://141.218.60.56/~jnz1568/getInfo.php?workbook=13_02.xlsx&amp;sheet=U0&amp;row=1604&amp;col=6&amp;number=3&amp;sourceID=14","3")</f>
        <v>3</v>
      </c>
      <c r="G1604" s="4" t="str">
        <f>HYPERLINK("http://141.218.60.56/~jnz1568/getInfo.php?workbook=13_02.xlsx&amp;sheet=U0&amp;row=1604&amp;col=7&amp;number=0.0045&amp;sourceID=14","0.0045")</f>
        <v>0.0045</v>
      </c>
    </row>
    <row r="1605" spans="1:7">
      <c r="A1605" s="3"/>
      <c r="B1605" s="3"/>
      <c r="C1605" s="3"/>
      <c r="D1605" s="3"/>
      <c r="E1605" s="3">
        <v>2</v>
      </c>
      <c r="F1605" s="4" t="str">
        <f>HYPERLINK("http://141.218.60.56/~jnz1568/getInfo.php?workbook=13_02.xlsx&amp;sheet=U0&amp;row=1605&amp;col=6&amp;number=3.1&amp;sourceID=14","3.1")</f>
        <v>3.1</v>
      </c>
      <c r="G1605" s="4" t="str">
        <f>HYPERLINK("http://141.218.60.56/~jnz1568/getInfo.php?workbook=13_02.xlsx&amp;sheet=U0&amp;row=1605&amp;col=7&amp;number=0.0045&amp;sourceID=14","0.0045")</f>
        <v>0.0045</v>
      </c>
    </row>
    <row r="1606" spans="1:7">
      <c r="A1606" s="3"/>
      <c r="B1606" s="3"/>
      <c r="C1606" s="3"/>
      <c r="D1606" s="3"/>
      <c r="E1606" s="3">
        <v>3</v>
      </c>
      <c r="F1606" s="4" t="str">
        <f>HYPERLINK("http://141.218.60.56/~jnz1568/getInfo.php?workbook=13_02.xlsx&amp;sheet=U0&amp;row=1606&amp;col=6&amp;number=3.2&amp;sourceID=14","3.2")</f>
        <v>3.2</v>
      </c>
      <c r="G1606" s="4" t="str">
        <f>HYPERLINK("http://141.218.60.56/~jnz1568/getInfo.php?workbook=13_02.xlsx&amp;sheet=U0&amp;row=1606&amp;col=7&amp;number=0.0045&amp;sourceID=14","0.0045")</f>
        <v>0.0045</v>
      </c>
    </row>
    <row r="1607" spans="1:7">
      <c r="A1607" s="3"/>
      <c r="B1607" s="3"/>
      <c r="C1607" s="3"/>
      <c r="D1607" s="3"/>
      <c r="E1607" s="3">
        <v>4</v>
      </c>
      <c r="F1607" s="4" t="str">
        <f>HYPERLINK("http://141.218.60.56/~jnz1568/getInfo.php?workbook=13_02.xlsx&amp;sheet=U0&amp;row=1607&amp;col=6&amp;number=3.3&amp;sourceID=14","3.3")</f>
        <v>3.3</v>
      </c>
      <c r="G1607" s="4" t="str">
        <f>HYPERLINK("http://141.218.60.56/~jnz1568/getInfo.php?workbook=13_02.xlsx&amp;sheet=U0&amp;row=1607&amp;col=7&amp;number=0.0045&amp;sourceID=14","0.0045")</f>
        <v>0.0045</v>
      </c>
    </row>
    <row r="1608" spans="1:7">
      <c r="A1608" s="3"/>
      <c r="B1608" s="3"/>
      <c r="C1608" s="3"/>
      <c r="D1608" s="3"/>
      <c r="E1608" s="3">
        <v>5</v>
      </c>
      <c r="F1608" s="4" t="str">
        <f>HYPERLINK("http://141.218.60.56/~jnz1568/getInfo.php?workbook=13_02.xlsx&amp;sheet=U0&amp;row=1608&amp;col=6&amp;number=3.4&amp;sourceID=14","3.4")</f>
        <v>3.4</v>
      </c>
      <c r="G1608" s="4" t="str">
        <f>HYPERLINK("http://141.218.60.56/~jnz1568/getInfo.php?workbook=13_02.xlsx&amp;sheet=U0&amp;row=1608&amp;col=7&amp;number=0.0045&amp;sourceID=14","0.0045")</f>
        <v>0.0045</v>
      </c>
    </row>
    <row r="1609" spans="1:7">
      <c r="A1609" s="3"/>
      <c r="B1609" s="3"/>
      <c r="C1609" s="3"/>
      <c r="D1609" s="3"/>
      <c r="E1609" s="3">
        <v>6</v>
      </c>
      <c r="F1609" s="4" t="str">
        <f>HYPERLINK("http://141.218.60.56/~jnz1568/getInfo.php?workbook=13_02.xlsx&amp;sheet=U0&amp;row=1609&amp;col=6&amp;number=3.5&amp;sourceID=14","3.5")</f>
        <v>3.5</v>
      </c>
      <c r="G1609" s="4" t="str">
        <f>HYPERLINK("http://141.218.60.56/~jnz1568/getInfo.php?workbook=13_02.xlsx&amp;sheet=U0&amp;row=1609&amp;col=7&amp;number=0.0045&amp;sourceID=14","0.0045")</f>
        <v>0.0045</v>
      </c>
    </row>
    <row r="1610" spans="1:7">
      <c r="A1610" s="3"/>
      <c r="B1610" s="3"/>
      <c r="C1610" s="3"/>
      <c r="D1610" s="3"/>
      <c r="E1610" s="3">
        <v>7</v>
      </c>
      <c r="F1610" s="4" t="str">
        <f>HYPERLINK("http://141.218.60.56/~jnz1568/getInfo.php?workbook=13_02.xlsx&amp;sheet=U0&amp;row=1610&amp;col=6&amp;number=3.6&amp;sourceID=14","3.6")</f>
        <v>3.6</v>
      </c>
      <c r="G1610" s="4" t="str">
        <f>HYPERLINK("http://141.218.60.56/~jnz1568/getInfo.php?workbook=13_02.xlsx&amp;sheet=U0&amp;row=1610&amp;col=7&amp;number=0.0045&amp;sourceID=14","0.0045")</f>
        <v>0.0045</v>
      </c>
    </row>
    <row r="1611" spans="1:7">
      <c r="A1611" s="3"/>
      <c r="B1611" s="3"/>
      <c r="C1611" s="3"/>
      <c r="D1611" s="3"/>
      <c r="E1611" s="3">
        <v>8</v>
      </c>
      <c r="F1611" s="4" t="str">
        <f>HYPERLINK("http://141.218.60.56/~jnz1568/getInfo.php?workbook=13_02.xlsx&amp;sheet=U0&amp;row=1611&amp;col=6&amp;number=3.7&amp;sourceID=14","3.7")</f>
        <v>3.7</v>
      </c>
      <c r="G1611" s="4" t="str">
        <f>HYPERLINK("http://141.218.60.56/~jnz1568/getInfo.php?workbook=13_02.xlsx&amp;sheet=U0&amp;row=1611&amp;col=7&amp;number=0.0045&amp;sourceID=14","0.0045")</f>
        <v>0.0045</v>
      </c>
    </row>
    <row r="1612" spans="1:7">
      <c r="A1612" s="3"/>
      <c r="B1612" s="3"/>
      <c r="C1612" s="3"/>
      <c r="D1612" s="3"/>
      <c r="E1612" s="3">
        <v>9</v>
      </c>
      <c r="F1612" s="4" t="str">
        <f>HYPERLINK("http://141.218.60.56/~jnz1568/getInfo.php?workbook=13_02.xlsx&amp;sheet=U0&amp;row=1612&amp;col=6&amp;number=3.8&amp;sourceID=14","3.8")</f>
        <v>3.8</v>
      </c>
      <c r="G1612" s="4" t="str">
        <f>HYPERLINK("http://141.218.60.56/~jnz1568/getInfo.php?workbook=13_02.xlsx&amp;sheet=U0&amp;row=1612&amp;col=7&amp;number=0.0045&amp;sourceID=14","0.0045")</f>
        <v>0.0045</v>
      </c>
    </row>
    <row r="1613" spans="1:7">
      <c r="A1613" s="3"/>
      <c r="B1613" s="3"/>
      <c r="C1613" s="3"/>
      <c r="D1613" s="3"/>
      <c r="E1613" s="3">
        <v>10</v>
      </c>
      <c r="F1613" s="4" t="str">
        <f>HYPERLINK("http://141.218.60.56/~jnz1568/getInfo.php?workbook=13_02.xlsx&amp;sheet=U0&amp;row=1613&amp;col=6&amp;number=3.9&amp;sourceID=14","3.9")</f>
        <v>3.9</v>
      </c>
      <c r="G1613" s="4" t="str">
        <f>HYPERLINK("http://141.218.60.56/~jnz1568/getInfo.php?workbook=13_02.xlsx&amp;sheet=U0&amp;row=1613&amp;col=7&amp;number=0.0045&amp;sourceID=14","0.0045")</f>
        <v>0.0045</v>
      </c>
    </row>
    <row r="1614" spans="1:7">
      <c r="A1614" s="3"/>
      <c r="B1614" s="3"/>
      <c r="C1614" s="3"/>
      <c r="D1614" s="3"/>
      <c r="E1614" s="3">
        <v>11</v>
      </c>
      <c r="F1614" s="4" t="str">
        <f>HYPERLINK("http://141.218.60.56/~jnz1568/getInfo.php?workbook=13_02.xlsx&amp;sheet=U0&amp;row=1614&amp;col=6&amp;number=4&amp;sourceID=14","4")</f>
        <v>4</v>
      </c>
      <c r="G1614" s="4" t="str">
        <f>HYPERLINK("http://141.218.60.56/~jnz1568/getInfo.php?workbook=13_02.xlsx&amp;sheet=U0&amp;row=1614&amp;col=7&amp;number=0.0045&amp;sourceID=14","0.0045")</f>
        <v>0.0045</v>
      </c>
    </row>
    <row r="1615" spans="1:7">
      <c r="A1615" s="3"/>
      <c r="B1615" s="3"/>
      <c r="C1615" s="3"/>
      <c r="D1615" s="3"/>
      <c r="E1615" s="3">
        <v>12</v>
      </c>
      <c r="F1615" s="4" t="str">
        <f>HYPERLINK("http://141.218.60.56/~jnz1568/getInfo.php?workbook=13_02.xlsx&amp;sheet=U0&amp;row=1615&amp;col=6&amp;number=4.1&amp;sourceID=14","4.1")</f>
        <v>4.1</v>
      </c>
      <c r="G1615" s="4" t="str">
        <f>HYPERLINK("http://141.218.60.56/~jnz1568/getInfo.php?workbook=13_02.xlsx&amp;sheet=U0&amp;row=1615&amp;col=7&amp;number=0.0045&amp;sourceID=14","0.0045")</f>
        <v>0.0045</v>
      </c>
    </row>
    <row r="1616" spans="1:7">
      <c r="A1616" s="3"/>
      <c r="B1616" s="3"/>
      <c r="C1616" s="3"/>
      <c r="D1616" s="3"/>
      <c r="E1616" s="3">
        <v>13</v>
      </c>
      <c r="F1616" s="4" t="str">
        <f>HYPERLINK("http://141.218.60.56/~jnz1568/getInfo.php?workbook=13_02.xlsx&amp;sheet=U0&amp;row=1616&amp;col=6&amp;number=4.2&amp;sourceID=14","4.2")</f>
        <v>4.2</v>
      </c>
      <c r="G1616" s="4" t="str">
        <f>HYPERLINK("http://141.218.60.56/~jnz1568/getInfo.php?workbook=13_02.xlsx&amp;sheet=U0&amp;row=1616&amp;col=7&amp;number=0.0045&amp;sourceID=14","0.0045")</f>
        <v>0.0045</v>
      </c>
    </row>
    <row r="1617" spans="1:7">
      <c r="A1617" s="3"/>
      <c r="B1617" s="3"/>
      <c r="C1617" s="3"/>
      <c r="D1617" s="3"/>
      <c r="E1617" s="3">
        <v>14</v>
      </c>
      <c r="F1617" s="4" t="str">
        <f>HYPERLINK("http://141.218.60.56/~jnz1568/getInfo.php?workbook=13_02.xlsx&amp;sheet=U0&amp;row=1617&amp;col=6&amp;number=4.3&amp;sourceID=14","4.3")</f>
        <v>4.3</v>
      </c>
      <c r="G1617" s="4" t="str">
        <f>HYPERLINK("http://141.218.60.56/~jnz1568/getInfo.php?workbook=13_02.xlsx&amp;sheet=U0&amp;row=1617&amp;col=7&amp;number=0.0045&amp;sourceID=14","0.0045")</f>
        <v>0.0045</v>
      </c>
    </row>
    <row r="1618" spans="1:7">
      <c r="A1618" s="3"/>
      <c r="B1618" s="3"/>
      <c r="C1618" s="3"/>
      <c r="D1618" s="3"/>
      <c r="E1618" s="3">
        <v>15</v>
      </c>
      <c r="F1618" s="4" t="str">
        <f>HYPERLINK("http://141.218.60.56/~jnz1568/getInfo.php?workbook=13_02.xlsx&amp;sheet=U0&amp;row=1618&amp;col=6&amp;number=4.4&amp;sourceID=14","4.4")</f>
        <v>4.4</v>
      </c>
      <c r="G1618" s="4" t="str">
        <f>HYPERLINK("http://141.218.60.56/~jnz1568/getInfo.php?workbook=13_02.xlsx&amp;sheet=U0&amp;row=1618&amp;col=7&amp;number=0.0045&amp;sourceID=14","0.0045")</f>
        <v>0.0045</v>
      </c>
    </row>
    <row r="1619" spans="1:7">
      <c r="A1619" s="3"/>
      <c r="B1619" s="3"/>
      <c r="C1619" s="3"/>
      <c r="D1619" s="3"/>
      <c r="E1619" s="3">
        <v>16</v>
      </c>
      <c r="F1619" s="4" t="str">
        <f>HYPERLINK("http://141.218.60.56/~jnz1568/getInfo.php?workbook=13_02.xlsx&amp;sheet=U0&amp;row=1619&amp;col=6&amp;number=4.5&amp;sourceID=14","4.5")</f>
        <v>4.5</v>
      </c>
      <c r="G1619" s="4" t="str">
        <f>HYPERLINK("http://141.218.60.56/~jnz1568/getInfo.php?workbook=13_02.xlsx&amp;sheet=U0&amp;row=1619&amp;col=7&amp;number=0.0045&amp;sourceID=14","0.0045")</f>
        <v>0.0045</v>
      </c>
    </row>
    <row r="1620" spans="1:7">
      <c r="A1620" s="3"/>
      <c r="B1620" s="3"/>
      <c r="C1620" s="3"/>
      <c r="D1620" s="3"/>
      <c r="E1620" s="3">
        <v>17</v>
      </c>
      <c r="F1620" s="4" t="str">
        <f>HYPERLINK("http://141.218.60.56/~jnz1568/getInfo.php?workbook=13_02.xlsx&amp;sheet=U0&amp;row=1620&amp;col=6&amp;number=4.6&amp;sourceID=14","4.6")</f>
        <v>4.6</v>
      </c>
      <c r="G1620" s="4" t="str">
        <f>HYPERLINK("http://141.218.60.56/~jnz1568/getInfo.php?workbook=13_02.xlsx&amp;sheet=U0&amp;row=1620&amp;col=7&amp;number=0.0045&amp;sourceID=14","0.0045")</f>
        <v>0.0045</v>
      </c>
    </row>
    <row r="1621" spans="1:7">
      <c r="A1621" s="3"/>
      <c r="B1621" s="3"/>
      <c r="C1621" s="3"/>
      <c r="D1621" s="3"/>
      <c r="E1621" s="3">
        <v>18</v>
      </c>
      <c r="F1621" s="4" t="str">
        <f>HYPERLINK("http://141.218.60.56/~jnz1568/getInfo.php?workbook=13_02.xlsx&amp;sheet=U0&amp;row=1621&amp;col=6&amp;number=4.7&amp;sourceID=14","4.7")</f>
        <v>4.7</v>
      </c>
      <c r="G1621" s="4" t="str">
        <f>HYPERLINK("http://141.218.60.56/~jnz1568/getInfo.php?workbook=13_02.xlsx&amp;sheet=U0&amp;row=1621&amp;col=7&amp;number=0.0045&amp;sourceID=14","0.0045")</f>
        <v>0.0045</v>
      </c>
    </row>
    <row r="1622" spans="1:7">
      <c r="A1622" s="3"/>
      <c r="B1622" s="3"/>
      <c r="C1622" s="3"/>
      <c r="D1622" s="3"/>
      <c r="E1622" s="3">
        <v>19</v>
      </c>
      <c r="F1622" s="4" t="str">
        <f>HYPERLINK("http://141.218.60.56/~jnz1568/getInfo.php?workbook=13_02.xlsx&amp;sheet=U0&amp;row=1622&amp;col=6&amp;number=4.8&amp;sourceID=14","4.8")</f>
        <v>4.8</v>
      </c>
      <c r="G1622" s="4" t="str">
        <f>HYPERLINK("http://141.218.60.56/~jnz1568/getInfo.php?workbook=13_02.xlsx&amp;sheet=U0&amp;row=1622&amp;col=7&amp;number=0.0045&amp;sourceID=14","0.0045")</f>
        <v>0.0045</v>
      </c>
    </row>
    <row r="1623" spans="1:7">
      <c r="A1623" s="3"/>
      <c r="B1623" s="3"/>
      <c r="C1623" s="3"/>
      <c r="D1623" s="3"/>
      <c r="E1623" s="3">
        <v>20</v>
      </c>
      <c r="F1623" s="4" t="str">
        <f>HYPERLINK("http://141.218.60.56/~jnz1568/getInfo.php?workbook=13_02.xlsx&amp;sheet=U0&amp;row=1623&amp;col=6&amp;number=4.9&amp;sourceID=14","4.9")</f>
        <v>4.9</v>
      </c>
      <c r="G1623" s="4" t="str">
        <f>HYPERLINK("http://141.218.60.56/~jnz1568/getInfo.php?workbook=13_02.xlsx&amp;sheet=U0&amp;row=1623&amp;col=7&amp;number=0.0045&amp;sourceID=14","0.0045")</f>
        <v>0.0045</v>
      </c>
    </row>
    <row r="1624" spans="1:7">
      <c r="A1624" s="3">
        <v>13</v>
      </c>
      <c r="B1624" s="3">
        <v>2</v>
      </c>
      <c r="C1624" s="3" t="s">
        <v>87</v>
      </c>
      <c r="D1624" s="3">
        <v>1</v>
      </c>
      <c r="E1624" s="3">
        <v>1</v>
      </c>
      <c r="F1624" s="4" t="str">
        <f>HYPERLINK("http://141.218.60.56/~jnz1568/getInfo.php?workbook=13_02.xlsx&amp;sheet=U0&amp;row=1624&amp;col=6&amp;number=3&amp;sourceID=14","3")</f>
        <v>3</v>
      </c>
      <c r="G1624" s="4" t="str">
        <f>HYPERLINK("http://141.218.60.56/~jnz1568/getInfo.php?workbook=13_02.xlsx&amp;sheet=U0&amp;row=1624&amp;col=7&amp;number=0.00211&amp;sourceID=14","0.00211")</f>
        <v>0.00211</v>
      </c>
    </row>
    <row r="1625" spans="1:7">
      <c r="A1625" s="3"/>
      <c r="B1625" s="3"/>
      <c r="C1625" s="3"/>
      <c r="D1625" s="3"/>
      <c r="E1625" s="3">
        <v>2</v>
      </c>
      <c r="F1625" s="4" t="str">
        <f>HYPERLINK("http://141.218.60.56/~jnz1568/getInfo.php?workbook=13_02.xlsx&amp;sheet=U0&amp;row=1625&amp;col=6&amp;number=3.1&amp;sourceID=14","3.1")</f>
        <v>3.1</v>
      </c>
      <c r="G1625" s="4" t="str">
        <f>HYPERLINK("http://141.218.60.56/~jnz1568/getInfo.php?workbook=13_02.xlsx&amp;sheet=U0&amp;row=1625&amp;col=7&amp;number=0.00211&amp;sourceID=14","0.00211")</f>
        <v>0.00211</v>
      </c>
    </row>
    <row r="1626" spans="1:7">
      <c r="A1626" s="3"/>
      <c r="B1626" s="3"/>
      <c r="C1626" s="3"/>
      <c r="D1626" s="3"/>
      <c r="E1626" s="3">
        <v>3</v>
      </c>
      <c r="F1626" s="4" t="str">
        <f>HYPERLINK("http://141.218.60.56/~jnz1568/getInfo.php?workbook=13_02.xlsx&amp;sheet=U0&amp;row=1626&amp;col=6&amp;number=3.2&amp;sourceID=14","3.2")</f>
        <v>3.2</v>
      </c>
      <c r="G1626" s="4" t="str">
        <f>HYPERLINK("http://141.218.60.56/~jnz1568/getInfo.php?workbook=13_02.xlsx&amp;sheet=U0&amp;row=1626&amp;col=7&amp;number=0.00211&amp;sourceID=14","0.00211")</f>
        <v>0.00211</v>
      </c>
    </row>
    <row r="1627" spans="1:7">
      <c r="A1627" s="3"/>
      <c r="B1627" s="3"/>
      <c r="C1627" s="3"/>
      <c r="D1627" s="3"/>
      <c r="E1627" s="3">
        <v>4</v>
      </c>
      <c r="F1627" s="4" t="str">
        <f>HYPERLINK("http://141.218.60.56/~jnz1568/getInfo.php?workbook=13_02.xlsx&amp;sheet=U0&amp;row=1627&amp;col=6&amp;number=3.3&amp;sourceID=14","3.3")</f>
        <v>3.3</v>
      </c>
      <c r="G1627" s="4" t="str">
        <f>HYPERLINK("http://141.218.60.56/~jnz1568/getInfo.php?workbook=13_02.xlsx&amp;sheet=U0&amp;row=1627&amp;col=7&amp;number=0.00211&amp;sourceID=14","0.00211")</f>
        <v>0.00211</v>
      </c>
    </row>
    <row r="1628" spans="1:7">
      <c r="A1628" s="3"/>
      <c r="B1628" s="3"/>
      <c r="C1628" s="3"/>
      <c r="D1628" s="3"/>
      <c r="E1628" s="3">
        <v>5</v>
      </c>
      <c r="F1628" s="4" t="str">
        <f>HYPERLINK("http://141.218.60.56/~jnz1568/getInfo.php?workbook=13_02.xlsx&amp;sheet=U0&amp;row=1628&amp;col=6&amp;number=3.4&amp;sourceID=14","3.4")</f>
        <v>3.4</v>
      </c>
      <c r="G1628" s="4" t="str">
        <f>HYPERLINK("http://141.218.60.56/~jnz1568/getInfo.php?workbook=13_02.xlsx&amp;sheet=U0&amp;row=1628&amp;col=7&amp;number=0.00211&amp;sourceID=14","0.00211")</f>
        <v>0.00211</v>
      </c>
    </row>
    <row r="1629" spans="1:7">
      <c r="A1629" s="3"/>
      <c r="B1629" s="3"/>
      <c r="C1629" s="3"/>
      <c r="D1629" s="3"/>
      <c r="E1629" s="3">
        <v>6</v>
      </c>
      <c r="F1629" s="4" t="str">
        <f>HYPERLINK("http://141.218.60.56/~jnz1568/getInfo.php?workbook=13_02.xlsx&amp;sheet=U0&amp;row=1629&amp;col=6&amp;number=3.5&amp;sourceID=14","3.5")</f>
        <v>3.5</v>
      </c>
      <c r="G1629" s="4" t="str">
        <f>HYPERLINK("http://141.218.60.56/~jnz1568/getInfo.php?workbook=13_02.xlsx&amp;sheet=U0&amp;row=1629&amp;col=7&amp;number=0.00211&amp;sourceID=14","0.00211")</f>
        <v>0.00211</v>
      </c>
    </row>
    <row r="1630" spans="1:7">
      <c r="A1630" s="3"/>
      <c r="B1630" s="3"/>
      <c r="C1630" s="3"/>
      <c r="D1630" s="3"/>
      <c r="E1630" s="3">
        <v>7</v>
      </c>
      <c r="F1630" s="4" t="str">
        <f>HYPERLINK("http://141.218.60.56/~jnz1568/getInfo.php?workbook=13_02.xlsx&amp;sheet=U0&amp;row=1630&amp;col=6&amp;number=3.6&amp;sourceID=14","3.6")</f>
        <v>3.6</v>
      </c>
      <c r="G1630" s="4" t="str">
        <f>HYPERLINK("http://141.218.60.56/~jnz1568/getInfo.php?workbook=13_02.xlsx&amp;sheet=U0&amp;row=1630&amp;col=7&amp;number=0.00211&amp;sourceID=14","0.00211")</f>
        <v>0.00211</v>
      </c>
    </row>
    <row r="1631" spans="1:7">
      <c r="A1631" s="3"/>
      <c r="B1631" s="3"/>
      <c r="C1631" s="3"/>
      <c r="D1631" s="3"/>
      <c r="E1631" s="3">
        <v>8</v>
      </c>
      <c r="F1631" s="4" t="str">
        <f>HYPERLINK("http://141.218.60.56/~jnz1568/getInfo.php?workbook=13_02.xlsx&amp;sheet=U0&amp;row=1631&amp;col=6&amp;number=3.7&amp;sourceID=14","3.7")</f>
        <v>3.7</v>
      </c>
      <c r="G1631" s="4" t="str">
        <f>HYPERLINK("http://141.218.60.56/~jnz1568/getInfo.php?workbook=13_02.xlsx&amp;sheet=U0&amp;row=1631&amp;col=7&amp;number=0.00211&amp;sourceID=14","0.00211")</f>
        <v>0.00211</v>
      </c>
    </row>
    <row r="1632" spans="1:7">
      <c r="A1632" s="3"/>
      <c r="B1632" s="3"/>
      <c r="C1632" s="3"/>
      <c r="D1632" s="3"/>
      <c r="E1632" s="3">
        <v>9</v>
      </c>
      <c r="F1632" s="4" t="str">
        <f>HYPERLINK("http://141.218.60.56/~jnz1568/getInfo.php?workbook=13_02.xlsx&amp;sheet=U0&amp;row=1632&amp;col=6&amp;number=3.8&amp;sourceID=14","3.8")</f>
        <v>3.8</v>
      </c>
      <c r="G1632" s="4" t="str">
        <f>HYPERLINK("http://141.218.60.56/~jnz1568/getInfo.php?workbook=13_02.xlsx&amp;sheet=U0&amp;row=1632&amp;col=7&amp;number=0.00211&amp;sourceID=14","0.00211")</f>
        <v>0.00211</v>
      </c>
    </row>
    <row r="1633" spans="1:7">
      <c r="A1633" s="3"/>
      <c r="B1633" s="3"/>
      <c r="C1633" s="3"/>
      <c r="D1633" s="3"/>
      <c r="E1633" s="3">
        <v>10</v>
      </c>
      <c r="F1633" s="4" t="str">
        <f>HYPERLINK("http://141.218.60.56/~jnz1568/getInfo.php?workbook=13_02.xlsx&amp;sheet=U0&amp;row=1633&amp;col=6&amp;number=3.9&amp;sourceID=14","3.9")</f>
        <v>3.9</v>
      </c>
      <c r="G1633" s="4" t="str">
        <f>HYPERLINK("http://141.218.60.56/~jnz1568/getInfo.php?workbook=13_02.xlsx&amp;sheet=U0&amp;row=1633&amp;col=7&amp;number=0.00211&amp;sourceID=14","0.00211")</f>
        <v>0.00211</v>
      </c>
    </row>
    <row r="1634" spans="1:7">
      <c r="A1634" s="3"/>
      <c r="B1634" s="3"/>
      <c r="C1634" s="3"/>
      <c r="D1634" s="3"/>
      <c r="E1634" s="3">
        <v>11</v>
      </c>
      <c r="F1634" s="4" t="str">
        <f>HYPERLINK("http://141.218.60.56/~jnz1568/getInfo.php?workbook=13_02.xlsx&amp;sheet=U0&amp;row=1634&amp;col=6&amp;number=4&amp;sourceID=14","4")</f>
        <v>4</v>
      </c>
      <c r="G1634" s="4" t="str">
        <f>HYPERLINK("http://141.218.60.56/~jnz1568/getInfo.php?workbook=13_02.xlsx&amp;sheet=U0&amp;row=1634&amp;col=7&amp;number=0.00211&amp;sourceID=14","0.00211")</f>
        <v>0.00211</v>
      </c>
    </row>
    <row r="1635" spans="1:7">
      <c r="A1635" s="3"/>
      <c r="B1635" s="3"/>
      <c r="C1635" s="3"/>
      <c r="D1635" s="3"/>
      <c r="E1635" s="3">
        <v>12</v>
      </c>
      <c r="F1635" s="4" t="str">
        <f>HYPERLINK("http://141.218.60.56/~jnz1568/getInfo.php?workbook=13_02.xlsx&amp;sheet=U0&amp;row=1635&amp;col=6&amp;number=4.1&amp;sourceID=14","4.1")</f>
        <v>4.1</v>
      </c>
      <c r="G1635" s="4" t="str">
        <f>HYPERLINK("http://141.218.60.56/~jnz1568/getInfo.php?workbook=13_02.xlsx&amp;sheet=U0&amp;row=1635&amp;col=7&amp;number=0.00211&amp;sourceID=14","0.00211")</f>
        <v>0.00211</v>
      </c>
    </row>
    <row r="1636" spans="1:7">
      <c r="A1636" s="3"/>
      <c r="B1636" s="3"/>
      <c r="C1636" s="3"/>
      <c r="D1636" s="3"/>
      <c r="E1636" s="3">
        <v>13</v>
      </c>
      <c r="F1636" s="4" t="str">
        <f>HYPERLINK("http://141.218.60.56/~jnz1568/getInfo.php?workbook=13_02.xlsx&amp;sheet=U0&amp;row=1636&amp;col=6&amp;number=4.2&amp;sourceID=14","4.2")</f>
        <v>4.2</v>
      </c>
      <c r="G1636" s="4" t="str">
        <f>HYPERLINK("http://141.218.60.56/~jnz1568/getInfo.php?workbook=13_02.xlsx&amp;sheet=U0&amp;row=1636&amp;col=7&amp;number=0.00211&amp;sourceID=14","0.00211")</f>
        <v>0.00211</v>
      </c>
    </row>
    <row r="1637" spans="1:7">
      <c r="A1637" s="3"/>
      <c r="B1637" s="3"/>
      <c r="C1637" s="3"/>
      <c r="D1637" s="3"/>
      <c r="E1637" s="3">
        <v>14</v>
      </c>
      <c r="F1637" s="4" t="str">
        <f>HYPERLINK("http://141.218.60.56/~jnz1568/getInfo.php?workbook=13_02.xlsx&amp;sheet=U0&amp;row=1637&amp;col=6&amp;number=4.3&amp;sourceID=14","4.3")</f>
        <v>4.3</v>
      </c>
      <c r="G1637" s="4" t="str">
        <f>HYPERLINK("http://141.218.60.56/~jnz1568/getInfo.php?workbook=13_02.xlsx&amp;sheet=U0&amp;row=1637&amp;col=7&amp;number=0.0021&amp;sourceID=14","0.0021")</f>
        <v>0.0021</v>
      </c>
    </row>
    <row r="1638" spans="1:7">
      <c r="A1638" s="3"/>
      <c r="B1638" s="3"/>
      <c r="C1638" s="3"/>
      <c r="D1638" s="3"/>
      <c r="E1638" s="3">
        <v>15</v>
      </c>
      <c r="F1638" s="4" t="str">
        <f>HYPERLINK("http://141.218.60.56/~jnz1568/getInfo.php?workbook=13_02.xlsx&amp;sheet=U0&amp;row=1638&amp;col=6&amp;number=4.4&amp;sourceID=14","4.4")</f>
        <v>4.4</v>
      </c>
      <c r="G1638" s="4" t="str">
        <f>HYPERLINK("http://141.218.60.56/~jnz1568/getInfo.php?workbook=13_02.xlsx&amp;sheet=U0&amp;row=1638&amp;col=7&amp;number=0.0021&amp;sourceID=14","0.0021")</f>
        <v>0.0021</v>
      </c>
    </row>
    <row r="1639" spans="1:7">
      <c r="A1639" s="3"/>
      <c r="B1639" s="3"/>
      <c r="C1639" s="3"/>
      <c r="D1639" s="3"/>
      <c r="E1639" s="3">
        <v>16</v>
      </c>
      <c r="F1639" s="4" t="str">
        <f>HYPERLINK("http://141.218.60.56/~jnz1568/getInfo.php?workbook=13_02.xlsx&amp;sheet=U0&amp;row=1639&amp;col=6&amp;number=4.5&amp;sourceID=14","4.5")</f>
        <v>4.5</v>
      </c>
      <c r="G1639" s="4" t="str">
        <f>HYPERLINK("http://141.218.60.56/~jnz1568/getInfo.php?workbook=13_02.xlsx&amp;sheet=U0&amp;row=1639&amp;col=7&amp;number=0.0021&amp;sourceID=14","0.0021")</f>
        <v>0.0021</v>
      </c>
    </row>
    <row r="1640" spans="1:7">
      <c r="A1640" s="3"/>
      <c r="B1640" s="3"/>
      <c r="C1640" s="3"/>
      <c r="D1640" s="3"/>
      <c r="E1640" s="3">
        <v>17</v>
      </c>
      <c r="F1640" s="4" t="str">
        <f>HYPERLINK("http://141.218.60.56/~jnz1568/getInfo.php?workbook=13_02.xlsx&amp;sheet=U0&amp;row=1640&amp;col=6&amp;number=4.6&amp;sourceID=14","4.6")</f>
        <v>4.6</v>
      </c>
      <c r="G1640" s="4" t="str">
        <f>HYPERLINK("http://141.218.60.56/~jnz1568/getInfo.php?workbook=13_02.xlsx&amp;sheet=U0&amp;row=1640&amp;col=7&amp;number=0.0021&amp;sourceID=14","0.0021")</f>
        <v>0.0021</v>
      </c>
    </row>
    <row r="1641" spans="1:7">
      <c r="A1641" s="3"/>
      <c r="B1641" s="3"/>
      <c r="C1641" s="3"/>
      <c r="D1641" s="3"/>
      <c r="E1641" s="3">
        <v>18</v>
      </c>
      <c r="F1641" s="4" t="str">
        <f>HYPERLINK("http://141.218.60.56/~jnz1568/getInfo.php?workbook=13_02.xlsx&amp;sheet=U0&amp;row=1641&amp;col=6&amp;number=4.7&amp;sourceID=14","4.7")</f>
        <v>4.7</v>
      </c>
      <c r="G1641" s="4" t="str">
        <f>HYPERLINK("http://141.218.60.56/~jnz1568/getInfo.php?workbook=13_02.xlsx&amp;sheet=U0&amp;row=1641&amp;col=7&amp;number=0.00209&amp;sourceID=14","0.00209")</f>
        <v>0.00209</v>
      </c>
    </row>
    <row r="1642" spans="1:7">
      <c r="A1642" s="3"/>
      <c r="B1642" s="3"/>
      <c r="C1642" s="3"/>
      <c r="D1642" s="3"/>
      <c r="E1642" s="3">
        <v>19</v>
      </c>
      <c r="F1642" s="4" t="str">
        <f>HYPERLINK("http://141.218.60.56/~jnz1568/getInfo.php?workbook=13_02.xlsx&amp;sheet=U0&amp;row=1642&amp;col=6&amp;number=4.8&amp;sourceID=14","4.8")</f>
        <v>4.8</v>
      </c>
      <c r="G1642" s="4" t="str">
        <f>HYPERLINK("http://141.218.60.56/~jnz1568/getInfo.php?workbook=13_02.xlsx&amp;sheet=U0&amp;row=1642&amp;col=7&amp;number=0.00209&amp;sourceID=14","0.00209")</f>
        <v>0.00209</v>
      </c>
    </row>
    <row r="1643" spans="1:7">
      <c r="A1643" s="3"/>
      <c r="B1643" s="3"/>
      <c r="C1643" s="3"/>
      <c r="D1643" s="3"/>
      <c r="E1643" s="3">
        <v>20</v>
      </c>
      <c r="F1643" s="4" t="str">
        <f>HYPERLINK("http://141.218.60.56/~jnz1568/getInfo.php?workbook=13_02.xlsx&amp;sheet=U0&amp;row=1643&amp;col=6&amp;number=4.9&amp;sourceID=14","4.9")</f>
        <v>4.9</v>
      </c>
      <c r="G1643" s="4" t="str">
        <f>HYPERLINK("http://141.218.60.56/~jnz1568/getInfo.php?workbook=13_02.xlsx&amp;sheet=U0&amp;row=1643&amp;col=7&amp;number=0.00208&amp;sourceID=14","0.00208")</f>
        <v>0.00208</v>
      </c>
    </row>
    <row r="1644" spans="1:7">
      <c r="A1644" s="3">
        <v>13</v>
      </c>
      <c r="B1644" s="3">
        <v>2</v>
      </c>
      <c r="C1644" s="3" t="s">
        <v>87</v>
      </c>
      <c r="D1644" s="3">
        <v>2</v>
      </c>
      <c r="E1644" s="3">
        <v>1</v>
      </c>
      <c r="F1644" s="4" t="str">
        <f>HYPERLINK("http://141.218.60.56/~jnz1568/getInfo.php?workbook=13_02.xlsx&amp;sheet=U0&amp;row=1644&amp;col=6&amp;number=3&amp;sourceID=14","3")</f>
        <v>3</v>
      </c>
      <c r="G1644" s="4" t="str">
        <f>HYPERLINK("http://141.218.60.56/~jnz1568/getInfo.php?workbook=13_02.xlsx&amp;sheet=U0&amp;row=1644&amp;col=7&amp;number=0.00166&amp;sourceID=14","0.00166")</f>
        <v>0.00166</v>
      </c>
    </row>
    <row r="1645" spans="1:7">
      <c r="A1645" s="3"/>
      <c r="B1645" s="3"/>
      <c r="C1645" s="3"/>
      <c r="D1645" s="3"/>
      <c r="E1645" s="3">
        <v>2</v>
      </c>
      <c r="F1645" s="4" t="str">
        <f>HYPERLINK("http://141.218.60.56/~jnz1568/getInfo.php?workbook=13_02.xlsx&amp;sheet=U0&amp;row=1645&amp;col=6&amp;number=3.1&amp;sourceID=14","3.1")</f>
        <v>3.1</v>
      </c>
      <c r="G1645" s="4" t="str">
        <f>HYPERLINK("http://141.218.60.56/~jnz1568/getInfo.php?workbook=13_02.xlsx&amp;sheet=U0&amp;row=1645&amp;col=7&amp;number=0.00166&amp;sourceID=14","0.00166")</f>
        <v>0.00166</v>
      </c>
    </row>
    <row r="1646" spans="1:7">
      <c r="A1646" s="3"/>
      <c r="B1646" s="3"/>
      <c r="C1646" s="3"/>
      <c r="D1646" s="3"/>
      <c r="E1646" s="3">
        <v>3</v>
      </c>
      <c r="F1646" s="4" t="str">
        <f>HYPERLINK("http://141.218.60.56/~jnz1568/getInfo.php?workbook=13_02.xlsx&amp;sheet=U0&amp;row=1646&amp;col=6&amp;number=3.2&amp;sourceID=14","3.2")</f>
        <v>3.2</v>
      </c>
      <c r="G1646" s="4" t="str">
        <f>HYPERLINK("http://141.218.60.56/~jnz1568/getInfo.php?workbook=13_02.xlsx&amp;sheet=U0&amp;row=1646&amp;col=7&amp;number=0.00166&amp;sourceID=14","0.00166")</f>
        <v>0.00166</v>
      </c>
    </row>
    <row r="1647" spans="1:7">
      <c r="A1647" s="3"/>
      <c r="B1647" s="3"/>
      <c r="C1647" s="3"/>
      <c r="D1647" s="3"/>
      <c r="E1647" s="3">
        <v>4</v>
      </c>
      <c r="F1647" s="4" t="str">
        <f>HYPERLINK("http://141.218.60.56/~jnz1568/getInfo.php?workbook=13_02.xlsx&amp;sheet=U0&amp;row=1647&amp;col=6&amp;number=3.3&amp;sourceID=14","3.3")</f>
        <v>3.3</v>
      </c>
      <c r="G1647" s="4" t="str">
        <f>HYPERLINK("http://141.218.60.56/~jnz1568/getInfo.php?workbook=13_02.xlsx&amp;sheet=U0&amp;row=1647&amp;col=7&amp;number=0.00166&amp;sourceID=14","0.00166")</f>
        <v>0.00166</v>
      </c>
    </row>
    <row r="1648" spans="1:7">
      <c r="A1648" s="3"/>
      <c r="B1648" s="3"/>
      <c r="C1648" s="3"/>
      <c r="D1648" s="3"/>
      <c r="E1648" s="3">
        <v>5</v>
      </c>
      <c r="F1648" s="4" t="str">
        <f>HYPERLINK("http://141.218.60.56/~jnz1568/getInfo.php?workbook=13_02.xlsx&amp;sheet=U0&amp;row=1648&amp;col=6&amp;number=3.4&amp;sourceID=14","3.4")</f>
        <v>3.4</v>
      </c>
      <c r="G1648" s="4" t="str">
        <f>HYPERLINK("http://141.218.60.56/~jnz1568/getInfo.php?workbook=13_02.xlsx&amp;sheet=U0&amp;row=1648&amp;col=7&amp;number=0.00166&amp;sourceID=14","0.00166")</f>
        <v>0.00166</v>
      </c>
    </row>
    <row r="1649" spans="1:7">
      <c r="A1649" s="3"/>
      <c r="B1649" s="3"/>
      <c r="C1649" s="3"/>
      <c r="D1649" s="3"/>
      <c r="E1649" s="3">
        <v>6</v>
      </c>
      <c r="F1649" s="4" t="str">
        <f>HYPERLINK("http://141.218.60.56/~jnz1568/getInfo.php?workbook=13_02.xlsx&amp;sheet=U0&amp;row=1649&amp;col=6&amp;number=3.5&amp;sourceID=14","3.5")</f>
        <v>3.5</v>
      </c>
      <c r="G1649" s="4" t="str">
        <f>HYPERLINK("http://141.218.60.56/~jnz1568/getInfo.php?workbook=13_02.xlsx&amp;sheet=U0&amp;row=1649&amp;col=7&amp;number=0.00166&amp;sourceID=14","0.00166")</f>
        <v>0.00166</v>
      </c>
    </row>
    <row r="1650" spans="1:7">
      <c r="A1650" s="3"/>
      <c r="B1650" s="3"/>
      <c r="C1650" s="3"/>
      <c r="D1650" s="3"/>
      <c r="E1650" s="3">
        <v>7</v>
      </c>
      <c r="F1650" s="4" t="str">
        <f>HYPERLINK("http://141.218.60.56/~jnz1568/getInfo.php?workbook=13_02.xlsx&amp;sheet=U0&amp;row=1650&amp;col=6&amp;number=3.6&amp;sourceID=14","3.6")</f>
        <v>3.6</v>
      </c>
      <c r="G1650" s="4" t="str">
        <f>HYPERLINK("http://141.218.60.56/~jnz1568/getInfo.php?workbook=13_02.xlsx&amp;sheet=U0&amp;row=1650&amp;col=7&amp;number=0.00166&amp;sourceID=14","0.00166")</f>
        <v>0.00166</v>
      </c>
    </row>
    <row r="1651" spans="1:7">
      <c r="A1651" s="3"/>
      <c r="B1651" s="3"/>
      <c r="C1651" s="3"/>
      <c r="D1651" s="3"/>
      <c r="E1651" s="3">
        <v>8</v>
      </c>
      <c r="F1651" s="4" t="str">
        <f>HYPERLINK("http://141.218.60.56/~jnz1568/getInfo.php?workbook=13_02.xlsx&amp;sheet=U0&amp;row=1651&amp;col=6&amp;number=3.7&amp;sourceID=14","3.7")</f>
        <v>3.7</v>
      </c>
      <c r="G1651" s="4" t="str">
        <f>HYPERLINK("http://141.218.60.56/~jnz1568/getInfo.php?workbook=13_02.xlsx&amp;sheet=U0&amp;row=1651&amp;col=7&amp;number=0.00166&amp;sourceID=14","0.00166")</f>
        <v>0.00166</v>
      </c>
    </row>
    <row r="1652" spans="1:7">
      <c r="A1652" s="3"/>
      <c r="B1652" s="3"/>
      <c r="C1652" s="3"/>
      <c r="D1652" s="3"/>
      <c r="E1652" s="3">
        <v>9</v>
      </c>
      <c r="F1652" s="4" t="str">
        <f>HYPERLINK("http://141.218.60.56/~jnz1568/getInfo.php?workbook=13_02.xlsx&amp;sheet=U0&amp;row=1652&amp;col=6&amp;number=3.8&amp;sourceID=14","3.8")</f>
        <v>3.8</v>
      </c>
      <c r="G1652" s="4" t="str">
        <f>HYPERLINK("http://141.218.60.56/~jnz1568/getInfo.php?workbook=13_02.xlsx&amp;sheet=U0&amp;row=1652&amp;col=7&amp;number=0.00166&amp;sourceID=14","0.00166")</f>
        <v>0.00166</v>
      </c>
    </row>
    <row r="1653" spans="1:7">
      <c r="A1653" s="3"/>
      <c r="B1653" s="3"/>
      <c r="C1653" s="3"/>
      <c r="D1653" s="3"/>
      <c r="E1653" s="3">
        <v>10</v>
      </c>
      <c r="F1653" s="4" t="str">
        <f>HYPERLINK("http://141.218.60.56/~jnz1568/getInfo.php?workbook=13_02.xlsx&amp;sheet=U0&amp;row=1653&amp;col=6&amp;number=3.9&amp;sourceID=14","3.9")</f>
        <v>3.9</v>
      </c>
      <c r="G1653" s="4" t="str">
        <f>HYPERLINK("http://141.218.60.56/~jnz1568/getInfo.php?workbook=13_02.xlsx&amp;sheet=U0&amp;row=1653&amp;col=7&amp;number=0.00166&amp;sourceID=14","0.00166")</f>
        <v>0.00166</v>
      </c>
    </row>
    <row r="1654" spans="1:7">
      <c r="A1654" s="3"/>
      <c r="B1654" s="3"/>
      <c r="C1654" s="3"/>
      <c r="D1654" s="3"/>
      <c r="E1654" s="3">
        <v>11</v>
      </c>
      <c r="F1654" s="4" t="str">
        <f>HYPERLINK("http://141.218.60.56/~jnz1568/getInfo.php?workbook=13_02.xlsx&amp;sheet=U0&amp;row=1654&amp;col=6&amp;number=4&amp;sourceID=14","4")</f>
        <v>4</v>
      </c>
      <c r="G1654" s="4" t="str">
        <f>HYPERLINK("http://141.218.60.56/~jnz1568/getInfo.php?workbook=13_02.xlsx&amp;sheet=U0&amp;row=1654&amp;col=7&amp;number=0.00166&amp;sourceID=14","0.00166")</f>
        <v>0.00166</v>
      </c>
    </row>
    <row r="1655" spans="1:7">
      <c r="A1655" s="3"/>
      <c r="B1655" s="3"/>
      <c r="C1655" s="3"/>
      <c r="D1655" s="3"/>
      <c r="E1655" s="3">
        <v>12</v>
      </c>
      <c r="F1655" s="4" t="str">
        <f>HYPERLINK("http://141.218.60.56/~jnz1568/getInfo.php?workbook=13_02.xlsx&amp;sheet=U0&amp;row=1655&amp;col=6&amp;number=4.1&amp;sourceID=14","4.1")</f>
        <v>4.1</v>
      </c>
      <c r="G1655" s="4" t="str">
        <f>HYPERLINK("http://141.218.60.56/~jnz1568/getInfo.php?workbook=13_02.xlsx&amp;sheet=U0&amp;row=1655&amp;col=7&amp;number=0.00166&amp;sourceID=14","0.00166")</f>
        <v>0.00166</v>
      </c>
    </row>
    <row r="1656" spans="1:7">
      <c r="A1656" s="3"/>
      <c r="B1656" s="3"/>
      <c r="C1656" s="3"/>
      <c r="D1656" s="3"/>
      <c r="E1656" s="3">
        <v>13</v>
      </c>
      <c r="F1656" s="4" t="str">
        <f>HYPERLINK("http://141.218.60.56/~jnz1568/getInfo.php?workbook=13_02.xlsx&amp;sheet=U0&amp;row=1656&amp;col=6&amp;number=4.2&amp;sourceID=14","4.2")</f>
        <v>4.2</v>
      </c>
      <c r="G1656" s="4" t="str">
        <f>HYPERLINK("http://141.218.60.56/~jnz1568/getInfo.php?workbook=13_02.xlsx&amp;sheet=U0&amp;row=1656&amp;col=7&amp;number=0.00166&amp;sourceID=14","0.00166")</f>
        <v>0.00166</v>
      </c>
    </row>
    <row r="1657" spans="1:7">
      <c r="A1657" s="3"/>
      <c r="B1657" s="3"/>
      <c r="C1657" s="3"/>
      <c r="D1657" s="3"/>
      <c r="E1657" s="3">
        <v>14</v>
      </c>
      <c r="F1657" s="4" t="str">
        <f>HYPERLINK("http://141.218.60.56/~jnz1568/getInfo.php?workbook=13_02.xlsx&amp;sheet=U0&amp;row=1657&amp;col=6&amp;number=4.3&amp;sourceID=14","4.3")</f>
        <v>4.3</v>
      </c>
      <c r="G1657" s="4" t="str">
        <f>HYPERLINK("http://141.218.60.56/~jnz1568/getInfo.php?workbook=13_02.xlsx&amp;sheet=U0&amp;row=1657&amp;col=7&amp;number=0.00166&amp;sourceID=14","0.00166")</f>
        <v>0.00166</v>
      </c>
    </row>
    <row r="1658" spans="1:7">
      <c r="A1658" s="3"/>
      <c r="B1658" s="3"/>
      <c r="C1658" s="3"/>
      <c r="D1658" s="3"/>
      <c r="E1658" s="3">
        <v>15</v>
      </c>
      <c r="F1658" s="4" t="str">
        <f>HYPERLINK("http://141.218.60.56/~jnz1568/getInfo.php?workbook=13_02.xlsx&amp;sheet=U0&amp;row=1658&amp;col=6&amp;number=4.4&amp;sourceID=14","4.4")</f>
        <v>4.4</v>
      </c>
      <c r="G1658" s="4" t="str">
        <f>HYPERLINK("http://141.218.60.56/~jnz1568/getInfo.php?workbook=13_02.xlsx&amp;sheet=U0&amp;row=1658&amp;col=7&amp;number=0.00166&amp;sourceID=14","0.00166")</f>
        <v>0.00166</v>
      </c>
    </row>
    <row r="1659" spans="1:7">
      <c r="A1659" s="3"/>
      <c r="B1659" s="3"/>
      <c r="C1659" s="3"/>
      <c r="D1659" s="3"/>
      <c r="E1659" s="3">
        <v>16</v>
      </c>
      <c r="F1659" s="4" t="str">
        <f>HYPERLINK("http://141.218.60.56/~jnz1568/getInfo.php?workbook=13_02.xlsx&amp;sheet=U0&amp;row=1659&amp;col=6&amp;number=4.5&amp;sourceID=14","4.5")</f>
        <v>4.5</v>
      </c>
      <c r="G1659" s="4" t="str">
        <f>HYPERLINK("http://141.218.60.56/~jnz1568/getInfo.php?workbook=13_02.xlsx&amp;sheet=U0&amp;row=1659&amp;col=7&amp;number=0.00166&amp;sourceID=14","0.00166")</f>
        <v>0.00166</v>
      </c>
    </row>
    <row r="1660" spans="1:7">
      <c r="A1660" s="3"/>
      <c r="B1660" s="3"/>
      <c r="C1660" s="3"/>
      <c r="D1660" s="3"/>
      <c r="E1660" s="3">
        <v>17</v>
      </c>
      <c r="F1660" s="4" t="str">
        <f>HYPERLINK("http://141.218.60.56/~jnz1568/getInfo.php?workbook=13_02.xlsx&amp;sheet=U0&amp;row=1660&amp;col=6&amp;number=4.6&amp;sourceID=14","4.6")</f>
        <v>4.6</v>
      </c>
      <c r="G1660" s="4" t="str">
        <f>HYPERLINK("http://141.218.60.56/~jnz1568/getInfo.php?workbook=13_02.xlsx&amp;sheet=U0&amp;row=1660&amp;col=7&amp;number=0.00166&amp;sourceID=14","0.00166")</f>
        <v>0.00166</v>
      </c>
    </row>
    <row r="1661" spans="1:7">
      <c r="A1661" s="3"/>
      <c r="B1661" s="3"/>
      <c r="C1661" s="3"/>
      <c r="D1661" s="3"/>
      <c r="E1661" s="3">
        <v>18</v>
      </c>
      <c r="F1661" s="4" t="str">
        <f>HYPERLINK("http://141.218.60.56/~jnz1568/getInfo.php?workbook=13_02.xlsx&amp;sheet=U0&amp;row=1661&amp;col=6&amp;number=4.7&amp;sourceID=14","4.7")</f>
        <v>4.7</v>
      </c>
      <c r="G1661" s="4" t="str">
        <f>HYPERLINK("http://141.218.60.56/~jnz1568/getInfo.php?workbook=13_02.xlsx&amp;sheet=U0&amp;row=1661&amp;col=7&amp;number=0.00166&amp;sourceID=14","0.00166")</f>
        <v>0.00166</v>
      </c>
    </row>
    <row r="1662" spans="1:7">
      <c r="A1662" s="3"/>
      <c r="B1662" s="3"/>
      <c r="C1662" s="3"/>
      <c r="D1662" s="3"/>
      <c r="E1662" s="3">
        <v>19</v>
      </c>
      <c r="F1662" s="4" t="str">
        <f>HYPERLINK("http://141.218.60.56/~jnz1568/getInfo.php?workbook=13_02.xlsx&amp;sheet=U0&amp;row=1662&amp;col=6&amp;number=4.8&amp;sourceID=14","4.8")</f>
        <v>4.8</v>
      </c>
      <c r="G1662" s="4" t="str">
        <f>HYPERLINK("http://141.218.60.56/~jnz1568/getInfo.php?workbook=13_02.xlsx&amp;sheet=U0&amp;row=1662&amp;col=7&amp;number=0.00166&amp;sourceID=14","0.00166")</f>
        <v>0.00166</v>
      </c>
    </row>
    <row r="1663" spans="1:7">
      <c r="A1663" s="3"/>
      <c r="B1663" s="3"/>
      <c r="C1663" s="3"/>
      <c r="D1663" s="3"/>
      <c r="E1663" s="3">
        <v>20</v>
      </c>
      <c r="F1663" s="4" t="str">
        <f>HYPERLINK("http://141.218.60.56/~jnz1568/getInfo.php?workbook=13_02.xlsx&amp;sheet=U0&amp;row=1663&amp;col=6&amp;number=4.9&amp;sourceID=14","4.9")</f>
        <v>4.9</v>
      </c>
      <c r="G1663" s="4" t="str">
        <f>HYPERLINK("http://141.218.60.56/~jnz1568/getInfo.php?workbook=13_02.xlsx&amp;sheet=U0&amp;row=1663&amp;col=7&amp;number=0.00166&amp;sourceID=14","0.00166")</f>
        <v>0.00166</v>
      </c>
    </row>
    <row r="1664" spans="1:7">
      <c r="A1664" s="3">
        <v>13</v>
      </c>
      <c r="B1664" s="3">
        <v>2</v>
      </c>
      <c r="C1664" s="3" t="s">
        <v>87</v>
      </c>
      <c r="D1664" s="3">
        <v>3</v>
      </c>
      <c r="E1664" s="3">
        <v>1</v>
      </c>
      <c r="F1664" s="4" t="str">
        <f>HYPERLINK("http://141.218.60.56/~jnz1568/getInfo.php?workbook=13_02.xlsx&amp;sheet=U0&amp;row=1664&amp;col=6&amp;number=3&amp;sourceID=14","3")</f>
        <v>3</v>
      </c>
      <c r="G1664" s="4" t="str">
        <f>HYPERLINK("http://141.218.60.56/~jnz1568/getInfo.php?workbook=13_02.xlsx&amp;sheet=U0&amp;row=1664&amp;col=7&amp;number=0.00207&amp;sourceID=14","0.00207")</f>
        <v>0.00207</v>
      </c>
    </row>
    <row r="1665" spans="1:7">
      <c r="A1665" s="3"/>
      <c r="B1665" s="3"/>
      <c r="C1665" s="3"/>
      <c r="D1665" s="3"/>
      <c r="E1665" s="3">
        <v>2</v>
      </c>
      <c r="F1665" s="4" t="str">
        <f>HYPERLINK("http://141.218.60.56/~jnz1568/getInfo.php?workbook=13_02.xlsx&amp;sheet=U0&amp;row=1665&amp;col=6&amp;number=3.1&amp;sourceID=14","3.1")</f>
        <v>3.1</v>
      </c>
      <c r="G1665" s="4" t="str">
        <f>HYPERLINK("http://141.218.60.56/~jnz1568/getInfo.php?workbook=13_02.xlsx&amp;sheet=U0&amp;row=1665&amp;col=7&amp;number=0.00207&amp;sourceID=14","0.00207")</f>
        <v>0.00207</v>
      </c>
    </row>
    <row r="1666" spans="1:7">
      <c r="A1666" s="3"/>
      <c r="B1666" s="3"/>
      <c r="C1666" s="3"/>
      <c r="D1666" s="3"/>
      <c r="E1666" s="3">
        <v>3</v>
      </c>
      <c r="F1666" s="4" t="str">
        <f>HYPERLINK("http://141.218.60.56/~jnz1568/getInfo.php?workbook=13_02.xlsx&amp;sheet=U0&amp;row=1666&amp;col=6&amp;number=3.2&amp;sourceID=14","3.2")</f>
        <v>3.2</v>
      </c>
      <c r="G1666" s="4" t="str">
        <f>HYPERLINK("http://141.218.60.56/~jnz1568/getInfo.php?workbook=13_02.xlsx&amp;sheet=U0&amp;row=1666&amp;col=7&amp;number=0.00207&amp;sourceID=14","0.00207")</f>
        <v>0.00207</v>
      </c>
    </row>
    <row r="1667" spans="1:7">
      <c r="A1667" s="3"/>
      <c r="B1667" s="3"/>
      <c r="C1667" s="3"/>
      <c r="D1667" s="3"/>
      <c r="E1667" s="3">
        <v>4</v>
      </c>
      <c r="F1667" s="4" t="str">
        <f>HYPERLINK("http://141.218.60.56/~jnz1568/getInfo.php?workbook=13_02.xlsx&amp;sheet=U0&amp;row=1667&amp;col=6&amp;number=3.3&amp;sourceID=14","3.3")</f>
        <v>3.3</v>
      </c>
      <c r="G1667" s="4" t="str">
        <f>HYPERLINK("http://141.218.60.56/~jnz1568/getInfo.php?workbook=13_02.xlsx&amp;sheet=U0&amp;row=1667&amp;col=7&amp;number=0.00207&amp;sourceID=14","0.00207")</f>
        <v>0.00207</v>
      </c>
    </row>
    <row r="1668" spans="1:7">
      <c r="A1668" s="3"/>
      <c r="B1668" s="3"/>
      <c r="C1668" s="3"/>
      <c r="D1668" s="3"/>
      <c r="E1668" s="3">
        <v>5</v>
      </c>
      <c r="F1668" s="4" t="str">
        <f>HYPERLINK("http://141.218.60.56/~jnz1568/getInfo.php?workbook=13_02.xlsx&amp;sheet=U0&amp;row=1668&amp;col=6&amp;number=3.4&amp;sourceID=14","3.4")</f>
        <v>3.4</v>
      </c>
      <c r="G1668" s="4" t="str">
        <f>HYPERLINK("http://141.218.60.56/~jnz1568/getInfo.php?workbook=13_02.xlsx&amp;sheet=U0&amp;row=1668&amp;col=7&amp;number=0.00207&amp;sourceID=14","0.00207")</f>
        <v>0.00207</v>
      </c>
    </row>
    <row r="1669" spans="1:7">
      <c r="A1669" s="3"/>
      <c r="B1669" s="3"/>
      <c r="C1669" s="3"/>
      <c r="D1669" s="3"/>
      <c r="E1669" s="3">
        <v>6</v>
      </c>
      <c r="F1669" s="4" t="str">
        <f>HYPERLINK("http://141.218.60.56/~jnz1568/getInfo.php?workbook=13_02.xlsx&amp;sheet=U0&amp;row=1669&amp;col=6&amp;number=3.5&amp;sourceID=14","3.5")</f>
        <v>3.5</v>
      </c>
      <c r="G1669" s="4" t="str">
        <f>HYPERLINK("http://141.218.60.56/~jnz1568/getInfo.php?workbook=13_02.xlsx&amp;sheet=U0&amp;row=1669&amp;col=7&amp;number=0.00207&amp;sourceID=14","0.00207")</f>
        <v>0.00207</v>
      </c>
    </row>
    <row r="1670" spans="1:7">
      <c r="A1670" s="3"/>
      <c r="B1670" s="3"/>
      <c r="C1670" s="3"/>
      <c r="D1670" s="3"/>
      <c r="E1670" s="3">
        <v>7</v>
      </c>
      <c r="F1670" s="4" t="str">
        <f>HYPERLINK("http://141.218.60.56/~jnz1568/getInfo.php?workbook=13_02.xlsx&amp;sheet=U0&amp;row=1670&amp;col=6&amp;number=3.6&amp;sourceID=14","3.6")</f>
        <v>3.6</v>
      </c>
      <c r="G1670" s="4" t="str">
        <f>HYPERLINK("http://141.218.60.56/~jnz1568/getInfo.php?workbook=13_02.xlsx&amp;sheet=U0&amp;row=1670&amp;col=7&amp;number=0.00207&amp;sourceID=14","0.00207")</f>
        <v>0.00207</v>
      </c>
    </row>
    <row r="1671" spans="1:7">
      <c r="A1671" s="3"/>
      <c r="B1671" s="3"/>
      <c r="C1671" s="3"/>
      <c r="D1671" s="3"/>
      <c r="E1671" s="3">
        <v>8</v>
      </c>
      <c r="F1671" s="4" t="str">
        <f>HYPERLINK("http://141.218.60.56/~jnz1568/getInfo.php?workbook=13_02.xlsx&amp;sheet=U0&amp;row=1671&amp;col=6&amp;number=3.7&amp;sourceID=14","3.7")</f>
        <v>3.7</v>
      </c>
      <c r="G1671" s="4" t="str">
        <f>HYPERLINK("http://141.218.60.56/~jnz1568/getInfo.php?workbook=13_02.xlsx&amp;sheet=U0&amp;row=1671&amp;col=7&amp;number=0.00207&amp;sourceID=14","0.00207")</f>
        <v>0.00207</v>
      </c>
    </row>
    <row r="1672" spans="1:7">
      <c r="A1672" s="3"/>
      <c r="B1672" s="3"/>
      <c r="C1672" s="3"/>
      <c r="D1672" s="3"/>
      <c r="E1672" s="3">
        <v>9</v>
      </c>
      <c r="F1672" s="4" t="str">
        <f>HYPERLINK("http://141.218.60.56/~jnz1568/getInfo.php?workbook=13_02.xlsx&amp;sheet=U0&amp;row=1672&amp;col=6&amp;number=3.8&amp;sourceID=14","3.8")</f>
        <v>3.8</v>
      </c>
      <c r="G1672" s="4" t="str">
        <f>HYPERLINK("http://141.218.60.56/~jnz1568/getInfo.php?workbook=13_02.xlsx&amp;sheet=U0&amp;row=1672&amp;col=7&amp;number=0.00207&amp;sourceID=14","0.00207")</f>
        <v>0.00207</v>
      </c>
    </row>
    <row r="1673" spans="1:7">
      <c r="A1673" s="3"/>
      <c r="B1673" s="3"/>
      <c r="C1673" s="3"/>
      <c r="D1673" s="3"/>
      <c r="E1673" s="3">
        <v>10</v>
      </c>
      <c r="F1673" s="4" t="str">
        <f>HYPERLINK("http://141.218.60.56/~jnz1568/getInfo.php?workbook=13_02.xlsx&amp;sheet=U0&amp;row=1673&amp;col=6&amp;number=3.9&amp;sourceID=14","3.9")</f>
        <v>3.9</v>
      </c>
      <c r="G1673" s="4" t="str">
        <f>HYPERLINK("http://141.218.60.56/~jnz1568/getInfo.php?workbook=13_02.xlsx&amp;sheet=U0&amp;row=1673&amp;col=7&amp;number=0.00207&amp;sourceID=14","0.00207")</f>
        <v>0.00207</v>
      </c>
    </row>
    <row r="1674" spans="1:7">
      <c r="A1674" s="3"/>
      <c r="B1674" s="3"/>
      <c r="C1674" s="3"/>
      <c r="D1674" s="3"/>
      <c r="E1674" s="3">
        <v>11</v>
      </c>
      <c r="F1674" s="4" t="str">
        <f>HYPERLINK("http://141.218.60.56/~jnz1568/getInfo.php?workbook=13_02.xlsx&amp;sheet=U0&amp;row=1674&amp;col=6&amp;number=4&amp;sourceID=14","4")</f>
        <v>4</v>
      </c>
      <c r="G1674" s="4" t="str">
        <f>HYPERLINK("http://141.218.60.56/~jnz1568/getInfo.php?workbook=13_02.xlsx&amp;sheet=U0&amp;row=1674&amp;col=7&amp;number=0.00207&amp;sourceID=14","0.00207")</f>
        <v>0.00207</v>
      </c>
    </row>
    <row r="1675" spans="1:7">
      <c r="A1675" s="3"/>
      <c r="B1675" s="3"/>
      <c r="C1675" s="3"/>
      <c r="D1675" s="3"/>
      <c r="E1675" s="3">
        <v>12</v>
      </c>
      <c r="F1675" s="4" t="str">
        <f>HYPERLINK("http://141.218.60.56/~jnz1568/getInfo.php?workbook=13_02.xlsx&amp;sheet=U0&amp;row=1675&amp;col=6&amp;number=4.1&amp;sourceID=14","4.1")</f>
        <v>4.1</v>
      </c>
      <c r="G1675" s="4" t="str">
        <f>HYPERLINK("http://141.218.60.56/~jnz1568/getInfo.php?workbook=13_02.xlsx&amp;sheet=U0&amp;row=1675&amp;col=7&amp;number=0.00207&amp;sourceID=14","0.00207")</f>
        <v>0.00207</v>
      </c>
    </row>
    <row r="1676" spans="1:7">
      <c r="A1676" s="3"/>
      <c r="B1676" s="3"/>
      <c r="C1676" s="3"/>
      <c r="D1676" s="3"/>
      <c r="E1676" s="3">
        <v>13</v>
      </c>
      <c r="F1676" s="4" t="str">
        <f>HYPERLINK("http://141.218.60.56/~jnz1568/getInfo.php?workbook=13_02.xlsx&amp;sheet=U0&amp;row=1676&amp;col=6&amp;number=4.2&amp;sourceID=14","4.2")</f>
        <v>4.2</v>
      </c>
      <c r="G1676" s="4" t="str">
        <f>HYPERLINK("http://141.218.60.56/~jnz1568/getInfo.php?workbook=13_02.xlsx&amp;sheet=U0&amp;row=1676&amp;col=7&amp;number=0.00206&amp;sourceID=14","0.00206")</f>
        <v>0.00206</v>
      </c>
    </row>
    <row r="1677" spans="1:7">
      <c r="A1677" s="3"/>
      <c r="B1677" s="3"/>
      <c r="C1677" s="3"/>
      <c r="D1677" s="3"/>
      <c r="E1677" s="3">
        <v>14</v>
      </c>
      <c r="F1677" s="4" t="str">
        <f>HYPERLINK("http://141.218.60.56/~jnz1568/getInfo.php?workbook=13_02.xlsx&amp;sheet=U0&amp;row=1677&amp;col=6&amp;number=4.3&amp;sourceID=14","4.3")</f>
        <v>4.3</v>
      </c>
      <c r="G1677" s="4" t="str">
        <f>HYPERLINK("http://141.218.60.56/~jnz1568/getInfo.php?workbook=13_02.xlsx&amp;sheet=U0&amp;row=1677&amp;col=7&amp;number=0.00206&amp;sourceID=14","0.00206")</f>
        <v>0.00206</v>
      </c>
    </row>
    <row r="1678" spans="1:7">
      <c r="A1678" s="3"/>
      <c r="B1678" s="3"/>
      <c r="C1678" s="3"/>
      <c r="D1678" s="3"/>
      <c r="E1678" s="3">
        <v>15</v>
      </c>
      <c r="F1678" s="4" t="str">
        <f>HYPERLINK("http://141.218.60.56/~jnz1568/getInfo.php?workbook=13_02.xlsx&amp;sheet=U0&amp;row=1678&amp;col=6&amp;number=4.4&amp;sourceID=14","4.4")</f>
        <v>4.4</v>
      </c>
      <c r="G1678" s="4" t="str">
        <f>HYPERLINK("http://141.218.60.56/~jnz1568/getInfo.php?workbook=13_02.xlsx&amp;sheet=U0&amp;row=1678&amp;col=7&amp;number=0.00206&amp;sourceID=14","0.00206")</f>
        <v>0.00206</v>
      </c>
    </row>
    <row r="1679" spans="1:7">
      <c r="A1679" s="3"/>
      <c r="B1679" s="3"/>
      <c r="C1679" s="3"/>
      <c r="D1679" s="3"/>
      <c r="E1679" s="3">
        <v>16</v>
      </c>
      <c r="F1679" s="4" t="str">
        <f>HYPERLINK("http://141.218.60.56/~jnz1568/getInfo.php?workbook=13_02.xlsx&amp;sheet=U0&amp;row=1679&amp;col=6&amp;number=4.5&amp;sourceID=14","4.5")</f>
        <v>4.5</v>
      </c>
      <c r="G1679" s="4" t="str">
        <f>HYPERLINK("http://141.218.60.56/~jnz1568/getInfo.php?workbook=13_02.xlsx&amp;sheet=U0&amp;row=1679&amp;col=7&amp;number=0.00206&amp;sourceID=14","0.00206")</f>
        <v>0.00206</v>
      </c>
    </row>
    <row r="1680" spans="1:7">
      <c r="A1680" s="3"/>
      <c r="B1680" s="3"/>
      <c r="C1680" s="3"/>
      <c r="D1680" s="3"/>
      <c r="E1680" s="3">
        <v>17</v>
      </c>
      <c r="F1680" s="4" t="str">
        <f>HYPERLINK("http://141.218.60.56/~jnz1568/getInfo.php?workbook=13_02.xlsx&amp;sheet=U0&amp;row=1680&amp;col=6&amp;number=4.6&amp;sourceID=14","4.6")</f>
        <v>4.6</v>
      </c>
      <c r="G1680" s="4" t="str">
        <f>HYPERLINK("http://141.218.60.56/~jnz1568/getInfo.php?workbook=13_02.xlsx&amp;sheet=U0&amp;row=1680&amp;col=7&amp;number=0.00206&amp;sourceID=14","0.00206")</f>
        <v>0.00206</v>
      </c>
    </row>
    <row r="1681" spans="1:7">
      <c r="A1681" s="3"/>
      <c r="B1681" s="3"/>
      <c r="C1681" s="3"/>
      <c r="D1681" s="3"/>
      <c r="E1681" s="3">
        <v>18</v>
      </c>
      <c r="F1681" s="4" t="str">
        <f>HYPERLINK("http://141.218.60.56/~jnz1568/getInfo.php?workbook=13_02.xlsx&amp;sheet=U0&amp;row=1681&amp;col=6&amp;number=4.7&amp;sourceID=14","4.7")</f>
        <v>4.7</v>
      </c>
      <c r="G1681" s="4" t="str">
        <f>HYPERLINK("http://141.218.60.56/~jnz1568/getInfo.php?workbook=13_02.xlsx&amp;sheet=U0&amp;row=1681&amp;col=7&amp;number=0.00206&amp;sourceID=14","0.00206")</f>
        <v>0.00206</v>
      </c>
    </row>
    <row r="1682" spans="1:7">
      <c r="A1682" s="3"/>
      <c r="B1682" s="3"/>
      <c r="C1682" s="3"/>
      <c r="D1682" s="3"/>
      <c r="E1682" s="3">
        <v>19</v>
      </c>
      <c r="F1682" s="4" t="str">
        <f>HYPERLINK("http://141.218.60.56/~jnz1568/getInfo.php?workbook=13_02.xlsx&amp;sheet=U0&amp;row=1682&amp;col=6&amp;number=4.8&amp;sourceID=14","4.8")</f>
        <v>4.8</v>
      </c>
      <c r="G1682" s="4" t="str">
        <f>HYPERLINK("http://141.218.60.56/~jnz1568/getInfo.php?workbook=13_02.xlsx&amp;sheet=U0&amp;row=1682&amp;col=7&amp;number=0.00206&amp;sourceID=14","0.00206")</f>
        <v>0.00206</v>
      </c>
    </row>
    <row r="1683" spans="1:7">
      <c r="A1683" s="3"/>
      <c r="B1683" s="3"/>
      <c r="C1683" s="3"/>
      <c r="D1683" s="3"/>
      <c r="E1683" s="3">
        <v>20</v>
      </c>
      <c r="F1683" s="4" t="str">
        <f>HYPERLINK("http://141.218.60.56/~jnz1568/getInfo.php?workbook=13_02.xlsx&amp;sheet=U0&amp;row=1683&amp;col=6&amp;number=4.9&amp;sourceID=14","4.9")</f>
        <v>4.9</v>
      </c>
      <c r="G1683" s="4" t="str">
        <f>HYPERLINK("http://141.218.60.56/~jnz1568/getInfo.php?workbook=13_02.xlsx&amp;sheet=U0&amp;row=1683&amp;col=7&amp;number=0.00206&amp;sourceID=14","0.00206")</f>
        <v>0.00206</v>
      </c>
    </row>
    <row r="1684" spans="1:7">
      <c r="A1684" s="3">
        <v>13</v>
      </c>
      <c r="B1684" s="3">
        <v>2</v>
      </c>
      <c r="C1684" s="3" t="s">
        <v>87</v>
      </c>
      <c r="D1684" s="3">
        <v>4</v>
      </c>
      <c r="E1684" s="3">
        <v>1</v>
      </c>
      <c r="F1684" s="4" t="str">
        <f>HYPERLINK("http://141.218.60.56/~jnz1568/getInfo.php?workbook=13_02.xlsx&amp;sheet=U0&amp;row=1684&amp;col=6&amp;number=3&amp;sourceID=14","3")</f>
        <v>3</v>
      </c>
      <c r="G1684" s="4" t="str">
        <f>HYPERLINK("http://141.218.60.56/~jnz1568/getInfo.php?workbook=13_02.xlsx&amp;sheet=U0&amp;row=1684&amp;col=7&amp;number=0.00299&amp;sourceID=14","0.00299")</f>
        <v>0.00299</v>
      </c>
    </row>
    <row r="1685" spans="1:7">
      <c r="A1685" s="3"/>
      <c r="B1685" s="3"/>
      <c r="C1685" s="3"/>
      <c r="D1685" s="3"/>
      <c r="E1685" s="3">
        <v>2</v>
      </c>
      <c r="F1685" s="4" t="str">
        <f>HYPERLINK("http://141.218.60.56/~jnz1568/getInfo.php?workbook=13_02.xlsx&amp;sheet=U0&amp;row=1685&amp;col=6&amp;number=3.1&amp;sourceID=14","3.1")</f>
        <v>3.1</v>
      </c>
      <c r="G1685" s="4" t="str">
        <f>HYPERLINK("http://141.218.60.56/~jnz1568/getInfo.php?workbook=13_02.xlsx&amp;sheet=U0&amp;row=1685&amp;col=7&amp;number=0.00299&amp;sourceID=14","0.00299")</f>
        <v>0.00299</v>
      </c>
    </row>
    <row r="1686" spans="1:7">
      <c r="A1686" s="3"/>
      <c r="B1686" s="3"/>
      <c r="C1686" s="3"/>
      <c r="D1686" s="3"/>
      <c r="E1686" s="3">
        <v>3</v>
      </c>
      <c r="F1686" s="4" t="str">
        <f>HYPERLINK("http://141.218.60.56/~jnz1568/getInfo.php?workbook=13_02.xlsx&amp;sheet=U0&amp;row=1686&amp;col=6&amp;number=3.2&amp;sourceID=14","3.2")</f>
        <v>3.2</v>
      </c>
      <c r="G1686" s="4" t="str">
        <f>HYPERLINK("http://141.218.60.56/~jnz1568/getInfo.php?workbook=13_02.xlsx&amp;sheet=U0&amp;row=1686&amp;col=7&amp;number=0.00299&amp;sourceID=14","0.00299")</f>
        <v>0.00299</v>
      </c>
    </row>
    <row r="1687" spans="1:7">
      <c r="A1687" s="3"/>
      <c r="B1687" s="3"/>
      <c r="C1687" s="3"/>
      <c r="D1687" s="3"/>
      <c r="E1687" s="3">
        <v>4</v>
      </c>
      <c r="F1687" s="4" t="str">
        <f>HYPERLINK("http://141.218.60.56/~jnz1568/getInfo.php?workbook=13_02.xlsx&amp;sheet=U0&amp;row=1687&amp;col=6&amp;number=3.3&amp;sourceID=14","3.3")</f>
        <v>3.3</v>
      </c>
      <c r="G1687" s="4" t="str">
        <f>HYPERLINK("http://141.218.60.56/~jnz1568/getInfo.php?workbook=13_02.xlsx&amp;sheet=U0&amp;row=1687&amp;col=7&amp;number=0.00299&amp;sourceID=14","0.00299")</f>
        <v>0.00299</v>
      </c>
    </row>
    <row r="1688" spans="1:7">
      <c r="A1688" s="3"/>
      <c r="B1688" s="3"/>
      <c r="C1688" s="3"/>
      <c r="D1688" s="3"/>
      <c r="E1688" s="3">
        <v>5</v>
      </c>
      <c r="F1688" s="4" t="str">
        <f>HYPERLINK("http://141.218.60.56/~jnz1568/getInfo.php?workbook=13_02.xlsx&amp;sheet=U0&amp;row=1688&amp;col=6&amp;number=3.4&amp;sourceID=14","3.4")</f>
        <v>3.4</v>
      </c>
      <c r="G1688" s="4" t="str">
        <f>HYPERLINK("http://141.218.60.56/~jnz1568/getInfo.php?workbook=13_02.xlsx&amp;sheet=U0&amp;row=1688&amp;col=7&amp;number=0.00299&amp;sourceID=14","0.00299")</f>
        <v>0.00299</v>
      </c>
    </row>
    <row r="1689" spans="1:7">
      <c r="A1689" s="3"/>
      <c r="B1689" s="3"/>
      <c r="C1689" s="3"/>
      <c r="D1689" s="3"/>
      <c r="E1689" s="3">
        <v>6</v>
      </c>
      <c r="F1689" s="4" t="str">
        <f>HYPERLINK("http://141.218.60.56/~jnz1568/getInfo.php?workbook=13_02.xlsx&amp;sheet=U0&amp;row=1689&amp;col=6&amp;number=3.5&amp;sourceID=14","3.5")</f>
        <v>3.5</v>
      </c>
      <c r="G1689" s="4" t="str">
        <f>HYPERLINK("http://141.218.60.56/~jnz1568/getInfo.php?workbook=13_02.xlsx&amp;sheet=U0&amp;row=1689&amp;col=7&amp;number=0.00299&amp;sourceID=14","0.00299")</f>
        <v>0.00299</v>
      </c>
    </row>
    <row r="1690" spans="1:7">
      <c r="A1690" s="3"/>
      <c r="B1690" s="3"/>
      <c r="C1690" s="3"/>
      <c r="D1690" s="3"/>
      <c r="E1690" s="3">
        <v>7</v>
      </c>
      <c r="F1690" s="4" t="str">
        <f>HYPERLINK("http://141.218.60.56/~jnz1568/getInfo.php?workbook=13_02.xlsx&amp;sheet=U0&amp;row=1690&amp;col=6&amp;number=3.6&amp;sourceID=14","3.6")</f>
        <v>3.6</v>
      </c>
      <c r="G1690" s="4" t="str">
        <f>HYPERLINK("http://141.218.60.56/~jnz1568/getInfo.php?workbook=13_02.xlsx&amp;sheet=U0&amp;row=1690&amp;col=7&amp;number=0.00299&amp;sourceID=14","0.00299")</f>
        <v>0.00299</v>
      </c>
    </row>
    <row r="1691" spans="1:7">
      <c r="A1691" s="3"/>
      <c r="B1691" s="3"/>
      <c r="C1691" s="3"/>
      <c r="D1691" s="3"/>
      <c r="E1691" s="3">
        <v>8</v>
      </c>
      <c r="F1691" s="4" t="str">
        <f>HYPERLINK("http://141.218.60.56/~jnz1568/getInfo.php?workbook=13_02.xlsx&amp;sheet=U0&amp;row=1691&amp;col=6&amp;number=3.7&amp;sourceID=14","3.7")</f>
        <v>3.7</v>
      </c>
      <c r="G1691" s="4" t="str">
        <f>HYPERLINK("http://141.218.60.56/~jnz1568/getInfo.php?workbook=13_02.xlsx&amp;sheet=U0&amp;row=1691&amp;col=7&amp;number=0.00299&amp;sourceID=14","0.00299")</f>
        <v>0.00299</v>
      </c>
    </row>
    <row r="1692" spans="1:7">
      <c r="A1692" s="3"/>
      <c r="B1692" s="3"/>
      <c r="C1692" s="3"/>
      <c r="D1692" s="3"/>
      <c r="E1692" s="3">
        <v>9</v>
      </c>
      <c r="F1692" s="4" t="str">
        <f>HYPERLINK("http://141.218.60.56/~jnz1568/getInfo.php?workbook=13_02.xlsx&amp;sheet=U0&amp;row=1692&amp;col=6&amp;number=3.8&amp;sourceID=14","3.8")</f>
        <v>3.8</v>
      </c>
      <c r="G1692" s="4" t="str">
        <f>HYPERLINK("http://141.218.60.56/~jnz1568/getInfo.php?workbook=13_02.xlsx&amp;sheet=U0&amp;row=1692&amp;col=7&amp;number=0.00299&amp;sourceID=14","0.00299")</f>
        <v>0.00299</v>
      </c>
    </row>
    <row r="1693" spans="1:7">
      <c r="A1693" s="3"/>
      <c r="B1693" s="3"/>
      <c r="C1693" s="3"/>
      <c r="D1693" s="3"/>
      <c r="E1693" s="3">
        <v>10</v>
      </c>
      <c r="F1693" s="4" t="str">
        <f>HYPERLINK("http://141.218.60.56/~jnz1568/getInfo.php?workbook=13_02.xlsx&amp;sheet=U0&amp;row=1693&amp;col=6&amp;number=3.9&amp;sourceID=14","3.9")</f>
        <v>3.9</v>
      </c>
      <c r="G1693" s="4" t="str">
        <f>HYPERLINK("http://141.218.60.56/~jnz1568/getInfo.php?workbook=13_02.xlsx&amp;sheet=U0&amp;row=1693&amp;col=7&amp;number=0.00299&amp;sourceID=14","0.00299")</f>
        <v>0.00299</v>
      </c>
    </row>
    <row r="1694" spans="1:7">
      <c r="A1694" s="3"/>
      <c r="B1694" s="3"/>
      <c r="C1694" s="3"/>
      <c r="D1694" s="3"/>
      <c r="E1694" s="3">
        <v>11</v>
      </c>
      <c r="F1694" s="4" t="str">
        <f>HYPERLINK("http://141.218.60.56/~jnz1568/getInfo.php?workbook=13_02.xlsx&amp;sheet=U0&amp;row=1694&amp;col=6&amp;number=4&amp;sourceID=14","4")</f>
        <v>4</v>
      </c>
      <c r="G1694" s="4" t="str">
        <f>HYPERLINK("http://141.218.60.56/~jnz1568/getInfo.php?workbook=13_02.xlsx&amp;sheet=U0&amp;row=1694&amp;col=7&amp;number=0.00299&amp;sourceID=14","0.00299")</f>
        <v>0.00299</v>
      </c>
    </row>
    <row r="1695" spans="1:7">
      <c r="A1695" s="3"/>
      <c r="B1695" s="3"/>
      <c r="C1695" s="3"/>
      <c r="D1695" s="3"/>
      <c r="E1695" s="3">
        <v>12</v>
      </c>
      <c r="F1695" s="4" t="str">
        <f>HYPERLINK("http://141.218.60.56/~jnz1568/getInfo.php?workbook=13_02.xlsx&amp;sheet=U0&amp;row=1695&amp;col=6&amp;number=4.1&amp;sourceID=14","4.1")</f>
        <v>4.1</v>
      </c>
      <c r="G1695" s="4" t="str">
        <f>HYPERLINK("http://141.218.60.56/~jnz1568/getInfo.php?workbook=13_02.xlsx&amp;sheet=U0&amp;row=1695&amp;col=7&amp;number=0.00299&amp;sourceID=14","0.00299")</f>
        <v>0.00299</v>
      </c>
    </row>
    <row r="1696" spans="1:7">
      <c r="A1696" s="3"/>
      <c r="B1696" s="3"/>
      <c r="C1696" s="3"/>
      <c r="D1696" s="3"/>
      <c r="E1696" s="3">
        <v>13</v>
      </c>
      <c r="F1696" s="4" t="str">
        <f>HYPERLINK("http://141.218.60.56/~jnz1568/getInfo.php?workbook=13_02.xlsx&amp;sheet=U0&amp;row=1696&amp;col=6&amp;number=4.2&amp;sourceID=14","4.2")</f>
        <v>4.2</v>
      </c>
      <c r="G1696" s="4" t="str">
        <f>HYPERLINK("http://141.218.60.56/~jnz1568/getInfo.php?workbook=13_02.xlsx&amp;sheet=U0&amp;row=1696&amp;col=7&amp;number=0.00299&amp;sourceID=14","0.00299")</f>
        <v>0.00299</v>
      </c>
    </row>
    <row r="1697" spans="1:7">
      <c r="A1697" s="3"/>
      <c r="B1697" s="3"/>
      <c r="C1697" s="3"/>
      <c r="D1697" s="3"/>
      <c r="E1697" s="3">
        <v>14</v>
      </c>
      <c r="F1697" s="4" t="str">
        <f>HYPERLINK("http://141.218.60.56/~jnz1568/getInfo.php?workbook=13_02.xlsx&amp;sheet=U0&amp;row=1697&amp;col=6&amp;number=4.3&amp;sourceID=14","4.3")</f>
        <v>4.3</v>
      </c>
      <c r="G1697" s="4" t="str">
        <f>HYPERLINK("http://141.218.60.56/~jnz1568/getInfo.php?workbook=13_02.xlsx&amp;sheet=U0&amp;row=1697&amp;col=7&amp;number=0.00299&amp;sourceID=14","0.00299")</f>
        <v>0.00299</v>
      </c>
    </row>
    <row r="1698" spans="1:7">
      <c r="A1698" s="3"/>
      <c r="B1698" s="3"/>
      <c r="C1698" s="3"/>
      <c r="D1698" s="3"/>
      <c r="E1698" s="3">
        <v>15</v>
      </c>
      <c r="F1698" s="4" t="str">
        <f>HYPERLINK("http://141.218.60.56/~jnz1568/getInfo.php?workbook=13_02.xlsx&amp;sheet=U0&amp;row=1698&amp;col=6&amp;number=4.4&amp;sourceID=14","4.4")</f>
        <v>4.4</v>
      </c>
      <c r="G1698" s="4" t="str">
        <f>HYPERLINK("http://141.218.60.56/~jnz1568/getInfo.php?workbook=13_02.xlsx&amp;sheet=U0&amp;row=1698&amp;col=7&amp;number=0.00299&amp;sourceID=14","0.00299")</f>
        <v>0.00299</v>
      </c>
    </row>
    <row r="1699" spans="1:7">
      <c r="A1699" s="3"/>
      <c r="B1699" s="3"/>
      <c r="C1699" s="3"/>
      <c r="D1699" s="3"/>
      <c r="E1699" s="3">
        <v>16</v>
      </c>
      <c r="F1699" s="4" t="str">
        <f>HYPERLINK("http://141.218.60.56/~jnz1568/getInfo.php?workbook=13_02.xlsx&amp;sheet=U0&amp;row=1699&amp;col=6&amp;number=4.5&amp;sourceID=14","4.5")</f>
        <v>4.5</v>
      </c>
      <c r="G1699" s="4" t="str">
        <f>HYPERLINK("http://141.218.60.56/~jnz1568/getInfo.php?workbook=13_02.xlsx&amp;sheet=U0&amp;row=1699&amp;col=7&amp;number=0.00299&amp;sourceID=14","0.00299")</f>
        <v>0.00299</v>
      </c>
    </row>
    <row r="1700" spans="1:7">
      <c r="A1700" s="3"/>
      <c r="B1700" s="3"/>
      <c r="C1700" s="3"/>
      <c r="D1700" s="3"/>
      <c r="E1700" s="3">
        <v>17</v>
      </c>
      <c r="F1700" s="4" t="str">
        <f>HYPERLINK("http://141.218.60.56/~jnz1568/getInfo.php?workbook=13_02.xlsx&amp;sheet=U0&amp;row=1700&amp;col=6&amp;number=4.6&amp;sourceID=14","4.6")</f>
        <v>4.6</v>
      </c>
      <c r="G1700" s="4" t="str">
        <f>HYPERLINK("http://141.218.60.56/~jnz1568/getInfo.php?workbook=13_02.xlsx&amp;sheet=U0&amp;row=1700&amp;col=7&amp;number=0.00299&amp;sourceID=14","0.00299")</f>
        <v>0.00299</v>
      </c>
    </row>
    <row r="1701" spans="1:7">
      <c r="A1701" s="3"/>
      <c r="B1701" s="3"/>
      <c r="C1701" s="3"/>
      <c r="D1701" s="3"/>
      <c r="E1701" s="3">
        <v>18</v>
      </c>
      <c r="F1701" s="4" t="str">
        <f>HYPERLINK("http://141.218.60.56/~jnz1568/getInfo.php?workbook=13_02.xlsx&amp;sheet=U0&amp;row=1701&amp;col=6&amp;number=4.7&amp;sourceID=14","4.7")</f>
        <v>4.7</v>
      </c>
      <c r="G1701" s="4" t="str">
        <f>HYPERLINK("http://141.218.60.56/~jnz1568/getInfo.php?workbook=13_02.xlsx&amp;sheet=U0&amp;row=1701&amp;col=7&amp;number=0.00299&amp;sourceID=14","0.00299")</f>
        <v>0.00299</v>
      </c>
    </row>
    <row r="1702" spans="1:7">
      <c r="A1702" s="3"/>
      <c r="B1702" s="3"/>
      <c r="C1702" s="3"/>
      <c r="D1702" s="3"/>
      <c r="E1702" s="3">
        <v>19</v>
      </c>
      <c r="F1702" s="4" t="str">
        <f>HYPERLINK("http://141.218.60.56/~jnz1568/getInfo.php?workbook=13_02.xlsx&amp;sheet=U0&amp;row=1702&amp;col=6&amp;number=4.8&amp;sourceID=14","4.8")</f>
        <v>4.8</v>
      </c>
      <c r="G1702" s="4" t="str">
        <f>HYPERLINK("http://141.218.60.56/~jnz1568/getInfo.php?workbook=13_02.xlsx&amp;sheet=U0&amp;row=1702&amp;col=7&amp;number=0.00299&amp;sourceID=14","0.00299")</f>
        <v>0.00299</v>
      </c>
    </row>
    <row r="1703" spans="1:7">
      <c r="A1703" s="3"/>
      <c r="B1703" s="3"/>
      <c r="C1703" s="3"/>
      <c r="D1703" s="3"/>
      <c r="E1703" s="3">
        <v>20</v>
      </c>
      <c r="F1703" s="4" t="str">
        <f>HYPERLINK("http://141.218.60.56/~jnz1568/getInfo.php?workbook=13_02.xlsx&amp;sheet=U0&amp;row=1703&amp;col=6&amp;number=4.9&amp;sourceID=14","4.9")</f>
        <v>4.9</v>
      </c>
      <c r="G1703" s="4" t="str">
        <f>HYPERLINK("http://141.218.60.56/~jnz1568/getInfo.php?workbook=13_02.xlsx&amp;sheet=U0&amp;row=1703&amp;col=7&amp;number=0.00299&amp;sourceID=14","0.00299")</f>
        <v>0.00299</v>
      </c>
    </row>
    <row r="1704" spans="1:7">
      <c r="A1704" s="3">
        <v>13</v>
      </c>
      <c r="B1704" s="3">
        <v>2</v>
      </c>
      <c r="C1704" s="3" t="s">
        <v>87</v>
      </c>
      <c r="D1704" s="3">
        <v>5</v>
      </c>
      <c r="E1704" s="3">
        <v>1</v>
      </c>
      <c r="F1704" s="4" t="str">
        <f>HYPERLINK("http://141.218.60.56/~jnz1568/getInfo.php?workbook=13_02.xlsx&amp;sheet=U0&amp;row=1704&amp;col=6&amp;number=3&amp;sourceID=14","3")</f>
        <v>3</v>
      </c>
      <c r="G1704" s="4" t="str">
        <f>HYPERLINK("http://141.218.60.56/~jnz1568/getInfo.php?workbook=13_02.xlsx&amp;sheet=U0&amp;row=1704&amp;col=7&amp;number=0.00197&amp;sourceID=14","0.00197")</f>
        <v>0.00197</v>
      </c>
    </row>
    <row r="1705" spans="1:7">
      <c r="A1705" s="3"/>
      <c r="B1705" s="3"/>
      <c r="C1705" s="3"/>
      <c r="D1705" s="3"/>
      <c r="E1705" s="3">
        <v>2</v>
      </c>
      <c r="F1705" s="4" t="str">
        <f>HYPERLINK("http://141.218.60.56/~jnz1568/getInfo.php?workbook=13_02.xlsx&amp;sheet=U0&amp;row=1705&amp;col=6&amp;number=3.1&amp;sourceID=14","3.1")</f>
        <v>3.1</v>
      </c>
      <c r="G1705" s="4" t="str">
        <f>HYPERLINK("http://141.218.60.56/~jnz1568/getInfo.php?workbook=13_02.xlsx&amp;sheet=U0&amp;row=1705&amp;col=7&amp;number=0.00197&amp;sourceID=14","0.00197")</f>
        <v>0.00197</v>
      </c>
    </row>
    <row r="1706" spans="1:7">
      <c r="A1706" s="3"/>
      <c r="B1706" s="3"/>
      <c r="C1706" s="3"/>
      <c r="D1706" s="3"/>
      <c r="E1706" s="3">
        <v>3</v>
      </c>
      <c r="F1706" s="4" t="str">
        <f>HYPERLINK("http://141.218.60.56/~jnz1568/getInfo.php?workbook=13_02.xlsx&amp;sheet=U0&amp;row=1706&amp;col=6&amp;number=3.2&amp;sourceID=14","3.2")</f>
        <v>3.2</v>
      </c>
      <c r="G1706" s="4" t="str">
        <f>HYPERLINK("http://141.218.60.56/~jnz1568/getInfo.php?workbook=13_02.xlsx&amp;sheet=U0&amp;row=1706&amp;col=7&amp;number=0.00197&amp;sourceID=14","0.00197")</f>
        <v>0.00197</v>
      </c>
    </row>
    <row r="1707" spans="1:7">
      <c r="A1707" s="3"/>
      <c r="B1707" s="3"/>
      <c r="C1707" s="3"/>
      <c r="D1707" s="3"/>
      <c r="E1707" s="3">
        <v>4</v>
      </c>
      <c r="F1707" s="4" t="str">
        <f>HYPERLINK("http://141.218.60.56/~jnz1568/getInfo.php?workbook=13_02.xlsx&amp;sheet=U0&amp;row=1707&amp;col=6&amp;number=3.3&amp;sourceID=14","3.3")</f>
        <v>3.3</v>
      </c>
      <c r="G1707" s="4" t="str">
        <f>HYPERLINK("http://141.218.60.56/~jnz1568/getInfo.php?workbook=13_02.xlsx&amp;sheet=U0&amp;row=1707&amp;col=7&amp;number=0.00197&amp;sourceID=14","0.00197")</f>
        <v>0.00197</v>
      </c>
    </row>
    <row r="1708" spans="1:7">
      <c r="A1708" s="3"/>
      <c r="B1708" s="3"/>
      <c r="C1708" s="3"/>
      <c r="D1708" s="3"/>
      <c r="E1708" s="3">
        <v>5</v>
      </c>
      <c r="F1708" s="4" t="str">
        <f>HYPERLINK("http://141.218.60.56/~jnz1568/getInfo.php?workbook=13_02.xlsx&amp;sheet=U0&amp;row=1708&amp;col=6&amp;number=3.4&amp;sourceID=14","3.4")</f>
        <v>3.4</v>
      </c>
      <c r="G1708" s="4" t="str">
        <f>HYPERLINK("http://141.218.60.56/~jnz1568/getInfo.php?workbook=13_02.xlsx&amp;sheet=U0&amp;row=1708&amp;col=7&amp;number=0.00197&amp;sourceID=14","0.00197")</f>
        <v>0.00197</v>
      </c>
    </row>
    <row r="1709" spans="1:7">
      <c r="A1709" s="3"/>
      <c r="B1709" s="3"/>
      <c r="C1709" s="3"/>
      <c r="D1709" s="3"/>
      <c r="E1709" s="3">
        <v>6</v>
      </c>
      <c r="F1709" s="4" t="str">
        <f>HYPERLINK("http://141.218.60.56/~jnz1568/getInfo.php?workbook=13_02.xlsx&amp;sheet=U0&amp;row=1709&amp;col=6&amp;number=3.5&amp;sourceID=14","3.5")</f>
        <v>3.5</v>
      </c>
      <c r="G1709" s="4" t="str">
        <f>HYPERLINK("http://141.218.60.56/~jnz1568/getInfo.php?workbook=13_02.xlsx&amp;sheet=U0&amp;row=1709&amp;col=7&amp;number=0.00197&amp;sourceID=14","0.00197")</f>
        <v>0.00197</v>
      </c>
    </row>
    <row r="1710" spans="1:7">
      <c r="A1710" s="3"/>
      <c r="B1710" s="3"/>
      <c r="C1710" s="3"/>
      <c r="D1710" s="3"/>
      <c r="E1710" s="3">
        <v>7</v>
      </c>
      <c r="F1710" s="4" t="str">
        <f>HYPERLINK("http://141.218.60.56/~jnz1568/getInfo.php?workbook=13_02.xlsx&amp;sheet=U0&amp;row=1710&amp;col=6&amp;number=3.6&amp;sourceID=14","3.6")</f>
        <v>3.6</v>
      </c>
      <c r="G1710" s="4" t="str">
        <f>HYPERLINK("http://141.218.60.56/~jnz1568/getInfo.php?workbook=13_02.xlsx&amp;sheet=U0&amp;row=1710&amp;col=7&amp;number=0.00197&amp;sourceID=14","0.00197")</f>
        <v>0.00197</v>
      </c>
    </row>
    <row r="1711" spans="1:7">
      <c r="A1711" s="3"/>
      <c r="B1711" s="3"/>
      <c r="C1711" s="3"/>
      <c r="D1711" s="3"/>
      <c r="E1711" s="3">
        <v>8</v>
      </c>
      <c r="F1711" s="4" t="str">
        <f>HYPERLINK("http://141.218.60.56/~jnz1568/getInfo.php?workbook=13_02.xlsx&amp;sheet=U0&amp;row=1711&amp;col=6&amp;number=3.7&amp;sourceID=14","3.7")</f>
        <v>3.7</v>
      </c>
      <c r="G1711" s="4" t="str">
        <f>HYPERLINK("http://141.218.60.56/~jnz1568/getInfo.php?workbook=13_02.xlsx&amp;sheet=U0&amp;row=1711&amp;col=7&amp;number=0.00197&amp;sourceID=14","0.00197")</f>
        <v>0.00197</v>
      </c>
    </row>
    <row r="1712" spans="1:7">
      <c r="A1712" s="3"/>
      <c r="B1712" s="3"/>
      <c r="C1712" s="3"/>
      <c r="D1712" s="3"/>
      <c r="E1712" s="3">
        <v>9</v>
      </c>
      <c r="F1712" s="4" t="str">
        <f>HYPERLINK("http://141.218.60.56/~jnz1568/getInfo.php?workbook=13_02.xlsx&amp;sheet=U0&amp;row=1712&amp;col=6&amp;number=3.8&amp;sourceID=14","3.8")</f>
        <v>3.8</v>
      </c>
      <c r="G1712" s="4" t="str">
        <f>HYPERLINK("http://141.218.60.56/~jnz1568/getInfo.php?workbook=13_02.xlsx&amp;sheet=U0&amp;row=1712&amp;col=7&amp;number=0.00197&amp;sourceID=14","0.00197")</f>
        <v>0.00197</v>
      </c>
    </row>
    <row r="1713" spans="1:7">
      <c r="A1713" s="3"/>
      <c r="B1713" s="3"/>
      <c r="C1713" s="3"/>
      <c r="D1713" s="3"/>
      <c r="E1713" s="3">
        <v>10</v>
      </c>
      <c r="F1713" s="4" t="str">
        <f>HYPERLINK("http://141.218.60.56/~jnz1568/getInfo.php?workbook=13_02.xlsx&amp;sheet=U0&amp;row=1713&amp;col=6&amp;number=3.9&amp;sourceID=14","3.9")</f>
        <v>3.9</v>
      </c>
      <c r="G1713" s="4" t="str">
        <f>HYPERLINK("http://141.218.60.56/~jnz1568/getInfo.php?workbook=13_02.xlsx&amp;sheet=U0&amp;row=1713&amp;col=7&amp;number=0.00197&amp;sourceID=14","0.00197")</f>
        <v>0.00197</v>
      </c>
    </row>
    <row r="1714" spans="1:7">
      <c r="A1714" s="3"/>
      <c r="B1714" s="3"/>
      <c r="C1714" s="3"/>
      <c r="D1714" s="3"/>
      <c r="E1714" s="3">
        <v>11</v>
      </c>
      <c r="F1714" s="4" t="str">
        <f>HYPERLINK("http://141.218.60.56/~jnz1568/getInfo.php?workbook=13_02.xlsx&amp;sheet=U0&amp;row=1714&amp;col=6&amp;number=4&amp;sourceID=14","4")</f>
        <v>4</v>
      </c>
      <c r="G1714" s="4" t="str">
        <f>HYPERLINK("http://141.218.60.56/~jnz1568/getInfo.php?workbook=13_02.xlsx&amp;sheet=U0&amp;row=1714&amp;col=7&amp;number=0.00197&amp;sourceID=14","0.00197")</f>
        <v>0.00197</v>
      </c>
    </row>
    <row r="1715" spans="1:7">
      <c r="A1715" s="3"/>
      <c r="B1715" s="3"/>
      <c r="C1715" s="3"/>
      <c r="D1715" s="3"/>
      <c r="E1715" s="3">
        <v>12</v>
      </c>
      <c r="F1715" s="4" t="str">
        <f>HYPERLINK("http://141.218.60.56/~jnz1568/getInfo.php?workbook=13_02.xlsx&amp;sheet=U0&amp;row=1715&amp;col=6&amp;number=4.1&amp;sourceID=14","4.1")</f>
        <v>4.1</v>
      </c>
      <c r="G1715" s="4" t="str">
        <f>HYPERLINK("http://141.218.60.56/~jnz1568/getInfo.php?workbook=13_02.xlsx&amp;sheet=U0&amp;row=1715&amp;col=7&amp;number=0.00196&amp;sourceID=14","0.00196")</f>
        <v>0.00196</v>
      </c>
    </row>
    <row r="1716" spans="1:7">
      <c r="A1716" s="3"/>
      <c r="B1716" s="3"/>
      <c r="C1716" s="3"/>
      <c r="D1716" s="3"/>
      <c r="E1716" s="3">
        <v>13</v>
      </c>
      <c r="F1716" s="4" t="str">
        <f>HYPERLINK("http://141.218.60.56/~jnz1568/getInfo.php?workbook=13_02.xlsx&amp;sheet=U0&amp;row=1716&amp;col=6&amp;number=4.2&amp;sourceID=14","4.2")</f>
        <v>4.2</v>
      </c>
      <c r="G1716" s="4" t="str">
        <f>HYPERLINK("http://141.218.60.56/~jnz1568/getInfo.php?workbook=13_02.xlsx&amp;sheet=U0&amp;row=1716&amp;col=7&amp;number=0.00196&amp;sourceID=14","0.00196")</f>
        <v>0.00196</v>
      </c>
    </row>
    <row r="1717" spans="1:7">
      <c r="A1717" s="3"/>
      <c r="B1717" s="3"/>
      <c r="C1717" s="3"/>
      <c r="D1717" s="3"/>
      <c r="E1717" s="3">
        <v>14</v>
      </c>
      <c r="F1717" s="4" t="str">
        <f>HYPERLINK("http://141.218.60.56/~jnz1568/getInfo.php?workbook=13_02.xlsx&amp;sheet=U0&amp;row=1717&amp;col=6&amp;number=4.3&amp;sourceID=14","4.3")</f>
        <v>4.3</v>
      </c>
      <c r="G1717" s="4" t="str">
        <f>HYPERLINK("http://141.218.60.56/~jnz1568/getInfo.php?workbook=13_02.xlsx&amp;sheet=U0&amp;row=1717&amp;col=7&amp;number=0.00196&amp;sourceID=14","0.00196")</f>
        <v>0.00196</v>
      </c>
    </row>
    <row r="1718" spans="1:7">
      <c r="A1718" s="3"/>
      <c r="B1718" s="3"/>
      <c r="C1718" s="3"/>
      <c r="D1718" s="3"/>
      <c r="E1718" s="3">
        <v>15</v>
      </c>
      <c r="F1718" s="4" t="str">
        <f>HYPERLINK("http://141.218.60.56/~jnz1568/getInfo.php?workbook=13_02.xlsx&amp;sheet=U0&amp;row=1718&amp;col=6&amp;number=4.4&amp;sourceID=14","4.4")</f>
        <v>4.4</v>
      </c>
      <c r="G1718" s="4" t="str">
        <f>HYPERLINK("http://141.218.60.56/~jnz1568/getInfo.php?workbook=13_02.xlsx&amp;sheet=U0&amp;row=1718&amp;col=7&amp;number=0.00196&amp;sourceID=14","0.00196")</f>
        <v>0.00196</v>
      </c>
    </row>
    <row r="1719" spans="1:7">
      <c r="A1719" s="3"/>
      <c r="B1719" s="3"/>
      <c r="C1719" s="3"/>
      <c r="D1719" s="3"/>
      <c r="E1719" s="3">
        <v>16</v>
      </c>
      <c r="F1719" s="4" t="str">
        <f>HYPERLINK("http://141.218.60.56/~jnz1568/getInfo.php?workbook=13_02.xlsx&amp;sheet=U0&amp;row=1719&amp;col=6&amp;number=4.5&amp;sourceID=14","4.5")</f>
        <v>4.5</v>
      </c>
      <c r="G1719" s="4" t="str">
        <f>HYPERLINK("http://141.218.60.56/~jnz1568/getInfo.php?workbook=13_02.xlsx&amp;sheet=U0&amp;row=1719&amp;col=7&amp;number=0.00196&amp;sourceID=14","0.00196")</f>
        <v>0.00196</v>
      </c>
    </row>
    <row r="1720" spans="1:7">
      <c r="A1720" s="3"/>
      <c r="B1720" s="3"/>
      <c r="C1720" s="3"/>
      <c r="D1720" s="3"/>
      <c r="E1720" s="3">
        <v>17</v>
      </c>
      <c r="F1720" s="4" t="str">
        <f>HYPERLINK("http://141.218.60.56/~jnz1568/getInfo.php?workbook=13_02.xlsx&amp;sheet=U0&amp;row=1720&amp;col=6&amp;number=4.6&amp;sourceID=14","4.6")</f>
        <v>4.6</v>
      </c>
      <c r="G1720" s="4" t="str">
        <f>HYPERLINK("http://141.218.60.56/~jnz1568/getInfo.php?workbook=13_02.xlsx&amp;sheet=U0&amp;row=1720&amp;col=7&amp;number=0.00196&amp;sourceID=14","0.00196")</f>
        <v>0.00196</v>
      </c>
    </row>
    <row r="1721" spans="1:7">
      <c r="A1721" s="3"/>
      <c r="B1721" s="3"/>
      <c r="C1721" s="3"/>
      <c r="D1721" s="3"/>
      <c r="E1721" s="3">
        <v>18</v>
      </c>
      <c r="F1721" s="4" t="str">
        <f>HYPERLINK("http://141.218.60.56/~jnz1568/getInfo.php?workbook=13_02.xlsx&amp;sheet=U0&amp;row=1721&amp;col=6&amp;number=4.7&amp;sourceID=14","4.7")</f>
        <v>4.7</v>
      </c>
      <c r="G1721" s="4" t="str">
        <f>HYPERLINK("http://141.218.60.56/~jnz1568/getInfo.php?workbook=13_02.xlsx&amp;sheet=U0&amp;row=1721&amp;col=7&amp;number=0.00196&amp;sourceID=14","0.00196")</f>
        <v>0.00196</v>
      </c>
    </row>
    <row r="1722" spans="1:7">
      <c r="A1722" s="3"/>
      <c r="B1722" s="3"/>
      <c r="C1722" s="3"/>
      <c r="D1722" s="3"/>
      <c r="E1722" s="3">
        <v>19</v>
      </c>
      <c r="F1722" s="4" t="str">
        <f>HYPERLINK("http://141.218.60.56/~jnz1568/getInfo.php?workbook=13_02.xlsx&amp;sheet=U0&amp;row=1722&amp;col=6&amp;number=4.8&amp;sourceID=14","4.8")</f>
        <v>4.8</v>
      </c>
      <c r="G1722" s="4" t="str">
        <f>HYPERLINK("http://141.218.60.56/~jnz1568/getInfo.php?workbook=13_02.xlsx&amp;sheet=U0&amp;row=1722&amp;col=7&amp;number=0.00196&amp;sourceID=14","0.00196")</f>
        <v>0.00196</v>
      </c>
    </row>
    <row r="1723" spans="1:7">
      <c r="A1723" s="3"/>
      <c r="B1723" s="3"/>
      <c r="C1723" s="3"/>
      <c r="D1723" s="3"/>
      <c r="E1723" s="3">
        <v>20</v>
      </c>
      <c r="F1723" s="4" t="str">
        <f>HYPERLINK("http://141.218.60.56/~jnz1568/getInfo.php?workbook=13_02.xlsx&amp;sheet=U0&amp;row=1723&amp;col=6&amp;number=4.9&amp;sourceID=14","4.9")</f>
        <v>4.9</v>
      </c>
      <c r="G1723" s="4" t="str">
        <f>HYPERLINK("http://141.218.60.56/~jnz1568/getInfo.php?workbook=13_02.xlsx&amp;sheet=U0&amp;row=1723&amp;col=7&amp;number=0.00195&amp;sourceID=14","0.00195")</f>
        <v>0.00195</v>
      </c>
    </row>
    <row r="1724" spans="1:7">
      <c r="A1724" s="3">
        <v>13</v>
      </c>
      <c r="B1724" s="3">
        <v>2</v>
      </c>
      <c r="C1724" s="3" t="s">
        <v>87</v>
      </c>
      <c r="D1724" s="3">
        <v>6</v>
      </c>
      <c r="E1724" s="3">
        <v>1</v>
      </c>
      <c r="F1724" s="4" t="str">
        <f>HYPERLINK("http://141.218.60.56/~jnz1568/getInfo.php?workbook=13_02.xlsx&amp;sheet=U0&amp;row=1724&amp;col=6&amp;number=3&amp;sourceID=14","3")</f>
        <v>3</v>
      </c>
      <c r="G1724" s="4" t="str">
        <f>HYPERLINK("http://141.218.60.56/~jnz1568/getInfo.php?workbook=13_02.xlsx&amp;sheet=U0&amp;row=1724&amp;col=7&amp;number=0.000228&amp;sourceID=14","0.000228")</f>
        <v>0.000228</v>
      </c>
    </row>
    <row r="1725" spans="1:7">
      <c r="A1725" s="3"/>
      <c r="B1725" s="3"/>
      <c r="C1725" s="3"/>
      <c r="D1725" s="3"/>
      <c r="E1725" s="3">
        <v>2</v>
      </c>
      <c r="F1725" s="4" t="str">
        <f>HYPERLINK("http://141.218.60.56/~jnz1568/getInfo.php?workbook=13_02.xlsx&amp;sheet=U0&amp;row=1725&amp;col=6&amp;number=3.1&amp;sourceID=14","3.1")</f>
        <v>3.1</v>
      </c>
      <c r="G1725" s="4" t="str">
        <f>HYPERLINK("http://141.218.60.56/~jnz1568/getInfo.php?workbook=13_02.xlsx&amp;sheet=U0&amp;row=1725&amp;col=7&amp;number=0.000228&amp;sourceID=14","0.000228")</f>
        <v>0.000228</v>
      </c>
    </row>
    <row r="1726" spans="1:7">
      <c r="A1726" s="3"/>
      <c r="B1726" s="3"/>
      <c r="C1726" s="3"/>
      <c r="D1726" s="3"/>
      <c r="E1726" s="3">
        <v>3</v>
      </c>
      <c r="F1726" s="4" t="str">
        <f>HYPERLINK("http://141.218.60.56/~jnz1568/getInfo.php?workbook=13_02.xlsx&amp;sheet=U0&amp;row=1726&amp;col=6&amp;number=3.2&amp;sourceID=14","3.2")</f>
        <v>3.2</v>
      </c>
      <c r="G1726" s="4" t="str">
        <f>HYPERLINK("http://141.218.60.56/~jnz1568/getInfo.php?workbook=13_02.xlsx&amp;sheet=U0&amp;row=1726&amp;col=7&amp;number=0.000228&amp;sourceID=14","0.000228")</f>
        <v>0.000228</v>
      </c>
    </row>
    <row r="1727" spans="1:7">
      <c r="A1727" s="3"/>
      <c r="B1727" s="3"/>
      <c r="C1727" s="3"/>
      <c r="D1727" s="3"/>
      <c r="E1727" s="3">
        <v>4</v>
      </c>
      <c r="F1727" s="4" t="str">
        <f>HYPERLINK("http://141.218.60.56/~jnz1568/getInfo.php?workbook=13_02.xlsx&amp;sheet=U0&amp;row=1727&amp;col=6&amp;number=3.3&amp;sourceID=14","3.3")</f>
        <v>3.3</v>
      </c>
      <c r="G1727" s="4" t="str">
        <f>HYPERLINK("http://141.218.60.56/~jnz1568/getInfo.php?workbook=13_02.xlsx&amp;sheet=U0&amp;row=1727&amp;col=7&amp;number=0.000228&amp;sourceID=14","0.000228")</f>
        <v>0.000228</v>
      </c>
    </row>
    <row r="1728" spans="1:7">
      <c r="A1728" s="3"/>
      <c r="B1728" s="3"/>
      <c r="C1728" s="3"/>
      <c r="D1728" s="3"/>
      <c r="E1728" s="3">
        <v>5</v>
      </c>
      <c r="F1728" s="4" t="str">
        <f>HYPERLINK("http://141.218.60.56/~jnz1568/getInfo.php?workbook=13_02.xlsx&amp;sheet=U0&amp;row=1728&amp;col=6&amp;number=3.4&amp;sourceID=14","3.4")</f>
        <v>3.4</v>
      </c>
      <c r="G1728" s="4" t="str">
        <f>HYPERLINK("http://141.218.60.56/~jnz1568/getInfo.php?workbook=13_02.xlsx&amp;sheet=U0&amp;row=1728&amp;col=7&amp;number=0.000228&amp;sourceID=14","0.000228")</f>
        <v>0.000228</v>
      </c>
    </row>
    <row r="1729" spans="1:7">
      <c r="A1729" s="3"/>
      <c r="B1729" s="3"/>
      <c r="C1729" s="3"/>
      <c r="D1729" s="3"/>
      <c r="E1729" s="3">
        <v>6</v>
      </c>
      <c r="F1729" s="4" t="str">
        <f>HYPERLINK("http://141.218.60.56/~jnz1568/getInfo.php?workbook=13_02.xlsx&amp;sheet=U0&amp;row=1729&amp;col=6&amp;number=3.5&amp;sourceID=14","3.5")</f>
        <v>3.5</v>
      </c>
      <c r="G1729" s="4" t="str">
        <f>HYPERLINK("http://141.218.60.56/~jnz1568/getInfo.php?workbook=13_02.xlsx&amp;sheet=U0&amp;row=1729&amp;col=7&amp;number=0.000228&amp;sourceID=14","0.000228")</f>
        <v>0.000228</v>
      </c>
    </row>
    <row r="1730" spans="1:7">
      <c r="A1730" s="3"/>
      <c r="B1730" s="3"/>
      <c r="C1730" s="3"/>
      <c r="D1730" s="3"/>
      <c r="E1730" s="3">
        <v>7</v>
      </c>
      <c r="F1730" s="4" t="str">
        <f>HYPERLINK("http://141.218.60.56/~jnz1568/getInfo.php?workbook=13_02.xlsx&amp;sheet=U0&amp;row=1730&amp;col=6&amp;number=3.6&amp;sourceID=14","3.6")</f>
        <v>3.6</v>
      </c>
      <c r="G1730" s="4" t="str">
        <f>HYPERLINK("http://141.218.60.56/~jnz1568/getInfo.php?workbook=13_02.xlsx&amp;sheet=U0&amp;row=1730&amp;col=7&amp;number=0.000228&amp;sourceID=14","0.000228")</f>
        <v>0.000228</v>
      </c>
    </row>
    <row r="1731" spans="1:7">
      <c r="A1731" s="3"/>
      <c r="B1731" s="3"/>
      <c r="C1731" s="3"/>
      <c r="D1731" s="3"/>
      <c r="E1731" s="3">
        <v>8</v>
      </c>
      <c r="F1731" s="4" t="str">
        <f>HYPERLINK("http://141.218.60.56/~jnz1568/getInfo.php?workbook=13_02.xlsx&amp;sheet=U0&amp;row=1731&amp;col=6&amp;number=3.7&amp;sourceID=14","3.7")</f>
        <v>3.7</v>
      </c>
      <c r="G1731" s="4" t="str">
        <f>HYPERLINK("http://141.218.60.56/~jnz1568/getInfo.php?workbook=13_02.xlsx&amp;sheet=U0&amp;row=1731&amp;col=7&amp;number=0.000228&amp;sourceID=14","0.000228")</f>
        <v>0.000228</v>
      </c>
    </row>
    <row r="1732" spans="1:7">
      <c r="A1732" s="3"/>
      <c r="B1732" s="3"/>
      <c r="C1732" s="3"/>
      <c r="D1732" s="3"/>
      <c r="E1732" s="3">
        <v>9</v>
      </c>
      <c r="F1732" s="4" t="str">
        <f>HYPERLINK("http://141.218.60.56/~jnz1568/getInfo.php?workbook=13_02.xlsx&amp;sheet=U0&amp;row=1732&amp;col=6&amp;number=3.8&amp;sourceID=14","3.8")</f>
        <v>3.8</v>
      </c>
      <c r="G1732" s="4" t="str">
        <f>HYPERLINK("http://141.218.60.56/~jnz1568/getInfo.php?workbook=13_02.xlsx&amp;sheet=U0&amp;row=1732&amp;col=7&amp;number=0.000228&amp;sourceID=14","0.000228")</f>
        <v>0.000228</v>
      </c>
    </row>
    <row r="1733" spans="1:7">
      <c r="A1733" s="3"/>
      <c r="B1733" s="3"/>
      <c r="C1733" s="3"/>
      <c r="D1733" s="3"/>
      <c r="E1733" s="3">
        <v>10</v>
      </c>
      <c r="F1733" s="4" t="str">
        <f>HYPERLINK("http://141.218.60.56/~jnz1568/getInfo.php?workbook=13_02.xlsx&amp;sheet=U0&amp;row=1733&amp;col=6&amp;number=3.9&amp;sourceID=14","3.9")</f>
        <v>3.9</v>
      </c>
      <c r="G1733" s="4" t="str">
        <f>HYPERLINK("http://141.218.60.56/~jnz1568/getInfo.php?workbook=13_02.xlsx&amp;sheet=U0&amp;row=1733&amp;col=7&amp;number=0.000228&amp;sourceID=14","0.000228")</f>
        <v>0.000228</v>
      </c>
    </row>
    <row r="1734" spans="1:7">
      <c r="A1734" s="3"/>
      <c r="B1734" s="3"/>
      <c r="C1734" s="3"/>
      <c r="D1734" s="3"/>
      <c r="E1734" s="3">
        <v>11</v>
      </c>
      <c r="F1734" s="4" t="str">
        <f>HYPERLINK("http://141.218.60.56/~jnz1568/getInfo.php?workbook=13_02.xlsx&amp;sheet=U0&amp;row=1734&amp;col=6&amp;number=4&amp;sourceID=14","4")</f>
        <v>4</v>
      </c>
      <c r="G1734" s="4" t="str">
        <f>HYPERLINK("http://141.218.60.56/~jnz1568/getInfo.php?workbook=13_02.xlsx&amp;sheet=U0&amp;row=1734&amp;col=7&amp;number=0.000228&amp;sourceID=14","0.000228")</f>
        <v>0.000228</v>
      </c>
    </row>
    <row r="1735" spans="1:7">
      <c r="A1735" s="3"/>
      <c r="B1735" s="3"/>
      <c r="C1735" s="3"/>
      <c r="D1735" s="3"/>
      <c r="E1735" s="3">
        <v>12</v>
      </c>
      <c r="F1735" s="4" t="str">
        <f>HYPERLINK("http://141.218.60.56/~jnz1568/getInfo.php?workbook=13_02.xlsx&amp;sheet=U0&amp;row=1735&amp;col=6&amp;number=4.1&amp;sourceID=14","4.1")</f>
        <v>4.1</v>
      </c>
      <c r="G1735" s="4" t="str">
        <f>HYPERLINK("http://141.218.60.56/~jnz1568/getInfo.php?workbook=13_02.xlsx&amp;sheet=U0&amp;row=1735&amp;col=7&amp;number=0.000228&amp;sourceID=14","0.000228")</f>
        <v>0.000228</v>
      </c>
    </row>
    <row r="1736" spans="1:7">
      <c r="A1736" s="3"/>
      <c r="B1736" s="3"/>
      <c r="C1736" s="3"/>
      <c r="D1736" s="3"/>
      <c r="E1736" s="3">
        <v>13</v>
      </c>
      <c r="F1736" s="4" t="str">
        <f>HYPERLINK("http://141.218.60.56/~jnz1568/getInfo.php?workbook=13_02.xlsx&amp;sheet=U0&amp;row=1736&amp;col=6&amp;number=4.2&amp;sourceID=14","4.2")</f>
        <v>4.2</v>
      </c>
      <c r="G1736" s="4" t="str">
        <f>HYPERLINK("http://141.218.60.56/~jnz1568/getInfo.php?workbook=13_02.xlsx&amp;sheet=U0&amp;row=1736&amp;col=7&amp;number=0.000228&amp;sourceID=14","0.000228")</f>
        <v>0.000228</v>
      </c>
    </row>
    <row r="1737" spans="1:7">
      <c r="A1737" s="3"/>
      <c r="B1737" s="3"/>
      <c r="C1737" s="3"/>
      <c r="D1737" s="3"/>
      <c r="E1737" s="3">
        <v>14</v>
      </c>
      <c r="F1737" s="4" t="str">
        <f>HYPERLINK("http://141.218.60.56/~jnz1568/getInfo.php?workbook=13_02.xlsx&amp;sheet=U0&amp;row=1737&amp;col=6&amp;number=4.3&amp;sourceID=14","4.3")</f>
        <v>4.3</v>
      </c>
      <c r="G1737" s="4" t="str">
        <f>HYPERLINK("http://141.218.60.56/~jnz1568/getInfo.php?workbook=13_02.xlsx&amp;sheet=U0&amp;row=1737&amp;col=7&amp;number=0.000228&amp;sourceID=14","0.000228")</f>
        <v>0.000228</v>
      </c>
    </row>
    <row r="1738" spans="1:7">
      <c r="A1738" s="3"/>
      <c r="B1738" s="3"/>
      <c r="C1738" s="3"/>
      <c r="D1738" s="3"/>
      <c r="E1738" s="3">
        <v>15</v>
      </c>
      <c r="F1738" s="4" t="str">
        <f>HYPERLINK("http://141.218.60.56/~jnz1568/getInfo.php?workbook=13_02.xlsx&amp;sheet=U0&amp;row=1738&amp;col=6&amp;number=4.4&amp;sourceID=14","4.4")</f>
        <v>4.4</v>
      </c>
      <c r="G1738" s="4" t="str">
        <f>HYPERLINK("http://141.218.60.56/~jnz1568/getInfo.php?workbook=13_02.xlsx&amp;sheet=U0&amp;row=1738&amp;col=7&amp;number=0.000228&amp;sourceID=14","0.000228")</f>
        <v>0.000228</v>
      </c>
    </row>
    <row r="1739" spans="1:7">
      <c r="A1739" s="3"/>
      <c r="B1739" s="3"/>
      <c r="C1739" s="3"/>
      <c r="D1739" s="3"/>
      <c r="E1739" s="3">
        <v>16</v>
      </c>
      <c r="F1739" s="4" t="str">
        <f>HYPERLINK("http://141.218.60.56/~jnz1568/getInfo.php?workbook=13_02.xlsx&amp;sheet=U0&amp;row=1739&amp;col=6&amp;number=4.5&amp;sourceID=14","4.5")</f>
        <v>4.5</v>
      </c>
      <c r="G1739" s="4" t="str">
        <f>HYPERLINK("http://141.218.60.56/~jnz1568/getInfo.php?workbook=13_02.xlsx&amp;sheet=U0&amp;row=1739&amp;col=7&amp;number=0.000228&amp;sourceID=14","0.000228")</f>
        <v>0.000228</v>
      </c>
    </row>
    <row r="1740" spans="1:7">
      <c r="A1740" s="3"/>
      <c r="B1740" s="3"/>
      <c r="C1740" s="3"/>
      <c r="D1740" s="3"/>
      <c r="E1740" s="3">
        <v>17</v>
      </c>
      <c r="F1740" s="4" t="str">
        <f>HYPERLINK("http://141.218.60.56/~jnz1568/getInfo.php?workbook=13_02.xlsx&amp;sheet=U0&amp;row=1740&amp;col=6&amp;number=4.6&amp;sourceID=14","4.6")</f>
        <v>4.6</v>
      </c>
      <c r="G1740" s="4" t="str">
        <f>HYPERLINK("http://141.218.60.56/~jnz1568/getInfo.php?workbook=13_02.xlsx&amp;sheet=U0&amp;row=1740&amp;col=7&amp;number=0.000227&amp;sourceID=14","0.000227")</f>
        <v>0.000227</v>
      </c>
    </row>
    <row r="1741" spans="1:7">
      <c r="A1741" s="3"/>
      <c r="B1741" s="3"/>
      <c r="C1741" s="3"/>
      <c r="D1741" s="3"/>
      <c r="E1741" s="3">
        <v>18</v>
      </c>
      <c r="F1741" s="4" t="str">
        <f>HYPERLINK("http://141.218.60.56/~jnz1568/getInfo.php?workbook=13_02.xlsx&amp;sheet=U0&amp;row=1741&amp;col=6&amp;number=4.7&amp;sourceID=14","4.7")</f>
        <v>4.7</v>
      </c>
      <c r="G1741" s="4" t="str">
        <f>HYPERLINK("http://141.218.60.56/~jnz1568/getInfo.php?workbook=13_02.xlsx&amp;sheet=U0&amp;row=1741&amp;col=7&amp;number=0.000227&amp;sourceID=14","0.000227")</f>
        <v>0.000227</v>
      </c>
    </row>
    <row r="1742" spans="1:7">
      <c r="A1742" s="3"/>
      <c r="B1742" s="3"/>
      <c r="C1742" s="3"/>
      <c r="D1742" s="3"/>
      <c r="E1742" s="3">
        <v>19</v>
      </c>
      <c r="F1742" s="4" t="str">
        <f>HYPERLINK("http://141.218.60.56/~jnz1568/getInfo.php?workbook=13_02.xlsx&amp;sheet=U0&amp;row=1742&amp;col=6&amp;number=4.8&amp;sourceID=14","4.8")</f>
        <v>4.8</v>
      </c>
      <c r="G1742" s="4" t="str">
        <f>HYPERLINK("http://141.218.60.56/~jnz1568/getInfo.php?workbook=13_02.xlsx&amp;sheet=U0&amp;row=1742&amp;col=7&amp;number=0.000227&amp;sourceID=14","0.000227")</f>
        <v>0.000227</v>
      </c>
    </row>
    <row r="1743" spans="1:7">
      <c r="A1743" s="3"/>
      <c r="B1743" s="3"/>
      <c r="C1743" s="3"/>
      <c r="D1743" s="3"/>
      <c r="E1743" s="3">
        <v>20</v>
      </c>
      <c r="F1743" s="4" t="str">
        <f>HYPERLINK("http://141.218.60.56/~jnz1568/getInfo.php?workbook=13_02.xlsx&amp;sheet=U0&amp;row=1743&amp;col=6&amp;number=4.9&amp;sourceID=14","4.9")</f>
        <v>4.9</v>
      </c>
      <c r="G1743" s="4" t="str">
        <f>HYPERLINK("http://141.218.60.56/~jnz1568/getInfo.php?workbook=13_02.xlsx&amp;sheet=U0&amp;row=1743&amp;col=7&amp;number=0.000227&amp;sourceID=14","0.000227")</f>
        <v>0.000227</v>
      </c>
    </row>
    <row r="1744" spans="1:7">
      <c r="A1744" s="3">
        <v>13</v>
      </c>
      <c r="B1744" s="3">
        <v>2</v>
      </c>
      <c r="C1744" s="3" t="s">
        <v>87</v>
      </c>
      <c r="D1744" s="3">
        <v>7</v>
      </c>
      <c r="E1744" s="3">
        <v>1</v>
      </c>
      <c r="F1744" s="4" t="str">
        <f>HYPERLINK("http://141.218.60.56/~jnz1568/getInfo.php?workbook=13_02.xlsx&amp;sheet=U0&amp;row=1744&amp;col=6&amp;number=3&amp;sourceID=14","3")</f>
        <v>3</v>
      </c>
      <c r="G1744" s="4" t="str">
        <f>HYPERLINK("http://141.218.60.56/~jnz1568/getInfo.php?workbook=13_02.xlsx&amp;sheet=U0&amp;row=1744&amp;col=7&amp;number=0.000292&amp;sourceID=14","0.000292")</f>
        <v>0.000292</v>
      </c>
    </row>
    <row r="1745" spans="1:7">
      <c r="A1745" s="3"/>
      <c r="B1745" s="3"/>
      <c r="C1745" s="3"/>
      <c r="D1745" s="3"/>
      <c r="E1745" s="3">
        <v>2</v>
      </c>
      <c r="F1745" s="4" t="str">
        <f>HYPERLINK("http://141.218.60.56/~jnz1568/getInfo.php?workbook=13_02.xlsx&amp;sheet=U0&amp;row=1745&amp;col=6&amp;number=3.1&amp;sourceID=14","3.1")</f>
        <v>3.1</v>
      </c>
      <c r="G1745" s="4" t="str">
        <f>HYPERLINK("http://141.218.60.56/~jnz1568/getInfo.php?workbook=13_02.xlsx&amp;sheet=U0&amp;row=1745&amp;col=7&amp;number=0.000292&amp;sourceID=14","0.000292")</f>
        <v>0.000292</v>
      </c>
    </row>
    <row r="1746" spans="1:7">
      <c r="A1746" s="3"/>
      <c r="B1746" s="3"/>
      <c r="C1746" s="3"/>
      <c r="D1746" s="3"/>
      <c r="E1746" s="3">
        <v>3</v>
      </c>
      <c r="F1746" s="4" t="str">
        <f>HYPERLINK("http://141.218.60.56/~jnz1568/getInfo.php?workbook=13_02.xlsx&amp;sheet=U0&amp;row=1746&amp;col=6&amp;number=3.2&amp;sourceID=14","3.2")</f>
        <v>3.2</v>
      </c>
      <c r="G1746" s="4" t="str">
        <f>HYPERLINK("http://141.218.60.56/~jnz1568/getInfo.php?workbook=13_02.xlsx&amp;sheet=U0&amp;row=1746&amp;col=7&amp;number=0.000292&amp;sourceID=14","0.000292")</f>
        <v>0.000292</v>
      </c>
    </row>
    <row r="1747" spans="1:7">
      <c r="A1747" s="3"/>
      <c r="B1747" s="3"/>
      <c r="C1747" s="3"/>
      <c r="D1747" s="3"/>
      <c r="E1747" s="3">
        <v>4</v>
      </c>
      <c r="F1747" s="4" t="str">
        <f>HYPERLINK("http://141.218.60.56/~jnz1568/getInfo.php?workbook=13_02.xlsx&amp;sheet=U0&amp;row=1747&amp;col=6&amp;number=3.3&amp;sourceID=14","3.3")</f>
        <v>3.3</v>
      </c>
      <c r="G1747" s="4" t="str">
        <f>HYPERLINK("http://141.218.60.56/~jnz1568/getInfo.php?workbook=13_02.xlsx&amp;sheet=U0&amp;row=1747&amp;col=7&amp;number=0.000292&amp;sourceID=14","0.000292")</f>
        <v>0.000292</v>
      </c>
    </row>
    <row r="1748" spans="1:7">
      <c r="A1748" s="3"/>
      <c r="B1748" s="3"/>
      <c r="C1748" s="3"/>
      <c r="D1748" s="3"/>
      <c r="E1748" s="3">
        <v>5</v>
      </c>
      <c r="F1748" s="4" t="str">
        <f>HYPERLINK("http://141.218.60.56/~jnz1568/getInfo.php?workbook=13_02.xlsx&amp;sheet=U0&amp;row=1748&amp;col=6&amp;number=3.4&amp;sourceID=14","3.4")</f>
        <v>3.4</v>
      </c>
      <c r="G1748" s="4" t="str">
        <f>HYPERLINK("http://141.218.60.56/~jnz1568/getInfo.php?workbook=13_02.xlsx&amp;sheet=U0&amp;row=1748&amp;col=7&amp;number=0.000292&amp;sourceID=14","0.000292")</f>
        <v>0.000292</v>
      </c>
    </row>
    <row r="1749" spans="1:7">
      <c r="A1749" s="3"/>
      <c r="B1749" s="3"/>
      <c r="C1749" s="3"/>
      <c r="D1749" s="3"/>
      <c r="E1749" s="3">
        <v>6</v>
      </c>
      <c r="F1749" s="4" t="str">
        <f>HYPERLINK("http://141.218.60.56/~jnz1568/getInfo.php?workbook=13_02.xlsx&amp;sheet=U0&amp;row=1749&amp;col=6&amp;number=3.5&amp;sourceID=14","3.5")</f>
        <v>3.5</v>
      </c>
      <c r="G1749" s="4" t="str">
        <f>HYPERLINK("http://141.218.60.56/~jnz1568/getInfo.php?workbook=13_02.xlsx&amp;sheet=U0&amp;row=1749&amp;col=7&amp;number=0.000292&amp;sourceID=14","0.000292")</f>
        <v>0.000292</v>
      </c>
    </row>
    <row r="1750" spans="1:7">
      <c r="A1750" s="3"/>
      <c r="B1750" s="3"/>
      <c r="C1750" s="3"/>
      <c r="D1750" s="3"/>
      <c r="E1750" s="3">
        <v>7</v>
      </c>
      <c r="F1750" s="4" t="str">
        <f>HYPERLINK("http://141.218.60.56/~jnz1568/getInfo.php?workbook=13_02.xlsx&amp;sheet=U0&amp;row=1750&amp;col=6&amp;number=3.6&amp;sourceID=14","3.6")</f>
        <v>3.6</v>
      </c>
      <c r="G1750" s="4" t="str">
        <f>HYPERLINK("http://141.218.60.56/~jnz1568/getInfo.php?workbook=13_02.xlsx&amp;sheet=U0&amp;row=1750&amp;col=7&amp;number=0.000292&amp;sourceID=14","0.000292")</f>
        <v>0.000292</v>
      </c>
    </row>
    <row r="1751" spans="1:7">
      <c r="A1751" s="3"/>
      <c r="B1751" s="3"/>
      <c r="C1751" s="3"/>
      <c r="D1751" s="3"/>
      <c r="E1751" s="3">
        <v>8</v>
      </c>
      <c r="F1751" s="4" t="str">
        <f>HYPERLINK("http://141.218.60.56/~jnz1568/getInfo.php?workbook=13_02.xlsx&amp;sheet=U0&amp;row=1751&amp;col=6&amp;number=3.7&amp;sourceID=14","3.7")</f>
        <v>3.7</v>
      </c>
      <c r="G1751" s="4" t="str">
        <f>HYPERLINK("http://141.218.60.56/~jnz1568/getInfo.php?workbook=13_02.xlsx&amp;sheet=U0&amp;row=1751&amp;col=7&amp;number=0.000292&amp;sourceID=14","0.000292")</f>
        <v>0.000292</v>
      </c>
    </row>
    <row r="1752" spans="1:7">
      <c r="A1752" s="3"/>
      <c r="B1752" s="3"/>
      <c r="C1752" s="3"/>
      <c r="D1752" s="3"/>
      <c r="E1752" s="3">
        <v>9</v>
      </c>
      <c r="F1752" s="4" t="str">
        <f>HYPERLINK("http://141.218.60.56/~jnz1568/getInfo.php?workbook=13_02.xlsx&amp;sheet=U0&amp;row=1752&amp;col=6&amp;number=3.8&amp;sourceID=14","3.8")</f>
        <v>3.8</v>
      </c>
      <c r="G1752" s="4" t="str">
        <f>HYPERLINK("http://141.218.60.56/~jnz1568/getInfo.php?workbook=13_02.xlsx&amp;sheet=U0&amp;row=1752&amp;col=7&amp;number=0.000292&amp;sourceID=14","0.000292")</f>
        <v>0.000292</v>
      </c>
    </row>
    <row r="1753" spans="1:7">
      <c r="A1753" s="3"/>
      <c r="B1753" s="3"/>
      <c r="C1753" s="3"/>
      <c r="D1753" s="3"/>
      <c r="E1753" s="3">
        <v>10</v>
      </c>
      <c r="F1753" s="4" t="str">
        <f>HYPERLINK("http://141.218.60.56/~jnz1568/getInfo.php?workbook=13_02.xlsx&amp;sheet=U0&amp;row=1753&amp;col=6&amp;number=3.9&amp;sourceID=14","3.9")</f>
        <v>3.9</v>
      </c>
      <c r="G1753" s="4" t="str">
        <f>HYPERLINK("http://141.218.60.56/~jnz1568/getInfo.php?workbook=13_02.xlsx&amp;sheet=U0&amp;row=1753&amp;col=7&amp;number=0.000292&amp;sourceID=14","0.000292")</f>
        <v>0.000292</v>
      </c>
    </row>
    <row r="1754" spans="1:7">
      <c r="A1754" s="3"/>
      <c r="B1754" s="3"/>
      <c r="C1754" s="3"/>
      <c r="D1754" s="3"/>
      <c r="E1754" s="3">
        <v>11</v>
      </c>
      <c r="F1754" s="4" t="str">
        <f>HYPERLINK("http://141.218.60.56/~jnz1568/getInfo.php?workbook=13_02.xlsx&amp;sheet=U0&amp;row=1754&amp;col=6&amp;number=4&amp;sourceID=14","4")</f>
        <v>4</v>
      </c>
      <c r="G1754" s="4" t="str">
        <f>HYPERLINK("http://141.218.60.56/~jnz1568/getInfo.php?workbook=13_02.xlsx&amp;sheet=U0&amp;row=1754&amp;col=7&amp;number=0.000292&amp;sourceID=14","0.000292")</f>
        <v>0.000292</v>
      </c>
    </row>
    <row r="1755" spans="1:7">
      <c r="A1755" s="3"/>
      <c r="B1755" s="3"/>
      <c r="C1755" s="3"/>
      <c r="D1755" s="3"/>
      <c r="E1755" s="3">
        <v>12</v>
      </c>
      <c r="F1755" s="4" t="str">
        <f>HYPERLINK("http://141.218.60.56/~jnz1568/getInfo.php?workbook=13_02.xlsx&amp;sheet=U0&amp;row=1755&amp;col=6&amp;number=4.1&amp;sourceID=14","4.1")</f>
        <v>4.1</v>
      </c>
      <c r="G1755" s="4" t="str">
        <f>HYPERLINK("http://141.218.60.56/~jnz1568/getInfo.php?workbook=13_02.xlsx&amp;sheet=U0&amp;row=1755&amp;col=7&amp;number=0.000292&amp;sourceID=14","0.000292")</f>
        <v>0.000292</v>
      </c>
    </row>
    <row r="1756" spans="1:7">
      <c r="A1756" s="3"/>
      <c r="B1756" s="3"/>
      <c r="C1756" s="3"/>
      <c r="D1756" s="3"/>
      <c r="E1756" s="3">
        <v>13</v>
      </c>
      <c r="F1756" s="4" t="str">
        <f>HYPERLINK("http://141.218.60.56/~jnz1568/getInfo.php?workbook=13_02.xlsx&amp;sheet=U0&amp;row=1756&amp;col=6&amp;number=4.2&amp;sourceID=14","4.2")</f>
        <v>4.2</v>
      </c>
      <c r="G1756" s="4" t="str">
        <f>HYPERLINK("http://141.218.60.56/~jnz1568/getInfo.php?workbook=13_02.xlsx&amp;sheet=U0&amp;row=1756&amp;col=7&amp;number=0.000292&amp;sourceID=14","0.000292")</f>
        <v>0.000292</v>
      </c>
    </row>
    <row r="1757" spans="1:7">
      <c r="A1757" s="3"/>
      <c r="B1757" s="3"/>
      <c r="C1757" s="3"/>
      <c r="D1757" s="3"/>
      <c r="E1757" s="3">
        <v>14</v>
      </c>
      <c r="F1757" s="4" t="str">
        <f>HYPERLINK("http://141.218.60.56/~jnz1568/getInfo.php?workbook=13_02.xlsx&amp;sheet=U0&amp;row=1757&amp;col=6&amp;number=4.3&amp;sourceID=14","4.3")</f>
        <v>4.3</v>
      </c>
      <c r="G1757" s="4" t="str">
        <f>HYPERLINK("http://141.218.60.56/~jnz1568/getInfo.php?workbook=13_02.xlsx&amp;sheet=U0&amp;row=1757&amp;col=7&amp;number=0.000291&amp;sourceID=14","0.000291")</f>
        <v>0.000291</v>
      </c>
    </row>
    <row r="1758" spans="1:7">
      <c r="A1758" s="3"/>
      <c r="B1758" s="3"/>
      <c r="C1758" s="3"/>
      <c r="D1758" s="3"/>
      <c r="E1758" s="3">
        <v>15</v>
      </c>
      <c r="F1758" s="4" t="str">
        <f>HYPERLINK("http://141.218.60.56/~jnz1568/getInfo.php?workbook=13_02.xlsx&amp;sheet=U0&amp;row=1758&amp;col=6&amp;number=4.4&amp;sourceID=14","4.4")</f>
        <v>4.4</v>
      </c>
      <c r="G1758" s="4" t="str">
        <f>HYPERLINK("http://141.218.60.56/~jnz1568/getInfo.php?workbook=13_02.xlsx&amp;sheet=U0&amp;row=1758&amp;col=7&amp;number=0.000291&amp;sourceID=14","0.000291")</f>
        <v>0.000291</v>
      </c>
    </row>
    <row r="1759" spans="1:7">
      <c r="A1759" s="3"/>
      <c r="B1759" s="3"/>
      <c r="C1759" s="3"/>
      <c r="D1759" s="3"/>
      <c r="E1759" s="3">
        <v>16</v>
      </c>
      <c r="F1759" s="4" t="str">
        <f>HYPERLINK("http://141.218.60.56/~jnz1568/getInfo.php?workbook=13_02.xlsx&amp;sheet=U0&amp;row=1759&amp;col=6&amp;number=4.5&amp;sourceID=14","4.5")</f>
        <v>4.5</v>
      </c>
      <c r="G1759" s="4" t="str">
        <f>HYPERLINK("http://141.218.60.56/~jnz1568/getInfo.php?workbook=13_02.xlsx&amp;sheet=U0&amp;row=1759&amp;col=7&amp;number=0.000291&amp;sourceID=14","0.000291")</f>
        <v>0.000291</v>
      </c>
    </row>
    <row r="1760" spans="1:7">
      <c r="A1760" s="3"/>
      <c r="B1760" s="3"/>
      <c r="C1760" s="3"/>
      <c r="D1760" s="3"/>
      <c r="E1760" s="3">
        <v>17</v>
      </c>
      <c r="F1760" s="4" t="str">
        <f>HYPERLINK("http://141.218.60.56/~jnz1568/getInfo.php?workbook=13_02.xlsx&amp;sheet=U0&amp;row=1760&amp;col=6&amp;number=4.6&amp;sourceID=14","4.6")</f>
        <v>4.6</v>
      </c>
      <c r="G1760" s="4" t="str">
        <f>HYPERLINK("http://141.218.60.56/~jnz1568/getInfo.php?workbook=13_02.xlsx&amp;sheet=U0&amp;row=1760&amp;col=7&amp;number=0.000291&amp;sourceID=14","0.000291")</f>
        <v>0.000291</v>
      </c>
    </row>
    <row r="1761" spans="1:7">
      <c r="A1761" s="3"/>
      <c r="B1761" s="3"/>
      <c r="C1761" s="3"/>
      <c r="D1761" s="3"/>
      <c r="E1761" s="3">
        <v>18</v>
      </c>
      <c r="F1761" s="4" t="str">
        <f>HYPERLINK("http://141.218.60.56/~jnz1568/getInfo.php?workbook=13_02.xlsx&amp;sheet=U0&amp;row=1761&amp;col=6&amp;number=4.7&amp;sourceID=14","4.7")</f>
        <v>4.7</v>
      </c>
      <c r="G1761" s="4" t="str">
        <f>HYPERLINK("http://141.218.60.56/~jnz1568/getInfo.php?workbook=13_02.xlsx&amp;sheet=U0&amp;row=1761&amp;col=7&amp;number=0.00029&amp;sourceID=14","0.00029")</f>
        <v>0.00029</v>
      </c>
    </row>
    <row r="1762" spans="1:7">
      <c r="A1762" s="3"/>
      <c r="B1762" s="3"/>
      <c r="C1762" s="3"/>
      <c r="D1762" s="3"/>
      <c r="E1762" s="3">
        <v>19</v>
      </c>
      <c r="F1762" s="4" t="str">
        <f>HYPERLINK("http://141.218.60.56/~jnz1568/getInfo.php?workbook=13_02.xlsx&amp;sheet=U0&amp;row=1762&amp;col=6&amp;number=4.8&amp;sourceID=14","4.8")</f>
        <v>4.8</v>
      </c>
      <c r="G1762" s="4" t="str">
        <f>HYPERLINK("http://141.218.60.56/~jnz1568/getInfo.php?workbook=13_02.xlsx&amp;sheet=U0&amp;row=1762&amp;col=7&amp;number=0.00029&amp;sourceID=14","0.00029")</f>
        <v>0.00029</v>
      </c>
    </row>
    <row r="1763" spans="1:7">
      <c r="A1763" s="3"/>
      <c r="B1763" s="3"/>
      <c r="C1763" s="3"/>
      <c r="D1763" s="3"/>
      <c r="E1763" s="3">
        <v>20</v>
      </c>
      <c r="F1763" s="4" t="str">
        <f>HYPERLINK("http://141.218.60.56/~jnz1568/getInfo.php?workbook=13_02.xlsx&amp;sheet=U0&amp;row=1763&amp;col=6&amp;number=4.9&amp;sourceID=14","4.9")</f>
        <v>4.9</v>
      </c>
      <c r="G1763" s="4" t="str">
        <f>HYPERLINK("http://141.218.60.56/~jnz1568/getInfo.php?workbook=13_02.xlsx&amp;sheet=U0&amp;row=1763&amp;col=7&amp;number=0.000289&amp;sourceID=14","0.000289")</f>
        <v>0.000289</v>
      </c>
    </row>
    <row r="1764" spans="1:7">
      <c r="A1764" s="3">
        <v>13</v>
      </c>
      <c r="B1764" s="3">
        <v>2</v>
      </c>
      <c r="C1764" s="3" t="s">
        <v>87</v>
      </c>
      <c r="D1764" s="3">
        <v>8</v>
      </c>
      <c r="E1764" s="3">
        <v>1</v>
      </c>
      <c r="F1764" s="4" t="str">
        <f>HYPERLINK("http://141.218.60.56/~jnz1568/getInfo.php?workbook=13_02.xlsx&amp;sheet=U0&amp;row=1764&amp;col=6&amp;number=3&amp;sourceID=14","3")</f>
        <v>3</v>
      </c>
      <c r="G1764" s="4" t="str">
        <f>HYPERLINK("http://141.218.60.56/~jnz1568/getInfo.php?workbook=13_02.xlsx&amp;sheet=U0&amp;row=1764&amp;col=7&amp;number=0.000358&amp;sourceID=14","0.000358")</f>
        <v>0.000358</v>
      </c>
    </row>
    <row r="1765" spans="1:7">
      <c r="A1765" s="3"/>
      <c r="B1765" s="3"/>
      <c r="C1765" s="3"/>
      <c r="D1765" s="3"/>
      <c r="E1765" s="3">
        <v>2</v>
      </c>
      <c r="F1765" s="4" t="str">
        <f>HYPERLINK("http://141.218.60.56/~jnz1568/getInfo.php?workbook=13_02.xlsx&amp;sheet=U0&amp;row=1765&amp;col=6&amp;number=3.1&amp;sourceID=14","3.1")</f>
        <v>3.1</v>
      </c>
      <c r="G1765" s="4" t="str">
        <f>HYPERLINK("http://141.218.60.56/~jnz1568/getInfo.php?workbook=13_02.xlsx&amp;sheet=U0&amp;row=1765&amp;col=7&amp;number=0.000358&amp;sourceID=14","0.000358")</f>
        <v>0.000358</v>
      </c>
    </row>
    <row r="1766" spans="1:7">
      <c r="A1766" s="3"/>
      <c r="B1766" s="3"/>
      <c r="C1766" s="3"/>
      <c r="D1766" s="3"/>
      <c r="E1766" s="3">
        <v>3</v>
      </c>
      <c r="F1766" s="4" t="str">
        <f>HYPERLINK("http://141.218.60.56/~jnz1568/getInfo.php?workbook=13_02.xlsx&amp;sheet=U0&amp;row=1766&amp;col=6&amp;number=3.2&amp;sourceID=14","3.2")</f>
        <v>3.2</v>
      </c>
      <c r="G1766" s="4" t="str">
        <f>HYPERLINK("http://141.218.60.56/~jnz1568/getInfo.php?workbook=13_02.xlsx&amp;sheet=U0&amp;row=1766&amp;col=7&amp;number=0.000358&amp;sourceID=14","0.000358")</f>
        <v>0.000358</v>
      </c>
    </row>
    <row r="1767" spans="1:7">
      <c r="A1767" s="3"/>
      <c r="B1767" s="3"/>
      <c r="C1767" s="3"/>
      <c r="D1767" s="3"/>
      <c r="E1767" s="3">
        <v>4</v>
      </c>
      <c r="F1767" s="4" t="str">
        <f>HYPERLINK("http://141.218.60.56/~jnz1568/getInfo.php?workbook=13_02.xlsx&amp;sheet=U0&amp;row=1767&amp;col=6&amp;number=3.3&amp;sourceID=14","3.3")</f>
        <v>3.3</v>
      </c>
      <c r="G1767" s="4" t="str">
        <f>HYPERLINK("http://141.218.60.56/~jnz1568/getInfo.php?workbook=13_02.xlsx&amp;sheet=U0&amp;row=1767&amp;col=7&amp;number=0.000358&amp;sourceID=14","0.000358")</f>
        <v>0.000358</v>
      </c>
    </row>
    <row r="1768" spans="1:7">
      <c r="A1768" s="3"/>
      <c r="B1768" s="3"/>
      <c r="C1768" s="3"/>
      <c r="D1768" s="3"/>
      <c r="E1768" s="3">
        <v>5</v>
      </c>
      <c r="F1768" s="4" t="str">
        <f>HYPERLINK("http://141.218.60.56/~jnz1568/getInfo.php?workbook=13_02.xlsx&amp;sheet=U0&amp;row=1768&amp;col=6&amp;number=3.4&amp;sourceID=14","3.4")</f>
        <v>3.4</v>
      </c>
      <c r="G1768" s="4" t="str">
        <f>HYPERLINK("http://141.218.60.56/~jnz1568/getInfo.php?workbook=13_02.xlsx&amp;sheet=U0&amp;row=1768&amp;col=7&amp;number=0.000358&amp;sourceID=14","0.000358")</f>
        <v>0.000358</v>
      </c>
    </row>
    <row r="1769" spans="1:7">
      <c r="A1769" s="3"/>
      <c r="B1769" s="3"/>
      <c r="C1769" s="3"/>
      <c r="D1769" s="3"/>
      <c r="E1769" s="3">
        <v>6</v>
      </c>
      <c r="F1769" s="4" t="str">
        <f>HYPERLINK("http://141.218.60.56/~jnz1568/getInfo.php?workbook=13_02.xlsx&amp;sheet=U0&amp;row=1769&amp;col=6&amp;number=3.5&amp;sourceID=14","3.5")</f>
        <v>3.5</v>
      </c>
      <c r="G1769" s="4" t="str">
        <f>HYPERLINK("http://141.218.60.56/~jnz1568/getInfo.php?workbook=13_02.xlsx&amp;sheet=U0&amp;row=1769&amp;col=7&amp;number=0.000358&amp;sourceID=14","0.000358")</f>
        <v>0.000358</v>
      </c>
    </row>
    <row r="1770" spans="1:7">
      <c r="A1770" s="3"/>
      <c r="B1770" s="3"/>
      <c r="C1770" s="3"/>
      <c r="D1770" s="3"/>
      <c r="E1770" s="3">
        <v>7</v>
      </c>
      <c r="F1770" s="4" t="str">
        <f>HYPERLINK("http://141.218.60.56/~jnz1568/getInfo.php?workbook=13_02.xlsx&amp;sheet=U0&amp;row=1770&amp;col=6&amp;number=3.6&amp;sourceID=14","3.6")</f>
        <v>3.6</v>
      </c>
      <c r="G1770" s="4" t="str">
        <f>HYPERLINK("http://141.218.60.56/~jnz1568/getInfo.php?workbook=13_02.xlsx&amp;sheet=U0&amp;row=1770&amp;col=7&amp;number=0.000358&amp;sourceID=14","0.000358")</f>
        <v>0.000358</v>
      </c>
    </row>
    <row r="1771" spans="1:7">
      <c r="A1771" s="3"/>
      <c r="B1771" s="3"/>
      <c r="C1771" s="3"/>
      <c r="D1771" s="3"/>
      <c r="E1771" s="3">
        <v>8</v>
      </c>
      <c r="F1771" s="4" t="str">
        <f>HYPERLINK("http://141.218.60.56/~jnz1568/getInfo.php?workbook=13_02.xlsx&amp;sheet=U0&amp;row=1771&amp;col=6&amp;number=3.7&amp;sourceID=14","3.7")</f>
        <v>3.7</v>
      </c>
      <c r="G1771" s="4" t="str">
        <f>HYPERLINK("http://141.218.60.56/~jnz1568/getInfo.php?workbook=13_02.xlsx&amp;sheet=U0&amp;row=1771&amp;col=7&amp;number=0.000358&amp;sourceID=14","0.000358")</f>
        <v>0.000358</v>
      </c>
    </row>
    <row r="1772" spans="1:7">
      <c r="A1772" s="3"/>
      <c r="B1772" s="3"/>
      <c r="C1772" s="3"/>
      <c r="D1772" s="3"/>
      <c r="E1772" s="3">
        <v>9</v>
      </c>
      <c r="F1772" s="4" t="str">
        <f>HYPERLINK("http://141.218.60.56/~jnz1568/getInfo.php?workbook=13_02.xlsx&amp;sheet=U0&amp;row=1772&amp;col=6&amp;number=3.8&amp;sourceID=14","3.8")</f>
        <v>3.8</v>
      </c>
      <c r="G1772" s="4" t="str">
        <f>HYPERLINK("http://141.218.60.56/~jnz1568/getInfo.php?workbook=13_02.xlsx&amp;sheet=U0&amp;row=1772&amp;col=7&amp;number=0.000358&amp;sourceID=14","0.000358")</f>
        <v>0.000358</v>
      </c>
    </row>
    <row r="1773" spans="1:7">
      <c r="A1773" s="3"/>
      <c r="B1773" s="3"/>
      <c r="C1773" s="3"/>
      <c r="D1773" s="3"/>
      <c r="E1773" s="3">
        <v>10</v>
      </c>
      <c r="F1773" s="4" t="str">
        <f>HYPERLINK("http://141.218.60.56/~jnz1568/getInfo.php?workbook=13_02.xlsx&amp;sheet=U0&amp;row=1773&amp;col=6&amp;number=3.9&amp;sourceID=14","3.9")</f>
        <v>3.9</v>
      </c>
      <c r="G1773" s="4" t="str">
        <f>HYPERLINK("http://141.218.60.56/~jnz1568/getInfo.php?workbook=13_02.xlsx&amp;sheet=U0&amp;row=1773&amp;col=7&amp;number=0.000358&amp;sourceID=14","0.000358")</f>
        <v>0.000358</v>
      </c>
    </row>
    <row r="1774" spans="1:7">
      <c r="A1774" s="3"/>
      <c r="B1774" s="3"/>
      <c r="C1774" s="3"/>
      <c r="D1774" s="3"/>
      <c r="E1774" s="3">
        <v>11</v>
      </c>
      <c r="F1774" s="4" t="str">
        <f>HYPERLINK("http://141.218.60.56/~jnz1568/getInfo.php?workbook=13_02.xlsx&amp;sheet=U0&amp;row=1774&amp;col=6&amp;number=4&amp;sourceID=14","4")</f>
        <v>4</v>
      </c>
      <c r="G1774" s="4" t="str">
        <f>HYPERLINK("http://141.218.60.56/~jnz1568/getInfo.php?workbook=13_02.xlsx&amp;sheet=U0&amp;row=1774&amp;col=7&amp;number=0.000358&amp;sourceID=14","0.000358")</f>
        <v>0.000358</v>
      </c>
    </row>
    <row r="1775" spans="1:7">
      <c r="A1775" s="3"/>
      <c r="B1775" s="3"/>
      <c r="C1775" s="3"/>
      <c r="D1775" s="3"/>
      <c r="E1775" s="3">
        <v>12</v>
      </c>
      <c r="F1775" s="4" t="str">
        <f>HYPERLINK("http://141.218.60.56/~jnz1568/getInfo.php?workbook=13_02.xlsx&amp;sheet=U0&amp;row=1775&amp;col=6&amp;number=4.1&amp;sourceID=14","4.1")</f>
        <v>4.1</v>
      </c>
      <c r="G1775" s="4" t="str">
        <f>HYPERLINK("http://141.218.60.56/~jnz1568/getInfo.php?workbook=13_02.xlsx&amp;sheet=U0&amp;row=1775&amp;col=7&amp;number=0.000358&amp;sourceID=14","0.000358")</f>
        <v>0.000358</v>
      </c>
    </row>
    <row r="1776" spans="1:7">
      <c r="A1776" s="3"/>
      <c r="B1776" s="3"/>
      <c r="C1776" s="3"/>
      <c r="D1776" s="3"/>
      <c r="E1776" s="3">
        <v>13</v>
      </c>
      <c r="F1776" s="4" t="str">
        <f>HYPERLINK("http://141.218.60.56/~jnz1568/getInfo.php?workbook=13_02.xlsx&amp;sheet=U0&amp;row=1776&amp;col=6&amp;number=4.2&amp;sourceID=14","4.2")</f>
        <v>4.2</v>
      </c>
      <c r="G1776" s="4" t="str">
        <f>HYPERLINK("http://141.218.60.56/~jnz1568/getInfo.php?workbook=13_02.xlsx&amp;sheet=U0&amp;row=1776&amp;col=7&amp;number=0.000358&amp;sourceID=14","0.000358")</f>
        <v>0.000358</v>
      </c>
    </row>
    <row r="1777" spans="1:7">
      <c r="A1777" s="3"/>
      <c r="B1777" s="3"/>
      <c r="C1777" s="3"/>
      <c r="D1777" s="3"/>
      <c r="E1777" s="3">
        <v>14</v>
      </c>
      <c r="F1777" s="4" t="str">
        <f>HYPERLINK("http://141.218.60.56/~jnz1568/getInfo.php?workbook=13_02.xlsx&amp;sheet=U0&amp;row=1777&amp;col=6&amp;number=4.3&amp;sourceID=14","4.3")</f>
        <v>4.3</v>
      </c>
      <c r="G1777" s="4" t="str">
        <f>HYPERLINK("http://141.218.60.56/~jnz1568/getInfo.php?workbook=13_02.xlsx&amp;sheet=U0&amp;row=1777&amp;col=7&amp;number=0.000358&amp;sourceID=14","0.000358")</f>
        <v>0.000358</v>
      </c>
    </row>
    <row r="1778" spans="1:7">
      <c r="A1778" s="3"/>
      <c r="B1778" s="3"/>
      <c r="C1778" s="3"/>
      <c r="D1778" s="3"/>
      <c r="E1778" s="3">
        <v>15</v>
      </c>
      <c r="F1778" s="4" t="str">
        <f>HYPERLINK("http://141.218.60.56/~jnz1568/getInfo.php?workbook=13_02.xlsx&amp;sheet=U0&amp;row=1778&amp;col=6&amp;number=4.4&amp;sourceID=14","4.4")</f>
        <v>4.4</v>
      </c>
      <c r="G1778" s="4" t="str">
        <f>HYPERLINK("http://141.218.60.56/~jnz1568/getInfo.php?workbook=13_02.xlsx&amp;sheet=U0&amp;row=1778&amp;col=7&amp;number=0.000358&amp;sourceID=14","0.000358")</f>
        <v>0.000358</v>
      </c>
    </row>
    <row r="1779" spans="1:7">
      <c r="A1779" s="3"/>
      <c r="B1779" s="3"/>
      <c r="C1779" s="3"/>
      <c r="D1779" s="3"/>
      <c r="E1779" s="3">
        <v>16</v>
      </c>
      <c r="F1779" s="4" t="str">
        <f>HYPERLINK("http://141.218.60.56/~jnz1568/getInfo.php?workbook=13_02.xlsx&amp;sheet=U0&amp;row=1779&amp;col=6&amp;number=4.5&amp;sourceID=14","4.5")</f>
        <v>4.5</v>
      </c>
      <c r="G1779" s="4" t="str">
        <f>HYPERLINK("http://141.218.60.56/~jnz1568/getInfo.php?workbook=13_02.xlsx&amp;sheet=U0&amp;row=1779&amp;col=7&amp;number=0.000358&amp;sourceID=14","0.000358")</f>
        <v>0.000358</v>
      </c>
    </row>
    <row r="1780" spans="1:7">
      <c r="A1780" s="3"/>
      <c r="B1780" s="3"/>
      <c r="C1780" s="3"/>
      <c r="D1780" s="3"/>
      <c r="E1780" s="3">
        <v>17</v>
      </c>
      <c r="F1780" s="4" t="str">
        <f>HYPERLINK("http://141.218.60.56/~jnz1568/getInfo.php?workbook=13_02.xlsx&amp;sheet=U0&amp;row=1780&amp;col=6&amp;number=4.6&amp;sourceID=14","4.6")</f>
        <v>4.6</v>
      </c>
      <c r="G1780" s="4" t="str">
        <f>HYPERLINK("http://141.218.60.56/~jnz1568/getInfo.php?workbook=13_02.xlsx&amp;sheet=U0&amp;row=1780&amp;col=7&amp;number=0.000357&amp;sourceID=14","0.000357")</f>
        <v>0.000357</v>
      </c>
    </row>
    <row r="1781" spans="1:7">
      <c r="A1781" s="3"/>
      <c r="B1781" s="3"/>
      <c r="C1781" s="3"/>
      <c r="D1781" s="3"/>
      <c r="E1781" s="3">
        <v>18</v>
      </c>
      <c r="F1781" s="4" t="str">
        <f>HYPERLINK("http://141.218.60.56/~jnz1568/getInfo.php?workbook=13_02.xlsx&amp;sheet=U0&amp;row=1781&amp;col=6&amp;number=4.7&amp;sourceID=14","4.7")</f>
        <v>4.7</v>
      </c>
      <c r="G1781" s="4" t="str">
        <f>HYPERLINK("http://141.218.60.56/~jnz1568/getInfo.php?workbook=13_02.xlsx&amp;sheet=U0&amp;row=1781&amp;col=7&amp;number=0.000357&amp;sourceID=14","0.000357")</f>
        <v>0.000357</v>
      </c>
    </row>
    <row r="1782" spans="1:7">
      <c r="A1782" s="3"/>
      <c r="B1782" s="3"/>
      <c r="C1782" s="3"/>
      <c r="D1782" s="3"/>
      <c r="E1782" s="3">
        <v>19</v>
      </c>
      <c r="F1782" s="4" t="str">
        <f>HYPERLINK("http://141.218.60.56/~jnz1568/getInfo.php?workbook=13_02.xlsx&amp;sheet=U0&amp;row=1782&amp;col=6&amp;number=4.8&amp;sourceID=14","4.8")</f>
        <v>4.8</v>
      </c>
      <c r="G1782" s="4" t="str">
        <f>HYPERLINK("http://141.218.60.56/~jnz1568/getInfo.php?workbook=13_02.xlsx&amp;sheet=U0&amp;row=1782&amp;col=7&amp;number=0.000357&amp;sourceID=14","0.000357")</f>
        <v>0.000357</v>
      </c>
    </row>
    <row r="1783" spans="1:7">
      <c r="A1783" s="3"/>
      <c r="B1783" s="3"/>
      <c r="C1783" s="3"/>
      <c r="D1783" s="3"/>
      <c r="E1783" s="3">
        <v>20</v>
      </c>
      <c r="F1783" s="4" t="str">
        <f>HYPERLINK("http://141.218.60.56/~jnz1568/getInfo.php?workbook=13_02.xlsx&amp;sheet=U0&amp;row=1783&amp;col=6&amp;number=4.9&amp;sourceID=14","4.9")</f>
        <v>4.9</v>
      </c>
      <c r="G1783" s="4" t="str">
        <f>HYPERLINK("http://141.218.60.56/~jnz1568/getInfo.php?workbook=13_02.xlsx&amp;sheet=U0&amp;row=1783&amp;col=7&amp;number=0.000356&amp;sourceID=14","0.000356")</f>
        <v>0.000356</v>
      </c>
    </row>
    <row r="1784" spans="1:7">
      <c r="A1784" s="3">
        <v>13</v>
      </c>
      <c r="B1784" s="3">
        <v>2</v>
      </c>
      <c r="C1784" s="3" t="s">
        <v>87</v>
      </c>
      <c r="D1784" s="3">
        <v>9</v>
      </c>
      <c r="E1784" s="3">
        <v>1</v>
      </c>
      <c r="F1784" s="4" t="str">
        <f>HYPERLINK("http://141.218.60.56/~jnz1568/getInfo.php?workbook=13_02.xlsx&amp;sheet=U0&amp;row=1784&amp;col=6&amp;number=3&amp;sourceID=14","3")</f>
        <v>3</v>
      </c>
      <c r="G1784" s="4" t="str">
        <f>HYPERLINK("http://141.218.60.56/~jnz1568/getInfo.php?workbook=13_02.xlsx&amp;sheet=U0&amp;row=1784&amp;col=7&amp;number=0.000302&amp;sourceID=14","0.000302")</f>
        <v>0.000302</v>
      </c>
    </row>
    <row r="1785" spans="1:7">
      <c r="A1785" s="3"/>
      <c r="B1785" s="3"/>
      <c r="C1785" s="3"/>
      <c r="D1785" s="3"/>
      <c r="E1785" s="3">
        <v>2</v>
      </c>
      <c r="F1785" s="4" t="str">
        <f>HYPERLINK("http://141.218.60.56/~jnz1568/getInfo.php?workbook=13_02.xlsx&amp;sheet=U0&amp;row=1785&amp;col=6&amp;number=3.1&amp;sourceID=14","3.1")</f>
        <v>3.1</v>
      </c>
      <c r="G1785" s="4" t="str">
        <f>HYPERLINK("http://141.218.60.56/~jnz1568/getInfo.php?workbook=13_02.xlsx&amp;sheet=U0&amp;row=1785&amp;col=7&amp;number=0.000302&amp;sourceID=14","0.000302")</f>
        <v>0.000302</v>
      </c>
    </row>
    <row r="1786" spans="1:7">
      <c r="A1786" s="3"/>
      <c r="B1786" s="3"/>
      <c r="C1786" s="3"/>
      <c r="D1786" s="3"/>
      <c r="E1786" s="3">
        <v>3</v>
      </c>
      <c r="F1786" s="4" t="str">
        <f>HYPERLINK("http://141.218.60.56/~jnz1568/getInfo.php?workbook=13_02.xlsx&amp;sheet=U0&amp;row=1786&amp;col=6&amp;number=3.2&amp;sourceID=14","3.2")</f>
        <v>3.2</v>
      </c>
      <c r="G1786" s="4" t="str">
        <f>HYPERLINK("http://141.218.60.56/~jnz1568/getInfo.php?workbook=13_02.xlsx&amp;sheet=U0&amp;row=1786&amp;col=7&amp;number=0.000302&amp;sourceID=14","0.000302")</f>
        <v>0.000302</v>
      </c>
    </row>
    <row r="1787" spans="1:7">
      <c r="A1787" s="3"/>
      <c r="B1787" s="3"/>
      <c r="C1787" s="3"/>
      <c r="D1787" s="3"/>
      <c r="E1787" s="3">
        <v>4</v>
      </c>
      <c r="F1787" s="4" t="str">
        <f>HYPERLINK("http://141.218.60.56/~jnz1568/getInfo.php?workbook=13_02.xlsx&amp;sheet=U0&amp;row=1787&amp;col=6&amp;number=3.3&amp;sourceID=14","3.3")</f>
        <v>3.3</v>
      </c>
      <c r="G1787" s="4" t="str">
        <f>HYPERLINK("http://141.218.60.56/~jnz1568/getInfo.php?workbook=13_02.xlsx&amp;sheet=U0&amp;row=1787&amp;col=7&amp;number=0.000302&amp;sourceID=14","0.000302")</f>
        <v>0.000302</v>
      </c>
    </row>
    <row r="1788" spans="1:7">
      <c r="A1788" s="3"/>
      <c r="B1788" s="3"/>
      <c r="C1788" s="3"/>
      <c r="D1788" s="3"/>
      <c r="E1788" s="3">
        <v>5</v>
      </c>
      <c r="F1788" s="4" t="str">
        <f>HYPERLINK("http://141.218.60.56/~jnz1568/getInfo.php?workbook=13_02.xlsx&amp;sheet=U0&amp;row=1788&amp;col=6&amp;number=3.4&amp;sourceID=14","3.4")</f>
        <v>3.4</v>
      </c>
      <c r="G1788" s="4" t="str">
        <f>HYPERLINK("http://141.218.60.56/~jnz1568/getInfo.php?workbook=13_02.xlsx&amp;sheet=U0&amp;row=1788&amp;col=7&amp;number=0.000302&amp;sourceID=14","0.000302")</f>
        <v>0.000302</v>
      </c>
    </row>
    <row r="1789" spans="1:7">
      <c r="A1789" s="3"/>
      <c r="B1789" s="3"/>
      <c r="C1789" s="3"/>
      <c r="D1789" s="3"/>
      <c r="E1789" s="3">
        <v>6</v>
      </c>
      <c r="F1789" s="4" t="str">
        <f>HYPERLINK("http://141.218.60.56/~jnz1568/getInfo.php?workbook=13_02.xlsx&amp;sheet=U0&amp;row=1789&amp;col=6&amp;number=3.5&amp;sourceID=14","3.5")</f>
        <v>3.5</v>
      </c>
      <c r="G1789" s="4" t="str">
        <f>HYPERLINK("http://141.218.60.56/~jnz1568/getInfo.php?workbook=13_02.xlsx&amp;sheet=U0&amp;row=1789&amp;col=7&amp;number=0.000302&amp;sourceID=14","0.000302")</f>
        <v>0.000302</v>
      </c>
    </row>
    <row r="1790" spans="1:7">
      <c r="A1790" s="3"/>
      <c r="B1790" s="3"/>
      <c r="C1790" s="3"/>
      <c r="D1790" s="3"/>
      <c r="E1790" s="3">
        <v>7</v>
      </c>
      <c r="F1790" s="4" t="str">
        <f>HYPERLINK("http://141.218.60.56/~jnz1568/getInfo.php?workbook=13_02.xlsx&amp;sheet=U0&amp;row=1790&amp;col=6&amp;number=3.6&amp;sourceID=14","3.6")</f>
        <v>3.6</v>
      </c>
      <c r="G1790" s="4" t="str">
        <f>HYPERLINK("http://141.218.60.56/~jnz1568/getInfo.php?workbook=13_02.xlsx&amp;sheet=U0&amp;row=1790&amp;col=7&amp;number=0.000301&amp;sourceID=14","0.000301")</f>
        <v>0.000301</v>
      </c>
    </row>
    <row r="1791" spans="1:7">
      <c r="A1791" s="3"/>
      <c r="B1791" s="3"/>
      <c r="C1791" s="3"/>
      <c r="D1791" s="3"/>
      <c r="E1791" s="3">
        <v>8</v>
      </c>
      <c r="F1791" s="4" t="str">
        <f>HYPERLINK("http://141.218.60.56/~jnz1568/getInfo.php?workbook=13_02.xlsx&amp;sheet=U0&amp;row=1791&amp;col=6&amp;number=3.7&amp;sourceID=14","3.7")</f>
        <v>3.7</v>
      </c>
      <c r="G1791" s="4" t="str">
        <f>HYPERLINK("http://141.218.60.56/~jnz1568/getInfo.php?workbook=13_02.xlsx&amp;sheet=U0&amp;row=1791&amp;col=7&amp;number=0.000301&amp;sourceID=14","0.000301")</f>
        <v>0.000301</v>
      </c>
    </row>
    <row r="1792" spans="1:7">
      <c r="A1792" s="3"/>
      <c r="B1792" s="3"/>
      <c r="C1792" s="3"/>
      <c r="D1792" s="3"/>
      <c r="E1792" s="3">
        <v>9</v>
      </c>
      <c r="F1792" s="4" t="str">
        <f>HYPERLINK("http://141.218.60.56/~jnz1568/getInfo.php?workbook=13_02.xlsx&amp;sheet=U0&amp;row=1792&amp;col=6&amp;number=3.8&amp;sourceID=14","3.8")</f>
        <v>3.8</v>
      </c>
      <c r="G1792" s="4" t="str">
        <f>HYPERLINK("http://141.218.60.56/~jnz1568/getInfo.php?workbook=13_02.xlsx&amp;sheet=U0&amp;row=1792&amp;col=7&amp;number=0.000301&amp;sourceID=14","0.000301")</f>
        <v>0.000301</v>
      </c>
    </row>
    <row r="1793" spans="1:7">
      <c r="A1793" s="3"/>
      <c r="B1793" s="3"/>
      <c r="C1793" s="3"/>
      <c r="D1793" s="3"/>
      <c r="E1793" s="3">
        <v>10</v>
      </c>
      <c r="F1793" s="4" t="str">
        <f>HYPERLINK("http://141.218.60.56/~jnz1568/getInfo.php?workbook=13_02.xlsx&amp;sheet=U0&amp;row=1793&amp;col=6&amp;number=3.9&amp;sourceID=14","3.9")</f>
        <v>3.9</v>
      </c>
      <c r="G1793" s="4" t="str">
        <f>HYPERLINK("http://141.218.60.56/~jnz1568/getInfo.php?workbook=13_02.xlsx&amp;sheet=U0&amp;row=1793&amp;col=7&amp;number=0.000301&amp;sourceID=14","0.000301")</f>
        <v>0.000301</v>
      </c>
    </row>
    <row r="1794" spans="1:7">
      <c r="A1794" s="3"/>
      <c r="B1794" s="3"/>
      <c r="C1794" s="3"/>
      <c r="D1794" s="3"/>
      <c r="E1794" s="3">
        <v>11</v>
      </c>
      <c r="F1794" s="4" t="str">
        <f>HYPERLINK("http://141.218.60.56/~jnz1568/getInfo.php?workbook=13_02.xlsx&amp;sheet=U0&amp;row=1794&amp;col=6&amp;number=4&amp;sourceID=14","4")</f>
        <v>4</v>
      </c>
      <c r="G1794" s="4" t="str">
        <f>HYPERLINK("http://141.218.60.56/~jnz1568/getInfo.php?workbook=13_02.xlsx&amp;sheet=U0&amp;row=1794&amp;col=7&amp;number=0.000301&amp;sourceID=14","0.000301")</f>
        <v>0.000301</v>
      </c>
    </row>
    <row r="1795" spans="1:7">
      <c r="A1795" s="3"/>
      <c r="B1795" s="3"/>
      <c r="C1795" s="3"/>
      <c r="D1795" s="3"/>
      <c r="E1795" s="3">
        <v>12</v>
      </c>
      <c r="F1795" s="4" t="str">
        <f>HYPERLINK("http://141.218.60.56/~jnz1568/getInfo.php?workbook=13_02.xlsx&amp;sheet=U0&amp;row=1795&amp;col=6&amp;number=4.1&amp;sourceID=14","4.1")</f>
        <v>4.1</v>
      </c>
      <c r="G1795" s="4" t="str">
        <f>HYPERLINK("http://141.218.60.56/~jnz1568/getInfo.php?workbook=13_02.xlsx&amp;sheet=U0&amp;row=1795&amp;col=7&amp;number=0.000301&amp;sourceID=14","0.000301")</f>
        <v>0.000301</v>
      </c>
    </row>
    <row r="1796" spans="1:7">
      <c r="A1796" s="3"/>
      <c r="B1796" s="3"/>
      <c r="C1796" s="3"/>
      <c r="D1796" s="3"/>
      <c r="E1796" s="3">
        <v>13</v>
      </c>
      <c r="F1796" s="4" t="str">
        <f>HYPERLINK("http://141.218.60.56/~jnz1568/getInfo.php?workbook=13_02.xlsx&amp;sheet=U0&amp;row=1796&amp;col=6&amp;number=4.2&amp;sourceID=14","4.2")</f>
        <v>4.2</v>
      </c>
      <c r="G1796" s="4" t="str">
        <f>HYPERLINK("http://141.218.60.56/~jnz1568/getInfo.php?workbook=13_02.xlsx&amp;sheet=U0&amp;row=1796&amp;col=7&amp;number=0.000301&amp;sourceID=14","0.000301")</f>
        <v>0.000301</v>
      </c>
    </row>
    <row r="1797" spans="1:7">
      <c r="A1797" s="3"/>
      <c r="B1797" s="3"/>
      <c r="C1797" s="3"/>
      <c r="D1797" s="3"/>
      <c r="E1797" s="3">
        <v>14</v>
      </c>
      <c r="F1797" s="4" t="str">
        <f>HYPERLINK("http://141.218.60.56/~jnz1568/getInfo.php?workbook=13_02.xlsx&amp;sheet=U0&amp;row=1797&amp;col=6&amp;number=4.3&amp;sourceID=14","4.3")</f>
        <v>4.3</v>
      </c>
      <c r="G1797" s="4" t="str">
        <f>HYPERLINK("http://141.218.60.56/~jnz1568/getInfo.php?workbook=13_02.xlsx&amp;sheet=U0&amp;row=1797&amp;col=7&amp;number=0.000301&amp;sourceID=14","0.000301")</f>
        <v>0.000301</v>
      </c>
    </row>
    <row r="1798" spans="1:7">
      <c r="A1798" s="3"/>
      <c r="B1798" s="3"/>
      <c r="C1798" s="3"/>
      <c r="D1798" s="3"/>
      <c r="E1798" s="3">
        <v>15</v>
      </c>
      <c r="F1798" s="4" t="str">
        <f>HYPERLINK("http://141.218.60.56/~jnz1568/getInfo.php?workbook=13_02.xlsx&amp;sheet=U0&amp;row=1798&amp;col=6&amp;number=4.4&amp;sourceID=14","4.4")</f>
        <v>4.4</v>
      </c>
      <c r="G1798" s="4" t="str">
        <f>HYPERLINK("http://141.218.60.56/~jnz1568/getInfo.php?workbook=13_02.xlsx&amp;sheet=U0&amp;row=1798&amp;col=7&amp;number=0.0003&amp;sourceID=14","0.0003")</f>
        <v>0.0003</v>
      </c>
    </row>
    <row r="1799" spans="1:7">
      <c r="A1799" s="3"/>
      <c r="B1799" s="3"/>
      <c r="C1799" s="3"/>
      <c r="D1799" s="3"/>
      <c r="E1799" s="3">
        <v>16</v>
      </c>
      <c r="F1799" s="4" t="str">
        <f>HYPERLINK("http://141.218.60.56/~jnz1568/getInfo.php?workbook=13_02.xlsx&amp;sheet=U0&amp;row=1799&amp;col=6&amp;number=4.5&amp;sourceID=14","4.5")</f>
        <v>4.5</v>
      </c>
      <c r="G1799" s="4" t="str">
        <f>HYPERLINK("http://141.218.60.56/~jnz1568/getInfo.php?workbook=13_02.xlsx&amp;sheet=U0&amp;row=1799&amp;col=7&amp;number=0.0003&amp;sourceID=14","0.0003")</f>
        <v>0.0003</v>
      </c>
    </row>
    <row r="1800" spans="1:7">
      <c r="A1800" s="3"/>
      <c r="B1800" s="3"/>
      <c r="C1800" s="3"/>
      <c r="D1800" s="3"/>
      <c r="E1800" s="3">
        <v>17</v>
      </c>
      <c r="F1800" s="4" t="str">
        <f>HYPERLINK("http://141.218.60.56/~jnz1568/getInfo.php?workbook=13_02.xlsx&amp;sheet=U0&amp;row=1800&amp;col=6&amp;number=4.6&amp;sourceID=14","4.6")</f>
        <v>4.6</v>
      </c>
      <c r="G1800" s="4" t="str">
        <f>HYPERLINK("http://141.218.60.56/~jnz1568/getInfo.php?workbook=13_02.xlsx&amp;sheet=U0&amp;row=1800&amp;col=7&amp;number=0.000299&amp;sourceID=14","0.000299")</f>
        <v>0.000299</v>
      </c>
    </row>
    <row r="1801" spans="1:7">
      <c r="A1801" s="3"/>
      <c r="B1801" s="3"/>
      <c r="C1801" s="3"/>
      <c r="D1801" s="3"/>
      <c r="E1801" s="3">
        <v>18</v>
      </c>
      <c r="F1801" s="4" t="str">
        <f>HYPERLINK("http://141.218.60.56/~jnz1568/getInfo.php?workbook=13_02.xlsx&amp;sheet=U0&amp;row=1801&amp;col=6&amp;number=4.7&amp;sourceID=14","4.7")</f>
        <v>4.7</v>
      </c>
      <c r="G1801" s="4" t="str">
        <f>HYPERLINK("http://141.218.60.56/~jnz1568/getInfo.php?workbook=13_02.xlsx&amp;sheet=U0&amp;row=1801&amp;col=7&amp;number=0.000299&amp;sourceID=14","0.000299")</f>
        <v>0.000299</v>
      </c>
    </row>
    <row r="1802" spans="1:7">
      <c r="A1802" s="3"/>
      <c r="B1802" s="3"/>
      <c r="C1802" s="3"/>
      <c r="D1802" s="3"/>
      <c r="E1802" s="3">
        <v>19</v>
      </c>
      <c r="F1802" s="4" t="str">
        <f>HYPERLINK("http://141.218.60.56/~jnz1568/getInfo.php?workbook=13_02.xlsx&amp;sheet=U0&amp;row=1802&amp;col=6&amp;number=4.8&amp;sourceID=14","4.8")</f>
        <v>4.8</v>
      </c>
      <c r="G1802" s="4" t="str">
        <f>HYPERLINK("http://141.218.60.56/~jnz1568/getInfo.php?workbook=13_02.xlsx&amp;sheet=U0&amp;row=1802&amp;col=7&amp;number=0.000298&amp;sourceID=14","0.000298")</f>
        <v>0.000298</v>
      </c>
    </row>
    <row r="1803" spans="1:7">
      <c r="A1803" s="3"/>
      <c r="B1803" s="3"/>
      <c r="C1803" s="3"/>
      <c r="D1803" s="3"/>
      <c r="E1803" s="3">
        <v>20</v>
      </c>
      <c r="F1803" s="4" t="str">
        <f>HYPERLINK("http://141.218.60.56/~jnz1568/getInfo.php?workbook=13_02.xlsx&amp;sheet=U0&amp;row=1803&amp;col=6&amp;number=4.9&amp;sourceID=14","4.9")</f>
        <v>4.9</v>
      </c>
      <c r="G1803" s="4" t="str">
        <f>HYPERLINK("http://141.218.60.56/~jnz1568/getInfo.php?workbook=13_02.xlsx&amp;sheet=U0&amp;row=1803&amp;col=7&amp;number=0.000297&amp;sourceID=14","0.000297")</f>
        <v>0.000297</v>
      </c>
    </row>
    <row r="1804" spans="1:7">
      <c r="A1804" s="3">
        <v>13</v>
      </c>
      <c r="B1804" s="3">
        <v>2</v>
      </c>
      <c r="C1804" s="3">
        <v>3</v>
      </c>
      <c r="D1804" s="3">
        <v>8</v>
      </c>
      <c r="E1804" s="3">
        <v>1</v>
      </c>
      <c r="F1804" s="4" t="str">
        <f>HYPERLINK("http://141.218.60.56/~jnz1568/getInfo.php?workbook=13_02.xlsx&amp;sheet=U0&amp;row=1804&amp;col=6&amp;number=3&amp;sourceID=14","3")</f>
        <v>3</v>
      </c>
      <c r="G1804" s="4" t="str">
        <f>HYPERLINK("http://141.218.60.56/~jnz1568/getInfo.php?workbook=13_02.xlsx&amp;sheet=U0&amp;row=1804&amp;col=7&amp;number=0.00212&amp;sourceID=14","0.00212")</f>
        <v>0.00212</v>
      </c>
    </row>
    <row r="1805" spans="1:7">
      <c r="A1805" s="3"/>
      <c r="B1805" s="3"/>
      <c r="C1805" s="3"/>
      <c r="D1805" s="3"/>
      <c r="E1805" s="3">
        <v>2</v>
      </c>
      <c r="F1805" s="4" t="str">
        <f>HYPERLINK("http://141.218.60.56/~jnz1568/getInfo.php?workbook=13_02.xlsx&amp;sheet=U0&amp;row=1805&amp;col=6&amp;number=3.1&amp;sourceID=14","3.1")</f>
        <v>3.1</v>
      </c>
      <c r="G1805" s="4" t="str">
        <f>HYPERLINK("http://141.218.60.56/~jnz1568/getInfo.php?workbook=13_02.xlsx&amp;sheet=U0&amp;row=1805&amp;col=7&amp;number=0.00212&amp;sourceID=14","0.00212")</f>
        <v>0.00212</v>
      </c>
    </row>
    <row r="1806" spans="1:7">
      <c r="A1806" s="3"/>
      <c r="B1806" s="3"/>
      <c r="C1806" s="3"/>
      <c r="D1806" s="3"/>
      <c r="E1806" s="3">
        <v>3</v>
      </c>
      <c r="F1806" s="4" t="str">
        <f>HYPERLINK("http://141.218.60.56/~jnz1568/getInfo.php?workbook=13_02.xlsx&amp;sheet=U0&amp;row=1806&amp;col=6&amp;number=3.2&amp;sourceID=14","3.2")</f>
        <v>3.2</v>
      </c>
      <c r="G1806" s="4" t="str">
        <f>HYPERLINK("http://141.218.60.56/~jnz1568/getInfo.php?workbook=13_02.xlsx&amp;sheet=U0&amp;row=1806&amp;col=7&amp;number=0.00212&amp;sourceID=14","0.00212")</f>
        <v>0.00212</v>
      </c>
    </row>
    <row r="1807" spans="1:7">
      <c r="A1807" s="3"/>
      <c r="B1807" s="3"/>
      <c r="C1807" s="3"/>
      <c r="D1807" s="3"/>
      <c r="E1807" s="3">
        <v>4</v>
      </c>
      <c r="F1807" s="4" t="str">
        <f>HYPERLINK("http://141.218.60.56/~jnz1568/getInfo.php?workbook=13_02.xlsx&amp;sheet=U0&amp;row=1807&amp;col=6&amp;number=3.3&amp;sourceID=14","3.3")</f>
        <v>3.3</v>
      </c>
      <c r="G1807" s="4" t="str">
        <f>HYPERLINK("http://141.218.60.56/~jnz1568/getInfo.php?workbook=13_02.xlsx&amp;sheet=U0&amp;row=1807&amp;col=7&amp;number=0.00212&amp;sourceID=14","0.00212")</f>
        <v>0.00212</v>
      </c>
    </row>
    <row r="1808" spans="1:7">
      <c r="A1808" s="3"/>
      <c r="B1808" s="3"/>
      <c r="C1808" s="3"/>
      <c r="D1808" s="3"/>
      <c r="E1808" s="3">
        <v>5</v>
      </c>
      <c r="F1808" s="4" t="str">
        <f>HYPERLINK("http://141.218.60.56/~jnz1568/getInfo.php?workbook=13_02.xlsx&amp;sheet=U0&amp;row=1808&amp;col=6&amp;number=3.4&amp;sourceID=14","3.4")</f>
        <v>3.4</v>
      </c>
      <c r="G1808" s="4" t="str">
        <f>HYPERLINK("http://141.218.60.56/~jnz1568/getInfo.php?workbook=13_02.xlsx&amp;sheet=U0&amp;row=1808&amp;col=7&amp;number=0.00212&amp;sourceID=14","0.00212")</f>
        <v>0.00212</v>
      </c>
    </row>
    <row r="1809" spans="1:7">
      <c r="A1809" s="3"/>
      <c r="B1809" s="3"/>
      <c r="C1809" s="3"/>
      <c r="D1809" s="3"/>
      <c r="E1809" s="3">
        <v>6</v>
      </c>
      <c r="F1809" s="4" t="str">
        <f>HYPERLINK("http://141.218.60.56/~jnz1568/getInfo.php?workbook=13_02.xlsx&amp;sheet=U0&amp;row=1809&amp;col=6&amp;number=3.5&amp;sourceID=14","3.5")</f>
        <v>3.5</v>
      </c>
      <c r="G1809" s="4" t="str">
        <f>HYPERLINK("http://141.218.60.56/~jnz1568/getInfo.php?workbook=13_02.xlsx&amp;sheet=U0&amp;row=1809&amp;col=7&amp;number=0.00212&amp;sourceID=14","0.00212")</f>
        <v>0.00212</v>
      </c>
    </row>
    <row r="1810" spans="1:7">
      <c r="A1810" s="3"/>
      <c r="B1810" s="3"/>
      <c r="C1810" s="3"/>
      <c r="D1810" s="3"/>
      <c r="E1810" s="3">
        <v>7</v>
      </c>
      <c r="F1810" s="4" t="str">
        <f>HYPERLINK("http://141.218.60.56/~jnz1568/getInfo.php?workbook=13_02.xlsx&amp;sheet=U0&amp;row=1810&amp;col=6&amp;number=3.6&amp;sourceID=14","3.6")</f>
        <v>3.6</v>
      </c>
      <c r="G1810" s="4" t="str">
        <f>HYPERLINK("http://141.218.60.56/~jnz1568/getInfo.php?workbook=13_02.xlsx&amp;sheet=U0&amp;row=1810&amp;col=7&amp;number=0.00212&amp;sourceID=14","0.00212")</f>
        <v>0.00212</v>
      </c>
    </row>
    <row r="1811" spans="1:7">
      <c r="A1811" s="3"/>
      <c r="B1811" s="3"/>
      <c r="C1811" s="3"/>
      <c r="D1811" s="3"/>
      <c r="E1811" s="3">
        <v>8</v>
      </c>
      <c r="F1811" s="4" t="str">
        <f>HYPERLINK("http://141.218.60.56/~jnz1568/getInfo.php?workbook=13_02.xlsx&amp;sheet=U0&amp;row=1811&amp;col=6&amp;number=3.7&amp;sourceID=14","3.7")</f>
        <v>3.7</v>
      </c>
      <c r="G1811" s="4" t="str">
        <f>HYPERLINK("http://141.218.60.56/~jnz1568/getInfo.php?workbook=13_02.xlsx&amp;sheet=U0&amp;row=1811&amp;col=7&amp;number=0.00212&amp;sourceID=14","0.00212")</f>
        <v>0.00212</v>
      </c>
    </row>
    <row r="1812" spans="1:7">
      <c r="A1812" s="3"/>
      <c r="B1812" s="3"/>
      <c r="C1812" s="3"/>
      <c r="D1812" s="3"/>
      <c r="E1812" s="3">
        <v>9</v>
      </c>
      <c r="F1812" s="4" t="str">
        <f>HYPERLINK("http://141.218.60.56/~jnz1568/getInfo.php?workbook=13_02.xlsx&amp;sheet=U0&amp;row=1812&amp;col=6&amp;number=3.8&amp;sourceID=14","3.8")</f>
        <v>3.8</v>
      </c>
      <c r="G1812" s="4" t="str">
        <f>HYPERLINK("http://141.218.60.56/~jnz1568/getInfo.php?workbook=13_02.xlsx&amp;sheet=U0&amp;row=1812&amp;col=7&amp;number=0.00212&amp;sourceID=14","0.00212")</f>
        <v>0.00212</v>
      </c>
    </row>
    <row r="1813" spans="1:7">
      <c r="A1813" s="3"/>
      <c r="B1813" s="3"/>
      <c r="C1813" s="3"/>
      <c r="D1813" s="3"/>
      <c r="E1813" s="3">
        <v>10</v>
      </c>
      <c r="F1813" s="4" t="str">
        <f>HYPERLINK("http://141.218.60.56/~jnz1568/getInfo.php?workbook=13_02.xlsx&amp;sheet=U0&amp;row=1813&amp;col=6&amp;number=3.9&amp;sourceID=14","3.9")</f>
        <v>3.9</v>
      </c>
      <c r="G1813" s="4" t="str">
        <f>HYPERLINK("http://141.218.60.56/~jnz1568/getInfo.php?workbook=13_02.xlsx&amp;sheet=U0&amp;row=1813&amp;col=7&amp;number=0.00212&amp;sourceID=14","0.00212")</f>
        <v>0.00212</v>
      </c>
    </row>
    <row r="1814" spans="1:7">
      <c r="A1814" s="3"/>
      <c r="B1814" s="3"/>
      <c r="C1814" s="3"/>
      <c r="D1814" s="3"/>
      <c r="E1814" s="3">
        <v>11</v>
      </c>
      <c r="F1814" s="4" t="str">
        <f>HYPERLINK("http://141.218.60.56/~jnz1568/getInfo.php?workbook=13_02.xlsx&amp;sheet=U0&amp;row=1814&amp;col=6&amp;number=4&amp;sourceID=14","4")</f>
        <v>4</v>
      </c>
      <c r="G1814" s="4" t="str">
        <f>HYPERLINK("http://141.218.60.56/~jnz1568/getInfo.php?workbook=13_02.xlsx&amp;sheet=U0&amp;row=1814&amp;col=7&amp;number=0.00211&amp;sourceID=14","0.00211")</f>
        <v>0.00211</v>
      </c>
    </row>
    <row r="1815" spans="1:7">
      <c r="A1815" s="3"/>
      <c r="B1815" s="3"/>
      <c r="C1815" s="3"/>
      <c r="D1815" s="3"/>
      <c r="E1815" s="3">
        <v>12</v>
      </c>
      <c r="F1815" s="4" t="str">
        <f>HYPERLINK("http://141.218.60.56/~jnz1568/getInfo.php?workbook=13_02.xlsx&amp;sheet=U0&amp;row=1815&amp;col=6&amp;number=4.1&amp;sourceID=14","4.1")</f>
        <v>4.1</v>
      </c>
      <c r="G1815" s="4" t="str">
        <f>HYPERLINK("http://141.218.60.56/~jnz1568/getInfo.php?workbook=13_02.xlsx&amp;sheet=U0&amp;row=1815&amp;col=7&amp;number=0.00211&amp;sourceID=14","0.00211")</f>
        <v>0.00211</v>
      </c>
    </row>
    <row r="1816" spans="1:7">
      <c r="A1816" s="3"/>
      <c r="B1816" s="3"/>
      <c r="C1816" s="3"/>
      <c r="D1816" s="3"/>
      <c r="E1816" s="3">
        <v>13</v>
      </c>
      <c r="F1816" s="4" t="str">
        <f>HYPERLINK("http://141.218.60.56/~jnz1568/getInfo.php?workbook=13_02.xlsx&amp;sheet=U0&amp;row=1816&amp;col=6&amp;number=4.2&amp;sourceID=14","4.2")</f>
        <v>4.2</v>
      </c>
      <c r="G1816" s="4" t="str">
        <f>HYPERLINK("http://141.218.60.56/~jnz1568/getInfo.php?workbook=13_02.xlsx&amp;sheet=U0&amp;row=1816&amp;col=7&amp;number=0.00211&amp;sourceID=14","0.00211")</f>
        <v>0.00211</v>
      </c>
    </row>
    <row r="1817" spans="1:7">
      <c r="A1817" s="3"/>
      <c r="B1817" s="3"/>
      <c r="C1817" s="3"/>
      <c r="D1817" s="3"/>
      <c r="E1817" s="3">
        <v>14</v>
      </c>
      <c r="F1817" s="4" t="str">
        <f>HYPERLINK("http://141.218.60.56/~jnz1568/getInfo.php?workbook=13_02.xlsx&amp;sheet=U0&amp;row=1817&amp;col=6&amp;number=4.3&amp;sourceID=14","4.3")</f>
        <v>4.3</v>
      </c>
      <c r="G1817" s="4" t="str">
        <f>HYPERLINK("http://141.218.60.56/~jnz1568/getInfo.php?workbook=13_02.xlsx&amp;sheet=U0&amp;row=1817&amp;col=7&amp;number=0.00211&amp;sourceID=14","0.00211")</f>
        <v>0.00211</v>
      </c>
    </row>
    <row r="1818" spans="1:7">
      <c r="A1818" s="3"/>
      <c r="B1818" s="3"/>
      <c r="C1818" s="3"/>
      <c r="D1818" s="3"/>
      <c r="E1818" s="3">
        <v>15</v>
      </c>
      <c r="F1818" s="4" t="str">
        <f>HYPERLINK("http://141.218.60.56/~jnz1568/getInfo.php?workbook=13_02.xlsx&amp;sheet=U0&amp;row=1818&amp;col=6&amp;number=4.4&amp;sourceID=14","4.4")</f>
        <v>4.4</v>
      </c>
      <c r="G1818" s="4" t="str">
        <f>HYPERLINK("http://141.218.60.56/~jnz1568/getInfo.php?workbook=13_02.xlsx&amp;sheet=U0&amp;row=1818&amp;col=7&amp;number=0.00211&amp;sourceID=14","0.00211")</f>
        <v>0.00211</v>
      </c>
    </row>
    <row r="1819" spans="1:7">
      <c r="A1819" s="3"/>
      <c r="B1819" s="3"/>
      <c r="C1819" s="3"/>
      <c r="D1819" s="3"/>
      <c r="E1819" s="3">
        <v>16</v>
      </c>
      <c r="F1819" s="4" t="str">
        <f>HYPERLINK("http://141.218.60.56/~jnz1568/getInfo.php?workbook=13_02.xlsx&amp;sheet=U0&amp;row=1819&amp;col=6&amp;number=4.5&amp;sourceID=14","4.5")</f>
        <v>4.5</v>
      </c>
      <c r="G1819" s="4" t="str">
        <f>HYPERLINK("http://141.218.60.56/~jnz1568/getInfo.php?workbook=13_02.xlsx&amp;sheet=U0&amp;row=1819&amp;col=7&amp;number=0.0021&amp;sourceID=14","0.0021")</f>
        <v>0.0021</v>
      </c>
    </row>
    <row r="1820" spans="1:7">
      <c r="A1820" s="3"/>
      <c r="B1820" s="3"/>
      <c r="C1820" s="3"/>
      <c r="D1820" s="3"/>
      <c r="E1820" s="3">
        <v>17</v>
      </c>
      <c r="F1820" s="4" t="str">
        <f>HYPERLINK("http://141.218.60.56/~jnz1568/getInfo.php?workbook=13_02.xlsx&amp;sheet=U0&amp;row=1820&amp;col=6&amp;number=4.6&amp;sourceID=14","4.6")</f>
        <v>4.6</v>
      </c>
      <c r="G1820" s="4" t="str">
        <f>HYPERLINK("http://141.218.60.56/~jnz1568/getInfo.php?workbook=13_02.xlsx&amp;sheet=U0&amp;row=1820&amp;col=7&amp;number=0.0021&amp;sourceID=14","0.0021")</f>
        <v>0.0021</v>
      </c>
    </row>
    <row r="1821" spans="1:7">
      <c r="A1821" s="3"/>
      <c r="B1821" s="3"/>
      <c r="C1821" s="3"/>
      <c r="D1821" s="3"/>
      <c r="E1821" s="3">
        <v>18</v>
      </c>
      <c r="F1821" s="4" t="str">
        <f>HYPERLINK("http://141.218.60.56/~jnz1568/getInfo.php?workbook=13_02.xlsx&amp;sheet=U0&amp;row=1821&amp;col=6&amp;number=4.7&amp;sourceID=14","4.7")</f>
        <v>4.7</v>
      </c>
      <c r="G1821" s="4" t="str">
        <f>HYPERLINK("http://141.218.60.56/~jnz1568/getInfo.php?workbook=13_02.xlsx&amp;sheet=U0&amp;row=1821&amp;col=7&amp;number=0.00209&amp;sourceID=14","0.00209")</f>
        <v>0.00209</v>
      </c>
    </row>
    <row r="1822" spans="1:7">
      <c r="A1822" s="3"/>
      <c r="B1822" s="3"/>
      <c r="C1822" s="3"/>
      <c r="D1822" s="3"/>
      <c r="E1822" s="3">
        <v>19</v>
      </c>
      <c r="F1822" s="4" t="str">
        <f>HYPERLINK("http://141.218.60.56/~jnz1568/getInfo.php?workbook=13_02.xlsx&amp;sheet=U0&amp;row=1822&amp;col=6&amp;number=4.8&amp;sourceID=14","4.8")</f>
        <v>4.8</v>
      </c>
      <c r="G1822" s="4" t="str">
        <f>HYPERLINK("http://141.218.60.56/~jnz1568/getInfo.php?workbook=13_02.xlsx&amp;sheet=U0&amp;row=1822&amp;col=7&amp;number=0.00208&amp;sourceID=14","0.00208")</f>
        <v>0.00208</v>
      </c>
    </row>
    <row r="1823" spans="1:7">
      <c r="A1823" s="3"/>
      <c r="B1823" s="3"/>
      <c r="C1823" s="3"/>
      <c r="D1823" s="3"/>
      <c r="E1823" s="3">
        <v>20</v>
      </c>
      <c r="F1823" s="4" t="str">
        <f>HYPERLINK("http://141.218.60.56/~jnz1568/getInfo.php?workbook=13_02.xlsx&amp;sheet=U0&amp;row=1823&amp;col=6&amp;number=4.9&amp;sourceID=14","4.9")</f>
        <v>4.9</v>
      </c>
      <c r="G1823" s="4" t="str">
        <f>HYPERLINK("http://141.218.60.56/~jnz1568/getInfo.php?workbook=13_02.xlsx&amp;sheet=U0&amp;row=1823&amp;col=7&amp;number=0.00207&amp;sourceID=14","0.00207")</f>
        <v>0.00207</v>
      </c>
    </row>
    <row r="1824" spans="1:7">
      <c r="A1824" s="3">
        <v>13</v>
      </c>
      <c r="B1824" s="3">
        <v>2</v>
      </c>
      <c r="C1824" s="3">
        <v>3</v>
      </c>
      <c r="D1824" s="3">
        <v>9</v>
      </c>
      <c r="E1824" s="3">
        <v>1</v>
      </c>
      <c r="F1824" s="4" t="str">
        <f>HYPERLINK("http://141.218.60.56/~jnz1568/getInfo.php?workbook=13_02.xlsx&amp;sheet=U0&amp;row=1824&amp;col=6&amp;number=3&amp;sourceID=14","3")</f>
        <v>3</v>
      </c>
      <c r="G1824" s="4" t="str">
        <f>HYPERLINK("http://141.218.60.56/~jnz1568/getInfo.php?workbook=13_02.xlsx&amp;sheet=U0&amp;row=1824&amp;col=7&amp;number=0.0274&amp;sourceID=14","0.0274")</f>
        <v>0.0274</v>
      </c>
    </row>
    <row r="1825" spans="1:7">
      <c r="A1825" s="3"/>
      <c r="B1825" s="3"/>
      <c r="C1825" s="3"/>
      <c r="D1825" s="3"/>
      <c r="E1825" s="3">
        <v>2</v>
      </c>
      <c r="F1825" s="4" t="str">
        <f>HYPERLINK("http://141.218.60.56/~jnz1568/getInfo.php?workbook=13_02.xlsx&amp;sheet=U0&amp;row=1825&amp;col=6&amp;number=3.1&amp;sourceID=14","3.1")</f>
        <v>3.1</v>
      </c>
      <c r="G1825" s="4" t="str">
        <f>HYPERLINK("http://141.218.60.56/~jnz1568/getInfo.php?workbook=13_02.xlsx&amp;sheet=U0&amp;row=1825&amp;col=7&amp;number=0.0274&amp;sourceID=14","0.0274")</f>
        <v>0.0274</v>
      </c>
    </row>
    <row r="1826" spans="1:7">
      <c r="A1826" s="3"/>
      <c r="B1826" s="3"/>
      <c r="C1826" s="3"/>
      <c r="D1826" s="3"/>
      <c r="E1826" s="3">
        <v>3</v>
      </c>
      <c r="F1826" s="4" t="str">
        <f>HYPERLINK("http://141.218.60.56/~jnz1568/getInfo.php?workbook=13_02.xlsx&amp;sheet=U0&amp;row=1826&amp;col=6&amp;number=3.2&amp;sourceID=14","3.2")</f>
        <v>3.2</v>
      </c>
      <c r="G1826" s="4" t="str">
        <f>HYPERLINK("http://141.218.60.56/~jnz1568/getInfo.php?workbook=13_02.xlsx&amp;sheet=U0&amp;row=1826&amp;col=7&amp;number=0.0274&amp;sourceID=14","0.0274")</f>
        <v>0.0274</v>
      </c>
    </row>
    <row r="1827" spans="1:7">
      <c r="A1827" s="3"/>
      <c r="B1827" s="3"/>
      <c r="C1827" s="3"/>
      <c r="D1827" s="3"/>
      <c r="E1827" s="3">
        <v>4</v>
      </c>
      <c r="F1827" s="4" t="str">
        <f>HYPERLINK("http://141.218.60.56/~jnz1568/getInfo.php?workbook=13_02.xlsx&amp;sheet=U0&amp;row=1827&amp;col=6&amp;number=3.3&amp;sourceID=14","3.3")</f>
        <v>3.3</v>
      </c>
      <c r="G1827" s="4" t="str">
        <f>HYPERLINK("http://141.218.60.56/~jnz1568/getInfo.php?workbook=13_02.xlsx&amp;sheet=U0&amp;row=1827&amp;col=7&amp;number=0.0274&amp;sourceID=14","0.0274")</f>
        <v>0.0274</v>
      </c>
    </row>
    <row r="1828" spans="1:7">
      <c r="A1828" s="3"/>
      <c r="B1828" s="3"/>
      <c r="C1828" s="3"/>
      <c r="D1828" s="3"/>
      <c r="E1828" s="3">
        <v>5</v>
      </c>
      <c r="F1828" s="4" t="str">
        <f>HYPERLINK("http://141.218.60.56/~jnz1568/getInfo.php?workbook=13_02.xlsx&amp;sheet=U0&amp;row=1828&amp;col=6&amp;number=3.4&amp;sourceID=14","3.4")</f>
        <v>3.4</v>
      </c>
      <c r="G1828" s="4" t="str">
        <f>HYPERLINK("http://141.218.60.56/~jnz1568/getInfo.php?workbook=13_02.xlsx&amp;sheet=U0&amp;row=1828&amp;col=7&amp;number=0.0274&amp;sourceID=14","0.0274")</f>
        <v>0.0274</v>
      </c>
    </row>
    <row r="1829" spans="1:7">
      <c r="A1829" s="3"/>
      <c r="B1829" s="3"/>
      <c r="C1829" s="3"/>
      <c r="D1829" s="3"/>
      <c r="E1829" s="3">
        <v>6</v>
      </c>
      <c r="F1829" s="4" t="str">
        <f>HYPERLINK("http://141.218.60.56/~jnz1568/getInfo.php?workbook=13_02.xlsx&amp;sheet=U0&amp;row=1829&amp;col=6&amp;number=3.5&amp;sourceID=14","3.5")</f>
        <v>3.5</v>
      </c>
      <c r="G1829" s="4" t="str">
        <f>HYPERLINK("http://141.218.60.56/~jnz1568/getInfo.php?workbook=13_02.xlsx&amp;sheet=U0&amp;row=1829&amp;col=7&amp;number=0.0274&amp;sourceID=14","0.0274")</f>
        <v>0.0274</v>
      </c>
    </row>
    <row r="1830" spans="1:7">
      <c r="A1830" s="3"/>
      <c r="B1830" s="3"/>
      <c r="C1830" s="3"/>
      <c r="D1830" s="3"/>
      <c r="E1830" s="3">
        <v>7</v>
      </c>
      <c r="F1830" s="4" t="str">
        <f>HYPERLINK("http://141.218.60.56/~jnz1568/getInfo.php?workbook=13_02.xlsx&amp;sheet=U0&amp;row=1830&amp;col=6&amp;number=3.6&amp;sourceID=14","3.6")</f>
        <v>3.6</v>
      </c>
      <c r="G1830" s="4" t="str">
        <f>HYPERLINK("http://141.218.60.56/~jnz1568/getInfo.php?workbook=13_02.xlsx&amp;sheet=U0&amp;row=1830&amp;col=7&amp;number=0.0274&amp;sourceID=14","0.0274")</f>
        <v>0.0274</v>
      </c>
    </row>
    <row r="1831" spans="1:7">
      <c r="A1831" s="3"/>
      <c r="B1831" s="3"/>
      <c r="C1831" s="3"/>
      <c r="D1831" s="3"/>
      <c r="E1831" s="3">
        <v>8</v>
      </c>
      <c r="F1831" s="4" t="str">
        <f>HYPERLINK("http://141.218.60.56/~jnz1568/getInfo.php?workbook=13_02.xlsx&amp;sheet=U0&amp;row=1831&amp;col=6&amp;number=3.7&amp;sourceID=14","3.7")</f>
        <v>3.7</v>
      </c>
      <c r="G1831" s="4" t="str">
        <f>HYPERLINK("http://141.218.60.56/~jnz1568/getInfo.php?workbook=13_02.xlsx&amp;sheet=U0&amp;row=1831&amp;col=7&amp;number=0.0274&amp;sourceID=14","0.0274")</f>
        <v>0.0274</v>
      </c>
    </row>
    <row r="1832" spans="1:7">
      <c r="A1832" s="3"/>
      <c r="B1832" s="3"/>
      <c r="C1832" s="3"/>
      <c r="D1832" s="3"/>
      <c r="E1832" s="3">
        <v>9</v>
      </c>
      <c r="F1832" s="4" t="str">
        <f>HYPERLINK("http://141.218.60.56/~jnz1568/getInfo.php?workbook=13_02.xlsx&amp;sheet=U0&amp;row=1832&amp;col=6&amp;number=3.8&amp;sourceID=14","3.8")</f>
        <v>3.8</v>
      </c>
      <c r="G1832" s="4" t="str">
        <f>HYPERLINK("http://141.218.60.56/~jnz1568/getInfo.php?workbook=13_02.xlsx&amp;sheet=U0&amp;row=1832&amp;col=7&amp;number=0.0274&amp;sourceID=14","0.0274")</f>
        <v>0.0274</v>
      </c>
    </row>
    <row r="1833" spans="1:7">
      <c r="A1833" s="3"/>
      <c r="B1833" s="3"/>
      <c r="C1833" s="3"/>
      <c r="D1833" s="3"/>
      <c r="E1833" s="3">
        <v>10</v>
      </c>
      <c r="F1833" s="4" t="str">
        <f>HYPERLINK("http://141.218.60.56/~jnz1568/getInfo.php?workbook=13_02.xlsx&amp;sheet=U0&amp;row=1833&amp;col=6&amp;number=3.9&amp;sourceID=14","3.9")</f>
        <v>3.9</v>
      </c>
      <c r="G1833" s="4" t="str">
        <f>HYPERLINK("http://141.218.60.56/~jnz1568/getInfo.php?workbook=13_02.xlsx&amp;sheet=U0&amp;row=1833&amp;col=7&amp;number=0.0274&amp;sourceID=14","0.0274")</f>
        <v>0.0274</v>
      </c>
    </row>
    <row r="1834" spans="1:7">
      <c r="A1834" s="3"/>
      <c r="B1834" s="3"/>
      <c r="C1834" s="3"/>
      <c r="D1834" s="3"/>
      <c r="E1834" s="3">
        <v>11</v>
      </c>
      <c r="F1834" s="4" t="str">
        <f>HYPERLINK("http://141.218.60.56/~jnz1568/getInfo.php?workbook=13_02.xlsx&amp;sheet=U0&amp;row=1834&amp;col=6&amp;number=4&amp;sourceID=14","4")</f>
        <v>4</v>
      </c>
      <c r="G1834" s="4" t="str">
        <f>HYPERLINK("http://141.218.60.56/~jnz1568/getInfo.php?workbook=13_02.xlsx&amp;sheet=U0&amp;row=1834&amp;col=7&amp;number=0.0274&amp;sourceID=14","0.0274")</f>
        <v>0.0274</v>
      </c>
    </row>
    <row r="1835" spans="1:7">
      <c r="A1835" s="3"/>
      <c r="B1835" s="3"/>
      <c r="C1835" s="3"/>
      <c r="D1835" s="3"/>
      <c r="E1835" s="3">
        <v>12</v>
      </c>
      <c r="F1835" s="4" t="str">
        <f>HYPERLINK("http://141.218.60.56/~jnz1568/getInfo.php?workbook=13_02.xlsx&amp;sheet=U0&amp;row=1835&amp;col=6&amp;number=4.1&amp;sourceID=14","4.1")</f>
        <v>4.1</v>
      </c>
      <c r="G1835" s="4" t="str">
        <f>HYPERLINK("http://141.218.60.56/~jnz1568/getInfo.php?workbook=13_02.xlsx&amp;sheet=U0&amp;row=1835&amp;col=7&amp;number=0.0275&amp;sourceID=14","0.0275")</f>
        <v>0.0275</v>
      </c>
    </row>
    <row r="1836" spans="1:7">
      <c r="A1836" s="3"/>
      <c r="B1836" s="3"/>
      <c r="C1836" s="3"/>
      <c r="D1836" s="3"/>
      <c r="E1836" s="3">
        <v>13</v>
      </c>
      <c r="F1836" s="4" t="str">
        <f>HYPERLINK("http://141.218.60.56/~jnz1568/getInfo.php?workbook=13_02.xlsx&amp;sheet=U0&amp;row=1836&amp;col=6&amp;number=4.2&amp;sourceID=14","4.2")</f>
        <v>4.2</v>
      </c>
      <c r="G1836" s="4" t="str">
        <f>HYPERLINK("http://141.218.60.56/~jnz1568/getInfo.php?workbook=13_02.xlsx&amp;sheet=U0&amp;row=1836&amp;col=7&amp;number=0.0275&amp;sourceID=14","0.0275")</f>
        <v>0.0275</v>
      </c>
    </row>
    <row r="1837" spans="1:7">
      <c r="A1837" s="3"/>
      <c r="B1837" s="3"/>
      <c r="C1837" s="3"/>
      <c r="D1837" s="3"/>
      <c r="E1837" s="3">
        <v>14</v>
      </c>
      <c r="F1837" s="4" t="str">
        <f>HYPERLINK("http://141.218.60.56/~jnz1568/getInfo.php?workbook=13_02.xlsx&amp;sheet=U0&amp;row=1837&amp;col=6&amp;number=4.3&amp;sourceID=14","4.3")</f>
        <v>4.3</v>
      </c>
      <c r="G1837" s="4" t="str">
        <f>HYPERLINK("http://141.218.60.56/~jnz1568/getInfo.php?workbook=13_02.xlsx&amp;sheet=U0&amp;row=1837&amp;col=7&amp;number=0.0275&amp;sourceID=14","0.0275")</f>
        <v>0.0275</v>
      </c>
    </row>
    <row r="1838" spans="1:7">
      <c r="A1838" s="3"/>
      <c r="B1838" s="3"/>
      <c r="C1838" s="3"/>
      <c r="D1838" s="3"/>
      <c r="E1838" s="3">
        <v>15</v>
      </c>
      <c r="F1838" s="4" t="str">
        <f>HYPERLINK("http://141.218.60.56/~jnz1568/getInfo.php?workbook=13_02.xlsx&amp;sheet=U0&amp;row=1838&amp;col=6&amp;number=4.4&amp;sourceID=14","4.4")</f>
        <v>4.4</v>
      </c>
      <c r="G1838" s="4" t="str">
        <f>HYPERLINK("http://141.218.60.56/~jnz1568/getInfo.php?workbook=13_02.xlsx&amp;sheet=U0&amp;row=1838&amp;col=7&amp;number=0.0275&amp;sourceID=14","0.0275")</f>
        <v>0.0275</v>
      </c>
    </row>
    <row r="1839" spans="1:7">
      <c r="A1839" s="3"/>
      <c r="B1839" s="3"/>
      <c r="C1839" s="3"/>
      <c r="D1839" s="3"/>
      <c r="E1839" s="3">
        <v>16</v>
      </c>
      <c r="F1839" s="4" t="str">
        <f>HYPERLINK("http://141.218.60.56/~jnz1568/getInfo.php?workbook=13_02.xlsx&amp;sheet=U0&amp;row=1839&amp;col=6&amp;number=4.5&amp;sourceID=14","4.5")</f>
        <v>4.5</v>
      </c>
      <c r="G1839" s="4" t="str">
        <f>HYPERLINK("http://141.218.60.56/~jnz1568/getInfo.php?workbook=13_02.xlsx&amp;sheet=U0&amp;row=1839&amp;col=7&amp;number=0.0275&amp;sourceID=14","0.0275")</f>
        <v>0.0275</v>
      </c>
    </row>
    <row r="1840" spans="1:7">
      <c r="A1840" s="3"/>
      <c r="B1840" s="3"/>
      <c r="C1840" s="3"/>
      <c r="D1840" s="3"/>
      <c r="E1840" s="3">
        <v>17</v>
      </c>
      <c r="F1840" s="4" t="str">
        <f>HYPERLINK("http://141.218.60.56/~jnz1568/getInfo.php?workbook=13_02.xlsx&amp;sheet=U0&amp;row=1840&amp;col=6&amp;number=4.6&amp;sourceID=14","4.6")</f>
        <v>4.6</v>
      </c>
      <c r="G1840" s="4" t="str">
        <f>HYPERLINK("http://141.218.60.56/~jnz1568/getInfo.php?workbook=13_02.xlsx&amp;sheet=U0&amp;row=1840&amp;col=7&amp;number=0.0275&amp;sourceID=14","0.0275")</f>
        <v>0.0275</v>
      </c>
    </row>
    <row r="1841" spans="1:7">
      <c r="A1841" s="3"/>
      <c r="B1841" s="3"/>
      <c r="C1841" s="3"/>
      <c r="D1841" s="3"/>
      <c r="E1841" s="3">
        <v>18</v>
      </c>
      <c r="F1841" s="4" t="str">
        <f>HYPERLINK("http://141.218.60.56/~jnz1568/getInfo.php?workbook=13_02.xlsx&amp;sheet=U0&amp;row=1841&amp;col=6&amp;number=4.7&amp;sourceID=14","4.7")</f>
        <v>4.7</v>
      </c>
      <c r="G1841" s="4" t="str">
        <f>HYPERLINK("http://141.218.60.56/~jnz1568/getInfo.php?workbook=13_02.xlsx&amp;sheet=U0&amp;row=1841&amp;col=7&amp;number=0.0275&amp;sourceID=14","0.0275")</f>
        <v>0.0275</v>
      </c>
    </row>
    <row r="1842" spans="1:7">
      <c r="A1842" s="3"/>
      <c r="B1842" s="3"/>
      <c r="C1842" s="3"/>
      <c r="D1842" s="3"/>
      <c r="E1842" s="3">
        <v>19</v>
      </c>
      <c r="F1842" s="4" t="str">
        <f>HYPERLINK("http://141.218.60.56/~jnz1568/getInfo.php?workbook=13_02.xlsx&amp;sheet=U0&amp;row=1842&amp;col=6&amp;number=4.8&amp;sourceID=14","4.8")</f>
        <v>4.8</v>
      </c>
      <c r="G1842" s="4" t="str">
        <f>HYPERLINK("http://141.218.60.56/~jnz1568/getInfo.php?workbook=13_02.xlsx&amp;sheet=U0&amp;row=1842&amp;col=7&amp;number=0.0275&amp;sourceID=14","0.0275")</f>
        <v>0.0275</v>
      </c>
    </row>
    <row r="1843" spans="1:7">
      <c r="A1843" s="3"/>
      <c r="B1843" s="3"/>
      <c r="C1843" s="3"/>
      <c r="D1843" s="3"/>
      <c r="E1843" s="3">
        <v>20</v>
      </c>
      <c r="F1843" s="4" t="str">
        <f>HYPERLINK("http://141.218.60.56/~jnz1568/getInfo.php?workbook=13_02.xlsx&amp;sheet=U0&amp;row=1843&amp;col=6&amp;number=4.9&amp;sourceID=14","4.9")</f>
        <v>4.9</v>
      </c>
      <c r="G1843" s="4" t="str">
        <f>HYPERLINK("http://141.218.60.56/~jnz1568/getInfo.php?workbook=13_02.xlsx&amp;sheet=U0&amp;row=1843&amp;col=7&amp;number=0.0275&amp;sourceID=14","0.0275")</f>
        <v>0.0275</v>
      </c>
    </row>
    <row r="1844" spans="1:7">
      <c r="A1844" s="3">
        <v>13</v>
      </c>
      <c r="B1844" s="3">
        <v>2</v>
      </c>
      <c r="C1844" s="3" t="s">
        <v>88</v>
      </c>
      <c r="D1844" s="3">
        <v>0</v>
      </c>
      <c r="E1844" s="3">
        <v>1</v>
      </c>
      <c r="F1844" s="4" t="str">
        <f>HYPERLINK("http://141.218.60.56/~jnz1568/getInfo.php?workbook=13_02.xlsx&amp;sheet=U0&amp;row=1844&amp;col=6&amp;number=3&amp;sourceID=14","3")</f>
        <v>3</v>
      </c>
      <c r="G1844" s="4" t="str">
        <f>HYPERLINK("http://141.218.60.56/~jnz1568/getInfo.php?workbook=13_02.xlsx&amp;sheet=U0&amp;row=1844&amp;col=7&amp;number=0.000585&amp;sourceID=14","0.000585")</f>
        <v>0.000585</v>
      </c>
    </row>
    <row r="1845" spans="1:7">
      <c r="A1845" s="3"/>
      <c r="B1845" s="3"/>
      <c r="C1845" s="3"/>
      <c r="D1845" s="3"/>
      <c r="E1845" s="3">
        <v>2</v>
      </c>
      <c r="F1845" s="4" t="str">
        <f>HYPERLINK("http://141.218.60.56/~jnz1568/getInfo.php?workbook=13_02.xlsx&amp;sheet=U0&amp;row=1845&amp;col=6&amp;number=3.1&amp;sourceID=14","3.1")</f>
        <v>3.1</v>
      </c>
      <c r="G1845" s="4" t="str">
        <f>HYPERLINK("http://141.218.60.56/~jnz1568/getInfo.php?workbook=13_02.xlsx&amp;sheet=U0&amp;row=1845&amp;col=7&amp;number=0.000585&amp;sourceID=14","0.000585")</f>
        <v>0.000585</v>
      </c>
    </row>
    <row r="1846" spans="1:7">
      <c r="A1846" s="3"/>
      <c r="B1846" s="3"/>
      <c r="C1846" s="3"/>
      <c r="D1846" s="3"/>
      <c r="E1846" s="3">
        <v>3</v>
      </c>
      <c r="F1846" s="4" t="str">
        <f>HYPERLINK("http://141.218.60.56/~jnz1568/getInfo.php?workbook=13_02.xlsx&amp;sheet=U0&amp;row=1846&amp;col=6&amp;number=3.2&amp;sourceID=14","3.2")</f>
        <v>3.2</v>
      </c>
      <c r="G1846" s="4" t="str">
        <f>HYPERLINK("http://141.218.60.56/~jnz1568/getInfo.php?workbook=13_02.xlsx&amp;sheet=U0&amp;row=1846&amp;col=7&amp;number=0.000585&amp;sourceID=14","0.000585")</f>
        <v>0.000585</v>
      </c>
    </row>
    <row r="1847" spans="1:7">
      <c r="A1847" s="3"/>
      <c r="B1847" s="3"/>
      <c r="C1847" s="3"/>
      <c r="D1847" s="3"/>
      <c r="E1847" s="3">
        <v>4</v>
      </c>
      <c r="F1847" s="4" t="str">
        <f>HYPERLINK("http://141.218.60.56/~jnz1568/getInfo.php?workbook=13_02.xlsx&amp;sheet=U0&amp;row=1847&amp;col=6&amp;number=3.3&amp;sourceID=14","3.3")</f>
        <v>3.3</v>
      </c>
      <c r="G1847" s="4" t="str">
        <f>HYPERLINK("http://141.218.60.56/~jnz1568/getInfo.php?workbook=13_02.xlsx&amp;sheet=U0&amp;row=1847&amp;col=7&amp;number=0.000584&amp;sourceID=14","0.000584")</f>
        <v>0.000584</v>
      </c>
    </row>
    <row r="1848" spans="1:7">
      <c r="A1848" s="3"/>
      <c r="B1848" s="3"/>
      <c r="C1848" s="3"/>
      <c r="D1848" s="3"/>
      <c r="E1848" s="3">
        <v>5</v>
      </c>
      <c r="F1848" s="4" t="str">
        <f>HYPERLINK("http://141.218.60.56/~jnz1568/getInfo.php?workbook=13_02.xlsx&amp;sheet=U0&amp;row=1848&amp;col=6&amp;number=3.4&amp;sourceID=14","3.4")</f>
        <v>3.4</v>
      </c>
      <c r="G1848" s="4" t="str">
        <f>HYPERLINK("http://141.218.60.56/~jnz1568/getInfo.php?workbook=13_02.xlsx&amp;sheet=U0&amp;row=1848&amp;col=7&amp;number=0.000584&amp;sourceID=14","0.000584")</f>
        <v>0.000584</v>
      </c>
    </row>
    <row r="1849" spans="1:7">
      <c r="A1849" s="3"/>
      <c r="B1849" s="3"/>
      <c r="C1849" s="3"/>
      <c r="D1849" s="3"/>
      <c r="E1849" s="3">
        <v>6</v>
      </c>
      <c r="F1849" s="4" t="str">
        <f>HYPERLINK("http://141.218.60.56/~jnz1568/getInfo.php?workbook=13_02.xlsx&amp;sheet=U0&amp;row=1849&amp;col=6&amp;number=3.5&amp;sourceID=14","3.5")</f>
        <v>3.5</v>
      </c>
      <c r="G1849" s="4" t="str">
        <f>HYPERLINK("http://141.218.60.56/~jnz1568/getInfo.php?workbook=13_02.xlsx&amp;sheet=U0&amp;row=1849&amp;col=7&amp;number=0.000584&amp;sourceID=14","0.000584")</f>
        <v>0.000584</v>
      </c>
    </row>
    <row r="1850" spans="1:7">
      <c r="A1850" s="3"/>
      <c r="B1850" s="3"/>
      <c r="C1850" s="3"/>
      <c r="D1850" s="3"/>
      <c r="E1850" s="3">
        <v>7</v>
      </c>
      <c r="F1850" s="4" t="str">
        <f>HYPERLINK("http://141.218.60.56/~jnz1568/getInfo.php?workbook=13_02.xlsx&amp;sheet=U0&amp;row=1850&amp;col=6&amp;number=3.6&amp;sourceID=14","3.6")</f>
        <v>3.6</v>
      </c>
      <c r="G1850" s="4" t="str">
        <f>HYPERLINK("http://141.218.60.56/~jnz1568/getInfo.php?workbook=13_02.xlsx&amp;sheet=U0&amp;row=1850&amp;col=7&amp;number=0.000584&amp;sourceID=14","0.000584")</f>
        <v>0.000584</v>
      </c>
    </row>
    <row r="1851" spans="1:7">
      <c r="A1851" s="3"/>
      <c r="B1851" s="3"/>
      <c r="C1851" s="3"/>
      <c r="D1851" s="3"/>
      <c r="E1851" s="3">
        <v>8</v>
      </c>
      <c r="F1851" s="4" t="str">
        <f>HYPERLINK("http://141.218.60.56/~jnz1568/getInfo.php?workbook=13_02.xlsx&amp;sheet=U0&amp;row=1851&amp;col=6&amp;number=3.7&amp;sourceID=14","3.7")</f>
        <v>3.7</v>
      </c>
      <c r="G1851" s="4" t="str">
        <f>HYPERLINK("http://141.218.60.56/~jnz1568/getInfo.php?workbook=13_02.xlsx&amp;sheet=U0&amp;row=1851&amp;col=7&amp;number=0.000584&amp;sourceID=14","0.000584")</f>
        <v>0.000584</v>
      </c>
    </row>
    <row r="1852" spans="1:7">
      <c r="A1852" s="3"/>
      <c r="B1852" s="3"/>
      <c r="C1852" s="3"/>
      <c r="D1852" s="3"/>
      <c r="E1852" s="3">
        <v>9</v>
      </c>
      <c r="F1852" s="4" t="str">
        <f>HYPERLINK("http://141.218.60.56/~jnz1568/getInfo.php?workbook=13_02.xlsx&amp;sheet=U0&amp;row=1852&amp;col=6&amp;number=3.8&amp;sourceID=14","3.8")</f>
        <v>3.8</v>
      </c>
      <c r="G1852" s="4" t="str">
        <f>HYPERLINK("http://141.218.60.56/~jnz1568/getInfo.php?workbook=13_02.xlsx&amp;sheet=U0&amp;row=1852&amp;col=7&amp;number=0.000584&amp;sourceID=14","0.000584")</f>
        <v>0.000584</v>
      </c>
    </row>
    <row r="1853" spans="1:7">
      <c r="A1853" s="3"/>
      <c r="B1853" s="3"/>
      <c r="C1853" s="3"/>
      <c r="D1853" s="3"/>
      <c r="E1853" s="3">
        <v>10</v>
      </c>
      <c r="F1853" s="4" t="str">
        <f>HYPERLINK("http://141.218.60.56/~jnz1568/getInfo.php?workbook=13_02.xlsx&amp;sheet=U0&amp;row=1853&amp;col=6&amp;number=3.9&amp;sourceID=14","3.9")</f>
        <v>3.9</v>
      </c>
      <c r="G1853" s="4" t="str">
        <f>HYPERLINK("http://141.218.60.56/~jnz1568/getInfo.php?workbook=13_02.xlsx&amp;sheet=U0&amp;row=1853&amp;col=7&amp;number=0.000584&amp;sourceID=14","0.000584")</f>
        <v>0.000584</v>
      </c>
    </row>
    <row r="1854" spans="1:7">
      <c r="A1854" s="3"/>
      <c r="B1854" s="3"/>
      <c r="C1854" s="3"/>
      <c r="D1854" s="3"/>
      <c r="E1854" s="3">
        <v>11</v>
      </c>
      <c r="F1854" s="4" t="str">
        <f>HYPERLINK("http://141.218.60.56/~jnz1568/getInfo.php?workbook=13_02.xlsx&amp;sheet=U0&amp;row=1854&amp;col=6&amp;number=4&amp;sourceID=14","4")</f>
        <v>4</v>
      </c>
      <c r="G1854" s="4" t="str">
        <f>HYPERLINK("http://141.218.60.56/~jnz1568/getInfo.php?workbook=13_02.xlsx&amp;sheet=U0&amp;row=1854&amp;col=7&amp;number=0.000583&amp;sourceID=14","0.000583")</f>
        <v>0.000583</v>
      </c>
    </row>
    <row r="1855" spans="1:7">
      <c r="A1855" s="3"/>
      <c r="B1855" s="3"/>
      <c r="C1855" s="3"/>
      <c r="D1855" s="3"/>
      <c r="E1855" s="3">
        <v>12</v>
      </c>
      <c r="F1855" s="4" t="str">
        <f>HYPERLINK("http://141.218.60.56/~jnz1568/getInfo.php?workbook=13_02.xlsx&amp;sheet=U0&amp;row=1855&amp;col=6&amp;number=4.1&amp;sourceID=14","4.1")</f>
        <v>4.1</v>
      </c>
      <c r="G1855" s="4" t="str">
        <f>HYPERLINK("http://141.218.60.56/~jnz1568/getInfo.php?workbook=13_02.xlsx&amp;sheet=U0&amp;row=1855&amp;col=7&amp;number=0.000583&amp;sourceID=14","0.000583")</f>
        <v>0.000583</v>
      </c>
    </row>
    <row r="1856" spans="1:7">
      <c r="A1856" s="3"/>
      <c r="B1856" s="3"/>
      <c r="C1856" s="3"/>
      <c r="D1856" s="3"/>
      <c r="E1856" s="3">
        <v>13</v>
      </c>
      <c r="F1856" s="4" t="str">
        <f>HYPERLINK("http://141.218.60.56/~jnz1568/getInfo.php?workbook=13_02.xlsx&amp;sheet=U0&amp;row=1856&amp;col=6&amp;number=4.2&amp;sourceID=14","4.2")</f>
        <v>4.2</v>
      </c>
      <c r="G1856" s="4" t="str">
        <f>HYPERLINK("http://141.218.60.56/~jnz1568/getInfo.php?workbook=13_02.xlsx&amp;sheet=U0&amp;row=1856&amp;col=7&amp;number=0.000582&amp;sourceID=14","0.000582")</f>
        <v>0.000582</v>
      </c>
    </row>
    <row r="1857" spans="1:7">
      <c r="A1857" s="3"/>
      <c r="B1857" s="3"/>
      <c r="C1857" s="3"/>
      <c r="D1857" s="3"/>
      <c r="E1857" s="3">
        <v>14</v>
      </c>
      <c r="F1857" s="4" t="str">
        <f>HYPERLINK("http://141.218.60.56/~jnz1568/getInfo.php?workbook=13_02.xlsx&amp;sheet=U0&amp;row=1857&amp;col=6&amp;number=4.3&amp;sourceID=14","4.3")</f>
        <v>4.3</v>
      </c>
      <c r="G1857" s="4" t="str">
        <f>HYPERLINK("http://141.218.60.56/~jnz1568/getInfo.php?workbook=13_02.xlsx&amp;sheet=U0&amp;row=1857&amp;col=7&amp;number=0.000582&amp;sourceID=14","0.000582")</f>
        <v>0.000582</v>
      </c>
    </row>
    <row r="1858" spans="1:7">
      <c r="A1858" s="3"/>
      <c r="B1858" s="3"/>
      <c r="C1858" s="3"/>
      <c r="D1858" s="3"/>
      <c r="E1858" s="3">
        <v>15</v>
      </c>
      <c r="F1858" s="4" t="str">
        <f>HYPERLINK("http://141.218.60.56/~jnz1568/getInfo.php?workbook=13_02.xlsx&amp;sheet=U0&amp;row=1858&amp;col=6&amp;number=4.4&amp;sourceID=14","4.4")</f>
        <v>4.4</v>
      </c>
      <c r="G1858" s="4" t="str">
        <f>HYPERLINK("http://141.218.60.56/~jnz1568/getInfo.php?workbook=13_02.xlsx&amp;sheet=U0&amp;row=1858&amp;col=7&amp;number=0.000581&amp;sourceID=14","0.000581")</f>
        <v>0.000581</v>
      </c>
    </row>
    <row r="1859" spans="1:7">
      <c r="A1859" s="3"/>
      <c r="B1859" s="3"/>
      <c r="C1859" s="3"/>
      <c r="D1859" s="3"/>
      <c r="E1859" s="3">
        <v>16</v>
      </c>
      <c r="F1859" s="4" t="str">
        <f>HYPERLINK("http://141.218.60.56/~jnz1568/getInfo.php?workbook=13_02.xlsx&amp;sheet=U0&amp;row=1859&amp;col=6&amp;number=4.5&amp;sourceID=14","4.5")</f>
        <v>4.5</v>
      </c>
      <c r="G1859" s="4" t="str">
        <f>HYPERLINK("http://141.218.60.56/~jnz1568/getInfo.php?workbook=13_02.xlsx&amp;sheet=U0&amp;row=1859&amp;col=7&amp;number=0.00058&amp;sourceID=14","0.00058")</f>
        <v>0.00058</v>
      </c>
    </row>
    <row r="1860" spans="1:7">
      <c r="A1860" s="3"/>
      <c r="B1860" s="3"/>
      <c r="C1860" s="3"/>
      <c r="D1860" s="3"/>
      <c r="E1860" s="3">
        <v>17</v>
      </c>
      <c r="F1860" s="4" t="str">
        <f>HYPERLINK("http://141.218.60.56/~jnz1568/getInfo.php?workbook=13_02.xlsx&amp;sheet=U0&amp;row=1860&amp;col=6&amp;number=4.6&amp;sourceID=14","4.6")</f>
        <v>4.6</v>
      </c>
      <c r="G1860" s="4" t="str">
        <f>HYPERLINK("http://141.218.60.56/~jnz1568/getInfo.php?workbook=13_02.xlsx&amp;sheet=U0&amp;row=1860&amp;col=7&amp;number=0.000578&amp;sourceID=14","0.000578")</f>
        <v>0.000578</v>
      </c>
    </row>
    <row r="1861" spans="1:7">
      <c r="A1861" s="3"/>
      <c r="B1861" s="3"/>
      <c r="C1861" s="3"/>
      <c r="D1861" s="3"/>
      <c r="E1861" s="3">
        <v>18</v>
      </c>
      <c r="F1861" s="4" t="str">
        <f>HYPERLINK("http://141.218.60.56/~jnz1568/getInfo.php?workbook=13_02.xlsx&amp;sheet=U0&amp;row=1861&amp;col=6&amp;number=4.7&amp;sourceID=14","4.7")</f>
        <v>4.7</v>
      </c>
      <c r="G1861" s="4" t="str">
        <f>HYPERLINK("http://141.218.60.56/~jnz1568/getInfo.php?workbook=13_02.xlsx&amp;sheet=U0&amp;row=1861&amp;col=7&amp;number=0.000577&amp;sourceID=14","0.000577")</f>
        <v>0.000577</v>
      </c>
    </row>
    <row r="1862" spans="1:7">
      <c r="A1862" s="3"/>
      <c r="B1862" s="3"/>
      <c r="C1862" s="3"/>
      <c r="D1862" s="3"/>
      <c r="E1862" s="3">
        <v>19</v>
      </c>
      <c r="F1862" s="4" t="str">
        <f>HYPERLINK("http://141.218.60.56/~jnz1568/getInfo.php?workbook=13_02.xlsx&amp;sheet=U0&amp;row=1862&amp;col=6&amp;number=4.8&amp;sourceID=14","4.8")</f>
        <v>4.8</v>
      </c>
      <c r="G1862" s="4" t="str">
        <f>HYPERLINK("http://141.218.60.56/~jnz1568/getInfo.php?workbook=13_02.xlsx&amp;sheet=U0&amp;row=1862&amp;col=7&amp;number=0.000575&amp;sourceID=14","0.000575")</f>
        <v>0.000575</v>
      </c>
    </row>
    <row r="1863" spans="1:7">
      <c r="A1863" s="3"/>
      <c r="B1863" s="3"/>
      <c r="C1863" s="3"/>
      <c r="D1863" s="3"/>
      <c r="E1863" s="3">
        <v>20</v>
      </c>
      <c r="F1863" s="4" t="str">
        <f>HYPERLINK("http://141.218.60.56/~jnz1568/getInfo.php?workbook=13_02.xlsx&amp;sheet=U0&amp;row=1863&amp;col=6&amp;number=4.9&amp;sourceID=14","4.9")</f>
        <v>4.9</v>
      </c>
      <c r="G1863" s="4" t="str">
        <f>HYPERLINK("http://141.218.60.56/~jnz1568/getInfo.php?workbook=13_02.xlsx&amp;sheet=U0&amp;row=1863&amp;col=7&amp;number=0.000572&amp;sourceID=14","0.000572")</f>
        <v>0.000572</v>
      </c>
    </row>
    <row r="1864" spans="1:7">
      <c r="A1864" s="3">
        <v>13</v>
      </c>
      <c r="B1864" s="3">
        <v>2</v>
      </c>
      <c r="C1864" s="3" t="s">
        <v>88</v>
      </c>
      <c r="D1864" s="3">
        <v>1</v>
      </c>
      <c r="E1864" s="3">
        <v>1</v>
      </c>
      <c r="F1864" s="4" t="str">
        <f>HYPERLINK("http://141.218.60.56/~jnz1568/getInfo.php?workbook=13_02.xlsx&amp;sheet=U0&amp;row=1864&amp;col=6&amp;number=3&amp;sourceID=14","3")</f>
        <v>3</v>
      </c>
      <c r="G1864" s="4" t="str">
        <f>HYPERLINK("http://141.218.60.56/~jnz1568/getInfo.php?workbook=13_02.xlsx&amp;sheet=U0&amp;row=1864&amp;col=7&amp;number=0.00165&amp;sourceID=14","0.00165")</f>
        <v>0.00165</v>
      </c>
    </row>
    <row r="1865" spans="1:7">
      <c r="A1865" s="3"/>
      <c r="B1865" s="3"/>
      <c r="C1865" s="3"/>
      <c r="D1865" s="3"/>
      <c r="E1865" s="3">
        <v>2</v>
      </c>
      <c r="F1865" s="4" t="str">
        <f>HYPERLINK("http://141.218.60.56/~jnz1568/getInfo.php?workbook=13_02.xlsx&amp;sheet=U0&amp;row=1865&amp;col=6&amp;number=3.1&amp;sourceID=14","3.1")</f>
        <v>3.1</v>
      </c>
      <c r="G1865" s="4" t="str">
        <f>HYPERLINK("http://141.218.60.56/~jnz1568/getInfo.php?workbook=13_02.xlsx&amp;sheet=U0&amp;row=1865&amp;col=7&amp;number=0.00165&amp;sourceID=14","0.00165")</f>
        <v>0.00165</v>
      </c>
    </row>
    <row r="1866" spans="1:7">
      <c r="A1866" s="3"/>
      <c r="B1866" s="3"/>
      <c r="C1866" s="3"/>
      <c r="D1866" s="3"/>
      <c r="E1866" s="3">
        <v>3</v>
      </c>
      <c r="F1866" s="4" t="str">
        <f>HYPERLINK("http://141.218.60.56/~jnz1568/getInfo.php?workbook=13_02.xlsx&amp;sheet=U0&amp;row=1866&amp;col=6&amp;number=3.2&amp;sourceID=14","3.2")</f>
        <v>3.2</v>
      </c>
      <c r="G1866" s="4" t="str">
        <f>HYPERLINK("http://141.218.60.56/~jnz1568/getInfo.php?workbook=13_02.xlsx&amp;sheet=U0&amp;row=1866&amp;col=7&amp;number=0.00165&amp;sourceID=14","0.00165")</f>
        <v>0.00165</v>
      </c>
    </row>
    <row r="1867" spans="1:7">
      <c r="A1867" s="3"/>
      <c r="B1867" s="3"/>
      <c r="C1867" s="3"/>
      <c r="D1867" s="3"/>
      <c r="E1867" s="3">
        <v>4</v>
      </c>
      <c r="F1867" s="4" t="str">
        <f>HYPERLINK("http://141.218.60.56/~jnz1568/getInfo.php?workbook=13_02.xlsx&amp;sheet=U0&amp;row=1867&amp;col=6&amp;number=3.3&amp;sourceID=14","3.3")</f>
        <v>3.3</v>
      </c>
      <c r="G1867" s="4" t="str">
        <f>HYPERLINK("http://141.218.60.56/~jnz1568/getInfo.php?workbook=13_02.xlsx&amp;sheet=U0&amp;row=1867&amp;col=7&amp;number=0.00165&amp;sourceID=14","0.00165")</f>
        <v>0.00165</v>
      </c>
    </row>
    <row r="1868" spans="1:7">
      <c r="A1868" s="3"/>
      <c r="B1868" s="3"/>
      <c r="C1868" s="3"/>
      <c r="D1868" s="3"/>
      <c r="E1868" s="3">
        <v>5</v>
      </c>
      <c r="F1868" s="4" t="str">
        <f>HYPERLINK("http://141.218.60.56/~jnz1568/getInfo.php?workbook=13_02.xlsx&amp;sheet=U0&amp;row=1868&amp;col=6&amp;number=3.4&amp;sourceID=14","3.4")</f>
        <v>3.4</v>
      </c>
      <c r="G1868" s="4" t="str">
        <f>HYPERLINK("http://141.218.60.56/~jnz1568/getInfo.php?workbook=13_02.xlsx&amp;sheet=U0&amp;row=1868&amp;col=7&amp;number=0.00165&amp;sourceID=14","0.00165")</f>
        <v>0.00165</v>
      </c>
    </row>
    <row r="1869" spans="1:7">
      <c r="A1869" s="3"/>
      <c r="B1869" s="3"/>
      <c r="C1869" s="3"/>
      <c r="D1869" s="3"/>
      <c r="E1869" s="3">
        <v>6</v>
      </c>
      <c r="F1869" s="4" t="str">
        <f>HYPERLINK("http://141.218.60.56/~jnz1568/getInfo.php?workbook=13_02.xlsx&amp;sheet=U0&amp;row=1869&amp;col=6&amp;number=3.5&amp;sourceID=14","3.5")</f>
        <v>3.5</v>
      </c>
      <c r="G1869" s="4" t="str">
        <f>HYPERLINK("http://141.218.60.56/~jnz1568/getInfo.php?workbook=13_02.xlsx&amp;sheet=U0&amp;row=1869&amp;col=7&amp;number=0.00165&amp;sourceID=14","0.00165")</f>
        <v>0.00165</v>
      </c>
    </row>
    <row r="1870" spans="1:7">
      <c r="A1870" s="3"/>
      <c r="B1870" s="3"/>
      <c r="C1870" s="3"/>
      <c r="D1870" s="3"/>
      <c r="E1870" s="3">
        <v>7</v>
      </c>
      <c r="F1870" s="4" t="str">
        <f>HYPERLINK("http://141.218.60.56/~jnz1568/getInfo.php?workbook=13_02.xlsx&amp;sheet=U0&amp;row=1870&amp;col=6&amp;number=3.6&amp;sourceID=14","3.6")</f>
        <v>3.6</v>
      </c>
      <c r="G1870" s="4" t="str">
        <f>HYPERLINK("http://141.218.60.56/~jnz1568/getInfo.php?workbook=13_02.xlsx&amp;sheet=U0&amp;row=1870&amp;col=7&amp;number=0.00165&amp;sourceID=14","0.00165")</f>
        <v>0.00165</v>
      </c>
    </row>
    <row r="1871" spans="1:7">
      <c r="A1871" s="3"/>
      <c r="B1871" s="3"/>
      <c r="C1871" s="3"/>
      <c r="D1871" s="3"/>
      <c r="E1871" s="3">
        <v>8</v>
      </c>
      <c r="F1871" s="4" t="str">
        <f>HYPERLINK("http://141.218.60.56/~jnz1568/getInfo.php?workbook=13_02.xlsx&amp;sheet=U0&amp;row=1871&amp;col=6&amp;number=3.7&amp;sourceID=14","3.7")</f>
        <v>3.7</v>
      </c>
      <c r="G1871" s="4" t="str">
        <f>HYPERLINK("http://141.218.60.56/~jnz1568/getInfo.php?workbook=13_02.xlsx&amp;sheet=U0&amp;row=1871&amp;col=7&amp;number=0.00165&amp;sourceID=14","0.00165")</f>
        <v>0.00165</v>
      </c>
    </row>
    <row r="1872" spans="1:7">
      <c r="A1872" s="3"/>
      <c r="B1872" s="3"/>
      <c r="C1872" s="3"/>
      <c r="D1872" s="3"/>
      <c r="E1872" s="3">
        <v>9</v>
      </c>
      <c r="F1872" s="4" t="str">
        <f>HYPERLINK("http://141.218.60.56/~jnz1568/getInfo.php?workbook=13_02.xlsx&amp;sheet=U0&amp;row=1872&amp;col=6&amp;number=3.8&amp;sourceID=14","3.8")</f>
        <v>3.8</v>
      </c>
      <c r="G1872" s="4" t="str">
        <f>HYPERLINK("http://141.218.60.56/~jnz1568/getInfo.php?workbook=13_02.xlsx&amp;sheet=U0&amp;row=1872&amp;col=7&amp;number=0.00165&amp;sourceID=14","0.00165")</f>
        <v>0.00165</v>
      </c>
    </row>
    <row r="1873" spans="1:7">
      <c r="A1873" s="3"/>
      <c r="B1873" s="3"/>
      <c r="C1873" s="3"/>
      <c r="D1873" s="3"/>
      <c r="E1873" s="3">
        <v>10</v>
      </c>
      <c r="F1873" s="4" t="str">
        <f>HYPERLINK("http://141.218.60.56/~jnz1568/getInfo.php?workbook=13_02.xlsx&amp;sheet=U0&amp;row=1873&amp;col=6&amp;number=3.9&amp;sourceID=14","3.9")</f>
        <v>3.9</v>
      </c>
      <c r="G1873" s="4" t="str">
        <f>HYPERLINK("http://141.218.60.56/~jnz1568/getInfo.php?workbook=13_02.xlsx&amp;sheet=U0&amp;row=1873&amp;col=7&amp;number=0.00165&amp;sourceID=14","0.00165")</f>
        <v>0.00165</v>
      </c>
    </row>
    <row r="1874" spans="1:7">
      <c r="A1874" s="3"/>
      <c r="B1874" s="3"/>
      <c r="C1874" s="3"/>
      <c r="D1874" s="3"/>
      <c r="E1874" s="3">
        <v>11</v>
      </c>
      <c r="F1874" s="4" t="str">
        <f>HYPERLINK("http://141.218.60.56/~jnz1568/getInfo.php?workbook=13_02.xlsx&amp;sheet=U0&amp;row=1874&amp;col=6&amp;number=4&amp;sourceID=14","4")</f>
        <v>4</v>
      </c>
      <c r="G1874" s="4" t="str">
        <f>HYPERLINK("http://141.218.60.56/~jnz1568/getInfo.php?workbook=13_02.xlsx&amp;sheet=U0&amp;row=1874&amp;col=7&amp;number=0.00165&amp;sourceID=14","0.00165")</f>
        <v>0.00165</v>
      </c>
    </row>
    <row r="1875" spans="1:7">
      <c r="A1875" s="3"/>
      <c r="B1875" s="3"/>
      <c r="C1875" s="3"/>
      <c r="D1875" s="3"/>
      <c r="E1875" s="3">
        <v>12</v>
      </c>
      <c r="F1875" s="4" t="str">
        <f>HYPERLINK("http://141.218.60.56/~jnz1568/getInfo.php?workbook=13_02.xlsx&amp;sheet=U0&amp;row=1875&amp;col=6&amp;number=4.1&amp;sourceID=14","4.1")</f>
        <v>4.1</v>
      </c>
      <c r="G1875" s="4" t="str">
        <f>HYPERLINK("http://141.218.60.56/~jnz1568/getInfo.php?workbook=13_02.xlsx&amp;sheet=U0&amp;row=1875&amp;col=7&amp;number=0.00165&amp;sourceID=14","0.00165")</f>
        <v>0.00165</v>
      </c>
    </row>
    <row r="1876" spans="1:7">
      <c r="A1876" s="3"/>
      <c r="B1876" s="3"/>
      <c r="C1876" s="3"/>
      <c r="D1876" s="3"/>
      <c r="E1876" s="3">
        <v>13</v>
      </c>
      <c r="F1876" s="4" t="str">
        <f>HYPERLINK("http://141.218.60.56/~jnz1568/getInfo.php?workbook=13_02.xlsx&amp;sheet=U0&amp;row=1876&amp;col=6&amp;number=4.2&amp;sourceID=14","4.2")</f>
        <v>4.2</v>
      </c>
      <c r="G1876" s="4" t="str">
        <f>HYPERLINK("http://141.218.60.56/~jnz1568/getInfo.php?workbook=13_02.xlsx&amp;sheet=U0&amp;row=1876&amp;col=7&amp;number=0.00165&amp;sourceID=14","0.00165")</f>
        <v>0.00165</v>
      </c>
    </row>
    <row r="1877" spans="1:7">
      <c r="A1877" s="3"/>
      <c r="B1877" s="3"/>
      <c r="C1877" s="3"/>
      <c r="D1877" s="3"/>
      <c r="E1877" s="3">
        <v>14</v>
      </c>
      <c r="F1877" s="4" t="str">
        <f>HYPERLINK("http://141.218.60.56/~jnz1568/getInfo.php?workbook=13_02.xlsx&amp;sheet=U0&amp;row=1877&amp;col=6&amp;number=4.3&amp;sourceID=14","4.3")</f>
        <v>4.3</v>
      </c>
      <c r="G1877" s="4" t="str">
        <f>HYPERLINK("http://141.218.60.56/~jnz1568/getInfo.php?workbook=13_02.xlsx&amp;sheet=U0&amp;row=1877&amp;col=7&amp;number=0.00165&amp;sourceID=14","0.00165")</f>
        <v>0.00165</v>
      </c>
    </row>
    <row r="1878" spans="1:7">
      <c r="A1878" s="3"/>
      <c r="B1878" s="3"/>
      <c r="C1878" s="3"/>
      <c r="D1878" s="3"/>
      <c r="E1878" s="3">
        <v>15</v>
      </c>
      <c r="F1878" s="4" t="str">
        <f>HYPERLINK("http://141.218.60.56/~jnz1568/getInfo.php?workbook=13_02.xlsx&amp;sheet=U0&amp;row=1878&amp;col=6&amp;number=4.4&amp;sourceID=14","4.4")</f>
        <v>4.4</v>
      </c>
      <c r="G1878" s="4" t="str">
        <f>HYPERLINK("http://141.218.60.56/~jnz1568/getInfo.php?workbook=13_02.xlsx&amp;sheet=U0&amp;row=1878&amp;col=7&amp;number=0.00165&amp;sourceID=14","0.00165")</f>
        <v>0.00165</v>
      </c>
    </row>
    <row r="1879" spans="1:7">
      <c r="A1879" s="3"/>
      <c r="B1879" s="3"/>
      <c r="C1879" s="3"/>
      <c r="D1879" s="3"/>
      <c r="E1879" s="3">
        <v>16</v>
      </c>
      <c r="F1879" s="4" t="str">
        <f>HYPERLINK("http://141.218.60.56/~jnz1568/getInfo.php?workbook=13_02.xlsx&amp;sheet=U0&amp;row=1879&amp;col=6&amp;number=4.5&amp;sourceID=14","4.5")</f>
        <v>4.5</v>
      </c>
      <c r="G1879" s="4" t="str">
        <f>HYPERLINK("http://141.218.60.56/~jnz1568/getInfo.php?workbook=13_02.xlsx&amp;sheet=U0&amp;row=1879&amp;col=7&amp;number=0.00165&amp;sourceID=14","0.00165")</f>
        <v>0.00165</v>
      </c>
    </row>
    <row r="1880" spans="1:7">
      <c r="A1880" s="3"/>
      <c r="B1880" s="3"/>
      <c r="C1880" s="3"/>
      <c r="D1880" s="3"/>
      <c r="E1880" s="3">
        <v>17</v>
      </c>
      <c r="F1880" s="4" t="str">
        <f>HYPERLINK("http://141.218.60.56/~jnz1568/getInfo.php?workbook=13_02.xlsx&amp;sheet=U0&amp;row=1880&amp;col=6&amp;number=4.6&amp;sourceID=14","4.6")</f>
        <v>4.6</v>
      </c>
      <c r="G1880" s="4" t="str">
        <f>HYPERLINK("http://141.218.60.56/~jnz1568/getInfo.php?workbook=13_02.xlsx&amp;sheet=U0&amp;row=1880&amp;col=7&amp;number=0.00164&amp;sourceID=14","0.00164")</f>
        <v>0.00164</v>
      </c>
    </row>
    <row r="1881" spans="1:7">
      <c r="A1881" s="3"/>
      <c r="B1881" s="3"/>
      <c r="C1881" s="3"/>
      <c r="D1881" s="3"/>
      <c r="E1881" s="3">
        <v>18</v>
      </c>
      <c r="F1881" s="4" t="str">
        <f>HYPERLINK("http://141.218.60.56/~jnz1568/getInfo.php?workbook=13_02.xlsx&amp;sheet=U0&amp;row=1881&amp;col=6&amp;number=4.7&amp;sourceID=14","4.7")</f>
        <v>4.7</v>
      </c>
      <c r="G1881" s="4" t="str">
        <f>HYPERLINK("http://141.218.60.56/~jnz1568/getInfo.php?workbook=13_02.xlsx&amp;sheet=U0&amp;row=1881&amp;col=7&amp;number=0.00164&amp;sourceID=14","0.00164")</f>
        <v>0.00164</v>
      </c>
    </row>
    <row r="1882" spans="1:7">
      <c r="A1882" s="3"/>
      <c r="B1882" s="3"/>
      <c r="C1882" s="3"/>
      <c r="D1882" s="3"/>
      <c r="E1882" s="3">
        <v>19</v>
      </c>
      <c r="F1882" s="4" t="str">
        <f>HYPERLINK("http://141.218.60.56/~jnz1568/getInfo.php?workbook=13_02.xlsx&amp;sheet=U0&amp;row=1882&amp;col=6&amp;number=4.8&amp;sourceID=14","4.8")</f>
        <v>4.8</v>
      </c>
      <c r="G1882" s="4" t="str">
        <f>HYPERLINK("http://141.218.60.56/~jnz1568/getInfo.php?workbook=13_02.xlsx&amp;sheet=U0&amp;row=1882&amp;col=7&amp;number=0.00164&amp;sourceID=14","0.00164")</f>
        <v>0.00164</v>
      </c>
    </row>
    <row r="1883" spans="1:7">
      <c r="A1883" s="3"/>
      <c r="B1883" s="3"/>
      <c r="C1883" s="3"/>
      <c r="D1883" s="3"/>
      <c r="E1883" s="3">
        <v>20</v>
      </c>
      <c r="F1883" s="4" t="str">
        <f>HYPERLINK("http://141.218.60.56/~jnz1568/getInfo.php?workbook=13_02.xlsx&amp;sheet=U0&amp;row=1883&amp;col=6&amp;number=4.9&amp;sourceID=14","4.9")</f>
        <v>4.9</v>
      </c>
      <c r="G1883" s="4" t="str">
        <f>HYPERLINK("http://141.218.60.56/~jnz1568/getInfo.php?workbook=13_02.xlsx&amp;sheet=U0&amp;row=1883&amp;col=7&amp;number=0.00163&amp;sourceID=14","0.00163")</f>
        <v>0.00163</v>
      </c>
    </row>
    <row r="1884" spans="1:7">
      <c r="A1884" s="3">
        <v>13</v>
      </c>
      <c r="B1884" s="3">
        <v>2</v>
      </c>
      <c r="C1884" s="3" t="s">
        <v>88</v>
      </c>
      <c r="D1884" s="3">
        <v>2</v>
      </c>
      <c r="E1884" s="3">
        <v>1</v>
      </c>
      <c r="F1884" s="4" t="str">
        <f>HYPERLINK("http://141.218.60.56/~jnz1568/getInfo.php?workbook=13_02.xlsx&amp;sheet=U0&amp;row=1884&amp;col=6&amp;number=3&amp;sourceID=14","3")</f>
        <v>3</v>
      </c>
      <c r="G1884" s="4" t="str">
        <f>HYPERLINK("http://141.218.60.56/~jnz1568/getInfo.php?workbook=13_02.xlsx&amp;sheet=U0&amp;row=1884&amp;col=7&amp;number=0.00292&amp;sourceID=14","0.00292")</f>
        <v>0.00292</v>
      </c>
    </row>
    <row r="1885" spans="1:7">
      <c r="A1885" s="3"/>
      <c r="B1885" s="3"/>
      <c r="C1885" s="3"/>
      <c r="D1885" s="3"/>
      <c r="E1885" s="3">
        <v>2</v>
      </c>
      <c r="F1885" s="4" t="str">
        <f>HYPERLINK("http://141.218.60.56/~jnz1568/getInfo.php?workbook=13_02.xlsx&amp;sheet=U0&amp;row=1885&amp;col=6&amp;number=3.1&amp;sourceID=14","3.1")</f>
        <v>3.1</v>
      </c>
      <c r="G1885" s="4" t="str">
        <f>HYPERLINK("http://141.218.60.56/~jnz1568/getInfo.php?workbook=13_02.xlsx&amp;sheet=U0&amp;row=1885&amp;col=7&amp;number=0.00292&amp;sourceID=14","0.00292")</f>
        <v>0.00292</v>
      </c>
    </row>
    <row r="1886" spans="1:7">
      <c r="A1886" s="3"/>
      <c r="B1886" s="3"/>
      <c r="C1886" s="3"/>
      <c r="D1886" s="3"/>
      <c r="E1886" s="3">
        <v>3</v>
      </c>
      <c r="F1886" s="4" t="str">
        <f>HYPERLINK("http://141.218.60.56/~jnz1568/getInfo.php?workbook=13_02.xlsx&amp;sheet=U0&amp;row=1886&amp;col=6&amp;number=3.2&amp;sourceID=14","3.2")</f>
        <v>3.2</v>
      </c>
      <c r="G1886" s="4" t="str">
        <f>HYPERLINK("http://141.218.60.56/~jnz1568/getInfo.php?workbook=13_02.xlsx&amp;sheet=U0&amp;row=1886&amp;col=7&amp;number=0.00292&amp;sourceID=14","0.00292")</f>
        <v>0.00292</v>
      </c>
    </row>
    <row r="1887" spans="1:7">
      <c r="A1887" s="3"/>
      <c r="B1887" s="3"/>
      <c r="C1887" s="3"/>
      <c r="D1887" s="3"/>
      <c r="E1887" s="3">
        <v>4</v>
      </c>
      <c r="F1887" s="4" t="str">
        <f>HYPERLINK("http://141.218.60.56/~jnz1568/getInfo.php?workbook=13_02.xlsx&amp;sheet=U0&amp;row=1887&amp;col=6&amp;number=3.3&amp;sourceID=14","3.3")</f>
        <v>3.3</v>
      </c>
      <c r="G1887" s="4" t="str">
        <f>HYPERLINK("http://141.218.60.56/~jnz1568/getInfo.php?workbook=13_02.xlsx&amp;sheet=U0&amp;row=1887&amp;col=7&amp;number=0.00292&amp;sourceID=14","0.00292")</f>
        <v>0.00292</v>
      </c>
    </row>
    <row r="1888" spans="1:7">
      <c r="A1888" s="3"/>
      <c r="B1888" s="3"/>
      <c r="C1888" s="3"/>
      <c r="D1888" s="3"/>
      <c r="E1888" s="3">
        <v>5</v>
      </c>
      <c r="F1888" s="4" t="str">
        <f>HYPERLINK("http://141.218.60.56/~jnz1568/getInfo.php?workbook=13_02.xlsx&amp;sheet=U0&amp;row=1888&amp;col=6&amp;number=3.4&amp;sourceID=14","3.4")</f>
        <v>3.4</v>
      </c>
      <c r="G1888" s="4" t="str">
        <f>HYPERLINK("http://141.218.60.56/~jnz1568/getInfo.php?workbook=13_02.xlsx&amp;sheet=U0&amp;row=1888&amp;col=7&amp;number=0.00292&amp;sourceID=14","0.00292")</f>
        <v>0.00292</v>
      </c>
    </row>
    <row r="1889" spans="1:7">
      <c r="A1889" s="3"/>
      <c r="B1889" s="3"/>
      <c r="C1889" s="3"/>
      <c r="D1889" s="3"/>
      <c r="E1889" s="3">
        <v>6</v>
      </c>
      <c r="F1889" s="4" t="str">
        <f>HYPERLINK("http://141.218.60.56/~jnz1568/getInfo.php?workbook=13_02.xlsx&amp;sheet=U0&amp;row=1889&amp;col=6&amp;number=3.5&amp;sourceID=14","3.5")</f>
        <v>3.5</v>
      </c>
      <c r="G1889" s="4" t="str">
        <f>HYPERLINK("http://141.218.60.56/~jnz1568/getInfo.php?workbook=13_02.xlsx&amp;sheet=U0&amp;row=1889&amp;col=7&amp;number=0.00292&amp;sourceID=14","0.00292")</f>
        <v>0.00292</v>
      </c>
    </row>
    <row r="1890" spans="1:7">
      <c r="A1890" s="3"/>
      <c r="B1890" s="3"/>
      <c r="C1890" s="3"/>
      <c r="D1890" s="3"/>
      <c r="E1890" s="3">
        <v>7</v>
      </c>
      <c r="F1890" s="4" t="str">
        <f>HYPERLINK("http://141.218.60.56/~jnz1568/getInfo.php?workbook=13_02.xlsx&amp;sheet=U0&amp;row=1890&amp;col=6&amp;number=3.6&amp;sourceID=14","3.6")</f>
        <v>3.6</v>
      </c>
      <c r="G1890" s="4" t="str">
        <f>HYPERLINK("http://141.218.60.56/~jnz1568/getInfo.php?workbook=13_02.xlsx&amp;sheet=U0&amp;row=1890&amp;col=7&amp;number=0.00292&amp;sourceID=14","0.00292")</f>
        <v>0.00292</v>
      </c>
    </row>
    <row r="1891" spans="1:7">
      <c r="A1891" s="3"/>
      <c r="B1891" s="3"/>
      <c r="C1891" s="3"/>
      <c r="D1891" s="3"/>
      <c r="E1891" s="3">
        <v>8</v>
      </c>
      <c r="F1891" s="4" t="str">
        <f>HYPERLINK("http://141.218.60.56/~jnz1568/getInfo.php?workbook=13_02.xlsx&amp;sheet=U0&amp;row=1891&amp;col=6&amp;number=3.7&amp;sourceID=14","3.7")</f>
        <v>3.7</v>
      </c>
      <c r="G1891" s="4" t="str">
        <f>HYPERLINK("http://141.218.60.56/~jnz1568/getInfo.php?workbook=13_02.xlsx&amp;sheet=U0&amp;row=1891&amp;col=7&amp;number=0.00292&amp;sourceID=14","0.00292")</f>
        <v>0.00292</v>
      </c>
    </row>
    <row r="1892" spans="1:7">
      <c r="A1892" s="3"/>
      <c r="B1892" s="3"/>
      <c r="C1892" s="3"/>
      <c r="D1892" s="3"/>
      <c r="E1892" s="3">
        <v>9</v>
      </c>
      <c r="F1892" s="4" t="str">
        <f>HYPERLINK("http://141.218.60.56/~jnz1568/getInfo.php?workbook=13_02.xlsx&amp;sheet=U0&amp;row=1892&amp;col=6&amp;number=3.8&amp;sourceID=14","3.8")</f>
        <v>3.8</v>
      </c>
      <c r="G1892" s="4" t="str">
        <f>HYPERLINK("http://141.218.60.56/~jnz1568/getInfo.php?workbook=13_02.xlsx&amp;sheet=U0&amp;row=1892&amp;col=7&amp;number=0.00292&amp;sourceID=14","0.00292")</f>
        <v>0.00292</v>
      </c>
    </row>
    <row r="1893" spans="1:7">
      <c r="A1893" s="3"/>
      <c r="B1893" s="3"/>
      <c r="C1893" s="3"/>
      <c r="D1893" s="3"/>
      <c r="E1893" s="3">
        <v>10</v>
      </c>
      <c r="F1893" s="4" t="str">
        <f>HYPERLINK("http://141.218.60.56/~jnz1568/getInfo.php?workbook=13_02.xlsx&amp;sheet=U0&amp;row=1893&amp;col=6&amp;number=3.9&amp;sourceID=14","3.9")</f>
        <v>3.9</v>
      </c>
      <c r="G1893" s="4" t="str">
        <f>HYPERLINK("http://141.218.60.56/~jnz1568/getInfo.php?workbook=13_02.xlsx&amp;sheet=U0&amp;row=1893&amp;col=7&amp;number=0.00292&amp;sourceID=14","0.00292")</f>
        <v>0.00292</v>
      </c>
    </row>
    <row r="1894" spans="1:7">
      <c r="A1894" s="3"/>
      <c r="B1894" s="3"/>
      <c r="C1894" s="3"/>
      <c r="D1894" s="3"/>
      <c r="E1894" s="3">
        <v>11</v>
      </c>
      <c r="F1894" s="4" t="str">
        <f>HYPERLINK("http://141.218.60.56/~jnz1568/getInfo.php?workbook=13_02.xlsx&amp;sheet=U0&amp;row=1894&amp;col=6&amp;number=4&amp;sourceID=14","4")</f>
        <v>4</v>
      </c>
      <c r="G1894" s="4" t="str">
        <f>HYPERLINK("http://141.218.60.56/~jnz1568/getInfo.php?workbook=13_02.xlsx&amp;sheet=U0&amp;row=1894&amp;col=7&amp;number=0.00291&amp;sourceID=14","0.00291")</f>
        <v>0.00291</v>
      </c>
    </row>
    <row r="1895" spans="1:7">
      <c r="A1895" s="3"/>
      <c r="B1895" s="3"/>
      <c r="C1895" s="3"/>
      <c r="D1895" s="3"/>
      <c r="E1895" s="3">
        <v>12</v>
      </c>
      <c r="F1895" s="4" t="str">
        <f>HYPERLINK("http://141.218.60.56/~jnz1568/getInfo.php?workbook=13_02.xlsx&amp;sheet=U0&amp;row=1895&amp;col=6&amp;number=4.1&amp;sourceID=14","4.1")</f>
        <v>4.1</v>
      </c>
      <c r="G1895" s="4" t="str">
        <f>HYPERLINK("http://141.218.60.56/~jnz1568/getInfo.php?workbook=13_02.xlsx&amp;sheet=U0&amp;row=1895&amp;col=7&amp;number=0.00291&amp;sourceID=14","0.00291")</f>
        <v>0.00291</v>
      </c>
    </row>
    <row r="1896" spans="1:7">
      <c r="A1896" s="3"/>
      <c r="B1896" s="3"/>
      <c r="C1896" s="3"/>
      <c r="D1896" s="3"/>
      <c r="E1896" s="3">
        <v>13</v>
      </c>
      <c r="F1896" s="4" t="str">
        <f>HYPERLINK("http://141.218.60.56/~jnz1568/getInfo.php?workbook=13_02.xlsx&amp;sheet=U0&amp;row=1896&amp;col=6&amp;number=4.2&amp;sourceID=14","4.2")</f>
        <v>4.2</v>
      </c>
      <c r="G1896" s="4" t="str">
        <f>HYPERLINK("http://141.218.60.56/~jnz1568/getInfo.php?workbook=13_02.xlsx&amp;sheet=U0&amp;row=1896&amp;col=7&amp;number=0.00291&amp;sourceID=14","0.00291")</f>
        <v>0.00291</v>
      </c>
    </row>
    <row r="1897" spans="1:7">
      <c r="A1897" s="3"/>
      <c r="B1897" s="3"/>
      <c r="C1897" s="3"/>
      <c r="D1897" s="3"/>
      <c r="E1897" s="3">
        <v>14</v>
      </c>
      <c r="F1897" s="4" t="str">
        <f>HYPERLINK("http://141.218.60.56/~jnz1568/getInfo.php?workbook=13_02.xlsx&amp;sheet=U0&amp;row=1897&amp;col=6&amp;number=4.3&amp;sourceID=14","4.3")</f>
        <v>4.3</v>
      </c>
      <c r="G1897" s="4" t="str">
        <f>HYPERLINK("http://141.218.60.56/~jnz1568/getInfo.php?workbook=13_02.xlsx&amp;sheet=U0&amp;row=1897&amp;col=7&amp;number=0.00291&amp;sourceID=14","0.00291")</f>
        <v>0.00291</v>
      </c>
    </row>
    <row r="1898" spans="1:7">
      <c r="A1898" s="3"/>
      <c r="B1898" s="3"/>
      <c r="C1898" s="3"/>
      <c r="D1898" s="3"/>
      <c r="E1898" s="3">
        <v>15</v>
      </c>
      <c r="F1898" s="4" t="str">
        <f>HYPERLINK("http://141.218.60.56/~jnz1568/getInfo.php?workbook=13_02.xlsx&amp;sheet=U0&amp;row=1898&amp;col=6&amp;number=4.4&amp;sourceID=14","4.4")</f>
        <v>4.4</v>
      </c>
      <c r="G1898" s="4" t="str">
        <f>HYPERLINK("http://141.218.60.56/~jnz1568/getInfo.php?workbook=13_02.xlsx&amp;sheet=U0&amp;row=1898&amp;col=7&amp;number=0.0029&amp;sourceID=14","0.0029")</f>
        <v>0.0029</v>
      </c>
    </row>
    <row r="1899" spans="1:7">
      <c r="A1899" s="3"/>
      <c r="B1899" s="3"/>
      <c r="C1899" s="3"/>
      <c r="D1899" s="3"/>
      <c r="E1899" s="3">
        <v>16</v>
      </c>
      <c r="F1899" s="4" t="str">
        <f>HYPERLINK("http://141.218.60.56/~jnz1568/getInfo.php?workbook=13_02.xlsx&amp;sheet=U0&amp;row=1899&amp;col=6&amp;number=4.5&amp;sourceID=14","4.5")</f>
        <v>4.5</v>
      </c>
      <c r="G1899" s="4" t="str">
        <f>HYPERLINK("http://141.218.60.56/~jnz1568/getInfo.php?workbook=13_02.xlsx&amp;sheet=U0&amp;row=1899&amp;col=7&amp;number=0.0029&amp;sourceID=14","0.0029")</f>
        <v>0.0029</v>
      </c>
    </row>
    <row r="1900" spans="1:7">
      <c r="A1900" s="3"/>
      <c r="B1900" s="3"/>
      <c r="C1900" s="3"/>
      <c r="D1900" s="3"/>
      <c r="E1900" s="3">
        <v>17</v>
      </c>
      <c r="F1900" s="4" t="str">
        <f>HYPERLINK("http://141.218.60.56/~jnz1568/getInfo.php?workbook=13_02.xlsx&amp;sheet=U0&amp;row=1900&amp;col=6&amp;number=4.6&amp;sourceID=14","4.6")</f>
        <v>4.6</v>
      </c>
      <c r="G1900" s="4" t="str">
        <f>HYPERLINK("http://141.218.60.56/~jnz1568/getInfo.php?workbook=13_02.xlsx&amp;sheet=U0&amp;row=1900&amp;col=7&amp;number=0.00289&amp;sourceID=14","0.00289")</f>
        <v>0.00289</v>
      </c>
    </row>
    <row r="1901" spans="1:7">
      <c r="A1901" s="3"/>
      <c r="B1901" s="3"/>
      <c r="C1901" s="3"/>
      <c r="D1901" s="3"/>
      <c r="E1901" s="3">
        <v>18</v>
      </c>
      <c r="F1901" s="4" t="str">
        <f>HYPERLINK("http://141.218.60.56/~jnz1568/getInfo.php?workbook=13_02.xlsx&amp;sheet=U0&amp;row=1901&amp;col=6&amp;number=4.7&amp;sourceID=14","4.7")</f>
        <v>4.7</v>
      </c>
      <c r="G1901" s="4" t="str">
        <f>HYPERLINK("http://141.218.60.56/~jnz1568/getInfo.php?workbook=13_02.xlsx&amp;sheet=U0&amp;row=1901&amp;col=7&amp;number=0.00288&amp;sourceID=14","0.00288")</f>
        <v>0.00288</v>
      </c>
    </row>
    <row r="1902" spans="1:7">
      <c r="A1902" s="3"/>
      <c r="B1902" s="3"/>
      <c r="C1902" s="3"/>
      <c r="D1902" s="3"/>
      <c r="E1902" s="3">
        <v>19</v>
      </c>
      <c r="F1902" s="4" t="str">
        <f>HYPERLINK("http://141.218.60.56/~jnz1568/getInfo.php?workbook=13_02.xlsx&amp;sheet=U0&amp;row=1902&amp;col=6&amp;number=4.8&amp;sourceID=14","4.8")</f>
        <v>4.8</v>
      </c>
      <c r="G1902" s="4" t="str">
        <f>HYPERLINK("http://141.218.60.56/~jnz1568/getInfo.php?workbook=13_02.xlsx&amp;sheet=U0&amp;row=1902&amp;col=7&amp;number=0.00287&amp;sourceID=14","0.00287")</f>
        <v>0.00287</v>
      </c>
    </row>
    <row r="1903" spans="1:7">
      <c r="A1903" s="3"/>
      <c r="B1903" s="3"/>
      <c r="C1903" s="3"/>
      <c r="D1903" s="3"/>
      <c r="E1903" s="3">
        <v>20</v>
      </c>
      <c r="F1903" s="4" t="str">
        <f>HYPERLINK("http://141.218.60.56/~jnz1568/getInfo.php?workbook=13_02.xlsx&amp;sheet=U0&amp;row=1903&amp;col=6&amp;number=4.9&amp;sourceID=14","4.9")</f>
        <v>4.9</v>
      </c>
      <c r="G1903" s="4" t="str">
        <f>HYPERLINK("http://141.218.60.56/~jnz1568/getInfo.php?workbook=13_02.xlsx&amp;sheet=U0&amp;row=1903&amp;col=7&amp;number=0.00286&amp;sourceID=14","0.00286")</f>
        <v>0.00286</v>
      </c>
    </row>
    <row r="1904" spans="1:7">
      <c r="A1904" s="3">
        <v>13</v>
      </c>
      <c r="B1904" s="3">
        <v>2</v>
      </c>
      <c r="C1904" s="3" t="s">
        <v>88</v>
      </c>
      <c r="D1904" s="3">
        <v>3</v>
      </c>
      <c r="E1904" s="3">
        <v>1</v>
      </c>
      <c r="F1904" s="4" t="str">
        <f>HYPERLINK("http://141.218.60.56/~jnz1568/getInfo.php?workbook=13_02.xlsx&amp;sheet=U0&amp;row=1904&amp;col=6&amp;number=3&amp;sourceID=14","3")</f>
        <v>3</v>
      </c>
      <c r="G1904" s="4" t="str">
        <f>HYPERLINK("http://141.218.60.56/~jnz1568/getInfo.php?workbook=13_02.xlsx&amp;sheet=U0&amp;row=1904&amp;col=7&amp;number=0.0178&amp;sourceID=14","0.0178")</f>
        <v>0.0178</v>
      </c>
    </row>
    <row r="1905" spans="1:7">
      <c r="A1905" s="3"/>
      <c r="B1905" s="3"/>
      <c r="C1905" s="3"/>
      <c r="D1905" s="3"/>
      <c r="E1905" s="3">
        <v>2</v>
      </c>
      <c r="F1905" s="4" t="str">
        <f>HYPERLINK("http://141.218.60.56/~jnz1568/getInfo.php?workbook=13_02.xlsx&amp;sheet=U0&amp;row=1905&amp;col=6&amp;number=3.1&amp;sourceID=14","3.1")</f>
        <v>3.1</v>
      </c>
      <c r="G1905" s="4" t="str">
        <f>HYPERLINK("http://141.218.60.56/~jnz1568/getInfo.php?workbook=13_02.xlsx&amp;sheet=U0&amp;row=1905&amp;col=7&amp;number=0.0178&amp;sourceID=14","0.0178")</f>
        <v>0.0178</v>
      </c>
    </row>
    <row r="1906" spans="1:7">
      <c r="A1906" s="3"/>
      <c r="B1906" s="3"/>
      <c r="C1906" s="3"/>
      <c r="D1906" s="3"/>
      <c r="E1906" s="3">
        <v>3</v>
      </c>
      <c r="F1906" s="4" t="str">
        <f>HYPERLINK("http://141.218.60.56/~jnz1568/getInfo.php?workbook=13_02.xlsx&amp;sheet=U0&amp;row=1906&amp;col=6&amp;number=3.2&amp;sourceID=14","3.2")</f>
        <v>3.2</v>
      </c>
      <c r="G1906" s="4" t="str">
        <f>HYPERLINK("http://141.218.60.56/~jnz1568/getInfo.php?workbook=13_02.xlsx&amp;sheet=U0&amp;row=1906&amp;col=7&amp;number=0.0178&amp;sourceID=14","0.0178")</f>
        <v>0.0178</v>
      </c>
    </row>
    <row r="1907" spans="1:7">
      <c r="A1907" s="3"/>
      <c r="B1907" s="3"/>
      <c r="C1907" s="3"/>
      <c r="D1907" s="3"/>
      <c r="E1907" s="3">
        <v>4</v>
      </c>
      <c r="F1907" s="4" t="str">
        <f>HYPERLINK("http://141.218.60.56/~jnz1568/getInfo.php?workbook=13_02.xlsx&amp;sheet=U0&amp;row=1907&amp;col=6&amp;number=3.3&amp;sourceID=14","3.3")</f>
        <v>3.3</v>
      </c>
      <c r="G1907" s="4" t="str">
        <f>HYPERLINK("http://141.218.60.56/~jnz1568/getInfo.php?workbook=13_02.xlsx&amp;sheet=U0&amp;row=1907&amp;col=7&amp;number=0.0178&amp;sourceID=14","0.0178")</f>
        <v>0.0178</v>
      </c>
    </row>
    <row r="1908" spans="1:7">
      <c r="A1908" s="3"/>
      <c r="B1908" s="3"/>
      <c r="C1908" s="3"/>
      <c r="D1908" s="3"/>
      <c r="E1908" s="3">
        <v>5</v>
      </c>
      <c r="F1908" s="4" t="str">
        <f>HYPERLINK("http://141.218.60.56/~jnz1568/getInfo.php?workbook=13_02.xlsx&amp;sheet=U0&amp;row=1908&amp;col=6&amp;number=3.4&amp;sourceID=14","3.4")</f>
        <v>3.4</v>
      </c>
      <c r="G1908" s="4" t="str">
        <f>HYPERLINK("http://141.218.60.56/~jnz1568/getInfo.php?workbook=13_02.xlsx&amp;sheet=U0&amp;row=1908&amp;col=7&amp;number=0.0178&amp;sourceID=14","0.0178")</f>
        <v>0.0178</v>
      </c>
    </row>
    <row r="1909" spans="1:7">
      <c r="A1909" s="3"/>
      <c r="B1909" s="3"/>
      <c r="C1909" s="3"/>
      <c r="D1909" s="3"/>
      <c r="E1909" s="3">
        <v>6</v>
      </c>
      <c r="F1909" s="4" t="str">
        <f>HYPERLINK("http://141.218.60.56/~jnz1568/getInfo.php?workbook=13_02.xlsx&amp;sheet=U0&amp;row=1909&amp;col=6&amp;number=3.5&amp;sourceID=14","3.5")</f>
        <v>3.5</v>
      </c>
      <c r="G1909" s="4" t="str">
        <f>HYPERLINK("http://141.218.60.56/~jnz1568/getInfo.php?workbook=13_02.xlsx&amp;sheet=U0&amp;row=1909&amp;col=7&amp;number=0.0178&amp;sourceID=14","0.0178")</f>
        <v>0.0178</v>
      </c>
    </row>
    <row r="1910" spans="1:7">
      <c r="A1910" s="3"/>
      <c r="B1910" s="3"/>
      <c r="C1910" s="3"/>
      <c r="D1910" s="3"/>
      <c r="E1910" s="3">
        <v>7</v>
      </c>
      <c r="F1910" s="4" t="str">
        <f>HYPERLINK("http://141.218.60.56/~jnz1568/getInfo.php?workbook=13_02.xlsx&amp;sheet=U0&amp;row=1910&amp;col=6&amp;number=3.6&amp;sourceID=14","3.6")</f>
        <v>3.6</v>
      </c>
      <c r="G1910" s="4" t="str">
        <f>HYPERLINK("http://141.218.60.56/~jnz1568/getInfo.php?workbook=13_02.xlsx&amp;sheet=U0&amp;row=1910&amp;col=7&amp;number=0.0178&amp;sourceID=14","0.0178")</f>
        <v>0.0178</v>
      </c>
    </row>
    <row r="1911" spans="1:7">
      <c r="A1911" s="3"/>
      <c r="B1911" s="3"/>
      <c r="C1911" s="3"/>
      <c r="D1911" s="3"/>
      <c r="E1911" s="3">
        <v>8</v>
      </c>
      <c r="F1911" s="4" t="str">
        <f>HYPERLINK("http://141.218.60.56/~jnz1568/getInfo.php?workbook=13_02.xlsx&amp;sheet=U0&amp;row=1911&amp;col=6&amp;number=3.7&amp;sourceID=14","3.7")</f>
        <v>3.7</v>
      </c>
      <c r="G1911" s="4" t="str">
        <f>HYPERLINK("http://141.218.60.56/~jnz1568/getInfo.php?workbook=13_02.xlsx&amp;sheet=U0&amp;row=1911&amp;col=7&amp;number=0.0178&amp;sourceID=14","0.0178")</f>
        <v>0.0178</v>
      </c>
    </row>
    <row r="1912" spans="1:7">
      <c r="A1912" s="3"/>
      <c r="B1912" s="3"/>
      <c r="C1912" s="3"/>
      <c r="D1912" s="3"/>
      <c r="E1912" s="3">
        <v>9</v>
      </c>
      <c r="F1912" s="4" t="str">
        <f>HYPERLINK("http://141.218.60.56/~jnz1568/getInfo.php?workbook=13_02.xlsx&amp;sheet=U0&amp;row=1912&amp;col=6&amp;number=3.8&amp;sourceID=14","3.8")</f>
        <v>3.8</v>
      </c>
      <c r="G1912" s="4" t="str">
        <f>HYPERLINK("http://141.218.60.56/~jnz1568/getInfo.php?workbook=13_02.xlsx&amp;sheet=U0&amp;row=1912&amp;col=7&amp;number=0.0178&amp;sourceID=14","0.0178")</f>
        <v>0.0178</v>
      </c>
    </row>
    <row r="1913" spans="1:7">
      <c r="A1913" s="3"/>
      <c r="B1913" s="3"/>
      <c r="C1913" s="3"/>
      <c r="D1913" s="3"/>
      <c r="E1913" s="3">
        <v>10</v>
      </c>
      <c r="F1913" s="4" t="str">
        <f>HYPERLINK("http://141.218.60.56/~jnz1568/getInfo.php?workbook=13_02.xlsx&amp;sheet=U0&amp;row=1913&amp;col=6&amp;number=3.9&amp;sourceID=14","3.9")</f>
        <v>3.9</v>
      </c>
      <c r="G1913" s="4" t="str">
        <f>HYPERLINK("http://141.218.60.56/~jnz1568/getInfo.php?workbook=13_02.xlsx&amp;sheet=U0&amp;row=1913&amp;col=7&amp;number=0.0179&amp;sourceID=14","0.0179")</f>
        <v>0.0179</v>
      </c>
    </row>
    <row r="1914" spans="1:7">
      <c r="A1914" s="3"/>
      <c r="B1914" s="3"/>
      <c r="C1914" s="3"/>
      <c r="D1914" s="3"/>
      <c r="E1914" s="3">
        <v>11</v>
      </c>
      <c r="F1914" s="4" t="str">
        <f>HYPERLINK("http://141.218.60.56/~jnz1568/getInfo.php?workbook=13_02.xlsx&amp;sheet=U0&amp;row=1914&amp;col=6&amp;number=4&amp;sourceID=14","4")</f>
        <v>4</v>
      </c>
      <c r="G1914" s="4" t="str">
        <f>HYPERLINK("http://141.218.60.56/~jnz1568/getInfo.php?workbook=13_02.xlsx&amp;sheet=U0&amp;row=1914&amp;col=7&amp;number=0.0179&amp;sourceID=14","0.0179")</f>
        <v>0.0179</v>
      </c>
    </row>
    <row r="1915" spans="1:7">
      <c r="A1915" s="3"/>
      <c r="B1915" s="3"/>
      <c r="C1915" s="3"/>
      <c r="D1915" s="3"/>
      <c r="E1915" s="3">
        <v>12</v>
      </c>
      <c r="F1915" s="4" t="str">
        <f>HYPERLINK("http://141.218.60.56/~jnz1568/getInfo.php?workbook=13_02.xlsx&amp;sheet=U0&amp;row=1915&amp;col=6&amp;number=4.1&amp;sourceID=14","4.1")</f>
        <v>4.1</v>
      </c>
      <c r="G1915" s="4" t="str">
        <f>HYPERLINK("http://141.218.60.56/~jnz1568/getInfo.php?workbook=13_02.xlsx&amp;sheet=U0&amp;row=1915&amp;col=7&amp;number=0.0179&amp;sourceID=14","0.0179")</f>
        <v>0.0179</v>
      </c>
    </row>
    <row r="1916" spans="1:7">
      <c r="A1916" s="3"/>
      <c r="B1916" s="3"/>
      <c r="C1916" s="3"/>
      <c r="D1916" s="3"/>
      <c r="E1916" s="3">
        <v>13</v>
      </c>
      <c r="F1916" s="4" t="str">
        <f>HYPERLINK("http://141.218.60.56/~jnz1568/getInfo.php?workbook=13_02.xlsx&amp;sheet=U0&amp;row=1916&amp;col=6&amp;number=4.2&amp;sourceID=14","4.2")</f>
        <v>4.2</v>
      </c>
      <c r="G1916" s="4" t="str">
        <f>HYPERLINK("http://141.218.60.56/~jnz1568/getInfo.php?workbook=13_02.xlsx&amp;sheet=U0&amp;row=1916&amp;col=7&amp;number=0.0179&amp;sourceID=14","0.0179")</f>
        <v>0.0179</v>
      </c>
    </row>
    <row r="1917" spans="1:7">
      <c r="A1917" s="3"/>
      <c r="B1917" s="3"/>
      <c r="C1917" s="3"/>
      <c r="D1917" s="3"/>
      <c r="E1917" s="3">
        <v>14</v>
      </c>
      <c r="F1917" s="4" t="str">
        <f>HYPERLINK("http://141.218.60.56/~jnz1568/getInfo.php?workbook=13_02.xlsx&amp;sheet=U0&amp;row=1917&amp;col=6&amp;number=4.3&amp;sourceID=14","4.3")</f>
        <v>4.3</v>
      </c>
      <c r="G1917" s="4" t="str">
        <f>HYPERLINK("http://141.218.60.56/~jnz1568/getInfo.php?workbook=13_02.xlsx&amp;sheet=U0&amp;row=1917&amp;col=7&amp;number=0.0179&amp;sourceID=14","0.0179")</f>
        <v>0.0179</v>
      </c>
    </row>
    <row r="1918" spans="1:7">
      <c r="A1918" s="3"/>
      <c r="B1918" s="3"/>
      <c r="C1918" s="3"/>
      <c r="D1918" s="3"/>
      <c r="E1918" s="3">
        <v>15</v>
      </c>
      <c r="F1918" s="4" t="str">
        <f>HYPERLINK("http://141.218.60.56/~jnz1568/getInfo.php?workbook=13_02.xlsx&amp;sheet=U0&amp;row=1918&amp;col=6&amp;number=4.4&amp;sourceID=14","4.4")</f>
        <v>4.4</v>
      </c>
      <c r="G1918" s="4" t="str">
        <f>HYPERLINK("http://141.218.60.56/~jnz1568/getInfo.php?workbook=13_02.xlsx&amp;sheet=U0&amp;row=1918&amp;col=7&amp;number=0.018&amp;sourceID=14","0.018")</f>
        <v>0.018</v>
      </c>
    </row>
    <row r="1919" spans="1:7">
      <c r="A1919" s="3"/>
      <c r="B1919" s="3"/>
      <c r="C1919" s="3"/>
      <c r="D1919" s="3"/>
      <c r="E1919" s="3">
        <v>16</v>
      </c>
      <c r="F1919" s="4" t="str">
        <f>HYPERLINK("http://141.218.60.56/~jnz1568/getInfo.php?workbook=13_02.xlsx&amp;sheet=U0&amp;row=1919&amp;col=6&amp;number=4.5&amp;sourceID=14","4.5")</f>
        <v>4.5</v>
      </c>
      <c r="G1919" s="4" t="str">
        <f>HYPERLINK("http://141.218.60.56/~jnz1568/getInfo.php?workbook=13_02.xlsx&amp;sheet=U0&amp;row=1919&amp;col=7&amp;number=0.018&amp;sourceID=14","0.018")</f>
        <v>0.018</v>
      </c>
    </row>
    <row r="1920" spans="1:7">
      <c r="A1920" s="3"/>
      <c r="B1920" s="3"/>
      <c r="C1920" s="3"/>
      <c r="D1920" s="3"/>
      <c r="E1920" s="3">
        <v>17</v>
      </c>
      <c r="F1920" s="4" t="str">
        <f>HYPERLINK("http://141.218.60.56/~jnz1568/getInfo.php?workbook=13_02.xlsx&amp;sheet=U0&amp;row=1920&amp;col=6&amp;number=4.6&amp;sourceID=14","4.6")</f>
        <v>4.6</v>
      </c>
      <c r="G1920" s="4" t="str">
        <f>HYPERLINK("http://141.218.60.56/~jnz1568/getInfo.php?workbook=13_02.xlsx&amp;sheet=U0&amp;row=1920&amp;col=7&amp;number=0.018&amp;sourceID=14","0.018")</f>
        <v>0.018</v>
      </c>
    </row>
    <row r="1921" spans="1:7">
      <c r="A1921" s="3"/>
      <c r="B1921" s="3"/>
      <c r="C1921" s="3"/>
      <c r="D1921" s="3"/>
      <c r="E1921" s="3">
        <v>18</v>
      </c>
      <c r="F1921" s="4" t="str">
        <f>HYPERLINK("http://141.218.60.56/~jnz1568/getInfo.php?workbook=13_02.xlsx&amp;sheet=U0&amp;row=1921&amp;col=6&amp;number=4.7&amp;sourceID=14","4.7")</f>
        <v>4.7</v>
      </c>
      <c r="G1921" s="4" t="str">
        <f>HYPERLINK("http://141.218.60.56/~jnz1568/getInfo.php?workbook=13_02.xlsx&amp;sheet=U0&amp;row=1921&amp;col=7&amp;number=0.0181&amp;sourceID=14","0.0181")</f>
        <v>0.0181</v>
      </c>
    </row>
    <row r="1922" spans="1:7">
      <c r="A1922" s="3"/>
      <c r="B1922" s="3"/>
      <c r="C1922" s="3"/>
      <c r="D1922" s="3"/>
      <c r="E1922" s="3">
        <v>19</v>
      </c>
      <c r="F1922" s="4" t="str">
        <f>HYPERLINK("http://141.218.60.56/~jnz1568/getInfo.php?workbook=13_02.xlsx&amp;sheet=U0&amp;row=1922&amp;col=6&amp;number=4.8&amp;sourceID=14","4.8")</f>
        <v>4.8</v>
      </c>
      <c r="G1922" s="4" t="str">
        <f>HYPERLINK("http://141.218.60.56/~jnz1568/getInfo.php?workbook=13_02.xlsx&amp;sheet=U0&amp;row=1922&amp;col=7&amp;number=0.0182&amp;sourceID=14","0.0182")</f>
        <v>0.0182</v>
      </c>
    </row>
    <row r="1923" spans="1:7">
      <c r="A1923" s="3"/>
      <c r="B1923" s="3"/>
      <c r="C1923" s="3"/>
      <c r="D1923" s="3"/>
      <c r="E1923" s="3">
        <v>20</v>
      </c>
      <c r="F1923" s="4" t="str">
        <f>HYPERLINK("http://141.218.60.56/~jnz1568/getInfo.php?workbook=13_02.xlsx&amp;sheet=U0&amp;row=1923&amp;col=6&amp;number=4.9&amp;sourceID=14","4.9")</f>
        <v>4.9</v>
      </c>
      <c r="G1923" s="4" t="str">
        <f>HYPERLINK("http://141.218.60.56/~jnz1568/getInfo.php?workbook=13_02.xlsx&amp;sheet=U0&amp;row=1923&amp;col=7&amp;number=0.0183&amp;sourceID=14","0.0183")</f>
        <v>0.0183</v>
      </c>
    </row>
    <row r="1924" spans="1:7">
      <c r="A1924" s="3">
        <v>13</v>
      </c>
      <c r="B1924" s="3">
        <v>2</v>
      </c>
      <c r="C1924" s="3" t="s">
        <v>88</v>
      </c>
      <c r="D1924" s="3">
        <v>4</v>
      </c>
      <c r="E1924" s="3">
        <v>1</v>
      </c>
      <c r="F1924" s="4" t="str">
        <f>HYPERLINK("http://141.218.60.56/~jnz1568/getInfo.php?workbook=13_02.xlsx&amp;sheet=U0&amp;row=1924&amp;col=6&amp;number=3&amp;sourceID=14","3")</f>
        <v>3</v>
      </c>
      <c r="G1924" s="4" t="str">
        <f>HYPERLINK("http://141.218.60.56/~jnz1568/getInfo.php?workbook=13_02.xlsx&amp;sheet=U0&amp;row=1924&amp;col=7&amp;number=0.00328&amp;sourceID=14","0.00328")</f>
        <v>0.00328</v>
      </c>
    </row>
    <row r="1925" spans="1:7">
      <c r="A1925" s="3"/>
      <c r="B1925" s="3"/>
      <c r="C1925" s="3"/>
      <c r="D1925" s="3"/>
      <c r="E1925" s="3">
        <v>2</v>
      </c>
      <c r="F1925" s="4" t="str">
        <f>HYPERLINK("http://141.218.60.56/~jnz1568/getInfo.php?workbook=13_02.xlsx&amp;sheet=U0&amp;row=1925&amp;col=6&amp;number=3.1&amp;sourceID=14","3.1")</f>
        <v>3.1</v>
      </c>
      <c r="G1925" s="4" t="str">
        <f>HYPERLINK("http://141.218.60.56/~jnz1568/getInfo.php?workbook=13_02.xlsx&amp;sheet=U0&amp;row=1925&amp;col=7&amp;number=0.00327&amp;sourceID=14","0.00327")</f>
        <v>0.00327</v>
      </c>
    </row>
    <row r="1926" spans="1:7">
      <c r="A1926" s="3"/>
      <c r="B1926" s="3"/>
      <c r="C1926" s="3"/>
      <c r="D1926" s="3"/>
      <c r="E1926" s="3">
        <v>3</v>
      </c>
      <c r="F1926" s="4" t="str">
        <f>HYPERLINK("http://141.218.60.56/~jnz1568/getInfo.php?workbook=13_02.xlsx&amp;sheet=U0&amp;row=1926&amp;col=6&amp;number=3.2&amp;sourceID=14","3.2")</f>
        <v>3.2</v>
      </c>
      <c r="G1926" s="4" t="str">
        <f>HYPERLINK("http://141.218.60.56/~jnz1568/getInfo.php?workbook=13_02.xlsx&amp;sheet=U0&amp;row=1926&amp;col=7&amp;number=0.00327&amp;sourceID=14","0.00327")</f>
        <v>0.00327</v>
      </c>
    </row>
    <row r="1927" spans="1:7">
      <c r="A1927" s="3"/>
      <c r="B1927" s="3"/>
      <c r="C1927" s="3"/>
      <c r="D1927" s="3"/>
      <c r="E1927" s="3">
        <v>4</v>
      </c>
      <c r="F1927" s="4" t="str">
        <f>HYPERLINK("http://141.218.60.56/~jnz1568/getInfo.php?workbook=13_02.xlsx&amp;sheet=U0&amp;row=1927&amp;col=6&amp;number=3.3&amp;sourceID=14","3.3")</f>
        <v>3.3</v>
      </c>
      <c r="G1927" s="4" t="str">
        <f>HYPERLINK("http://141.218.60.56/~jnz1568/getInfo.php?workbook=13_02.xlsx&amp;sheet=U0&amp;row=1927&amp;col=7&amp;number=0.00327&amp;sourceID=14","0.00327")</f>
        <v>0.00327</v>
      </c>
    </row>
    <row r="1928" spans="1:7">
      <c r="A1928" s="3"/>
      <c r="B1928" s="3"/>
      <c r="C1928" s="3"/>
      <c r="D1928" s="3"/>
      <c r="E1928" s="3">
        <v>5</v>
      </c>
      <c r="F1928" s="4" t="str">
        <f>HYPERLINK("http://141.218.60.56/~jnz1568/getInfo.php?workbook=13_02.xlsx&amp;sheet=U0&amp;row=1928&amp;col=6&amp;number=3.4&amp;sourceID=14","3.4")</f>
        <v>3.4</v>
      </c>
      <c r="G1928" s="4" t="str">
        <f>HYPERLINK("http://141.218.60.56/~jnz1568/getInfo.php?workbook=13_02.xlsx&amp;sheet=U0&amp;row=1928&amp;col=7&amp;number=0.00327&amp;sourceID=14","0.00327")</f>
        <v>0.00327</v>
      </c>
    </row>
    <row r="1929" spans="1:7">
      <c r="A1929" s="3"/>
      <c r="B1929" s="3"/>
      <c r="C1929" s="3"/>
      <c r="D1929" s="3"/>
      <c r="E1929" s="3">
        <v>6</v>
      </c>
      <c r="F1929" s="4" t="str">
        <f>HYPERLINK("http://141.218.60.56/~jnz1568/getInfo.php?workbook=13_02.xlsx&amp;sheet=U0&amp;row=1929&amp;col=6&amp;number=3.5&amp;sourceID=14","3.5")</f>
        <v>3.5</v>
      </c>
      <c r="G1929" s="4" t="str">
        <f>HYPERLINK("http://141.218.60.56/~jnz1568/getInfo.php?workbook=13_02.xlsx&amp;sheet=U0&amp;row=1929&amp;col=7&amp;number=0.00327&amp;sourceID=14","0.00327")</f>
        <v>0.00327</v>
      </c>
    </row>
    <row r="1930" spans="1:7">
      <c r="A1930" s="3"/>
      <c r="B1930" s="3"/>
      <c r="C1930" s="3"/>
      <c r="D1930" s="3"/>
      <c r="E1930" s="3">
        <v>7</v>
      </c>
      <c r="F1930" s="4" t="str">
        <f>HYPERLINK("http://141.218.60.56/~jnz1568/getInfo.php?workbook=13_02.xlsx&amp;sheet=U0&amp;row=1930&amp;col=6&amp;number=3.6&amp;sourceID=14","3.6")</f>
        <v>3.6</v>
      </c>
      <c r="G1930" s="4" t="str">
        <f>HYPERLINK("http://141.218.60.56/~jnz1568/getInfo.php?workbook=13_02.xlsx&amp;sheet=U0&amp;row=1930&amp;col=7&amp;number=0.00327&amp;sourceID=14","0.00327")</f>
        <v>0.00327</v>
      </c>
    </row>
    <row r="1931" spans="1:7">
      <c r="A1931" s="3"/>
      <c r="B1931" s="3"/>
      <c r="C1931" s="3"/>
      <c r="D1931" s="3"/>
      <c r="E1931" s="3">
        <v>8</v>
      </c>
      <c r="F1931" s="4" t="str">
        <f>HYPERLINK("http://141.218.60.56/~jnz1568/getInfo.php?workbook=13_02.xlsx&amp;sheet=U0&amp;row=1931&amp;col=6&amp;number=3.7&amp;sourceID=14","3.7")</f>
        <v>3.7</v>
      </c>
      <c r="G1931" s="4" t="str">
        <f>HYPERLINK("http://141.218.60.56/~jnz1568/getInfo.php?workbook=13_02.xlsx&amp;sheet=U0&amp;row=1931&amp;col=7&amp;number=0.00327&amp;sourceID=14","0.00327")</f>
        <v>0.00327</v>
      </c>
    </row>
    <row r="1932" spans="1:7">
      <c r="A1932" s="3"/>
      <c r="B1932" s="3"/>
      <c r="C1932" s="3"/>
      <c r="D1932" s="3"/>
      <c r="E1932" s="3">
        <v>9</v>
      </c>
      <c r="F1932" s="4" t="str">
        <f>HYPERLINK("http://141.218.60.56/~jnz1568/getInfo.php?workbook=13_02.xlsx&amp;sheet=U0&amp;row=1932&amp;col=6&amp;number=3.8&amp;sourceID=14","3.8")</f>
        <v>3.8</v>
      </c>
      <c r="G1932" s="4" t="str">
        <f>HYPERLINK("http://141.218.60.56/~jnz1568/getInfo.php?workbook=13_02.xlsx&amp;sheet=U0&amp;row=1932&amp;col=7&amp;number=0.00327&amp;sourceID=14","0.00327")</f>
        <v>0.00327</v>
      </c>
    </row>
    <row r="1933" spans="1:7">
      <c r="A1933" s="3"/>
      <c r="B1933" s="3"/>
      <c r="C1933" s="3"/>
      <c r="D1933" s="3"/>
      <c r="E1933" s="3">
        <v>10</v>
      </c>
      <c r="F1933" s="4" t="str">
        <f>HYPERLINK("http://141.218.60.56/~jnz1568/getInfo.php?workbook=13_02.xlsx&amp;sheet=U0&amp;row=1933&amp;col=6&amp;number=3.9&amp;sourceID=14","3.9")</f>
        <v>3.9</v>
      </c>
      <c r="G1933" s="4" t="str">
        <f>HYPERLINK("http://141.218.60.56/~jnz1568/getInfo.php?workbook=13_02.xlsx&amp;sheet=U0&amp;row=1933&amp;col=7&amp;number=0.00327&amp;sourceID=14","0.00327")</f>
        <v>0.00327</v>
      </c>
    </row>
    <row r="1934" spans="1:7">
      <c r="A1934" s="3"/>
      <c r="B1934" s="3"/>
      <c r="C1934" s="3"/>
      <c r="D1934" s="3"/>
      <c r="E1934" s="3">
        <v>11</v>
      </c>
      <c r="F1934" s="4" t="str">
        <f>HYPERLINK("http://141.218.60.56/~jnz1568/getInfo.php?workbook=13_02.xlsx&amp;sheet=U0&amp;row=1934&amp;col=6&amp;number=4&amp;sourceID=14","4")</f>
        <v>4</v>
      </c>
      <c r="G1934" s="4" t="str">
        <f>HYPERLINK("http://141.218.60.56/~jnz1568/getInfo.php?workbook=13_02.xlsx&amp;sheet=U0&amp;row=1934&amp;col=7&amp;number=0.00327&amp;sourceID=14","0.00327")</f>
        <v>0.00327</v>
      </c>
    </row>
    <row r="1935" spans="1:7">
      <c r="A1935" s="3"/>
      <c r="B1935" s="3"/>
      <c r="C1935" s="3"/>
      <c r="D1935" s="3"/>
      <c r="E1935" s="3">
        <v>12</v>
      </c>
      <c r="F1935" s="4" t="str">
        <f>HYPERLINK("http://141.218.60.56/~jnz1568/getInfo.php?workbook=13_02.xlsx&amp;sheet=U0&amp;row=1935&amp;col=6&amp;number=4.1&amp;sourceID=14","4.1")</f>
        <v>4.1</v>
      </c>
      <c r="G1935" s="4" t="str">
        <f>HYPERLINK("http://141.218.60.56/~jnz1568/getInfo.php?workbook=13_02.xlsx&amp;sheet=U0&amp;row=1935&amp;col=7&amp;number=0.00326&amp;sourceID=14","0.00326")</f>
        <v>0.00326</v>
      </c>
    </row>
    <row r="1936" spans="1:7">
      <c r="A1936" s="3"/>
      <c r="B1936" s="3"/>
      <c r="C1936" s="3"/>
      <c r="D1936" s="3"/>
      <c r="E1936" s="3">
        <v>13</v>
      </c>
      <c r="F1936" s="4" t="str">
        <f>HYPERLINK("http://141.218.60.56/~jnz1568/getInfo.php?workbook=13_02.xlsx&amp;sheet=U0&amp;row=1936&amp;col=6&amp;number=4.2&amp;sourceID=14","4.2")</f>
        <v>4.2</v>
      </c>
      <c r="G1936" s="4" t="str">
        <f>HYPERLINK("http://141.218.60.56/~jnz1568/getInfo.php?workbook=13_02.xlsx&amp;sheet=U0&amp;row=1936&amp;col=7&amp;number=0.00326&amp;sourceID=14","0.00326")</f>
        <v>0.00326</v>
      </c>
    </row>
    <row r="1937" spans="1:7">
      <c r="A1937" s="3"/>
      <c r="B1937" s="3"/>
      <c r="C1937" s="3"/>
      <c r="D1937" s="3"/>
      <c r="E1937" s="3">
        <v>14</v>
      </c>
      <c r="F1937" s="4" t="str">
        <f>HYPERLINK("http://141.218.60.56/~jnz1568/getInfo.php?workbook=13_02.xlsx&amp;sheet=U0&amp;row=1937&amp;col=6&amp;number=4.3&amp;sourceID=14","4.3")</f>
        <v>4.3</v>
      </c>
      <c r="G1937" s="4" t="str">
        <f>HYPERLINK("http://141.218.60.56/~jnz1568/getInfo.php?workbook=13_02.xlsx&amp;sheet=U0&amp;row=1937&amp;col=7&amp;number=0.00326&amp;sourceID=14","0.00326")</f>
        <v>0.00326</v>
      </c>
    </row>
    <row r="1938" spans="1:7">
      <c r="A1938" s="3"/>
      <c r="B1938" s="3"/>
      <c r="C1938" s="3"/>
      <c r="D1938" s="3"/>
      <c r="E1938" s="3">
        <v>15</v>
      </c>
      <c r="F1938" s="4" t="str">
        <f>HYPERLINK("http://141.218.60.56/~jnz1568/getInfo.php?workbook=13_02.xlsx&amp;sheet=U0&amp;row=1938&amp;col=6&amp;number=4.4&amp;sourceID=14","4.4")</f>
        <v>4.4</v>
      </c>
      <c r="G1938" s="4" t="str">
        <f>HYPERLINK("http://141.218.60.56/~jnz1568/getInfo.php?workbook=13_02.xlsx&amp;sheet=U0&amp;row=1938&amp;col=7&amp;number=0.00325&amp;sourceID=14","0.00325")</f>
        <v>0.00325</v>
      </c>
    </row>
    <row r="1939" spans="1:7">
      <c r="A1939" s="3"/>
      <c r="B1939" s="3"/>
      <c r="C1939" s="3"/>
      <c r="D1939" s="3"/>
      <c r="E1939" s="3">
        <v>16</v>
      </c>
      <c r="F1939" s="4" t="str">
        <f>HYPERLINK("http://141.218.60.56/~jnz1568/getInfo.php?workbook=13_02.xlsx&amp;sheet=U0&amp;row=1939&amp;col=6&amp;number=4.5&amp;sourceID=14","4.5")</f>
        <v>4.5</v>
      </c>
      <c r="G1939" s="4" t="str">
        <f>HYPERLINK("http://141.218.60.56/~jnz1568/getInfo.php?workbook=13_02.xlsx&amp;sheet=U0&amp;row=1939&amp;col=7&amp;number=0.00325&amp;sourceID=14","0.00325")</f>
        <v>0.00325</v>
      </c>
    </row>
    <row r="1940" spans="1:7">
      <c r="A1940" s="3"/>
      <c r="B1940" s="3"/>
      <c r="C1940" s="3"/>
      <c r="D1940" s="3"/>
      <c r="E1940" s="3">
        <v>17</v>
      </c>
      <c r="F1940" s="4" t="str">
        <f>HYPERLINK("http://141.218.60.56/~jnz1568/getInfo.php?workbook=13_02.xlsx&amp;sheet=U0&amp;row=1940&amp;col=6&amp;number=4.6&amp;sourceID=14","4.6")</f>
        <v>4.6</v>
      </c>
      <c r="G1940" s="4" t="str">
        <f>HYPERLINK("http://141.218.60.56/~jnz1568/getInfo.php?workbook=13_02.xlsx&amp;sheet=U0&amp;row=1940&amp;col=7&amp;number=0.00324&amp;sourceID=14","0.00324")</f>
        <v>0.00324</v>
      </c>
    </row>
    <row r="1941" spans="1:7">
      <c r="A1941" s="3"/>
      <c r="B1941" s="3"/>
      <c r="C1941" s="3"/>
      <c r="D1941" s="3"/>
      <c r="E1941" s="3">
        <v>18</v>
      </c>
      <c r="F1941" s="4" t="str">
        <f>HYPERLINK("http://141.218.60.56/~jnz1568/getInfo.php?workbook=13_02.xlsx&amp;sheet=U0&amp;row=1941&amp;col=6&amp;number=4.7&amp;sourceID=14","4.7")</f>
        <v>4.7</v>
      </c>
      <c r="G1941" s="4" t="str">
        <f>HYPERLINK("http://141.218.60.56/~jnz1568/getInfo.php?workbook=13_02.xlsx&amp;sheet=U0&amp;row=1941&amp;col=7&amp;number=0.00323&amp;sourceID=14","0.00323")</f>
        <v>0.00323</v>
      </c>
    </row>
    <row r="1942" spans="1:7">
      <c r="A1942" s="3"/>
      <c r="B1942" s="3"/>
      <c r="C1942" s="3"/>
      <c r="D1942" s="3"/>
      <c r="E1942" s="3">
        <v>19</v>
      </c>
      <c r="F1942" s="4" t="str">
        <f>HYPERLINK("http://141.218.60.56/~jnz1568/getInfo.php?workbook=13_02.xlsx&amp;sheet=U0&amp;row=1942&amp;col=6&amp;number=4.8&amp;sourceID=14","4.8")</f>
        <v>4.8</v>
      </c>
      <c r="G1942" s="4" t="str">
        <f>HYPERLINK("http://141.218.60.56/~jnz1568/getInfo.php?workbook=13_02.xlsx&amp;sheet=U0&amp;row=1942&amp;col=7&amp;number=0.00322&amp;sourceID=14","0.00322")</f>
        <v>0.00322</v>
      </c>
    </row>
    <row r="1943" spans="1:7">
      <c r="A1943" s="3"/>
      <c r="B1943" s="3"/>
      <c r="C1943" s="3"/>
      <c r="D1943" s="3"/>
      <c r="E1943" s="3">
        <v>20</v>
      </c>
      <c r="F1943" s="4" t="str">
        <f>HYPERLINK("http://141.218.60.56/~jnz1568/getInfo.php?workbook=13_02.xlsx&amp;sheet=U0&amp;row=1943&amp;col=6&amp;number=4.9&amp;sourceID=14","4.9")</f>
        <v>4.9</v>
      </c>
      <c r="G1943" s="4" t="str">
        <f>HYPERLINK("http://141.218.60.56/~jnz1568/getInfo.php?workbook=13_02.xlsx&amp;sheet=U0&amp;row=1943&amp;col=7&amp;number=0.00321&amp;sourceID=14","0.00321")</f>
        <v>0.00321</v>
      </c>
    </row>
    <row r="1944" spans="1:7">
      <c r="A1944" s="3">
        <v>13</v>
      </c>
      <c r="B1944" s="3">
        <v>2</v>
      </c>
      <c r="C1944" s="3" t="s">
        <v>88</v>
      </c>
      <c r="D1944" s="3">
        <v>5</v>
      </c>
      <c r="E1944" s="3">
        <v>1</v>
      </c>
      <c r="F1944" s="4" t="str">
        <f>HYPERLINK("http://141.218.60.56/~jnz1568/getInfo.php?workbook=13_02.xlsx&amp;sheet=U0&amp;row=1944&amp;col=6&amp;number=3&amp;sourceID=14","3")</f>
        <v>3</v>
      </c>
      <c r="G1944" s="4" t="str">
        <f>HYPERLINK("http://141.218.60.56/~jnz1568/getInfo.php?workbook=13_02.xlsx&amp;sheet=U0&amp;row=1944&amp;col=7&amp;number=0.00772&amp;sourceID=14","0.00772")</f>
        <v>0.00772</v>
      </c>
    </row>
    <row r="1945" spans="1:7">
      <c r="A1945" s="3"/>
      <c r="B1945" s="3"/>
      <c r="C1945" s="3"/>
      <c r="D1945" s="3"/>
      <c r="E1945" s="3">
        <v>2</v>
      </c>
      <c r="F1945" s="4" t="str">
        <f>HYPERLINK("http://141.218.60.56/~jnz1568/getInfo.php?workbook=13_02.xlsx&amp;sheet=U0&amp;row=1945&amp;col=6&amp;number=3.1&amp;sourceID=14","3.1")</f>
        <v>3.1</v>
      </c>
      <c r="G1945" s="4" t="str">
        <f>HYPERLINK("http://141.218.60.56/~jnz1568/getInfo.php?workbook=13_02.xlsx&amp;sheet=U0&amp;row=1945&amp;col=7&amp;number=0.00772&amp;sourceID=14","0.00772")</f>
        <v>0.00772</v>
      </c>
    </row>
    <row r="1946" spans="1:7">
      <c r="A1946" s="3"/>
      <c r="B1946" s="3"/>
      <c r="C1946" s="3"/>
      <c r="D1946" s="3"/>
      <c r="E1946" s="3">
        <v>3</v>
      </c>
      <c r="F1946" s="4" t="str">
        <f>HYPERLINK("http://141.218.60.56/~jnz1568/getInfo.php?workbook=13_02.xlsx&amp;sheet=U0&amp;row=1946&amp;col=6&amp;number=3.2&amp;sourceID=14","3.2")</f>
        <v>3.2</v>
      </c>
      <c r="G1946" s="4" t="str">
        <f>HYPERLINK("http://141.218.60.56/~jnz1568/getInfo.php?workbook=13_02.xlsx&amp;sheet=U0&amp;row=1946&amp;col=7&amp;number=0.00772&amp;sourceID=14","0.00772")</f>
        <v>0.00772</v>
      </c>
    </row>
    <row r="1947" spans="1:7">
      <c r="A1947" s="3"/>
      <c r="B1947" s="3"/>
      <c r="C1947" s="3"/>
      <c r="D1947" s="3"/>
      <c r="E1947" s="3">
        <v>4</v>
      </c>
      <c r="F1947" s="4" t="str">
        <f>HYPERLINK("http://141.218.60.56/~jnz1568/getInfo.php?workbook=13_02.xlsx&amp;sheet=U0&amp;row=1947&amp;col=6&amp;number=3.3&amp;sourceID=14","3.3")</f>
        <v>3.3</v>
      </c>
      <c r="G1947" s="4" t="str">
        <f>HYPERLINK("http://141.218.60.56/~jnz1568/getInfo.php?workbook=13_02.xlsx&amp;sheet=U0&amp;row=1947&amp;col=7&amp;number=0.00772&amp;sourceID=14","0.00772")</f>
        <v>0.00772</v>
      </c>
    </row>
    <row r="1948" spans="1:7">
      <c r="A1948" s="3"/>
      <c r="B1948" s="3"/>
      <c r="C1948" s="3"/>
      <c r="D1948" s="3"/>
      <c r="E1948" s="3">
        <v>5</v>
      </c>
      <c r="F1948" s="4" t="str">
        <f>HYPERLINK("http://141.218.60.56/~jnz1568/getInfo.php?workbook=13_02.xlsx&amp;sheet=U0&amp;row=1948&amp;col=6&amp;number=3.4&amp;sourceID=14","3.4")</f>
        <v>3.4</v>
      </c>
      <c r="G1948" s="4" t="str">
        <f>HYPERLINK("http://141.218.60.56/~jnz1568/getInfo.php?workbook=13_02.xlsx&amp;sheet=U0&amp;row=1948&amp;col=7&amp;number=0.00772&amp;sourceID=14","0.00772")</f>
        <v>0.00772</v>
      </c>
    </row>
    <row r="1949" spans="1:7">
      <c r="A1949" s="3"/>
      <c r="B1949" s="3"/>
      <c r="C1949" s="3"/>
      <c r="D1949" s="3"/>
      <c r="E1949" s="3">
        <v>6</v>
      </c>
      <c r="F1949" s="4" t="str">
        <f>HYPERLINK("http://141.218.60.56/~jnz1568/getInfo.php?workbook=13_02.xlsx&amp;sheet=U0&amp;row=1949&amp;col=6&amp;number=3.5&amp;sourceID=14","3.5")</f>
        <v>3.5</v>
      </c>
      <c r="G1949" s="4" t="str">
        <f>HYPERLINK("http://141.218.60.56/~jnz1568/getInfo.php?workbook=13_02.xlsx&amp;sheet=U0&amp;row=1949&amp;col=7&amp;number=0.00772&amp;sourceID=14","0.00772")</f>
        <v>0.00772</v>
      </c>
    </row>
    <row r="1950" spans="1:7">
      <c r="A1950" s="3"/>
      <c r="B1950" s="3"/>
      <c r="C1950" s="3"/>
      <c r="D1950" s="3"/>
      <c r="E1950" s="3">
        <v>7</v>
      </c>
      <c r="F1950" s="4" t="str">
        <f>HYPERLINK("http://141.218.60.56/~jnz1568/getInfo.php?workbook=13_02.xlsx&amp;sheet=U0&amp;row=1950&amp;col=6&amp;number=3.6&amp;sourceID=14","3.6")</f>
        <v>3.6</v>
      </c>
      <c r="G1950" s="4" t="str">
        <f>HYPERLINK("http://141.218.60.56/~jnz1568/getInfo.php?workbook=13_02.xlsx&amp;sheet=U0&amp;row=1950&amp;col=7&amp;number=0.00772&amp;sourceID=14","0.00772")</f>
        <v>0.00772</v>
      </c>
    </row>
    <row r="1951" spans="1:7">
      <c r="A1951" s="3"/>
      <c r="B1951" s="3"/>
      <c r="C1951" s="3"/>
      <c r="D1951" s="3"/>
      <c r="E1951" s="3">
        <v>8</v>
      </c>
      <c r="F1951" s="4" t="str">
        <f>HYPERLINK("http://141.218.60.56/~jnz1568/getInfo.php?workbook=13_02.xlsx&amp;sheet=U0&amp;row=1951&amp;col=6&amp;number=3.7&amp;sourceID=14","3.7")</f>
        <v>3.7</v>
      </c>
      <c r="G1951" s="4" t="str">
        <f>HYPERLINK("http://141.218.60.56/~jnz1568/getInfo.php?workbook=13_02.xlsx&amp;sheet=U0&amp;row=1951&amp;col=7&amp;number=0.00772&amp;sourceID=14","0.00772")</f>
        <v>0.00772</v>
      </c>
    </row>
    <row r="1952" spans="1:7">
      <c r="A1952" s="3"/>
      <c r="B1952" s="3"/>
      <c r="C1952" s="3"/>
      <c r="D1952" s="3"/>
      <c r="E1952" s="3">
        <v>9</v>
      </c>
      <c r="F1952" s="4" t="str">
        <f>HYPERLINK("http://141.218.60.56/~jnz1568/getInfo.php?workbook=13_02.xlsx&amp;sheet=U0&amp;row=1952&amp;col=6&amp;number=3.8&amp;sourceID=14","3.8")</f>
        <v>3.8</v>
      </c>
      <c r="G1952" s="4" t="str">
        <f>HYPERLINK("http://141.218.60.56/~jnz1568/getInfo.php?workbook=13_02.xlsx&amp;sheet=U0&amp;row=1952&amp;col=7&amp;number=0.00772&amp;sourceID=14","0.00772")</f>
        <v>0.00772</v>
      </c>
    </row>
    <row r="1953" spans="1:7">
      <c r="A1953" s="3"/>
      <c r="B1953" s="3"/>
      <c r="C1953" s="3"/>
      <c r="D1953" s="3"/>
      <c r="E1953" s="3">
        <v>10</v>
      </c>
      <c r="F1953" s="4" t="str">
        <f>HYPERLINK("http://141.218.60.56/~jnz1568/getInfo.php?workbook=13_02.xlsx&amp;sheet=U0&amp;row=1953&amp;col=6&amp;number=3.9&amp;sourceID=14","3.9")</f>
        <v>3.9</v>
      </c>
      <c r="G1953" s="4" t="str">
        <f>HYPERLINK("http://141.218.60.56/~jnz1568/getInfo.php?workbook=13_02.xlsx&amp;sheet=U0&amp;row=1953&amp;col=7&amp;number=0.00772&amp;sourceID=14","0.00772")</f>
        <v>0.00772</v>
      </c>
    </row>
    <row r="1954" spans="1:7">
      <c r="A1954" s="3"/>
      <c r="B1954" s="3"/>
      <c r="C1954" s="3"/>
      <c r="D1954" s="3"/>
      <c r="E1954" s="3">
        <v>11</v>
      </c>
      <c r="F1954" s="4" t="str">
        <f>HYPERLINK("http://141.218.60.56/~jnz1568/getInfo.php?workbook=13_02.xlsx&amp;sheet=U0&amp;row=1954&amp;col=6&amp;number=4&amp;sourceID=14","4")</f>
        <v>4</v>
      </c>
      <c r="G1954" s="4" t="str">
        <f>HYPERLINK("http://141.218.60.56/~jnz1568/getInfo.php?workbook=13_02.xlsx&amp;sheet=U0&amp;row=1954&amp;col=7&amp;number=0.00772&amp;sourceID=14","0.00772")</f>
        <v>0.00772</v>
      </c>
    </row>
    <row r="1955" spans="1:7">
      <c r="A1955" s="3"/>
      <c r="B1955" s="3"/>
      <c r="C1955" s="3"/>
      <c r="D1955" s="3"/>
      <c r="E1955" s="3">
        <v>12</v>
      </c>
      <c r="F1955" s="4" t="str">
        <f>HYPERLINK("http://141.218.60.56/~jnz1568/getInfo.php?workbook=13_02.xlsx&amp;sheet=U0&amp;row=1955&amp;col=6&amp;number=4.1&amp;sourceID=14","4.1")</f>
        <v>4.1</v>
      </c>
      <c r="G1955" s="4" t="str">
        <f>HYPERLINK("http://141.218.60.56/~jnz1568/getInfo.php?workbook=13_02.xlsx&amp;sheet=U0&amp;row=1955&amp;col=7&amp;number=0.00772&amp;sourceID=14","0.00772")</f>
        <v>0.00772</v>
      </c>
    </row>
    <row r="1956" spans="1:7">
      <c r="A1956" s="3"/>
      <c r="B1956" s="3"/>
      <c r="C1956" s="3"/>
      <c r="D1956" s="3"/>
      <c r="E1956" s="3">
        <v>13</v>
      </c>
      <c r="F1956" s="4" t="str">
        <f>HYPERLINK("http://141.218.60.56/~jnz1568/getInfo.php?workbook=13_02.xlsx&amp;sheet=U0&amp;row=1956&amp;col=6&amp;number=4.2&amp;sourceID=14","4.2")</f>
        <v>4.2</v>
      </c>
      <c r="G1956" s="4" t="str">
        <f>HYPERLINK("http://141.218.60.56/~jnz1568/getInfo.php?workbook=13_02.xlsx&amp;sheet=U0&amp;row=1956&amp;col=7&amp;number=0.00772&amp;sourceID=14","0.00772")</f>
        <v>0.00772</v>
      </c>
    </row>
    <row r="1957" spans="1:7">
      <c r="A1957" s="3"/>
      <c r="B1957" s="3"/>
      <c r="C1957" s="3"/>
      <c r="D1957" s="3"/>
      <c r="E1957" s="3">
        <v>14</v>
      </c>
      <c r="F1957" s="4" t="str">
        <f>HYPERLINK("http://141.218.60.56/~jnz1568/getInfo.php?workbook=13_02.xlsx&amp;sheet=U0&amp;row=1957&amp;col=6&amp;number=4.3&amp;sourceID=14","4.3")</f>
        <v>4.3</v>
      </c>
      <c r="G1957" s="4" t="str">
        <f>HYPERLINK("http://141.218.60.56/~jnz1568/getInfo.php?workbook=13_02.xlsx&amp;sheet=U0&amp;row=1957&amp;col=7&amp;number=0.00772&amp;sourceID=14","0.00772")</f>
        <v>0.00772</v>
      </c>
    </row>
    <row r="1958" spans="1:7">
      <c r="A1958" s="3"/>
      <c r="B1958" s="3"/>
      <c r="C1958" s="3"/>
      <c r="D1958" s="3"/>
      <c r="E1958" s="3">
        <v>15</v>
      </c>
      <c r="F1958" s="4" t="str">
        <f>HYPERLINK("http://141.218.60.56/~jnz1568/getInfo.php?workbook=13_02.xlsx&amp;sheet=U0&amp;row=1958&amp;col=6&amp;number=4.4&amp;sourceID=14","4.4")</f>
        <v>4.4</v>
      </c>
      <c r="G1958" s="4" t="str">
        <f>HYPERLINK("http://141.218.60.56/~jnz1568/getInfo.php?workbook=13_02.xlsx&amp;sheet=U0&amp;row=1958&amp;col=7&amp;number=0.00772&amp;sourceID=14","0.00772")</f>
        <v>0.00772</v>
      </c>
    </row>
    <row r="1959" spans="1:7">
      <c r="A1959" s="3"/>
      <c r="B1959" s="3"/>
      <c r="C1959" s="3"/>
      <c r="D1959" s="3"/>
      <c r="E1959" s="3">
        <v>16</v>
      </c>
      <c r="F1959" s="4" t="str">
        <f>HYPERLINK("http://141.218.60.56/~jnz1568/getInfo.php?workbook=13_02.xlsx&amp;sheet=U0&amp;row=1959&amp;col=6&amp;number=4.5&amp;sourceID=14","4.5")</f>
        <v>4.5</v>
      </c>
      <c r="G1959" s="4" t="str">
        <f>HYPERLINK("http://141.218.60.56/~jnz1568/getInfo.php?workbook=13_02.xlsx&amp;sheet=U0&amp;row=1959&amp;col=7&amp;number=0.00772&amp;sourceID=14","0.00772")</f>
        <v>0.00772</v>
      </c>
    </row>
    <row r="1960" spans="1:7">
      <c r="A1960" s="3"/>
      <c r="B1960" s="3"/>
      <c r="C1960" s="3"/>
      <c r="D1960" s="3"/>
      <c r="E1960" s="3">
        <v>17</v>
      </c>
      <c r="F1960" s="4" t="str">
        <f>HYPERLINK("http://141.218.60.56/~jnz1568/getInfo.php?workbook=13_02.xlsx&amp;sheet=U0&amp;row=1960&amp;col=6&amp;number=4.6&amp;sourceID=14","4.6")</f>
        <v>4.6</v>
      </c>
      <c r="G1960" s="4" t="str">
        <f>HYPERLINK("http://141.218.60.56/~jnz1568/getInfo.php?workbook=13_02.xlsx&amp;sheet=U0&amp;row=1960&amp;col=7&amp;number=0.00771&amp;sourceID=14","0.00771")</f>
        <v>0.00771</v>
      </c>
    </row>
    <row r="1961" spans="1:7">
      <c r="A1961" s="3"/>
      <c r="B1961" s="3"/>
      <c r="C1961" s="3"/>
      <c r="D1961" s="3"/>
      <c r="E1961" s="3">
        <v>18</v>
      </c>
      <c r="F1961" s="4" t="str">
        <f>HYPERLINK("http://141.218.60.56/~jnz1568/getInfo.php?workbook=13_02.xlsx&amp;sheet=U0&amp;row=1961&amp;col=6&amp;number=4.7&amp;sourceID=14","4.7")</f>
        <v>4.7</v>
      </c>
      <c r="G1961" s="4" t="str">
        <f>HYPERLINK("http://141.218.60.56/~jnz1568/getInfo.php?workbook=13_02.xlsx&amp;sheet=U0&amp;row=1961&amp;col=7&amp;number=0.00771&amp;sourceID=14","0.00771")</f>
        <v>0.00771</v>
      </c>
    </row>
    <row r="1962" spans="1:7">
      <c r="A1962" s="3"/>
      <c r="B1962" s="3"/>
      <c r="C1962" s="3"/>
      <c r="D1962" s="3"/>
      <c r="E1962" s="3">
        <v>19</v>
      </c>
      <c r="F1962" s="4" t="str">
        <f>HYPERLINK("http://141.218.60.56/~jnz1568/getInfo.php?workbook=13_02.xlsx&amp;sheet=U0&amp;row=1962&amp;col=6&amp;number=4.8&amp;sourceID=14","4.8")</f>
        <v>4.8</v>
      </c>
      <c r="G1962" s="4" t="str">
        <f>HYPERLINK("http://141.218.60.56/~jnz1568/getInfo.php?workbook=13_02.xlsx&amp;sheet=U0&amp;row=1962&amp;col=7&amp;number=0.00771&amp;sourceID=14","0.00771")</f>
        <v>0.00771</v>
      </c>
    </row>
    <row r="1963" spans="1:7">
      <c r="A1963" s="3"/>
      <c r="B1963" s="3"/>
      <c r="C1963" s="3"/>
      <c r="D1963" s="3"/>
      <c r="E1963" s="3">
        <v>20</v>
      </c>
      <c r="F1963" s="4" t="str">
        <f>HYPERLINK("http://141.218.60.56/~jnz1568/getInfo.php?workbook=13_02.xlsx&amp;sheet=U0&amp;row=1963&amp;col=6&amp;number=4.9&amp;sourceID=14","4.9")</f>
        <v>4.9</v>
      </c>
      <c r="G1963" s="4" t="str">
        <f>HYPERLINK("http://141.218.60.56/~jnz1568/getInfo.php?workbook=13_02.xlsx&amp;sheet=U0&amp;row=1963&amp;col=7&amp;number=0.00771&amp;sourceID=14","0.00771")</f>
        <v>0.00771</v>
      </c>
    </row>
    <row r="1964" spans="1:7">
      <c r="A1964" s="3">
        <v>13</v>
      </c>
      <c r="B1964" s="3">
        <v>2</v>
      </c>
      <c r="C1964" s="3" t="s">
        <v>88</v>
      </c>
      <c r="D1964" s="3">
        <v>6</v>
      </c>
      <c r="E1964" s="3">
        <v>1</v>
      </c>
      <c r="F1964" s="4" t="str">
        <f>HYPERLINK("http://141.218.60.56/~jnz1568/getInfo.php?workbook=13_02.xlsx&amp;sheet=U0&amp;row=1964&amp;col=6&amp;number=3&amp;sourceID=14","3")</f>
        <v>3</v>
      </c>
      <c r="G1964" s="4" t="str">
        <f>HYPERLINK("http://141.218.60.56/~jnz1568/getInfo.php?workbook=13_02.xlsx&amp;sheet=U0&amp;row=1964&amp;col=7&amp;number=0.00755&amp;sourceID=14","0.00755")</f>
        <v>0.00755</v>
      </c>
    </row>
    <row r="1965" spans="1:7">
      <c r="A1965" s="3"/>
      <c r="B1965" s="3"/>
      <c r="C1965" s="3"/>
      <c r="D1965" s="3"/>
      <c r="E1965" s="3">
        <v>2</v>
      </c>
      <c r="F1965" s="4" t="str">
        <f>HYPERLINK("http://141.218.60.56/~jnz1568/getInfo.php?workbook=13_02.xlsx&amp;sheet=U0&amp;row=1965&amp;col=6&amp;number=3.1&amp;sourceID=14","3.1")</f>
        <v>3.1</v>
      </c>
      <c r="G1965" s="4" t="str">
        <f>HYPERLINK("http://141.218.60.56/~jnz1568/getInfo.php?workbook=13_02.xlsx&amp;sheet=U0&amp;row=1965&amp;col=7&amp;number=0.00755&amp;sourceID=14","0.00755")</f>
        <v>0.00755</v>
      </c>
    </row>
    <row r="1966" spans="1:7">
      <c r="A1966" s="3"/>
      <c r="B1966" s="3"/>
      <c r="C1966" s="3"/>
      <c r="D1966" s="3"/>
      <c r="E1966" s="3">
        <v>3</v>
      </c>
      <c r="F1966" s="4" t="str">
        <f>HYPERLINK("http://141.218.60.56/~jnz1568/getInfo.php?workbook=13_02.xlsx&amp;sheet=U0&amp;row=1966&amp;col=6&amp;number=3.2&amp;sourceID=14","3.2")</f>
        <v>3.2</v>
      </c>
      <c r="G1966" s="4" t="str">
        <f>HYPERLINK("http://141.218.60.56/~jnz1568/getInfo.php?workbook=13_02.xlsx&amp;sheet=U0&amp;row=1966&amp;col=7&amp;number=0.00755&amp;sourceID=14","0.00755")</f>
        <v>0.00755</v>
      </c>
    </row>
    <row r="1967" spans="1:7">
      <c r="A1967" s="3"/>
      <c r="B1967" s="3"/>
      <c r="C1967" s="3"/>
      <c r="D1967" s="3"/>
      <c r="E1967" s="3">
        <v>4</v>
      </c>
      <c r="F1967" s="4" t="str">
        <f>HYPERLINK("http://141.218.60.56/~jnz1568/getInfo.php?workbook=13_02.xlsx&amp;sheet=U0&amp;row=1967&amp;col=6&amp;number=3.3&amp;sourceID=14","3.3")</f>
        <v>3.3</v>
      </c>
      <c r="G1967" s="4" t="str">
        <f>HYPERLINK("http://141.218.60.56/~jnz1568/getInfo.php?workbook=13_02.xlsx&amp;sheet=U0&amp;row=1967&amp;col=7&amp;number=0.00755&amp;sourceID=14","0.00755")</f>
        <v>0.00755</v>
      </c>
    </row>
    <row r="1968" spans="1:7">
      <c r="A1968" s="3"/>
      <c r="B1968" s="3"/>
      <c r="C1968" s="3"/>
      <c r="D1968" s="3"/>
      <c r="E1968" s="3">
        <v>5</v>
      </c>
      <c r="F1968" s="4" t="str">
        <f>HYPERLINK("http://141.218.60.56/~jnz1568/getInfo.php?workbook=13_02.xlsx&amp;sheet=U0&amp;row=1968&amp;col=6&amp;number=3.4&amp;sourceID=14","3.4")</f>
        <v>3.4</v>
      </c>
      <c r="G1968" s="4" t="str">
        <f>HYPERLINK("http://141.218.60.56/~jnz1568/getInfo.php?workbook=13_02.xlsx&amp;sheet=U0&amp;row=1968&amp;col=7&amp;number=0.00755&amp;sourceID=14","0.00755")</f>
        <v>0.00755</v>
      </c>
    </row>
    <row r="1969" spans="1:7">
      <c r="A1969" s="3"/>
      <c r="B1969" s="3"/>
      <c r="C1969" s="3"/>
      <c r="D1969" s="3"/>
      <c r="E1969" s="3">
        <v>6</v>
      </c>
      <c r="F1969" s="4" t="str">
        <f>HYPERLINK("http://141.218.60.56/~jnz1568/getInfo.php?workbook=13_02.xlsx&amp;sheet=U0&amp;row=1969&amp;col=6&amp;number=3.5&amp;sourceID=14","3.5")</f>
        <v>3.5</v>
      </c>
      <c r="G1969" s="4" t="str">
        <f>HYPERLINK("http://141.218.60.56/~jnz1568/getInfo.php?workbook=13_02.xlsx&amp;sheet=U0&amp;row=1969&amp;col=7&amp;number=0.00755&amp;sourceID=14","0.00755")</f>
        <v>0.00755</v>
      </c>
    </row>
    <row r="1970" spans="1:7">
      <c r="A1970" s="3"/>
      <c r="B1970" s="3"/>
      <c r="C1970" s="3"/>
      <c r="D1970" s="3"/>
      <c r="E1970" s="3">
        <v>7</v>
      </c>
      <c r="F1970" s="4" t="str">
        <f>HYPERLINK("http://141.218.60.56/~jnz1568/getInfo.php?workbook=13_02.xlsx&amp;sheet=U0&amp;row=1970&amp;col=6&amp;number=3.6&amp;sourceID=14","3.6")</f>
        <v>3.6</v>
      </c>
      <c r="G1970" s="4" t="str">
        <f>HYPERLINK("http://141.218.60.56/~jnz1568/getInfo.php?workbook=13_02.xlsx&amp;sheet=U0&amp;row=1970&amp;col=7&amp;number=0.00755&amp;sourceID=14","0.00755")</f>
        <v>0.00755</v>
      </c>
    </row>
    <row r="1971" spans="1:7">
      <c r="A1971" s="3"/>
      <c r="B1971" s="3"/>
      <c r="C1971" s="3"/>
      <c r="D1971" s="3"/>
      <c r="E1971" s="3">
        <v>8</v>
      </c>
      <c r="F1971" s="4" t="str">
        <f>HYPERLINK("http://141.218.60.56/~jnz1568/getInfo.php?workbook=13_02.xlsx&amp;sheet=U0&amp;row=1971&amp;col=6&amp;number=3.7&amp;sourceID=14","3.7")</f>
        <v>3.7</v>
      </c>
      <c r="G1971" s="4" t="str">
        <f>HYPERLINK("http://141.218.60.56/~jnz1568/getInfo.php?workbook=13_02.xlsx&amp;sheet=U0&amp;row=1971&amp;col=7&amp;number=0.00755&amp;sourceID=14","0.00755")</f>
        <v>0.00755</v>
      </c>
    </row>
    <row r="1972" spans="1:7">
      <c r="A1972" s="3"/>
      <c r="B1972" s="3"/>
      <c r="C1972" s="3"/>
      <c r="D1972" s="3"/>
      <c r="E1972" s="3">
        <v>9</v>
      </c>
      <c r="F1972" s="4" t="str">
        <f>HYPERLINK("http://141.218.60.56/~jnz1568/getInfo.php?workbook=13_02.xlsx&amp;sheet=U0&amp;row=1972&amp;col=6&amp;number=3.8&amp;sourceID=14","3.8")</f>
        <v>3.8</v>
      </c>
      <c r="G1972" s="4" t="str">
        <f>HYPERLINK("http://141.218.60.56/~jnz1568/getInfo.php?workbook=13_02.xlsx&amp;sheet=U0&amp;row=1972&amp;col=7&amp;number=0.00754&amp;sourceID=14","0.00754")</f>
        <v>0.00754</v>
      </c>
    </row>
    <row r="1973" spans="1:7">
      <c r="A1973" s="3"/>
      <c r="B1973" s="3"/>
      <c r="C1973" s="3"/>
      <c r="D1973" s="3"/>
      <c r="E1973" s="3">
        <v>10</v>
      </c>
      <c r="F1973" s="4" t="str">
        <f>HYPERLINK("http://141.218.60.56/~jnz1568/getInfo.php?workbook=13_02.xlsx&amp;sheet=U0&amp;row=1973&amp;col=6&amp;number=3.9&amp;sourceID=14","3.9")</f>
        <v>3.9</v>
      </c>
      <c r="G1973" s="4" t="str">
        <f>HYPERLINK("http://141.218.60.56/~jnz1568/getInfo.php?workbook=13_02.xlsx&amp;sheet=U0&amp;row=1973&amp;col=7&amp;number=0.00754&amp;sourceID=14","0.00754")</f>
        <v>0.00754</v>
      </c>
    </row>
    <row r="1974" spans="1:7">
      <c r="A1974" s="3"/>
      <c r="B1974" s="3"/>
      <c r="C1974" s="3"/>
      <c r="D1974" s="3"/>
      <c r="E1974" s="3">
        <v>11</v>
      </c>
      <c r="F1974" s="4" t="str">
        <f>HYPERLINK("http://141.218.60.56/~jnz1568/getInfo.php?workbook=13_02.xlsx&amp;sheet=U0&amp;row=1974&amp;col=6&amp;number=4&amp;sourceID=14","4")</f>
        <v>4</v>
      </c>
      <c r="G1974" s="4" t="str">
        <f>HYPERLINK("http://141.218.60.56/~jnz1568/getInfo.php?workbook=13_02.xlsx&amp;sheet=U0&amp;row=1974&amp;col=7&amp;number=0.00754&amp;sourceID=14","0.00754")</f>
        <v>0.00754</v>
      </c>
    </row>
    <row r="1975" spans="1:7">
      <c r="A1975" s="3"/>
      <c r="B1975" s="3"/>
      <c r="C1975" s="3"/>
      <c r="D1975" s="3"/>
      <c r="E1975" s="3">
        <v>12</v>
      </c>
      <c r="F1975" s="4" t="str">
        <f>HYPERLINK("http://141.218.60.56/~jnz1568/getInfo.php?workbook=13_02.xlsx&amp;sheet=U0&amp;row=1975&amp;col=6&amp;number=4.1&amp;sourceID=14","4.1")</f>
        <v>4.1</v>
      </c>
      <c r="G1975" s="4" t="str">
        <f>HYPERLINK("http://141.218.60.56/~jnz1568/getInfo.php?workbook=13_02.xlsx&amp;sheet=U0&amp;row=1975&amp;col=7&amp;number=0.00753&amp;sourceID=14","0.00753")</f>
        <v>0.00753</v>
      </c>
    </row>
    <row r="1976" spans="1:7">
      <c r="A1976" s="3"/>
      <c r="B1976" s="3"/>
      <c r="C1976" s="3"/>
      <c r="D1976" s="3"/>
      <c r="E1976" s="3">
        <v>13</v>
      </c>
      <c r="F1976" s="4" t="str">
        <f>HYPERLINK("http://141.218.60.56/~jnz1568/getInfo.php?workbook=13_02.xlsx&amp;sheet=U0&amp;row=1976&amp;col=6&amp;number=4.2&amp;sourceID=14","4.2")</f>
        <v>4.2</v>
      </c>
      <c r="G1976" s="4" t="str">
        <f>HYPERLINK("http://141.218.60.56/~jnz1568/getInfo.php?workbook=13_02.xlsx&amp;sheet=U0&amp;row=1976&amp;col=7&amp;number=0.00752&amp;sourceID=14","0.00752")</f>
        <v>0.00752</v>
      </c>
    </row>
    <row r="1977" spans="1:7">
      <c r="A1977" s="3"/>
      <c r="B1977" s="3"/>
      <c r="C1977" s="3"/>
      <c r="D1977" s="3"/>
      <c r="E1977" s="3">
        <v>14</v>
      </c>
      <c r="F1977" s="4" t="str">
        <f>HYPERLINK("http://141.218.60.56/~jnz1568/getInfo.php?workbook=13_02.xlsx&amp;sheet=U0&amp;row=1977&amp;col=6&amp;number=4.3&amp;sourceID=14","4.3")</f>
        <v>4.3</v>
      </c>
      <c r="G1977" s="4" t="str">
        <f>HYPERLINK("http://141.218.60.56/~jnz1568/getInfo.php?workbook=13_02.xlsx&amp;sheet=U0&amp;row=1977&amp;col=7&amp;number=0.00752&amp;sourceID=14","0.00752")</f>
        <v>0.00752</v>
      </c>
    </row>
    <row r="1978" spans="1:7">
      <c r="A1978" s="3"/>
      <c r="B1978" s="3"/>
      <c r="C1978" s="3"/>
      <c r="D1978" s="3"/>
      <c r="E1978" s="3">
        <v>15</v>
      </c>
      <c r="F1978" s="4" t="str">
        <f>HYPERLINK("http://141.218.60.56/~jnz1568/getInfo.php?workbook=13_02.xlsx&amp;sheet=U0&amp;row=1978&amp;col=6&amp;number=4.4&amp;sourceID=14","4.4")</f>
        <v>4.4</v>
      </c>
      <c r="G1978" s="4" t="str">
        <f>HYPERLINK("http://141.218.60.56/~jnz1568/getInfo.php?workbook=13_02.xlsx&amp;sheet=U0&amp;row=1978&amp;col=7&amp;number=0.00751&amp;sourceID=14","0.00751")</f>
        <v>0.00751</v>
      </c>
    </row>
    <row r="1979" spans="1:7">
      <c r="A1979" s="3"/>
      <c r="B1979" s="3"/>
      <c r="C1979" s="3"/>
      <c r="D1979" s="3"/>
      <c r="E1979" s="3">
        <v>16</v>
      </c>
      <c r="F1979" s="4" t="str">
        <f>HYPERLINK("http://141.218.60.56/~jnz1568/getInfo.php?workbook=13_02.xlsx&amp;sheet=U0&amp;row=1979&amp;col=6&amp;number=4.5&amp;sourceID=14","4.5")</f>
        <v>4.5</v>
      </c>
      <c r="G1979" s="4" t="str">
        <f>HYPERLINK("http://141.218.60.56/~jnz1568/getInfo.php?workbook=13_02.xlsx&amp;sheet=U0&amp;row=1979&amp;col=7&amp;number=0.00749&amp;sourceID=14","0.00749")</f>
        <v>0.00749</v>
      </c>
    </row>
    <row r="1980" spans="1:7">
      <c r="A1980" s="3"/>
      <c r="B1980" s="3"/>
      <c r="C1980" s="3"/>
      <c r="D1980" s="3"/>
      <c r="E1980" s="3">
        <v>17</v>
      </c>
      <c r="F1980" s="4" t="str">
        <f>HYPERLINK("http://141.218.60.56/~jnz1568/getInfo.php?workbook=13_02.xlsx&amp;sheet=U0&amp;row=1980&amp;col=6&amp;number=4.6&amp;sourceID=14","4.6")</f>
        <v>4.6</v>
      </c>
      <c r="G1980" s="4" t="str">
        <f>HYPERLINK("http://141.218.60.56/~jnz1568/getInfo.php?workbook=13_02.xlsx&amp;sheet=U0&amp;row=1980&amp;col=7&amp;number=0.00748&amp;sourceID=14","0.00748")</f>
        <v>0.00748</v>
      </c>
    </row>
    <row r="1981" spans="1:7">
      <c r="A1981" s="3"/>
      <c r="B1981" s="3"/>
      <c r="C1981" s="3"/>
      <c r="D1981" s="3"/>
      <c r="E1981" s="3">
        <v>18</v>
      </c>
      <c r="F1981" s="4" t="str">
        <f>HYPERLINK("http://141.218.60.56/~jnz1568/getInfo.php?workbook=13_02.xlsx&amp;sheet=U0&amp;row=1981&amp;col=6&amp;number=4.7&amp;sourceID=14","4.7")</f>
        <v>4.7</v>
      </c>
      <c r="G1981" s="4" t="str">
        <f>HYPERLINK("http://141.218.60.56/~jnz1568/getInfo.php?workbook=13_02.xlsx&amp;sheet=U0&amp;row=1981&amp;col=7&amp;number=0.00746&amp;sourceID=14","0.00746")</f>
        <v>0.00746</v>
      </c>
    </row>
    <row r="1982" spans="1:7">
      <c r="A1982" s="3"/>
      <c r="B1982" s="3"/>
      <c r="C1982" s="3"/>
      <c r="D1982" s="3"/>
      <c r="E1982" s="3">
        <v>19</v>
      </c>
      <c r="F1982" s="4" t="str">
        <f>HYPERLINK("http://141.218.60.56/~jnz1568/getInfo.php?workbook=13_02.xlsx&amp;sheet=U0&amp;row=1982&amp;col=6&amp;number=4.8&amp;sourceID=14","4.8")</f>
        <v>4.8</v>
      </c>
      <c r="G1982" s="4" t="str">
        <f>HYPERLINK("http://141.218.60.56/~jnz1568/getInfo.php?workbook=13_02.xlsx&amp;sheet=U0&amp;row=1982&amp;col=7&amp;number=0.00743&amp;sourceID=14","0.00743")</f>
        <v>0.00743</v>
      </c>
    </row>
    <row r="1983" spans="1:7">
      <c r="A1983" s="3"/>
      <c r="B1983" s="3"/>
      <c r="C1983" s="3"/>
      <c r="D1983" s="3"/>
      <c r="E1983" s="3">
        <v>20</v>
      </c>
      <c r="F1983" s="4" t="str">
        <f>HYPERLINK("http://141.218.60.56/~jnz1568/getInfo.php?workbook=13_02.xlsx&amp;sheet=U0&amp;row=1983&amp;col=6&amp;number=4.9&amp;sourceID=14","4.9")</f>
        <v>4.9</v>
      </c>
      <c r="G1983" s="4" t="str">
        <f>HYPERLINK("http://141.218.60.56/~jnz1568/getInfo.php?workbook=13_02.xlsx&amp;sheet=U0&amp;row=1983&amp;col=7&amp;number=0.0074&amp;sourceID=14","0.0074")</f>
        <v>0.0074</v>
      </c>
    </row>
    <row r="1984" spans="1:7">
      <c r="A1984" s="3">
        <v>13</v>
      </c>
      <c r="B1984" s="3">
        <v>2</v>
      </c>
      <c r="C1984" s="3" t="s">
        <v>88</v>
      </c>
      <c r="D1984" s="3">
        <v>7</v>
      </c>
      <c r="E1984" s="3">
        <v>1</v>
      </c>
      <c r="F1984" s="4" t="str">
        <f>HYPERLINK("http://141.218.60.56/~jnz1568/getInfo.php?workbook=13_02.xlsx&amp;sheet=U0&amp;row=1984&amp;col=6&amp;number=3&amp;sourceID=14","3")</f>
        <v>3</v>
      </c>
      <c r="G1984" s="4" t="str">
        <f>HYPERLINK("http://141.218.60.56/~jnz1568/getInfo.php?workbook=13_02.xlsx&amp;sheet=U0&amp;row=1984&amp;col=7&amp;number=0.0401&amp;sourceID=14","0.0401")</f>
        <v>0.0401</v>
      </c>
    </row>
    <row r="1985" spans="1:7">
      <c r="A1985" s="3"/>
      <c r="B1985" s="3"/>
      <c r="C1985" s="3"/>
      <c r="D1985" s="3"/>
      <c r="E1985" s="3">
        <v>2</v>
      </c>
      <c r="F1985" s="4" t="str">
        <f>HYPERLINK("http://141.218.60.56/~jnz1568/getInfo.php?workbook=13_02.xlsx&amp;sheet=U0&amp;row=1985&amp;col=6&amp;number=3.1&amp;sourceID=14","3.1")</f>
        <v>3.1</v>
      </c>
      <c r="G1985" s="4" t="str">
        <f>HYPERLINK("http://141.218.60.56/~jnz1568/getInfo.php?workbook=13_02.xlsx&amp;sheet=U0&amp;row=1985&amp;col=7&amp;number=0.0401&amp;sourceID=14","0.0401")</f>
        <v>0.0401</v>
      </c>
    </row>
    <row r="1986" spans="1:7">
      <c r="A1986" s="3"/>
      <c r="B1986" s="3"/>
      <c r="C1986" s="3"/>
      <c r="D1986" s="3"/>
      <c r="E1986" s="3">
        <v>3</v>
      </c>
      <c r="F1986" s="4" t="str">
        <f>HYPERLINK("http://141.218.60.56/~jnz1568/getInfo.php?workbook=13_02.xlsx&amp;sheet=U0&amp;row=1986&amp;col=6&amp;number=3.2&amp;sourceID=14","3.2")</f>
        <v>3.2</v>
      </c>
      <c r="G1986" s="4" t="str">
        <f>HYPERLINK("http://141.218.60.56/~jnz1568/getInfo.php?workbook=13_02.xlsx&amp;sheet=U0&amp;row=1986&amp;col=7&amp;number=0.0401&amp;sourceID=14","0.0401")</f>
        <v>0.0401</v>
      </c>
    </row>
    <row r="1987" spans="1:7">
      <c r="A1987" s="3"/>
      <c r="B1987" s="3"/>
      <c r="C1987" s="3"/>
      <c r="D1987" s="3"/>
      <c r="E1987" s="3">
        <v>4</v>
      </c>
      <c r="F1987" s="4" t="str">
        <f>HYPERLINK("http://141.218.60.56/~jnz1568/getInfo.php?workbook=13_02.xlsx&amp;sheet=U0&amp;row=1987&amp;col=6&amp;number=3.3&amp;sourceID=14","3.3")</f>
        <v>3.3</v>
      </c>
      <c r="G1987" s="4" t="str">
        <f>HYPERLINK("http://141.218.60.56/~jnz1568/getInfo.php?workbook=13_02.xlsx&amp;sheet=U0&amp;row=1987&amp;col=7&amp;number=0.0401&amp;sourceID=14","0.0401")</f>
        <v>0.0401</v>
      </c>
    </row>
    <row r="1988" spans="1:7">
      <c r="A1988" s="3"/>
      <c r="B1988" s="3"/>
      <c r="C1988" s="3"/>
      <c r="D1988" s="3"/>
      <c r="E1988" s="3">
        <v>5</v>
      </c>
      <c r="F1988" s="4" t="str">
        <f>HYPERLINK("http://141.218.60.56/~jnz1568/getInfo.php?workbook=13_02.xlsx&amp;sheet=U0&amp;row=1988&amp;col=6&amp;number=3.4&amp;sourceID=14","3.4")</f>
        <v>3.4</v>
      </c>
      <c r="G1988" s="4" t="str">
        <f>HYPERLINK("http://141.218.60.56/~jnz1568/getInfo.php?workbook=13_02.xlsx&amp;sheet=U0&amp;row=1988&amp;col=7&amp;number=0.0401&amp;sourceID=14","0.0401")</f>
        <v>0.0401</v>
      </c>
    </row>
    <row r="1989" spans="1:7">
      <c r="A1989" s="3"/>
      <c r="B1989" s="3"/>
      <c r="C1989" s="3"/>
      <c r="D1989" s="3"/>
      <c r="E1989" s="3">
        <v>6</v>
      </c>
      <c r="F1989" s="4" t="str">
        <f>HYPERLINK("http://141.218.60.56/~jnz1568/getInfo.php?workbook=13_02.xlsx&amp;sheet=U0&amp;row=1989&amp;col=6&amp;number=3.5&amp;sourceID=14","3.5")</f>
        <v>3.5</v>
      </c>
      <c r="G1989" s="4" t="str">
        <f>HYPERLINK("http://141.218.60.56/~jnz1568/getInfo.php?workbook=13_02.xlsx&amp;sheet=U0&amp;row=1989&amp;col=7&amp;number=0.0401&amp;sourceID=14","0.0401")</f>
        <v>0.0401</v>
      </c>
    </row>
    <row r="1990" spans="1:7">
      <c r="A1990" s="3"/>
      <c r="B1990" s="3"/>
      <c r="C1990" s="3"/>
      <c r="D1990" s="3"/>
      <c r="E1990" s="3">
        <v>7</v>
      </c>
      <c r="F1990" s="4" t="str">
        <f>HYPERLINK("http://141.218.60.56/~jnz1568/getInfo.php?workbook=13_02.xlsx&amp;sheet=U0&amp;row=1990&amp;col=6&amp;number=3.6&amp;sourceID=14","3.6")</f>
        <v>3.6</v>
      </c>
      <c r="G1990" s="4" t="str">
        <f>HYPERLINK("http://141.218.60.56/~jnz1568/getInfo.php?workbook=13_02.xlsx&amp;sheet=U0&amp;row=1990&amp;col=7&amp;number=0.0401&amp;sourceID=14","0.0401")</f>
        <v>0.0401</v>
      </c>
    </row>
    <row r="1991" spans="1:7">
      <c r="A1991" s="3"/>
      <c r="B1991" s="3"/>
      <c r="C1991" s="3"/>
      <c r="D1991" s="3"/>
      <c r="E1991" s="3">
        <v>8</v>
      </c>
      <c r="F1991" s="4" t="str">
        <f>HYPERLINK("http://141.218.60.56/~jnz1568/getInfo.php?workbook=13_02.xlsx&amp;sheet=U0&amp;row=1991&amp;col=6&amp;number=3.7&amp;sourceID=14","3.7")</f>
        <v>3.7</v>
      </c>
      <c r="G1991" s="4" t="str">
        <f>HYPERLINK("http://141.218.60.56/~jnz1568/getInfo.php?workbook=13_02.xlsx&amp;sheet=U0&amp;row=1991&amp;col=7&amp;number=0.0401&amp;sourceID=14","0.0401")</f>
        <v>0.0401</v>
      </c>
    </row>
    <row r="1992" spans="1:7">
      <c r="A1992" s="3"/>
      <c r="B1992" s="3"/>
      <c r="C1992" s="3"/>
      <c r="D1992" s="3"/>
      <c r="E1992" s="3">
        <v>9</v>
      </c>
      <c r="F1992" s="4" t="str">
        <f>HYPERLINK("http://141.218.60.56/~jnz1568/getInfo.php?workbook=13_02.xlsx&amp;sheet=U0&amp;row=1992&amp;col=6&amp;number=3.8&amp;sourceID=14","3.8")</f>
        <v>3.8</v>
      </c>
      <c r="G1992" s="4" t="str">
        <f>HYPERLINK("http://141.218.60.56/~jnz1568/getInfo.php?workbook=13_02.xlsx&amp;sheet=U0&amp;row=1992&amp;col=7&amp;number=0.0401&amp;sourceID=14","0.0401")</f>
        <v>0.0401</v>
      </c>
    </row>
    <row r="1993" spans="1:7">
      <c r="A1993" s="3"/>
      <c r="B1993" s="3"/>
      <c r="C1993" s="3"/>
      <c r="D1993" s="3"/>
      <c r="E1993" s="3">
        <v>10</v>
      </c>
      <c r="F1993" s="4" t="str">
        <f>HYPERLINK("http://141.218.60.56/~jnz1568/getInfo.php?workbook=13_02.xlsx&amp;sheet=U0&amp;row=1993&amp;col=6&amp;number=3.9&amp;sourceID=14","3.9")</f>
        <v>3.9</v>
      </c>
      <c r="G1993" s="4" t="str">
        <f>HYPERLINK("http://141.218.60.56/~jnz1568/getInfo.php?workbook=13_02.xlsx&amp;sheet=U0&amp;row=1993&amp;col=7&amp;number=0.0401&amp;sourceID=14","0.0401")</f>
        <v>0.0401</v>
      </c>
    </row>
    <row r="1994" spans="1:7">
      <c r="A1994" s="3"/>
      <c r="B1994" s="3"/>
      <c r="C1994" s="3"/>
      <c r="D1994" s="3"/>
      <c r="E1994" s="3">
        <v>11</v>
      </c>
      <c r="F1994" s="4" t="str">
        <f>HYPERLINK("http://141.218.60.56/~jnz1568/getInfo.php?workbook=13_02.xlsx&amp;sheet=U0&amp;row=1994&amp;col=6&amp;number=4&amp;sourceID=14","4")</f>
        <v>4</v>
      </c>
      <c r="G1994" s="4" t="str">
        <f>HYPERLINK("http://141.218.60.56/~jnz1568/getInfo.php?workbook=13_02.xlsx&amp;sheet=U0&amp;row=1994&amp;col=7&amp;number=0.0401&amp;sourceID=14","0.0401")</f>
        <v>0.0401</v>
      </c>
    </row>
    <row r="1995" spans="1:7">
      <c r="A1995" s="3"/>
      <c r="B1995" s="3"/>
      <c r="C1995" s="3"/>
      <c r="D1995" s="3"/>
      <c r="E1995" s="3">
        <v>12</v>
      </c>
      <c r="F1995" s="4" t="str">
        <f>HYPERLINK("http://141.218.60.56/~jnz1568/getInfo.php?workbook=13_02.xlsx&amp;sheet=U0&amp;row=1995&amp;col=6&amp;number=4.1&amp;sourceID=14","4.1")</f>
        <v>4.1</v>
      </c>
      <c r="G1995" s="4" t="str">
        <f>HYPERLINK("http://141.218.60.56/~jnz1568/getInfo.php?workbook=13_02.xlsx&amp;sheet=U0&amp;row=1995&amp;col=7&amp;number=0.0401&amp;sourceID=14","0.0401")</f>
        <v>0.0401</v>
      </c>
    </row>
    <row r="1996" spans="1:7">
      <c r="A1996" s="3"/>
      <c r="B1996" s="3"/>
      <c r="C1996" s="3"/>
      <c r="D1996" s="3"/>
      <c r="E1996" s="3">
        <v>13</v>
      </c>
      <c r="F1996" s="4" t="str">
        <f>HYPERLINK("http://141.218.60.56/~jnz1568/getInfo.php?workbook=13_02.xlsx&amp;sheet=U0&amp;row=1996&amp;col=6&amp;number=4.2&amp;sourceID=14","4.2")</f>
        <v>4.2</v>
      </c>
      <c r="G1996" s="4" t="str">
        <f>HYPERLINK("http://141.218.60.56/~jnz1568/getInfo.php?workbook=13_02.xlsx&amp;sheet=U0&amp;row=1996&amp;col=7&amp;number=0.0402&amp;sourceID=14","0.0402")</f>
        <v>0.0402</v>
      </c>
    </row>
    <row r="1997" spans="1:7">
      <c r="A1997" s="3"/>
      <c r="B1997" s="3"/>
      <c r="C1997" s="3"/>
      <c r="D1997" s="3"/>
      <c r="E1997" s="3">
        <v>14</v>
      </c>
      <c r="F1997" s="4" t="str">
        <f>HYPERLINK("http://141.218.60.56/~jnz1568/getInfo.php?workbook=13_02.xlsx&amp;sheet=U0&amp;row=1997&amp;col=6&amp;number=4.3&amp;sourceID=14","4.3")</f>
        <v>4.3</v>
      </c>
      <c r="G1997" s="4" t="str">
        <f>HYPERLINK("http://141.218.60.56/~jnz1568/getInfo.php?workbook=13_02.xlsx&amp;sheet=U0&amp;row=1997&amp;col=7&amp;number=0.0402&amp;sourceID=14","0.0402")</f>
        <v>0.0402</v>
      </c>
    </row>
    <row r="1998" spans="1:7">
      <c r="A1998" s="3"/>
      <c r="B1998" s="3"/>
      <c r="C1998" s="3"/>
      <c r="D1998" s="3"/>
      <c r="E1998" s="3">
        <v>15</v>
      </c>
      <c r="F1998" s="4" t="str">
        <f>HYPERLINK("http://141.218.60.56/~jnz1568/getInfo.php?workbook=13_02.xlsx&amp;sheet=U0&amp;row=1998&amp;col=6&amp;number=4.4&amp;sourceID=14","4.4")</f>
        <v>4.4</v>
      </c>
      <c r="G1998" s="4" t="str">
        <f>HYPERLINK("http://141.218.60.56/~jnz1568/getInfo.php?workbook=13_02.xlsx&amp;sheet=U0&amp;row=1998&amp;col=7&amp;number=0.0402&amp;sourceID=14","0.0402")</f>
        <v>0.0402</v>
      </c>
    </row>
    <row r="1999" spans="1:7">
      <c r="A1999" s="3"/>
      <c r="B1999" s="3"/>
      <c r="C1999" s="3"/>
      <c r="D1999" s="3"/>
      <c r="E1999" s="3">
        <v>16</v>
      </c>
      <c r="F1999" s="4" t="str">
        <f>HYPERLINK("http://141.218.60.56/~jnz1568/getInfo.php?workbook=13_02.xlsx&amp;sheet=U0&amp;row=1999&amp;col=6&amp;number=4.5&amp;sourceID=14","4.5")</f>
        <v>4.5</v>
      </c>
      <c r="G1999" s="4" t="str">
        <f>HYPERLINK("http://141.218.60.56/~jnz1568/getInfo.php?workbook=13_02.xlsx&amp;sheet=U0&amp;row=1999&amp;col=7&amp;number=0.0402&amp;sourceID=14","0.0402")</f>
        <v>0.0402</v>
      </c>
    </row>
    <row r="2000" spans="1:7">
      <c r="A2000" s="3"/>
      <c r="B2000" s="3"/>
      <c r="C2000" s="3"/>
      <c r="D2000" s="3"/>
      <c r="E2000" s="3">
        <v>17</v>
      </c>
      <c r="F2000" s="4" t="str">
        <f>HYPERLINK("http://141.218.60.56/~jnz1568/getInfo.php?workbook=13_02.xlsx&amp;sheet=U0&amp;row=2000&amp;col=6&amp;number=4.6&amp;sourceID=14","4.6")</f>
        <v>4.6</v>
      </c>
      <c r="G2000" s="4" t="str">
        <f>HYPERLINK("http://141.218.60.56/~jnz1568/getInfo.php?workbook=13_02.xlsx&amp;sheet=U0&amp;row=2000&amp;col=7&amp;number=0.0403&amp;sourceID=14","0.0403")</f>
        <v>0.0403</v>
      </c>
    </row>
    <row r="2001" spans="1:7">
      <c r="A2001" s="3"/>
      <c r="B2001" s="3"/>
      <c r="C2001" s="3"/>
      <c r="D2001" s="3"/>
      <c r="E2001" s="3">
        <v>18</v>
      </c>
      <c r="F2001" s="4" t="str">
        <f>HYPERLINK("http://141.218.60.56/~jnz1568/getInfo.php?workbook=13_02.xlsx&amp;sheet=U0&amp;row=2001&amp;col=6&amp;number=4.7&amp;sourceID=14","4.7")</f>
        <v>4.7</v>
      </c>
      <c r="G2001" s="4" t="str">
        <f>HYPERLINK("http://141.218.60.56/~jnz1568/getInfo.php?workbook=13_02.xlsx&amp;sheet=U0&amp;row=2001&amp;col=7&amp;number=0.0403&amp;sourceID=14","0.0403")</f>
        <v>0.0403</v>
      </c>
    </row>
    <row r="2002" spans="1:7">
      <c r="A2002" s="3"/>
      <c r="B2002" s="3"/>
      <c r="C2002" s="3"/>
      <c r="D2002" s="3"/>
      <c r="E2002" s="3">
        <v>19</v>
      </c>
      <c r="F2002" s="4" t="str">
        <f>HYPERLINK("http://141.218.60.56/~jnz1568/getInfo.php?workbook=13_02.xlsx&amp;sheet=U0&amp;row=2002&amp;col=6&amp;number=4.8&amp;sourceID=14","4.8")</f>
        <v>4.8</v>
      </c>
      <c r="G2002" s="4" t="str">
        <f>HYPERLINK("http://141.218.60.56/~jnz1568/getInfo.php?workbook=13_02.xlsx&amp;sheet=U0&amp;row=2002&amp;col=7&amp;number=0.0404&amp;sourceID=14","0.0404")</f>
        <v>0.0404</v>
      </c>
    </row>
    <row r="2003" spans="1:7">
      <c r="A2003" s="3"/>
      <c r="B2003" s="3"/>
      <c r="C2003" s="3"/>
      <c r="D2003" s="3"/>
      <c r="E2003" s="3">
        <v>20</v>
      </c>
      <c r="F2003" s="4" t="str">
        <f>HYPERLINK("http://141.218.60.56/~jnz1568/getInfo.php?workbook=13_02.xlsx&amp;sheet=U0&amp;row=2003&amp;col=6&amp;number=4.9&amp;sourceID=14","4.9")</f>
        <v>4.9</v>
      </c>
      <c r="G2003" s="4" t="str">
        <f>HYPERLINK("http://141.218.60.56/~jnz1568/getInfo.php?workbook=13_02.xlsx&amp;sheet=U0&amp;row=2003&amp;col=7&amp;number=0.0405&amp;sourceID=14","0.0405")</f>
        <v>0.0405</v>
      </c>
    </row>
    <row r="2004" spans="1:7">
      <c r="A2004" s="3">
        <v>13</v>
      </c>
      <c r="B2004" s="3">
        <v>2</v>
      </c>
      <c r="C2004" s="3" t="s">
        <v>88</v>
      </c>
      <c r="D2004" s="3">
        <v>8</v>
      </c>
      <c r="E2004" s="3">
        <v>1</v>
      </c>
      <c r="F2004" s="4" t="str">
        <f>HYPERLINK("http://141.218.60.56/~jnz1568/getInfo.php?workbook=13_02.xlsx&amp;sheet=U0&amp;row=2004&amp;col=6&amp;number=3&amp;sourceID=14","3")</f>
        <v>3</v>
      </c>
      <c r="G2004" s="4" t="str">
        <f>HYPERLINK("http://141.218.60.56/~jnz1568/getInfo.php?workbook=13_02.xlsx&amp;sheet=U0&amp;row=2004&amp;col=7&amp;number=0.000733&amp;sourceID=14","0.000733")</f>
        <v>0.000733</v>
      </c>
    </row>
    <row r="2005" spans="1:7">
      <c r="A2005" s="3"/>
      <c r="B2005" s="3"/>
      <c r="C2005" s="3"/>
      <c r="D2005" s="3"/>
      <c r="E2005" s="3">
        <v>2</v>
      </c>
      <c r="F2005" s="4" t="str">
        <f>HYPERLINK("http://141.218.60.56/~jnz1568/getInfo.php?workbook=13_02.xlsx&amp;sheet=U0&amp;row=2005&amp;col=6&amp;number=3.1&amp;sourceID=14","3.1")</f>
        <v>3.1</v>
      </c>
      <c r="G2005" s="4" t="str">
        <f>HYPERLINK("http://141.218.60.56/~jnz1568/getInfo.php?workbook=13_02.xlsx&amp;sheet=U0&amp;row=2005&amp;col=7&amp;number=0.000733&amp;sourceID=14","0.000733")</f>
        <v>0.000733</v>
      </c>
    </row>
    <row r="2006" spans="1:7">
      <c r="A2006" s="3"/>
      <c r="B2006" s="3"/>
      <c r="C2006" s="3"/>
      <c r="D2006" s="3"/>
      <c r="E2006" s="3">
        <v>3</v>
      </c>
      <c r="F2006" s="4" t="str">
        <f>HYPERLINK("http://141.218.60.56/~jnz1568/getInfo.php?workbook=13_02.xlsx&amp;sheet=U0&amp;row=2006&amp;col=6&amp;number=3.2&amp;sourceID=14","3.2")</f>
        <v>3.2</v>
      </c>
      <c r="G2006" s="4" t="str">
        <f>HYPERLINK("http://141.218.60.56/~jnz1568/getInfo.php?workbook=13_02.xlsx&amp;sheet=U0&amp;row=2006&amp;col=7&amp;number=0.000733&amp;sourceID=14","0.000733")</f>
        <v>0.000733</v>
      </c>
    </row>
    <row r="2007" spans="1:7">
      <c r="A2007" s="3"/>
      <c r="B2007" s="3"/>
      <c r="C2007" s="3"/>
      <c r="D2007" s="3"/>
      <c r="E2007" s="3">
        <v>4</v>
      </c>
      <c r="F2007" s="4" t="str">
        <f>HYPERLINK("http://141.218.60.56/~jnz1568/getInfo.php?workbook=13_02.xlsx&amp;sheet=U0&amp;row=2007&amp;col=6&amp;number=3.3&amp;sourceID=14","3.3")</f>
        <v>3.3</v>
      </c>
      <c r="G2007" s="4" t="str">
        <f>HYPERLINK("http://141.218.60.56/~jnz1568/getInfo.php?workbook=13_02.xlsx&amp;sheet=U0&amp;row=2007&amp;col=7&amp;number=0.000733&amp;sourceID=14","0.000733")</f>
        <v>0.000733</v>
      </c>
    </row>
    <row r="2008" spans="1:7">
      <c r="A2008" s="3"/>
      <c r="B2008" s="3"/>
      <c r="C2008" s="3"/>
      <c r="D2008" s="3"/>
      <c r="E2008" s="3">
        <v>5</v>
      </c>
      <c r="F2008" s="4" t="str">
        <f>HYPERLINK("http://141.218.60.56/~jnz1568/getInfo.php?workbook=13_02.xlsx&amp;sheet=U0&amp;row=2008&amp;col=6&amp;number=3.4&amp;sourceID=14","3.4")</f>
        <v>3.4</v>
      </c>
      <c r="G2008" s="4" t="str">
        <f>HYPERLINK("http://141.218.60.56/~jnz1568/getInfo.php?workbook=13_02.xlsx&amp;sheet=U0&amp;row=2008&amp;col=7&amp;number=0.000733&amp;sourceID=14","0.000733")</f>
        <v>0.000733</v>
      </c>
    </row>
    <row r="2009" spans="1:7">
      <c r="A2009" s="3"/>
      <c r="B2009" s="3"/>
      <c r="C2009" s="3"/>
      <c r="D2009" s="3"/>
      <c r="E2009" s="3">
        <v>6</v>
      </c>
      <c r="F2009" s="4" t="str">
        <f>HYPERLINK("http://141.218.60.56/~jnz1568/getInfo.php?workbook=13_02.xlsx&amp;sheet=U0&amp;row=2009&amp;col=6&amp;number=3.5&amp;sourceID=14","3.5")</f>
        <v>3.5</v>
      </c>
      <c r="G2009" s="4" t="str">
        <f>HYPERLINK("http://141.218.60.56/~jnz1568/getInfo.php?workbook=13_02.xlsx&amp;sheet=U0&amp;row=2009&amp;col=7&amp;number=0.000733&amp;sourceID=14","0.000733")</f>
        <v>0.000733</v>
      </c>
    </row>
    <row r="2010" spans="1:7">
      <c r="A2010" s="3"/>
      <c r="B2010" s="3"/>
      <c r="C2010" s="3"/>
      <c r="D2010" s="3"/>
      <c r="E2010" s="3">
        <v>7</v>
      </c>
      <c r="F2010" s="4" t="str">
        <f>HYPERLINK("http://141.218.60.56/~jnz1568/getInfo.php?workbook=13_02.xlsx&amp;sheet=U0&amp;row=2010&amp;col=6&amp;number=3.6&amp;sourceID=14","3.6")</f>
        <v>3.6</v>
      </c>
      <c r="G2010" s="4" t="str">
        <f>HYPERLINK("http://141.218.60.56/~jnz1568/getInfo.php?workbook=13_02.xlsx&amp;sheet=U0&amp;row=2010&amp;col=7&amp;number=0.000733&amp;sourceID=14","0.000733")</f>
        <v>0.000733</v>
      </c>
    </row>
    <row r="2011" spans="1:7">
      <c r="A2011" s="3"/>
      <c r="B2011" s="3"/>
      <c r="C2011" s="3"/>
      <c r="D2011" s="3"/>
      <c r="E2011" s="3">
        <v>8</v>
      </c>
      <c r="F2011" s="4" t="str">
        <f>HYPERLINK("http://141.218.60.56/~jnz1568/getInfo.php?workbook=13_02.xlsx&amp;sheet=U0&amp;row=2011&amp;col=6&amp;number=3.7&amp;sourceID=14","3.7")</f>
        <v>3.7</v>
      </c>
      <c r="G2011" s="4" t="str">
        <f>HYPERLINK("http://141.218.60.56/~jnz1568/getInfo.php?workbook=13_02.xlsx&amp;sheet=U0&amp;row=2011&amp;col=7&amp;number=0.000733&amp;sourceID=14","0.000733")</f>
        <v>0.000733</v>
      </c>
    </row>
    <row r="2012" spans="1:7">
      <c r="A2012" s="3"/>
      <c r="B2012" s="3"/>
      <c r="C2012" s="3"/>
      <c r="D2012" s="3"/>
      <c r="E2012" s="3">
        <v>9</v>
      </c>
      <c r="F2012" s="4" t="str">
        <f>HYPERLINK("http://141.218.60.56/~jnz1568/getInfo.php?workbook=13_02.xlsx&amp;sheet=U0&amp;row=2012&amp;col=6&amp;number=3.8&amp;sourceID=14","3.8")</f>
        <v>3.8</v>
      </c>
      <c r="G2012" s="4" t="str">
        <f>HYPERLINK("http://141.218.60.56/~jnz1568/getInfo.php?workbook=13_02.xlsx&amp;sheet=U0&amp;row=2012&amp;col=7&amp;number=0.000732&amp;sourceID=14","0.000732")</f>
        <v>0.000732</v>
      </c>
    </row>
    <row r="2013" spans="1:7">
      <c r="A2013" s="3"/>
      <c r="B2013" s="3"/>
      <c r="C2013" s="3"/>
      <c r="D2013" s="3"/>
      <c r="E2013" s="3">
        <v>10</v>
      </c>
      <c r="F2013" s="4" t="str">
        <f>HYPERLINK("http://141.218.60.56/~jnz1568/getInfo.php?workbook=13_02.xlsx&amp;sheet=U0&amp;row=2013&amp;col=6&amp;number=3.9&amp;sourceID=14","3.9")</f>
        <v>3.9</v>
      </c>
      <c r="G2013" s="4" t="str">
        <f>HYPERLINK("http://141.218.60.56/~jnz1568/getInfo.php?workbook=13_02.xlsx&amp;sheet=U0&amp;row=2013&amp;col=7&amp;number=0.000732&amp;sourceID=14","0.000732")</f>
        <v>0.000732</v>
      </c>
    </row>
    <row r="2014" spans="1:7">
      <c r="A2014" s="3"/>
      <c r="B2014" s="3"/>
      <c r="C2014" s="3"/>
      <c r="D2014" s="3"/>
      <c r="E2014" s="3">
        <v>11</v>
      </c>
      <c r="F2014" s="4" t="str">
        <f>HYPERLINK("http://141.218.60.56/~jnz1568/getInfo.php?workbook=13_02.xlsx&amp;sheet=U0&amp;row=2014&amp;col=6&amp;number=4&amp;sourceID=14","4")</f>
        <v>4</v>
      </c>
      <c r="G2014" s="4" t="str">
        <f>HYPERLINK("http://141.218.60.56/~jnz1568/getInfo.php?workbook=13_02.xlsx&amp;sheet=U0&amp;row=2014&amp;col=7&amp;number=0.000732&amp;sourceID=14","0.000732")</f>
        <v>0.000732</v>
      </c>
    </row>
    <row r="2015" spans="1:7">
      <c r="A2015" s="3"/>
      <c r="B2015" s="3"/>
      <c r="C2015" s="3"/>
      <c r="D2015" s="3"/>
      <c r="E2015" s="3">
        <v>12</v>
      </c>
      <c r="F2015" s="4" t="str">
        <f>HYPERLINK("http://141.218.60.56/~jnz1568/getInfo.php?workbook=13_02.xlsx&amp;sheet=U0&amp;row=2015&amp;col=6&amp;number=4.1&amp;sourceID=14","4.1")</f>
        <v>4.1</v>
      </c>
      <c r="G2015" s="4" t="str">
        <f>HYPERLINK("http://141.218.60.56/~jnz1568/getInfo.php?workbook=13_02.xlsx&amp;sheet=U0&amp;row=2015&amp;col=7&amp;number=0.000731&amp;sourceID=14","0.000731")</f>
        <v>0.000731</v>
      </c>
    </row>
    <row r="2016" spans="1:7">
      <c r="A2016" s="3"/>
      <c r="B2016" s="3"/>
      <c r="C2016" s="3"/>
      <c r="D2016" s="3"/>
      <c r="E2016" s="3">
        <v>13</v>
      </c>
      <c r="F2016" s="4" t="str">
        <f>HYPERLINK("http://141.218.60.56/~jnz1568/getInfo.php?workbook=13_02.xlsx&amp;sheet=U0&amp;row=2016&amp;col=6&amp;number=4.2&amp;sourceID=14","4.2")</f>
        <v>4.2</v>
      </c>
      <c r="G2016" s="4" t="str">
        <f>HYPERLINK("http://141.218.60.56/~jnz1568/getInfo.php?workbook=13_02.xlsx&amp;sheet=U0&amp;row=2016&amp;col=7&amp;number=0.000731&amp;sourceID=14","0.000731")</f>
        <v>0.000731</v>
      </c>
    </row>
    <row r="2017" spans="1:7">
      <c r="A2017" s="3"/>
      <c r="B2017" s="3"/>
      <c r="C2017" s="3"/>
      <c r="D2017" s="3"/>
      <c r="E2017" s="3">
        <v>14</v>
      </c>
      <c r="F2017" s="4" t="str">
        <f>HYPERLINK("http://141.218.60.56/~jnz1568/getInfo.php?workbook=13_02.xlsx&amp;sheet=U0&amp;row=2017&amp;col=6&amp;number=4.3&amp;sourceID=14","4.3")</f>
        <v>4.3</v>
      </c>
      <c r="G2017" s="4" t="str">
        <f>HYPERLINK("http://141.218.60.56/~jnz1568/getInfo.php?workbook=13_02.xlsx&amp;sheet=U0&amp;row=2017&amp;col=7&amp;number=0.00073&amp;sourceID=14","0.00073")</f>
        <v>0.00073</v>
      </c>
    </row>
    <row r="2018" spans="1:7">
      <c r="A2018" s="3"/>
      <c r="B2018" s="3"/>
      <c r="C2018" s="3"/>
      <c r="D2018" s="3"/>
      <c r="E2018" s="3">
        <v>15</v>
      </c>
      <c r="F2018" s="4" t="str">
        <f>HYPERLINK("http://141.218.60.56/~jnz1568/getInfo.php?workbook=13_02.xlsx&amp;sheet=U0&amp;row=2018&amp;col=6&amp;number=4.4&amp;sourceID=14","4.4")</f>
        <v>4.4</v>
      </c>
      <c r="G2018" s="4" t="str">
        <f>HYPERLINK("http://141.218.60.56/~jnz1568/getInfo.php?workbook=13_02.xlsx&amp;sheet=U0&amp;row=2018&amp;col=7&amp;number=0.000729&amp;sourceID=14","0.000729")</f>
        <v>0.000729</v>
      </c>
    </row>
    <row r="2019" spans="1:7">
      <c r="A2019" s="3"/>
      <c r="B2019" s="3"/>
      <c r="C2019" s="3"/>
      <c r="D2019" s="3"/>
      <c r="E2019" s="3">
        <v>16</v>
      </c>
      <c r="F2019" s="4" t="str">
        <f>HYPERLINK("http://141.218.60.56/~jnz1568/getInfo.php?workbook=13_02.xlsx&amp;sheet=U0&amp;row=2019&amp;col=6&amp;number=4.5&amp;sourceID=14","4.5")</f>
        <v>4.5</v>
      </c>
      <c r="G2019" s="4" t="str">
        <f>HYPERLINK("http://141.218.60.56/~jnz1568/getInfo.php?workbook=13_02.xlsx&amp;sheet=U0&amp;row=2019&amp;col=7&amp;number=0.000728&amp;sourceID=14","0.000728")</f>
        <v>0.000728</v>
      </c>
    </row>
    <row r="2020" spans="1:7">
      <c r="A2020" s="3"/>
      <c r="B2020" s="3"/>
      <c r="C2020" s="3"/>
      <c r="D2020" s="3"/>
      <c r="E2020" s="3">
        <v>17</v>
      </c>
      <c r="F2020" s="4" t="str">
        <f>HYPERLINK("http://141.218.60.56/~jnz1568/getInfo.php?workbook=13_02.xlsx&amp;sheet=U0&amp;row=2020&amp;col=6&amp;number=4.6&amp;sourceID=14","4.6")</f>
        <v>4.6</v>
      </c>
      <c r="G2020" s="4" t="str">
        <f>HYPERLINK("http://141.218.60.56/~jnz1568/getInfo.php?workbook=13_02.xlsx&amp;sheet=U0&amp;row=2020&amp;col=7&amp;number=0.000727&amp;sourceID=14","0.000727")</f>
        <v>0.000727</v>
      </c>
    </row>
    <row r="2021" spans="1:7">
      <c r="A2021" s="3"/>
      <c r="B2021" s="3"/>
      <c r="C2021" s="3"/>
      <c r="D2021" s="3"/>
      <c r="E2021" s="3">
        <v>18</v>
      </c>
      <c r="F2021" s="4" t="str">
        <f>HYPERLINK("http://141.218.60.56/~jnz1568/getInfo.php?workbook=13_02.xlsx&amp;sheet=U0&amp;row=2021&amp;col=6&amp;number=4.7&amp;sourceID=14","4.7")</f>
        <v>4.7</v>
      </c>
      <c r="G2021" s="4" t="str">
        <f>HYPERLINK("http://141.218.60.56/~jnz1568/getInfo.php?workbook=13_02.xlsx&amp;sheet=U0&amp;row=2021&amp;col=7&amp;number=0.000725&amp;sourceID=14","0.000725")</f>
        <v>0.000725</v>
      </c>
    </row>
    <row r="2022" spans="1:7">
      <c r="A2022" s="3"/>
      <c r="B2022" s="3"/>
      <c r="C2022" s="3"/>
      <c r="D2022" s="3"/>
      <c r="E2022" s="3">
        <v>19</v>
      </c>
      <c r="F2022" s="4" t="str">
        <f>HYPERLINK("http://141.218.60.56/~jnz1568/getInfo.php?workbook=13_02.xlsx&amp;sheet=U0&amp;row=2022&amp;col=6&amp;number=4.8&amp;sourceID=14","4.8")</f>
        <v>4.8</v>
      </c>
      <c r="G2022" s="4" t="str">
        <f>HYPERLINK("http://141.218.60.56/~jnz1568/getInfo.php?workbook=13_02.xlsx&amp;sheet=U0&amp;row=2022&amp;col=7&amp;number=0.000723&amp;sourceID=14","0.000723")</f>
        <v>0.000723</v>
      </c>
    </row>
    <row r="2023" spans="1:7">
      <c r="A2023" s="3"/>
      <c r="B2023" s="3"/>
      <c r="C2023" s="3"/>
      <c r="D2023" s="3"/>
      <c r="E2023" s="3">
        <v>20</v>
      </c>
      <c r="F2023" s="4" t="str">
        <f>HYPERLINK("http://141.218.60.56/~jnz1568/getInfo.php?workbook=13_02.xlsx&amp;sheet=U0&amp;row=2023&amp;col=6&amp;number=4.9&amp;sourceID=14","4.9")</f>
        <v>4.9</v>
      </c>
      <c r="G2023" s="4" t="str">
        <f>HYPERLINK("http://141.218.60.56/~jnz1568/getInfo.php?workbook=13_02.xlsx&amp;sheet=U0&amp;row=2023&amp;col=7&amp;number=0.00072&amp;sourceID=14","0.00072")</f>
        <v>0.00072</v>
      </c>
    </row>
    <row r="2024" spans="1:7">
      <c r="A2024" s="3">
        <v>13</v>
      </c>
      <c r="B2024" s="3">
        <v>2</v>
      </c>
      <c r="C2024" s="3" t="s">
        <v>88</v>
      </c>
      <c r="D2024" s="3">
        <v>9</v>
      </c>
      <c r="E2024" s="3">
        <v>1</v>
      </c>
      <c r="F2024" s="4" t="str">
        <f>HYPERLINK("http://141.218.60.56/~jnz1568/getInfo.php?workbook=13_02.xlsx&amp;sheet=U0&amp;row=2024&amp;col=6&amp;number=3&amp;sourceID=14","3")</f>
        <v>3</v>
      </c>
      <c r="G2024" s="4" t="str">
        <f>HYPERLINK("http://141.218.60.56/~jnz1568/getInfo.php?workbook=13_02.xlsx&amp;sheet=U0&amp;row=2024&amp;col=7&amp;number=0.00512&amp;sourceID=14","0.00512")</f>
        <v>0.00512</v>
      </c>
    </row>
    <row r="2025" spans="1:7">
      <c r="A2025" s="3"/>
      <c r="B2025" s="3"/>
      <c r="C2025" s="3"/>
      <c r="D2025" s="3"/>
      <c r="E2025" s="3">
        <v>2</v>
      </c>
      <c r="F2025" s="4" t="str">
        <f>HYPERLINK("http://141.218.60.56/~jnz1568/getInfo.php?workbook=13_02.xlsx&amp;sheet=U0&amp;row=2025&amp;col=6&amp;number=3.1&amp;sourceID=14","3.1")</f>
        <v>3.1</v>
      </c>
      <c r="G2025" s="4" t="str">
        <f>HYPERLINK("http://141.218.60.56/~jnz1568/getInfo.php?workbook=13_02.xlsx&amp;sheet=U0&amp;row=2025&amp;col=7&amp;number=0.00512&amp;sourceID=14","0.00512")</f>
        <v>0.00512</v>
      </c>
    </row>
    <row r="2026" spans="1:7">
      <c r="A2026" s="3"/>
      <c r="B2026" s="3"/>
      <c r="C2026" s="3"/>
      <c r="D2026" s="3"/>
      <c r="E2026" s="3">
        <v>3</v>
      </c>
      <c r="F2026" s="4" t="str">
        <f>HYPERLINK("http://141.218.60.56/~jnz1568/getInfo.php?workbook=13_02.xlsx&amp;sheet=U0&amp;row=2026&amp;col=6&amp;number=3.2&amp;sourceID=14","3.2")</f>
        <v>3.2</v>
      </c>
      <c r="G2026" s="4" t="str">
        <f>HYPERLINK("http://141.218.60.56/~jnz1568/getInfo.php?workbook=13_02.xlsx&amp;sheet=U0&amp;row=2026&amp;col=7&amp;number=0.00512&amp;sourceID=14","0.00512")</f>
        <v>0.00512</v>
      </c>
    </row>
    <row r="2027" spans="1:7">
      <c r="A2027" s="3"/>
      <c r="B2027" s="3"/>
      <c r="C2027" s="3"/>
      <c r="D2027" s="3"/>
      <c r="E2027" s="3">
        <v>4</v>
      </c>
      <c r="F2027" s="4" t="str">
        <f>HYPERLINK("http://141.218.60.56/~jnz1568/getInfo.php?workbook=13_02.xlsx&amp;sheet=U0&amp;row=2027&amp;col=6&amp;number=3.3&amp;sourceID=14","3.3")</f>
        <v>3.3</v>
      </c>
      <c r="G2027" s="4" t="str">
        <f>HYPERLINK("http://141.218.60.56/~jnz1568/getInfo.php?workbook=13_02.xlsx&amp;sheet=U0&amp;row=2027&amp;col=7&amp;number=0.00512&amp;sourceID=14","0.00512")</f>
        <v>0.00512</v>
      </c>
    </row>
    <row r="2028" spans="1:7">
      <c r="A2028" s="3"/>
      <c r="B2028" s="3"/>
      <c r="C2028" s="3"/>
      <c r="D2028" s="3"/>
      <c r="E2028" s="3">
        <v>5</v>
      </c>
      <c r="F2028" s="4" t="str">
        <f>HYPERLINK("http://141.218.60.56/~jnz1568/getInfo.php?workbook=13_02.xlsx&amp;sheet=U0&amp;row=2028&amp;col=6&amp;number=3.4&amp;sourceID=14","3.4")</f>
        <v>3.4</v>
      </c>
      <c r="G2028" s="4" t="str">
        <f>HYPERLINK("http://141.218.60.56/~jnz1568/getInfo.php?workbook=13_02.xlsx&amp;sheet=U0&amp;row=2028&amp;col=7&amp;number=0.00512&amp;sourceID=14","0.00512")</f>
        <v>0.00512</v>
      </c>
    </row>
    <row r="2029" spans="1:7">
      <c r="A2029" s="3"/>
      <c r="B2029" s="3"/>
      <c r="C2029" s="3"/>
      <c r="D2029" s="3"/>
      <c r="E2029" s="3">
        <v>6</v>
      </c>
      <c r="F2029" s="4" t="str">
        <f>HYPERLINK("http://141.218.60.56/~jnz1568/getInfo.php?workbook=13_02.xlsx&amp;sheet=U0&amp;row=2029&amp;col=6&amp;number=3.5&amp;sourceID=14","3.5")</f>
        <v>3.5</v>
      </c>
      <c r="G2029" s="4" t="str">
        <f>HYPERLINK("http://141.218.60.56/~jnz1568/getInfo.php?workbook=13_02.xlsx&amp;sheet=U0&amp;row=2029&amp;col=7&amp;number=0.00512&amp;sourceID=14","0.00512")</f>
        <v>0.00512</v>
      </c>
    </row>
    <row r="2030" spans="1:7">
      <c r="A2030" s="3"/>
      <c r="B2030" s="3"/>
      <c r="C2030" s="3"/>
      <c r="D2030" s="3"/>
      <c r="E2030" s="3">
        <v>7</v>
      </c>
      <c r="F2030" s="4" t="str">
        <f>HYPERLINK("http://141.218.60.56/~jnz1568/getInfo.php?workbook=13_02.xlsx&amp;sheet=U0&amp;row=2030&amp;col=6&amp;number=3.6&amp;sourceID=14","3.6")</f>
        <v>3.6</v>
      </c>
      <c r="G2030" s="4" t="str">
        <f>HYPERLINK("http://141.218.60.56/~jnz1568/getInfo.php?workbook=13_02.xlsx&amp;sheet=U0&amp;row=2030&amp;col=7&amp;number=0.00512&amp;sourceID=14","0.00512")</f>
        <v>0.00512</v>
      </c>
    </row>
    <row r="2031" spans="1:7">
      <c r="A2031" s="3"/>
      <c r="B2031" s="3"/>
      <c r="C2031" s="3"/>
      <c r="D2031" s="3"/>
      <c r="E2031" s="3">
        <v>8</v>
      </c>
      <c r="F2031" s="4" t="str">
        <f>HYPERLINK("http://141.218.60.56/~jnz1568/getInfo.php?workbook=13_02.xlsx&amp;sheet=U0&amp;row=2031&amp;col=6&amp;number=3.7&amp;sourceID=14","3.7")</f>
        <v>3.7</v>
      </c>
      <c r="G2031" s="4" t="str">
        <f>HYPERLINK("http://141.218.60.56/~jnz1568/getInfo.php?workbook=13_02.xlsx&amp;sheet=U0&amp;row=2031&amp;col=7&amp;number=0.00512&amp;sourceID=14","0.00512")</f>
        <v>0.00512</v>
      </c>
    </row>
    <row r="2032" spans="1:7">
      <c r="A2032" s="3"/>
      <c r="B2032" s="3"/>
      <c r="C2032" s="3"/>
      <c r="D2032" s="3"/>
      <c r="E2032" s="3">
        <v>9</v>
      </c>
      <c r="F2032" s="4" t="str">
        <f>HYPERLINK("http://141.218.60.56/~jnz1568/getInfo.php?workbook=13_02.xlsx&amp;sheet=U0&amp;row=2032&amp;col=6&amp;number=3.8&amp;sourceID=14","3.8")</f>
        <v>3.8</v>
      </c>
      <c r="G2032" s="4" t="str">
        <f>HYPERLINK("http://141.218.60.56/~jnz1568/getInfo.php?workbook=13_02.xlsx&amp;sheet=U0&amp;row=2032&amp;col=7&amp;number=0.00513&amp;sourceID=14","0.00513")</f>
        <v>0.00513</v>
      </c>
    </row>
    <row r="2033" spans="1:7">
      <c r="A2033" s="3"/>
      <c r="B2033" s="3"/>
      <c r="C2033" s="3"/>
      <c r="D2033" s="3"/>
      <c r="E2033" s="3">
        <v>10</v>
      </c>
      <c r="F2033" s="4" t="str">
        <f>HYPERLINK("http://141.218.60.56/~jnz1568/getInfo.php?workbook=13_02.xlsx&amp;sheet=U0&amp;row=2033&amp;col=6&amp;number=3.9&amp;sourceID=14","3.9")</f>
        <v>3.9</v>
      </c>
      <c r="G2033" s="4" t="str">
        <f>HYPERLINK("http://141.218.60.56/~jnz1568/getInfo.php?workbook=13_02.xlsx&amp;sheet=U0&amp;row=2033&amp;col=7&amp;number=0.00513&amp;sourceID=14","0.00513")</f>
        <v>0.00513</v>
      </c>
    </row>
    <row r="2034" spans="1:7">
      <c r="A2034" s="3"/>
      <c r="B2034" s="3"/>
      <c r="C2034" s="3"/>
      <c r="D2034" s="3"/>
      <c r="E2034" s="3">
        <v>11</v>
      </c>
      <c r="F2034" s="4" t="str">
        <f>HYPERLINK("http://141.218.60.56/~jnz1568/getInfo.php?workbook=13_02.xlsx&amp;sheet=U0&amp;row=2034&amp;col=6&amp;number=4&amp;sourceID=14","4")</f>
        <v>4</v>
      </c>
      <c r="G2034" s="4" t="str">
        <f>HYPERLINK("http://141.218.60.56/~jnz1568/getInfo.php?workbook=13_02.xlsx&amp;sheet=U0&amp;row=2034&amp;col=7&amp;number=0.00513&amp;sourceID=14","0.00513")</f>
        <v>0.00513</v>
      </c>
    </row>
    <row r="2035" spans="1:7">
      <c r="A2035" s="3"/>
      <c r="B2035" s="3"/>
      <c r="C2035" s="3"/>
      <c r="D2035" s="3"/>
      <c r="E2035" s="3">
        <v>12</v>
      </c>
      <c r="F2035" s="4" t="str">
        <f>HYPERLINK("http://141.218.60.56/~jnz1568/getInfo.php?workbook=13_02.xlsx&amp;sheet=U0&amp;row=2035&amp;col=6&amp;number=4.1&amp;sourceID=14","4.1")</f>
        <v>4.1</v>
      </c>
      <c r="G2035" s="4" t="str">
        <f>HYPERLINK("http://141.218.60.56/~jnz1568/getInfo.php?workbook=13_02.xlsx&amp;sheet=U0&amp;row=2035&amp;col=7&amp;number=0.00513&amp;sourceID=14","0.00513")</f>
        <v>0.00513</v>
      </c>
    </row>
    <row r="2036" spans="1:7">
      <c r="A2036" s="3"/>
      <c r="B2036" s="3"/>
      <c r="C2036" s="3"/>
      <c r="D2036" s="3"/>
      <c r="E2036" s="3">
        <v>13</v>
      </c>
      <c r="F2036" s="4" t="str">
        <f>HYPERLINK("http://141.218.60.56/~jnz1568/getInfo.php?workbook=13_02.xlsx&amp;sheet=U0&amp;row=2036&amp;col=6&amp;number=4.2&amp;sourceID=14","4.2")</f>
        <v>4.2</v>
      </c>
      <c r="G2036" s="4" t="str">
        <f>HYPERLINK("http://141.218.60.56/~jnz1568/getInfo.php?workbook=13_02.xlsx&amp;sheet=U0&amp;row=2036&amp;col=7&amp;number=0.00513&amp;sourceID=14","0.00513")</f>
        <v>0.00513</v>
      </c>
    </row>
    <row r="2037" spans="1:7">
      <c r="A2037" s="3"/>
      <c r="B2037" s="3"/>
      <c r="C2037" s="3"/>
      <c r="D2037" s="3"/>
      <c r="E2037" s="3">
        <v>14</v>
      </c>
      <c r="F2037" s="4" t="str">
        <f>HYPERLINK("http://141.218.60.56/~jnz1568/getInfo.php?workbook=13_02.xlsx&amp;sheet=U0&amp;row=2037&amp;col=6&amp;number=4.3&amp;sourceID=14","4.3")</f>
        <v>4.3</v>
      </c>
      <c r="G2037" s="4" t="str">
        <f>HYPERLINK("http://141.218.60.56/~jnz1568/getInfo.php?workbook=13_02.xlsx&amp;sheet=U0&amp;row=2037&amp;col=7&amp;number=0.00513&amp;sourceID=14","0.00513")</f>
        <v>0.00513</v>
      </c>
    </row>
    <row r="2038" spans="1:7">
      <c r="A2038" s="3"/>
      <c r="B2038" s="3"/>
      <c r="C2038" s="3"/>
      <c r="D2038" s="3"/>
      <c r="E2038" s="3">
        <v>15</v>
      </c>
      <c r="F2038" s="4" t="str">
        <f>HYPERLINK("http://141.218.60.56/~jnz1568/getInfo.php?workbook=13_02.xlsx&amp;sheet=U0&amp;row=2038&amp;col=6&amp;number=4.4&amp;sourceID=14","4.4")</f>
        <v>4.4</v>
      </c>
      <c r="G2038" s="4" t="str">
        <f>HYPERLINK("http://141.218.60.56/~jnz1568/getInfo.php?workbook=13_02.xlsx&amp;sheet=U0&amp;row=2038&amp;col=7&amp;number=0.00513&amp;sourceID=14","0.00513")</f>
        <v>0.00513</v>
      </c>
    </row>
    <row r="2039" spans="1:7">
      <c r="A2039" s="3"/>
      <c r="B2039" s="3"/>
      <c r="C2039" s="3"/>
      <c r="D2039" s="3"/>
      <c r="E2039" s="3">
        <v>16</v>
      </c>
      <c r="F2039" s="4" t="str">
        <f>HYPERLINK("http://141.218.60.56/~jnz1568/getInfo.php?workbook=13_02.xlsx&amp;sheet=U0&amp;row=2039&amp;col=6&amp;number=4.5&amp;sourceID=14","4.5")</f>
        <v>4.5</v>
      </c>
      <c r="G2039" s="4" t="str">
        <f>HYPERLINK("http://141.218.60.56/~jnz1568/getInfo.php?workbook=13_02.xlsx&amp;sheet=U0&amp;row=2039&amp;col=7&amp;number=0.00513&amp;sourceID=14","0.00513")</f>
        <v>0.00513</v>
      </c>
    </row>
    <row r="2040" spans="1:7">
      <c r="A2040" s="3"/>
      <c r="B2040" s="3"/>
      <c r="C2040" s="3"/>
      <c r="D2040" s="3"/>
      <c r="E2040" s="3">
        <v>17</v>
      </c>
      <c r="F2040" s="4" t="str">
        <f>HYPERLINK("http://141.218.60.56/~jnz1568/getInfo.php?workbook=13_02.xlsx&amp;sheet=U0&amp;row=2040&amp;col=6&amp;number=4.6&amp;sourceID=14","4.6")</f>
        <v>4.6</v>
      </c>
      <c r="G2040" s="4" t="str">
        <f>HYPERLINK("http://141.218.60.56/~jnz1568/getInfo.php?workbook=13_02.xlsx&amp;sheet=U0&amp;row=2040&amp;col=7&amp;number=0.00513&amp;sourceID=14","0.00513")</f>
        <v>0.00513</v>
      </c>
    </row>
    <row r="2041" spans="1:7">
      <c r="A2041" s="3"/>
      <c r="B2041" s="3"/>
      <c r="C2041" s="3"/>
      <c r="D2041" s="3"/>
      <c r="E2041" s="3">
        <v>18</v>
      </c>
      <c r="F2041" s="4" t="str">
        <f>HYPERLINK("http://141.218.60.56/~jnz1568/getInfo.php?workbook=13_02.xlsx&amp;sheet=U0&amp;row=2041&amp;col=6&amp;number=4.7&amp;sourceID=14","4.7")</f>
        <v>4.7</v>
      </c>
      <c r="G2041" s="4" t="str">
        <f>HYPERLINK("http://141.218.60.56/~jnz1568/getInfo.php?workbook=13_02.xlsx&amp;sheet=U0&amp;row=2041&amp;col=7&amp;number=0.00513&amp;sourceID=14","0.00513")</f>
        <v>0.00513</v>
      </c>
    </row>
    <row r="2042" spans="1:7">
      <c r="A2042" s="3"/>
      <c r="B2042" s="3"/>
      <c r="C2042" s="3"/>
      <c r="D2042" s="3"/>
      <c r="E2042" s="3">
        <v>19</v>
      </c>
      <c r="F2042" s="4" t="str">
        <f>HYPERLINK("http://141.218.60.56/~jnz1568/getInfo.php?workbook=13_02.xlsx&amp;sheet=U0&amp;row=2042&amp;col=6&amp;number=4.8&amp;sourceID=14","4.8")</f>
        <v>4.8</v>
      </c>
      <c r="G2042" s="4" t="str">
        <f>HYPERLINK("http://141.218.60.56/~jnz1568/getInfo.php?workbook=13_02.xlsx&amp;sheet=U0&amp;row=2042&amp;col=7&amp;number=0.00514&amp;sourceID=14","0.00514")</f>
        <v>0.00514</v>
      </c>
    </row>
    <row r="2043" spans="1:7">
      <c r="A2043" s="3"/>
      <c r="B2043" s="3"/>
      <c r="C2043" s="3"/>
      <c r="D2043" s="3"/>
      <c r="E2043" s="3">
        <v>20</v>
      </c>
      <c r="F2043" s="4" t="str">
        <f>HYPERLINK("http://141.218.60.56/~jnz1568/getInfo.php?workbook=13_02.xlsx&amp;sheet=U0&amp;row=2043&amp;col=6&amp;number=4.9&amp;sourceID=14","4.9")</f>
        <v>4.9</v>
      </c>
      <c r="G2043" s="4" t="str">
        <f>HYPERLINK("http://141.218.60.56/~jnz1568/getInfo.php?workbook=13_02.xlsx&amp;sheet=U0&amp;row=2043&amp;col=7&amp;number=0.00514&amp;sourceID=14","0.00514")</f>
        <v>0.00514</v>
      </c>
    </row>
    <row r="2044" spans="1:7">
      <c r="A2044" s="3">
        <v>13</v>
      </c>
      <c r="B2044" s="3">
        <v>2</v>
      </c>
      <c r="C2044" s="3" t="s">
        <v>89</v>
      </c>
      <c r="D2044" s="3">
        <v>0</v>
      </c>
      <c r="E2044" s="3">
        <v>1</v>
      </c>
      <c r="F2044" s="4" t="str">
        <f>HYPERLINK("http://141.218.60.56/~jnz1568/getInfo.php?workbook=13_02.xlsx&amp;sheet=U0&amp;row=2044&amp;col=6&amp;number=3&amp;sourceID=14","3")</f>
        <v>3</v>
      </c>
      <c r="G2044" s="4" t="str">
        <f>HYPERLINK("http://141.218.60.56/~jnz1568/getInfo.php?workbook=13_02.xlsx&amp;sheet=U0&amp;row=2044&amp;col=7&amp;number=0.000212&amp;sourceID=14","0.000212")</f>
        <v>0.000212</v>
      </c>
    </row>
    <row r="2045" spans="1:7">
      <c r="A2045" s="3"/>
      <c r="B2045" s="3"/>
      <c r="C2045" s="3"/>
      <c r="D2045" s="3"/>
      <c r="E2045" s="3">
        <v>2</v>
      </c>
      <c r="F2045" s="4" t="str">
        <f>HYPERLINK("http://141.218.60.56/~jnz1568/getInfo.php?workbook=13_02.xlsx&amp;sheet=U0&amp;row=2045&amp;col=6&amp;number=3.1&amp;sourceID=14","3.1")</f>
        <v>3.1</v>
      </c>
      <c r="G2045" s="4" t="str">
        <f>HYPERLINK("http://141.218.60.56/~jnz1568/getInfo.php?workbook=13_02.xlsx&amp;sheet=U0&amp;row=2045&amp;col=7&amp;number=0.000212&amp;sourceID=14","0.000212")</f>
        <v>0.000212</v>
      </c>
    </row>
    <row r="2046" spans="1:7">
      <c r="A2046" s="3"/>
      <c r="B2046" s="3"/>
      <c r="C2046" s="3"/>
      <c r="D2046" s="3"/>
      <c r="E2046" s="3">
        <v>3</v>
      </c>
      <c r="F2046" s="4" t="str">
        <f>HYPERLINK("http://141.218.60.56/~jnz1568/getInfo.php?workbook=13_02.xlsx&amp;sheet=U0&amp;row=2046&amp;col=6&amp;number=3.2&amp;sourceID=14","3.2")</f>
        <v>3.2</v>
      </c>
      <c r="G2046" s="4" t="str">
        <f>HYPERLINK("http://141.218.60.56/~jnz1568/getInfo.php?workbook=13_02.xlsx&amp;sheet=U0&amp;row=2046&amp;col=7&amp;number=0.000212&amp;sourceID=14","0.000212")</f>
        <v>0.000212</v>
      </c>
    </row>
    <row r="2047" spans="1:7">
      <c r="A2047" s="3"/>
      <c r="B2047" s="3"/>
      <c r="C2047" s="3"/>
      <c r="D2047" s="3"/>
      <c r="E2047" s="3">
        <v>4</v>
      </c>
      <c r="F2047" s="4" t="str">
        <f>HYPERLINK("http://141.218.60.56/~jnz1568/getInfo.php?workbook=13_02.xlsx&amp;sheet=U0&amp;row=2047&amp;col=6&amp;number=3.3&amp;sourceID=14","3.3")</f>
        <v>3.3</v>
      </c>
      <c r="G2047" s="4" t="str">
        <f>HYPERLINK("http://141.218.60.56/~jnz1568/getInfo.php?workbook=13_02.xlsx&amp;sheet=U0&amp;row=2047&amp;col=7&amp;number=0.000212&amp;sourceID=14","0.000212")</f>
        <v>0.000212</v>
      </c>
    </row>
    <row r="2048" spans="1:7">
      <c r="A2048" s="3"/>
      <c r="B2048" s="3"/>
      <c r="C2048" s="3"/>
      <c r="D2048" s="3"/>
      <c r="E2048" s="3">
        <v>5</v>
      </c>
      <c r="F2048" s="4" t="str">
        <f>HYPERLINK("http://141.218.60.56/~jnz1568/getInfo.php?workbook=13_02.xlsx&amp;sheet=U0&amp;row=2048&amp;col=6&amp;number=3.4&amp;sourceID=14","3.4")</f>
        <v>3.4</v>
      </c>
      <c r="G2048" s="4" t="str">
        <f>HYPERLINK("http://141.218.60.56/~jnz1568/getInfo.php?workbook=13_02.xlsx&amp;sheet=U0&amp;row=2048&amp;col=7&amp;number=0.000212&amp;sourceID=14","0.000212")</f>
        <v>0.000212</v>
      </c>
    </row>
    <row r="2049" spans="1:7">
      <c r="A2049" s="3"/>
      <c r="B2049" s="3"/>
      <c r="C2049" s="3"/>
      <c r="D2049" s="3"/>
      <c r="E2049" s="3">
        <v>6</v>
      </c>
      <c r="F2049" s="4" t="str">
        <f>HYPERLINK("http://141.218.60.56/~jnz1568/getInfo.php?workbook=13_02.xlsx&amp;sheet=U0&amp;row=2049&amp;col=6&amp;number=3.5&amp;sourceID=14","3.5")</f>
        <v>3.5</v>
      </c>
      <c r="G2049" s="4" t="str">
        <f>HYPERLINK("http://141.218.60.56/~jnz1568/getInfo.php?workbook=13_02.xlsx&amp;sheet=U0&amp;row=2049&amp;col=7&amp;number=0.000212&amp;sourceID=14","0.000212")</f>
        <v>0.000212</v>
      </c>
    </row>
    <row r="2050" spans="1:7">
      <c r="A2050" s="3"/>
      <c r="B2050" s="3"/>
      <c r="C2050" s="3"/>
      <c r="D2050" s="3"/>
      <c r="E2050" s="3">
        <v>7</v>
      </c>
      <c r="F2050" s="4" t="str">
        <f>HYPERLINK("http://141.218.60.56/~jnz1568/getInfo.php?workbook=13_02.xlsx&amp;sheet=U0&amp;row=2050&amp;col=6&amp;number=3.6&amp;sourceID=14","3.6")</f>
        <v>3.6</v>
      </c>
      <c r="G2050" s="4" t="str">
        <f>HYPERLINK("http://141.218.60.56/~jnz1568/getInfo.php?workbook=13_02.xlsx&amp;sheet=U0&amp;row=2050&amp;col=7&amp;number=0.000212&amp;sourceID=14","0.000212")</f>
        <v>0.000212</v>
      </c>
    </row>
    <row r="2051" spans="1:7">
      <c r="A2051" s="3"/>
      <c r="B2051" s="3"/>
      <c r="C2051" s="3"/>
      <c r="D2051" s="3"/>
      <c r="E2051" s="3">
        <v>8</v>
      </c>
      <c r="F2051" s="4" t="str">
        <f>HYPERLINK("http://141.218.60.56/~jnz1568/getInfo.php?workbook=13_02.xlsx&amp;sheet=U0&amp;row=2051&amp;col=6&amp;number=3.7&amp;sourceID=14","3.7")</f>
        <v>3.7</v>
      </c>
      <c r="G2051" s="4" t="str">
        <f>HYPERLINK("http://141.218.60.56/~jnz1568/getInfo.php?workbook=13_02.xlsx&amp;sheet=U0&amp;row=2051&amp;col=7&amp;number=0.000212&amp;sourceID=14","0.000212")</f>
        <v>0.000212</v>
      </c>
    </row>
    <row r="2052" spans="1:7">
      <c r="A2052" s="3"/>
      <c r="B2052" s="3"/>
      <c r="C2052" s="3"/>
      <c r="D2052" s="3"/>
      <c r="E2052" s="3">
        <v>9</v>
      </c>
      <c r="F2052" s="4" t="str">
        <f>HYPERLINK("http://141.218.60.56/~jnz1568/getInfo.php?workbook=13_02.xlsx&amp;sheet=U0&amp;row=2052&amp;col=6&amp;number=3.8&amp;sourceID=14","3.8")</f>
        <v>3.8</v>
      </c>
      <c r="G2052" s="4" t="str">
        <f>HYPERLINK("http://141.218.60.56/~jnz1568/getInfo.php?workbook=13_02.xlsx&amp;sheet=U0&amp;row=2052&amp;col=7&amp;number=0.000212&amp;sourceID=14","0.000212")</f>
        <v>0.000212</v>
      </c>
    </row>
    <row r="2053" spans="1:7">
      <c r="A2053" s="3"/>
      <c r="B2053" s="3"/>
      <c r="C2053" s="3"/>
      <c r="D2053" s="3"/>
      <c r="E2053" s="3">
        <v>10</v>
      </c>
      <c r="F2053" s="4" t="str">
        <f>HYPERLINK("http://141.218.60.56/~jnz1568/getInfo.php?workbook=13_02.xlsx&amp;sheet=U0&amp;row=2053&amp;col=6&amp;number=3.9&amp;sourceID=14","3.9")</f>
        <v>3.9</v>
      </c>
      <c r="G2053" s="4" t="str">
        <f>HYPERLINK("http://141.218.60.56/~jnz1568/getInfo.php?workbook=13_02.xlsx&amp;sheet=U0&amp;row=2053&amp;col=7&amp;number=0.000212&amp;sourceID=14","0.000212")</f>
        <v>0.000212</v>
      </c>
    </row>
    <row r="2054" spans="1:7">
      <c r="A2054" s="3"/>
      <c r="B2054" s="3"/>
      <c r="C2054" s="3"/>
      <c r="D2054" s="3"/>
      <c r="E2054" s="3">
        <v>11</v>
      </c>
      <c r="F2054" s="4" t="str">
        <f>HYPERLINK("http://141.218.60.56/~jnz1568/getInfo.php?workbook=13_02.xlsx&amp;sheet=U0&amp;row=2054&amp;col=6&amp;number=4&amp;sourceID=14","4")</f>
        <v>4</v>
      </c>
      <c r="G2054" s="4" t="str">
        <f>HYPERLINK("http://141.218.60.56/~jnz1568/getInfo.php?workbook=13_02.xlsx&amp;sheet=U0&amp;row=2054&amp;col=7&amp;number=0.000212&amp;sourceID=14","0.000212")</f>
        <v>0.000212</v>
      </c>
    </row>
    <row r="2055" spans="1:7">
      <c r="A2055" s="3"/>
      <c r="B2055" s="3"/>
      <c r="C2055" s="3"/>
      <c r="D2055" s="3"/>
      <c r="E2055" s="3">
        <v>12</v>
      </c>
      <c r="F2055" s="4" t="str">
        <f>HYPERLINK("http://141.218.60.56/~jnz1568/getInfo.php?workbook=13_02.xlsx&amp;sheet=U0&amp;row=2055&amp;col=6&amp;number=4.1&amp;sourceID=14","4.1")</f>
        <v>4.1</v>
      </c>
      <c r="G2055" s="4" t="str">
        <f>HYPERLINK("http://141.218.60.56/~jnz1568/getInfo.php?workbook=13_02.xlsx&amp;sheet=U0&amp;row=2055&amp;col=7&amp;number=0.000212&amp;sourceID=14","0.000212")</f>
        <v>0.000212</v>
      </c>
    </row>
    <row r="2056" spans="1:7">
      <c r="A2056" s="3"/>
      <c r="B2056" s="3"/>
      <c r="C2056" s="3"/>
      <c r="D2056" s="3"/>
      <c r="E2056" s="3">
        <v>13</v>
      </c>
      <c r="F2056" s="4" t="str">
        <f>HYPERLINK("http://141.218.60.56/~jnz1568/getInfo.php?workbook=13_02.xlsx&amp;sheet=U0&amp;row=2056&amp;col=6&amp;number=4.2&amp;sourceID=14","4.2")</f>
        <v>4.2</v>
      </c>
      <c r="G2056" s="4" t="str">
        <f>HYPERLINK("http://141.218.60.56/~jnz1568/getInfo.php?workbook=13_02.xlsx&amp;sheet=U0&amp;row=2056&amp;col=7&amp;number=0.000212&amp;sourceID=14","0.000212")</f>
        <v>0.000212</v>
      </c>
    </row>
    <row r="2057" spans="1:7">
      <c r="A2057" s="3"/>
      <c r="B2057" s="3"/>
      <c r="C2057" s="3"/>
      <c r="D2057" s="3"/>
      <c r="E2057" s="3">
        <v>14</v>
      </c>
      <c r="F2057" s="4" t="str">
        <f>HYPERLINK("http://141.218.60.56/~jnz1568/getInfo.php?workbook=13_02.xlsx&amp;sheet=U0&amp;row=2057&amp;col=6&amp;number=4.3&amp;sourceID=14","4.3")</f>
        <v>4.3</v>
      </c>
      <c r="G2057" s="4" t="str">
        <f>HYPERLINK("http://141.218.60.56/~jnz1568/getInfo.php?workbook=13_02.xlsx&amp;sheet=U0&amp;row=2057&amp;col=7&amp;number=0.000211&amp;sourceID=14","0.000211")</f>
        <v>0.000211</v>
      </c>
    </row>
    <row r="2058" spans="1:7">
      <c r="A2058" s="3"/>
      <c r="B2058" s="3"/>
      <c r="C2058" s="3"/>
      <c r="D2058" s="3"/>
      <c r="E2058" s="3">
        <v>15</v>
      </c>
      <c r="F2058" s="4" t="str">
        <f>HYPERLINK("http://141.218.60.56/~jnz1568/getInfo.php?workbook=13_02.xlsx&amp;sheet=U0&amp;row=2058&amp;col=6&amp;number=4.4&amp;sourceID=14","4.4")</f>
        <v>4.4</v>
      </c>
      <c r="G2058" s="4" t="str">
        <f>HYPERLINK("http://141.218.60.56/~jnz1568/getInfo.php?workbook=13_02.xlsx&amp;sheet=U0&amp;row=2058&amp;col=7&amp;number=0.000211&amp;sourceID=14","0.000211")</f>
        <v>0.000211</v>
      </c>
    </row>
    <row r="2059" spans="1:7">
      <c r="A2059" s="3"/>
      <c r="B2059" s="3"/>
      <c r="C2059" s="3"/>
      <c r="D2059" s="3"/>
      <c r="E2059" s="3">
        <v>16</v>
      </c>
      <c r="F2059" s="4" t="str">
        <f>HYPERLINK("http://141.218.60.56/~jnz1568/getInfo.php?workbook=13_02.xlsx&amp;sheet=U0&amp;row=2059&amp;col=6&amp;number=4.5&amp;sourceID=14","4.5")</f>
        <v>4.5</v>
      </c>
      <c r="G2059" s="4" t="str">
        <f>HYPERLINK("http://141.218.60.56/~jnz1568/getInfo.php?workbook=13_02.xlsx&amp;sheet=U0&amp;row=2059&amp;col=7&amp;number=0.000211&amp;sourceID=14","0.000211")</f>
        <v>0.000211</v>
      </c>
    </row>
    <row r="2060" spans="1:7">
      <c r="A2060" s="3"/>
      <c r="B2060" s="3"/>
      <c r="C2060" s="3"/>
      <c r="D2060" s="3"/>
      <c r="E2060" s="3">
        <v>17</v>
      </c>
      <c r="F2060" s="4" t="str">
        <f>HYPERLINK("http://141.218.60.56/~jnz1568/getInfo.php?workbook=13_02.xlsx&amp;sheet=U0&amp;row=2060&amp;col=6&amp;number=4.6&amp;sourceID=14","4.6")</f>
        <v>4.6</v>
      </c>
      <c r="G2060" s="4" t="str">
        <f>HYPERLINK("http://141.218.60.56/~jnz1568/getInfo.php?workbook=13_02.xlsx&amp;sheet=U0&amp;row=2060&amp;col=7&amp;number=0.00021&amp;sourceID=14","0.00021")</f>
        <v>0.00021</v>
      </c>
    </row>
    <row r="2061" spans="1:7">
      <c r="A2061" s="3"/>
      <c r="B2061" s="3"/>
      <c r="C2061" s="3"/>
      <c r="D2061" s="3"/>
      <c r="E2061" s="3">
        <v>18</v>
      </c>
      <c r="F2061" s="4" t="str">
        <f>HYPERLINK("http://141.218.60.56/~jnz1568/getInfo.php?workbook=13_02.xlsx&amp;sheet=U0&amp;row=2061&amp;col=6&amp;number=4.7&amp;sourceID=14","4.7")</f>
        <v>4.7</v>
      </c>
      <c r="G2061" s="4" t="str">
        <f>HYPERLINK("http://141.218.60.56/~jnz1568/getInfo.php?workbook=13_02.xlsx&amp;sheet=U0&amp;row=2061&amp;col=7&amp;number=0.00021&amp;sourceID=14","0.00021")</f>
        <v>0.00021</v>
      </c>
    </row>
    <row r="2062" spans="1:7">
      <c r="A2062" s="3"/>
      <c r="B2062" s="3"/>
      <c r="C2062" s="3"/>
      <c r="D2062" s="3"/>
      <c r="E2062" s="3">
        <v>19</v>
      </c>
      <c r="F2062" s="4" t="str">
        <f>HYPERLINK("http://141.218.60.56/~jnz1568/getInfo.php?workbook=13_02.xlsx&amp;sheet=U0&amp;row=2062&amp;col=6&amp;number=4.8&amp;sourceID=14","4.8")</f>
        <v>4.8</v>
      </c>
      <c r="G2062" s="4" t="str">
        <f>HYPERLINK("http://141.218.60.56/~jnz1568/getInfo.php?workbook=13_02.xlsx&amp;sheet=U0&amp;row=2062&amp;col=7&amp;number=0.000209&amp;sourceID=14","0.000209")</f>
        <v>0.000209</v>
      </c>
    </row>
    <row r="2063" spans="1:7">
      <c r="A2063" s="3"/>
      <c r="B2063" s="3"/>
      <c r="C2063" s="3"/>
      <c r="D2063" s="3"/>
      <c r="E2063" s="3">
        <v>20</v>
      </c>
      <c r="F2063" s="4" t="str">
        <f>HYPERLINK("http://141.218.60.56/~jnz1568/getInfo.php?workbook=13_02.xlsx&amp;sheet=U0&amp;row=2063&amp;col=6&amp;number=4.9&amp;sourceID=14","4.9")</f>
        <v>4.9</v>
      </c>
      <c r="G2063" s="4" t="str">
        <f>HYPERLINK("http://141.218.60.56/~jnz1568/getInfo.php?workbook=13_02.xlsx&amp;sheet=U0&amp;row=2063&amp;col=7&amp;number=0.000209&amp;sourceID=14","0.000209")</f>
        <v>0.000209</v>
      </c>
    </row>
    <row r="2064" spans="1:7">
      <c r="A2064" s="3">
        <v>13</v>
      </c>
      <c r="B2064" s="3">
        <v>2</v>
      </c>
      <c r="C2064" s="3" t="s">
        <v>89</v>
      </c>
      <c r="D2064" s="3">
        <v>1</v>
      </c>
      <c r="E2064" s="3">
        <v>1</v>
      </c>
      <c r="F2064" s="4" t="str">
        <f>HYPERLINK("http://141.218.60.56/~jnz1568/getInfo.php?workbook=13_02.xlsx&amp;sheet=U0&amp;row=2064&amp;col=6&amp;number=3&amp;sourceID=14","3")</f>
        <v>3</v>
      </c>
      <c r="G2064" s="4" t="str">
        <f>HYPERLINK("http://141.218.60.56/~jnz1568/getInfo.php?workbook=13_02.xlsx&amp;sheet=U0&amp;row=2064&amp;col=7&amp;number=0.000648&amp;sourceID=14","0.000648")</f>
        <v>0.000648</v>
      </c>
    </row>
    <row r="2065" spans="1:7">
      <c r="A2065" s="3"/>
      <c r="B2065" s="3"/>
      <c r="C2065" s="3"/>
      <c r="D2065" s="3"/>
      <c r="E2065" s="3">
        <v>2</v>
      </c>
      <c r="F2065" s="4" t="str">
        <f>HYPERLINK("http://141.218.60.56/~jnz1568/getInfo.php?workbook=13_02.xlsx&amp;sheet=U0&amp;row=2065&amp;col=6&amp;number=3.1&amp;sourceID=14","3.1")</f>
        <v>3.1</v>
      </c>
      <c r="G2065" s="4" t="str">
        <f>HYPERLINK("http://141.218.60.56/~jnz1568/getInfo.php?workbook=13_02.xlsx&amp;sheet=U0&amp;row=2065&amp;col=7&amp;number=0.000648&amp;sourceID=14","0.000648")</f>
        <v>0.000648</v>
      </c>
    </row>
    <row r="2066" spans="1:7">
      <c r="A2066" s="3"/>
      <c r="B2066" s="3"/>
      <c r="C2066" s="3"/>
      <c r="D2066" s="3"/>
      <c r="E2066" s="3">
        <v>3</v>
      </c>
      <c r="F2066" s="4" t="str">
        <f>HYPERLINK("http://141.218.60.56/~jnz1568/getInfo.php?workbook=13_02.xlsx&amp;sheet=U0&amp;row=2066&amp;col=6&amp;number=3.2&amp;sourceID=14","3.2")</f>
        <v>3.2</v>
      </c>
      <c r="G2066" s="4" t="str">
        <f>HYPERLINK("http://141.218.60.56/~jnz1568/getInfo.php?workbook=13_02.xlsx&amp;sheet=U0&amp;row=2066&amp;col=7&amp;number=0.000648&amp;sourceID=14","0.000648")</f>
        <v>0.000648</v>
      </c>
    </row>
    <row r="2067" spans="1:7">
      <c r="A2067" s="3"/>
      <c r="B2067" s="3"/>
      <c r="C2067" s="3"/>
      <c r="D2067" s="3"/>
      <c r="E2067" s="3">
        <v>4</v>
      </c>
      <c r="F2067" s="4" t="str">
        <f>HYPERLINK("http://141.218.60.56/~jnz1568/getInfo.php?workbook=13_02.xlsx&amp;sheet=U0&amp;row=2067&amp;col=6&amp;number=3.3&amp;sourceID=14","3.3")</f>
        <v>3.3</v>
      </c>
      <c r="G2067" s="4" t="str">
        <f>HYPERLINK("http://141.218.60.56/~jnz1568/getInfo.php?workbook=13_02.xlsx&amp;sheet=U0&amp;row=2067&amp;col=7&amp;number=0.000648&amp;sourceID=14","0.000648")</f>
        <v>0.000648</v>
      </c>
    </row>
    <row r="2068" spans="1:7">
      <c r="A2068" s="3"/>
      <c r="B2068" s="3"/>
      <c r="C2068" s="3"/>
      <c r="D2068" s="3"/>
      <c r="E2068" s="3">
        <v>5</v>
      </c>
      <c r="F2068" s="4" t="str">
        <f>HYPERLINK("http://141.218.60.56/~jnz1568/getInfo.php?workbook=13_02.xlsx&amp;sheet=U0&amp;row=2068&amp;col=6&amp;number=3.4&amp;sourceID=14","3.4")</f>
        <v>3.4</v>
      </c>
      <c r="G2068" s="4" t="str">
        <f>HYPERLINK("http://141.218.60.56/~jnz1568/getInfo.php?workbook=13_02.xlsx&amp;sheet=U0&amp;row=2068&amp;col=7&amp;number=0.000648&amp;sourceID=14","0.000648")</f>
        <v>0.000648</v>
      </c>
    </row>
    <row r="2069" spans="1:7">
      <c r="A2069" s="3"/>
      <c r="B2069" s="3"/>
      <c r="C2069" s="3"/>
      <c r="D2069" s="3"/>
      <c r="E2069" s="3">
        <v>6</v>
      </c>
      <c r="F2069" s="4" t="str">
        <f>HYPERLINK("http://141.218.60.56/~jnz1568/getInfo.php?workbook=13_02.xlsx&amp;sheet=U0&amp;row=2069&amp;col=6&amp;number=3.5&amp;sourceID=14","3.5")</f>
        <v>3.5</v>
      </c>
      <c r="G2069" s="4" t="str">
        <f>HYPERLINK("http://141.218.60.56/~jnz1568/getInfo.php?workbook=13_02.xlsx&amp;sheet=U0&amp;row=2069&amp;col=7&amp;number=0.000648&amp;sourceID=14","0.000648")</f>
        <v>0.000648</v>
      </c>
    </row>
    <row r="2070" spans="1:7">
      <c r="A2070" s="3"/>
      <c r="B2070" s="3"/>
      <c r="C2070" s="3"/>
      <c r="D2070" s="3"/>
      <c r="E2070" s="3">
        <v>7</v>
      </c>
      <c r="F2070" s="4" t="str">
        <f>HYPERLINK("http://141.218.60.56/~jnz1568/getInfo.php?workbook=13_02.xlsx&amp;sheet=U0&amp;row=2070&amp;col=6&amp;number=3.6&amp;sourceID=14","3.6")</f>
        <v>3.6</v>
      </c>
      <c r="G2070" s="4" t="str">
        <f>HYPERLINK("http://141.218.60.56/~jnz1568/getInfo.php?workbook=13_02.xlsx&amp;sheet=U0&amp;row=2070&amp;col=7&amp;number=0.000648&amp;sourceID=14","0.000648")</f>
        <v>0.000648</v>
      </c>
    </row>
    <row r="2071" spans="1:7">
      <c r="A2071" s="3"/>
      <c r="B2071" s="3"/>
      <c r="C2071" s="3"/>
      <c r="D2071" s="3"/>
      <c r="E2071" s="3">
        <v>8</v>
      </c>
      <c r="F2071" s="4" t="str">
        <f>HYPERLINK("http://141.218.60.56/~jnz1568/getInfo.php?workbook=13_02.xlsx&amp;sheet=U0&amp;row=2071&amp;col=6&amp;number=3.7&amp;sourceID=14","3.7")</f>
        <v>3.7</v>
      </c>
      <c r="G2071" s="4" t="str">
        <f>HYPERLINK("http://141.218.60.56/~jnz1568/getInfo.php?workbook=13_02.xlsx&amp;sheet=U0&amp;row=2071&amp;col=7&amp;number=0.000648&amp;sourceID=14","0.000648")</f>
        <v>0.000648</v>
      </c>
    </row>
    <row r="2072" spans="1:7">
      <c r="A2072" s="3"/>
      <c r="B2072" s="3"/>
      <c r="C2072" s="3"/>
      <c r="D2072" s="3"/>
      <c r="E2072" s="3">
        <v>9</v>
      </c>
      <c r="F2072" s="4" t="str">
        <f>HYPERLINK("http://141.218.60.56/~jnz1568/getInfo.php?workbook=13_02.xlsx&amp;sheet=U0&amp;row=2072&amp;col=6&amp;number=3.8&amp;sourceID=14","3.8")</f>
        <v>3.8</v>
      </c>
      <c r="G2072" s="4" t="str">
        <f>HYPERLINK("http://141.218.60.56/~jnz1568/getInfo.php?workbook=13_02.xlsx&amp;sheet=U0&amp;row=2072&amp;col=7&amp;number=0.000647&amp;sourceID=14","0.000647")</f>
        <v>0.000647</v>
      </c>
    </row>
    <row r="2073" spans="1:7">
      <c r="A2073" s="3"/>
      <c r="B2073" s="3"/>
      <c r="C2073" s="3"/>
      <c r="D2073" s="3"/>
      <c r="E2073" s="3">
        <v>10</v>
      </c>
      <c r="F2073" s="4" t="str">
        <f>HYPERLINK("http://141.218.60.56/~jnz1568/getInfo.php?workbook=13_02.xlsx&amp;sheet=U0&amp;row=2073&amp;col=6&amp;number=3.9&amp;sourceID=14","3.9")</f>
        <v>3.9</v>
      </c>
      <c r="G2073" s="4" t="str">
        <f>HYPERLINK("http://141.218.60.56/~jnz1568/getInfo.php?workbook=13_02.xlsx&amp;sheet=U0&amp;row=2073&amp;col=7&amp;number=0.000647&amp;sourceID=14","0.000647")</f>
        <v>0.000647</v>
      </c>
    </row>
    <row r="2074" spans="1:7">
      <c r="A2074" s="3"/>
      <c r="B2074" s="3"/>
      <c r="C2074" s="3"/>
      <c r="D2074" s="3"/>
      <c r="E2074" s="3">
        <v>11</v>
      </c>
      <c r="F2074" s="4" t="str">
        <f>HYPERLINK("http://141.218.60.56/~jnz1568/getInfo.php?workbook=13_02.xlsx&amp;sheet=U0&amp;row=2074&amp;col=6&amp;number=4&amp;sourceID=14","4")</f>
        <v>4</v>
      </c>
      <c r="G2074" s="4" t="str">
        <f>HYPERLINK("http://141.218.60.56/~jnz1568/getInfo.php?workbook=13_02.xlsx&amp;sheet=U0&amp;row=2074&amp;col=7&amp;number=0.000647&amp;sourceID=14","0.000647")</f>
        <v>0.000647</v>
      </c>
    </row>
    <row r="2075" spans="1:7">
      <c r="A2075" s="3"/>
      <c r="B2075" s="3"/>
      <c r="C2075" s="3"/>
      <c r="D2075" s="3"/>
      <c r="E2075" s="3">
        <v>12</v>
      </c>
      <c r="F2075" s="4" t="str">
        <f>HYPERLINK("http://141.218.60.56/~jnz1568/getInfo.php?workbook=13_02.xlsx&amp;sheet=U0&amp;row=2075&amp;col=6&amp;number=4.1&amp;sourceID=14","4.1")</f>
        <v>4.1</v>
      </c>
      <c r="G2075" s="4" t="str">
        <f>HYPERLINK("http://141.218.60.56/~jnz1568/getInfo.php?workbook=13_02.xlsx&amp;sheet=U0&amp;row=2075&amp;col=7&amp;number=0.000647&amp;sourceID=14","0.000647")</f>
        <v>0.000647</v>
      </c>
    </row>
    <row r="2076" spans="1:7">
      <c r="A2076" s="3"/>
      <c r="B2076" s="3"/>
      <c r="C2076" s="3"/>
      <c r="D2076" s="3"/>
      <c r="E2076" s="3">
        <v>13</v>
      </c>
      <c r="F2076" s="4" t="str">
        <f>HYPERLINK("http://141.218.60.56/~jnz1568/getInfo.php?workbook=13_02.xlsx&amp;sheet=U0&amp;row=2076&amp;col=6&amp;number=4.2&amp;sourceID=14","4.2")</f>
        <v>4.2</v>
      </c>
      <c r="G2076" s="4" t="str">
        <f>HYPERLINK("http://141.218.60.56/~jnz1568/getInfo.php?workbook=13_02.xlsx&amp;sheet=U0&amp;row=2076&amp;col=7&amp;number=0.000646&amp;sourceID=14","0.000646")</f>
        <v>0.000646</v>
      </c>
    </row>
    <row r="2077" spans="1:7">
      <c r="A2077" s="3"/>
      <c r="B2077" s="3"/>
      <c r="C2077" s="3"/>
      <c r="D2077" s="3"/>
      <c r="E2077" s="3">
        <v>14</v>
      </c>
      <c r="F2077" s="4" t="str">
        <f>HYPERLINK("http://141.218.60.56/~jnz1568/getInfo.php?workbook=13_02.xlsx&amp;sheet=U0&amp;row=2077&amp;col=6&amp;number=4.3&amp;sourceID=14","4.3")</f>
        <v>4.3</v>
      </c>
      <c r="G2077" s="4" t="str">
        <f>HYPERLINK("http://141.218.60.56/~jnz1568/getInfo.php?workbook=13_02.xlsx&amp;sheet=U0&amp;row=2077&amp;col=7&amp;number=0.000646&amp;sourceID=14","0.000646")</f>
        <v>0.000646</v>
      </c>
    </row>
    <row r="2078" spans="1:7">
      <c r="A2078" s="3"/>
      <c r="B2078" s="3"/>
      <c r="C2078" s="3"/>
      <c r="D2078" s="3"/>
      <c r="E2078" s="3">
        <v>15</v>
      </c>
      <c r="F2078" s="4" t="str">
        <f>HYPERLINK("http://141.218.60.56/~jnz1568/getInfo.php?workbook=13_02.xlsx&amp;sheet=U0&amp;row=2078&amp;col=6&amp;number=4.4&amp;sourceID=14","4.4")</f>
        <v>4.4</v>
      </c>
      <c r="G2078" s="4" t="str">
        <f>HYPERLINK("http://141.218.60.56/~jnz1568/getInfo.php?workbook=13_02.xlsx&amp;sheet=U0&amp;row=2078&amp;col=7&amp;number=0.000645&amp;sourceID=14","0.000645")</f>
        <v>0.000645</v>
      </c>
    </row>
    <row r="2079" spans="1:7">
      <c r="A2079" s="3"/>
      <c r="B2079" s="3"/>
      <c r="C2079" s="3"/>
      <c r="D2079" s="3"/>
      <c r="E2079" s="3">
        <v>16</v>
      </c>
      <c r="F2079" s="4" t="str">
        <f>HYPERLINK("http://141.218.60.56/~jnz1568/getInfo.php?workbook=13_02.xlsx&amp;sheet=U0&amp;row=2079&amp;col=6&amp;number=4.5&amp;sourceID=14","4.5")</f>
        <v>4.5</v>
      </c>
      <c r="G2079" s="4" t="str">
        <f>HYPERLINK("http://141.218.60.56/~jnz1568/getInfo.php?workbook=13_02.xlsx&amp;sheet=U0&amp;row=2079&amp;col=7&amp;number=0.000644&amp;sourceID=14","0.000644")</f>
        <v>0.000644</v>
      </c>
    </row>
    <row r="2080" spans="1:7">
      <c r="A2080" s="3"/>
      <c r="B2080" s="3"/>
      <c r="C2080" s="3"/>
      <c r="D2080" s="3"/>
      <c r="E2080" s="3">
        <v>17</v>
      </c>
      <c r="F2080" s="4" t="str">
        <f>HYPERLINK("http://141.218.60.56/~jnz1568/getInfo.php?workbook=13_02.xlsx&amp;sheet=U0&amp;row=2080&amp;col=6&amp;number=4.6&amp;sourceID=14","4.6")</f>
        <v>4.6</v>
      </c>
      <c r="G2080" s="4" t="str">
        <f>HYPERLINK("http://141.218.60.56/~jnz1568/getInfo.php?workbook=13_02.xlsx&amp;sheet=U0&amp;row=2080&amp;col=7&amp;number=0.000643&amp;sourceID=14","0.000643")</f>
        <v>0.000643</v>
      </c>
    </row>
    <row r="2081" spans="1:7">
      <c r="A2081" s="3"/>
      <c r="B2081" s="3"/>
      <c r="C2081" s="3"/>
      <c r="D2081" s="3"/>
      <c r="E2081" s="3">
        <v>18</v>
      </c>
      <c r="F2081" s="4" t="str">
        <f>HYPERLINK("http://141.218.60.56/~jnz1568/getInfo.php?workbook=13_02.xlsx&amp;sheet=U0&amp;row=2081&amp;col=6&amp;number=4.7&amp;sourceID=14","4.7")</f>
        <v>4.7</v>
      </c>
      <c r="G2081" s="4" t="str">
        <f>HYPERLINK("http://141.218.60.56/~jnz1568/getInfo.php?workbook=13_02.xlsx&amp;sheet=U0&amp;row=2081&amp;col=7&amp;number=0.000642&amp;sourceID=14","0.000642")</f>
        <v>0.000642</v>
      </c>
    </row>
    <row r="2082" spans="1:7">
      <c r="A2082" s="3"/>
      <c r="B2082" s="3"/>
      <c r="C2082" s="3"/>
      <c r="D2082" s="3"/>
      <c r="E2082" s="3">
        <v>19</v>
      </c>
      <c r="F2082" s="4" t="str">
        <f>HYPERLINK("http://141.218.60.56/~jnz1568/getInfo.php?workbook=13_02.xlsx&amp;sheet=U0&amp;row=2082&amp;col=6&amp;number=4.8&amp;sourceID=14","4.8")</f>
        <v>4.8</v>
      </c>
      <c r="G2082" s="4" t="str">
        <f>HYPERLINK("http://141.218.60.56/~jnz1568/getInfo.php?workbook=13_02.xlsx&amp;sheet=U0&amp;row=2082&amp;col=7&amp;number=0.00064&amp;sourceID=14","0.00064")</f>
        <v>0.00064</v>
      </c>
    </row>
    <row r="2083" spans="1:7">
      <c r="A2083" s="3"/>
      <c r="B2083" s="3"/>
      <c r="C2083" s="3"/>
      <c r="D2083" s="3"/>
      <c r="E2083" s="3">
        <v>20</v>
      </c>
      <c r="F2083" s="4" t="str">
        <f>HYPERLINK("http://141.218.60.56/~jnz1568/getInfo.php?workbook=13_02.xlsx&amp;sheet=U0&amp;row=2083&amp;col=6&amp;number=4.9&amp;sourceID=14","4.9")</f>
        <v>4.9</v>
      </c>
      <c r="G2083" s="4" t="str">
        <f>HYPERLINK("http://141.218.60.56/~jnz1568/getInfo.php?workbook=13_02.xlsx&amp;sheet=U0&amp;row=2083&amp;col=7&amp;number=0.000638&amp;sourceID=14","0.000638")</f>
        <v>0.000638</v>
      </c>
    </row>
    <row r="2084" spans="1:7">
      <c r="A2084" s="3">
        <v>13</v>
      </c>
      <c r="B2084" s="3">
        <v>2</v>
      </c>
      <c r="C2084" s="3" t="s">
        <v>89</v>
      </c>
      <c r="D2084" s="3">
        <v>2</v>
      </c>
      <c r="E2084" s="3">
        <v>1</v>
      </c>
      <c r="F2084" s="4" t="str">
        <f>HYPERLINK("http://141.218.60.56/~jnz1568/getInfo.php?workbook=13_02.xlsx&amp;sheet=U0&amp;row=2084&amp;col=6&amp;number=3&amp;sourceID=14","3")</f>
        <v>3</v>
      </c>
      <c r="G2084" s="4" t="str">
        <f>HYPERLINK("http://141.218.60.56/~jnz1568/getInfo.php?workbook=13_02.xlsx&amp;sheet=U0&amp;row=2084&amp;col=7&amp;number=0.00106&amp;sourceID=14","0.00106")</f>
        <v>0.00106</v>
      </c>
    </row>
    <row r="2085" spans="1:7">
      <c r="A2085" s="3"/>
      <c r="B2085" s="3"/>
      <c r="C2085" s="3"/>
      <c r="D2085" s="3"/>
      <c r="E2085" s="3">
        <v>2</v>
      </c>
      <c r="F2085" s="4" t="str">
        <f>HYPERLINK("http://141.218.60.56/~jnz1568/getInfo.php?workbook=13_02.xlsx&amp;sheet=U0&amp;row=2085&amp;col=6&amp;number=3.1&amp;sourceID=14","3.1")</f>
        <v>3.1</v>
      </c>
      <c r="G2085" s="4" t="str">
        <f>HYPERLINK("http://141.218.60.56/~jnz1568/getInfo.php?workbook=13_02.xlsx&amp;sheet=U0&amp;row=2085&amp;col=7&amp;number=0.00106&amp;sourceID=14","0.00106")</f>
        <v>0.00106</v>
      </c>
    </row>
    <row r="2086" spans="1:7">
      <c r="A2086" s="3"/>
      <c r="B2086" s="3"/>
      <c r="C2086" s="3"/>
      <c r="D2086" s="3"/>
      <c r="E2086" s="3">
        <v>3</v>
      </c>
      <c r="F2086" s="4" t="str">
        <f>HYPERLINK("http://141.218.60.56/~jnz1568/getInfo.php?workbook=13_02.xlsx&amp;sheet=U0&amp;row=2086&amp;col=6&amp;number=3.2&amp;sourceID=14","3.2")</f>
        <v>3.2</v>
      </c>
      <c r="G2086" s="4" t="str">
        <f>HYPERLINK("http://141.218.60.56/~jnz1568/getInfo.php?workbook=13_02.xlsx&amp;sheet=U0&amp;row=2086&amp;col=7&amp;number=0.00106&amp;sourceID=14","0.00106")</f>
        <v>0.00106</v>
      </c>
    </row>
    <row r="2087" spans="1:7">
      <c r="A2087" s="3"/>
      <c r="B2087" s="3"/>
      <c r="C2087" s="3"/>
      <c r="D2087" s="3"/>
      <c r="E2087" s="3">
        <v>4</v>
      </c>
      <c r="F2087" s="4" t="str">
        <f>HYPERLINK("http://141.218.60.56/~jnz1568/getInfo.php?workbook=13_02.xlsx&amp;sheet=U0&amp;row=2087&amp;col=6&amp;number=3.3&amp;sourceID=14","3.3")</f>
        <v>3.3</v>
      </c>
      <c r="G2087" s="4" t="str">
        <f>HYPERLINK("http://141.218.60.56/~jnz1568/getInfo.php?workbook=13_02.xlsx&amp;sheet=U0&amp;row=2087&amp;col=7&amp;number=0.00106&amp;sourceID=14","0.00106")</f>
        <v>0.00106</v>
      </c>
    </row>
    <row r="2088" spans="1:7">
      <c r="A2088" s="3"/>
      <c r="B2088" s="3"/>
      <c r="C2088" s="3"/>
      <c r="D2088" s="3"/>
      <c r="E2088" s="3">
        <v>5</v>
      </c>
      <c r="F2088" s="4" t="str">
        <f>HYPERLINK("http://141.218.60.56/~jnz1568/getInfo.php?workbook=13_02.xlsx&amp;sheet=U0&amp;row=2088&amp;col=6&amp;number=3.4&amp;sourceID=14","3.4")</f>
        <v>3.4</v>
      </c>
      <c r="G2088" s="4" t="str">
        <f>HYPERLINK("http://141.218.60.56/~jnz1568/getInfo.php?workbook=13_02.xlsx&amp;sheet=U0&amp;row=2088&amp;col=7&amp;number=0.00106&amp;sourceID=14","0.00106")</f>
        <v>0.00106</v>
      </c>
    </row>
    <row r="2089" spans="1:7">
      <c r="A2089" s="3"/>
      <c r="B2089" s="3"/>
      <c r="C2089" s="3"/>
      <c r="D2089" s="3"/>
      <c r="E2089" s="3">
        <v>6</v>
      </c>
      <c r="F2089" s="4" t="str">
        <f>HYPERLINK("http://141.218.60.56/~jnz1568/getInfo.php?workbook=13_02.xlsx&amp;sheet=U0&amp;row=2089&amp;col=6&amp;number=3.5&amp;sourceID=14","3.5")</f>
        <v>3.5</v>
      </c>
      <c r="G2089" s="4" t="str">
        <f>HYPERLINK("http://141.218.60.56/~jnz1568/getInfo.php?workbook=13_02.xlsx&amp;sheet=U0&amp;row=2089&amp;col=7&amp;number=0.00106&amp;sourceID=14","0.00106")</f>
        <v>0.00106</v>
      </c>
    </row>
    <row r="2090" spans="1:7">
      <c r="A2090" s="3"/>
      <c r="B2090" s="3"/>
      <c r="C2090" s="3"/>
      <c r="D2090" s="3"/>
      <c r="E2090" s="3">
        <v>7</v>
      </c>
      <c r="F2090" s="4" t="str">
        <f>HYPERLINK("http://141.218.60.56/~jnz1568/getInfo.php?workbook=13_02.xlsx&amp;sheet=U0&amp;row=2090&amp;col=6&amp;number=3.6&amp;sourceID=14","3.6")</f>
        <v>3.6</v>
      </c>
      <c r="G2090" s="4" t="str">
        <f>HYPERLINK("http://141.218.60.56/~jnz1568/getInfo.php?workbook=13_02.xlsx&amp;sheet=U0&amp;row=2090&amp;col=7&amp;number=0.00106&amp;sourceID=14","0.00106")</f>
        <v>0.00106</v>
      </c>
    </row>
    <row r="2091" spans="1:7">
      <c r="A2091" s="3"/>
      <c r="B2091" s="3"/>
      <c r="C2091" s="3"/>
      <c r="D2091" s="3"/>
      <c r="E2091" s="3">
        <v>8</v>
      </c>
      <c r="F2091" s="4" t="str">
        <f>HYPERLINK("http://141.218.60.56/~jnz1568/getInfo.php?workbook=13_02.xlsx&amp;sheet=U0&amp;row=2091&amp;col=6&amp;number=3.7&amp;sourceID=14","3.7")</f>
        <v>3.7</v>
      </c>
      <c r="G2091" s="4" t="str">
        <f>HYPERLINK("http://141.218.60.56/~jnz1568/getInfo.php?workbook=13_02.xlsx&amp;sheet=U0&amp;row=2091&amp;col=7&amp;number=0.00106&amp;sourceID=14","0.00106")</f>
        <v>0.00106</v>
      </c>
    </row>
    <row r="2092" spans="1:7">
      <c r="A2092" s="3"/>
      <c r="B2092" s="3"/>
      <c r="C2092" s="3"/>
      <c r="D2092" s="3"/>
      <c r="E2092" s="3">
        <v>9</v>
      </c>
      <c r="F2092" s="4" t="str">
        <f>HYPERLINK("http://141.218.60.56/~jnz1568/getInfo.php?workbook=13_02.xlsx&amp;sheet=U0&amp;row=2092&amp;col=6&amp;number=3.8&amp;sourceID=14","3.8")</f>
        <v>3.8</v>
      </c>
      <c r="G2092" s="4" t="str">
        <f>HYPERLINK("http://141.218.60.56/~jnz1568/getInfo.php?workbook=13_02.xlsx&amp;sheet=U0&amp;row=2092&amp;col=7&amp;number=0.00106&amp;sourceID=14","0.00106")</f>
        <v>0.00106</v>
      </c>
    </row>
    <row r="2093" spans="1:7">
      <c r="A2093" s="3"/>
      <c r="B2093" s="3"/>
      <c r="C2093" s="3"/>
      <c r="D2093" s="3"/>
      <c r="E2093" s="3">
        <v>10</v>
      </c>
      <c r="F2093" s="4" t="str">
        <f>HYPERLINK("http://141.218.60.56/~jnz1568/getInfo.php?workbook=13_02.xlsx&amp;sheet=U0&amp;row=2093&amp;col=6&amp;number=3.9&amp;sourceID=14","3.9")</f>
        <v>3.9</v>
      </c>
      <c r="G2093" s="4" t="str">
        <f>HYPERLINK("http://141.218.60.56/~jnz1568/getInfo.php?workbook=13_02.xlsx&amp;sheet=U0&amp;row=2093&amp;col=7&amp;number=0.00106&amp;sourceID=14","0.00106")</f>
        <v>0.00106</v>
      </c>
    </row>
    <row r="2094" spans="1:7">
      <c r="A2094" s="3"/>
      <c r="B2094" s="3"/>
      <c r="C2094" s="3"/>
      <c r="D2094" s="3"/>
      <c r="E2094" s="3">
        <v>11</v>
      </c>
      <c r="F2094" s="4" t="str">
        <f>HYPERLINK("http://141.218.60.56/~jnz1568/getInfo.php?workbook=13_02.xlsx&amp;sheet=U0&amp;row=2094&amp;col=6&amp;number=4&amp;sourceID=14","4")</f>
        <v>4</v>
      </c>
      <c r="G2094" s="4" t="str">
        <f>HYPERLINK("http://141.218.60.56/~jnz1568/getInfo.php?workbook=13_02.xlsx&amp;sheet=U0&amp;row=2094&amp;col=7&amp;number=0.00106&amp;sourceID=14","0.00106")</f>
        <v>0.00106</v>
      </c>
    </row>
    <row r="2095" spans="1:7">
      <c r="A2095" s="3"/>
      <c r="B2095" s="3"/>
      <c r="C2095" s="3"/>
      <c r="D2095" s="3"/>
      <c r="E2095" s="3">
        <v>12</v>
      </c>
      <c r="F2095" s="4" t="str">
        <f>HYPERLINK("http://141.218.60.56/~jnz1568/getInfo.php?workbook=13_02.xlsx&amp;sheet=U0&amp;row=2095&amp;col=6&amp;number=4.1&amp;sourceID=14","4.1")</f>
        <v>4.1</v>
      </c>
      <c r="G2095" s="4" t="str">
        <f>HYPERLINK("http://141.218.60.56/~jnz1568/getInfo.php?workbook=13_02.xlsx&amp;sheet=U0&amp;row=2095&amp;col=7&amp;number=0.00106&amp;sourceID=14","0.00106")</f>
        <v>0.00106</v>
      </c>
    </row>
    <row r="2096" spans="1:7">
      <c r="A2096" s="3"/>
      <c r="B2096" s="3"/>
      <c r="C2096" s="3"/>
      <c r="D2096" s="3"/>
      <c r="E2096" s="3">
        <v>13</v>
      </c>
      <c r="F2096" s="4" t="str">
        <f>HYPERLINK("http://141.218.60.56/~jnz1568/getInfo.php?workbook=13_02.xlsx&amp;sheet=U0&amp;row=2096&amp;col=6&amp;number=4.2&amp;sourceID=14","4.2")</f>
        <v>4.2</v>
      </c>
      <c r="G2096" s="4" t="str">
        <f>HYPERLINK("http://141.218.60.56/~jnz1568/getInfo.php?workbook=13_02.xlsx&amp;sheet=U0&amp;row=2096&amp;col=7&amp;number=0.00106&amp;sourceID=14","0.00106")</f>
        <v>0.00106</v>
      </c>
    </row>
    <row r="2097" spans="1:7">
      <c r="A2097" s="3"/>
      <c r="B2097" s="3"/>
      <c r="C2097" s="3"/>
      <c r="D2097" s="3"/>
      <c r="E2097" s="3">
        <v>14</v>
      </c>
      <c r="F2097" s="4" t="str">
        <f>HYPERLINK("http://141.218.60.56/~jnz1568/getInfo.php?workbook=13_02.xlsx&amp;sheet=U0&amp;row=2097&amp;col=6&amp;number=4.3&amp;sourceID=14","4.3")</f>
        <v>4.3</v>
      </c>
      <c r="G2097" s="4" t="str">
        <f>HYPERLINK("http://141.218.60.56/~jnz1568/getInfo.php?workbook=13_02.xlsx&amp;sheet=U0&amp;row=2097&amp;col=7&amp;number=0.00106&amp;sourceID=14","0.00106")</f>
        <v>0.00106</v>
      </c>
    </row>
    <row r="2098" spans="1:7">
      <c r="A2098" s="3"/>
      <c r="B2098" s="3"/>
      <c r="C2098" s="3"/>
      <c r="D2098" s="3"/>
      <c r="E2098" s="3">
        <v>15</v>
      </c>
      <c r="F2098" s="4" t="str">
        <f>HYPERLINK("http://141.218.60.56/~jnz1568/getInfo.php?workbook=13_02.xlsx&amp;sheet=U0&amp;row=2098&amp;col=6&amp;number=4.4&amp;sourceID=14","4.4")</f>
        <v>4.4</v>
      </c>
      <c r="G2098" s="4" t="str">
        <f>HYPERLINK("http://141.218.60.56/~jnz1568/getInfo.php?workbook=13_02.xlsx&amp;sheet=U0&amp;row=2098&amp;col=7&amp;number=0.00106&amp;sourceID=14","0.00106")</f>
        <v>0.00106</v>
      </c>
    </row>
    <row r="2099" spans="1:7">
      <c r="A2099" s="3"/>
      <c r="B2099" s="3"/>
      <c r="C2099" s="3"/>
      <c r="D2099" s="3"/>
      <c r="E2099" s="3">
        <v>16</v>
      </c>
      <c r="F2099" s="4" t="str">
        <f>HYPERLINK("http://141.218.60.56/~jnz1568/getInfo.php?workbook=13_02.xlsx&amp;sheet=U0&amp;row=2099&amp;col=6&amp;number=4.5&amp;sourceID=14","4.5")</f>
        <v>4.5</v>
      </c>
      <c r="G2099" s="4" t="str">
        <f>HYPERLINK("http://141.218.60.56/~jnz1568/getInfo.php?workbook=13_02.xlsx&amp;sheet=U0&amp;row=2099&amp;col=7&amp;number=0.00106&amp;sourceID=14","0.00106")</f>
        <v>0.00106</v>
      </c>
    </row>
    <row r="2100" spans="1:7">
      <c r="A2100" s="3"/>
      <c r="B2100" s="3"/>
      <c r="C2100" s="3"/>
      <c r="D2100" s="3"/>
      <c r="E2100" s="3">
        <v>17</v>
      </c>
      <c r="F2100" s="4" t="str">
        <f>HYPERLINK("http://141.218.60.56/~jnz1568/getInfo.php?workbook=13_02.xlsx&amp;sheet=U0&amp;row=2100&amp;col=6&amp;number=4.6&amp;sourceID=14","4.6")</f>
        <v>4.6</v>
      </c>
      <c r="G2100" s="4" t="str">
        <f>HYPERLINK("http://141.218.60.56/~jnz1568/getInfo.php?workbook=13_02.xlsx&amp;sheet=U0&amp;row=2100&amp;col=7&amp;number=0.00105&amp;sourceID=14","0.00105")</f>
        <v>0.00105</v>
      </c>
    </row>
    <row r="2101" spans="1:7">
      <c r="A2101" s="3"/>
      <c r="B2101" s="3"/>
      <c r="C2101" s="3"/>
      <c r="D2101" s="3"/>
      <c r="E2101" s="3">
        <v>18</v>
      </c>
      <c r="F2101" s="4" t="str">
        <f>HYPERLINK("http://141.218.60.56/~jnz1568/getInfo.php?workbook=13_02.xlsx&amp;sheet=U0&amp;row=2101&amp;col=6&amp;number=4.7&amp;sourceID=14","4.7")</f>
        <v>4.7</v>
      </c>
      <c r="G2101" s="4" t="str">
        <f>HYPERLINK("http://141.218.60.56/~jnz1568/getInfo.php?workbook=13_02.xlsx&amp;sheet=U0&amp;row=2101&amp;col=7&amp;number=0.00105&amp;sourceID=14","0.00105")</f>
        <v>0.00105</v>
      </c>
    </row>
    <row r="2102" spans="1:7">
      <c r="A2102" s="3"/>
      <c r="B2102" s="3"/>
      <c r="C2102" s="3"/>
      <c r="D2102" s="3"/>
      <c r="E2102" s="3">
        <v>19</v>
      </c>
      <c r="F2102" s="4" t="str">
        <f>HYPERLINK("http://141.218.60.56/~jnz1568/getInfo.php?workbook=13_02.xlsx&amp;sheet=U0&amp;row=2102&amp;col=6&amp;number=4.8&amp;sourceID=14","4.8")</f>
        <v>4.8</v>
      </c>
      <c r="G2102" s="4" t="str">
        <f>HYPERLINK("http://141.218.60.56/~jnz1568/getInfo.php?workbook=13_02.xlsx&amp;sheet=U0&amp;row=2102&amp;col=7&amp;number=0.00105&amp;sourceID=14","0.00105")</f>
        <v>0.00105</v>
      </c>
    </row>
    <row r="2103" spans="1:7">
      <c r="A2103" s="3"/>
      <c r="B2103" s="3"/>
      <c r="C2103" s="3"/>
      <c r="D2103" s="3"/>
      <c r="E2103" s="3">
        <v>20</v>
      </c>
      <c r="F2103" s="4" t="str">
        <f>HYPERLINK("http://141.218.60.56/~jnz1568/getInfo.php?workbook=13_02.xlsx&amp;sheet=U0&amp;row=2103&amp;col=6&amp;number=4.9&amp;sourceID=14","4.9")</f>
        <v>4.9</v>
      </c>
      <c r="G2103" s="4" t="str">
        <f>HYPERLINK("http://141.218.60.56/~jnz1568/getInfo.php?workbook=13_02.xlsx&amp;sheet=U0&amp;row=2103&amp;col=7&amp;number=0.00104&amp;sourceID=14","0.00104")</f>
        <v>0.00104</v>
      </c>
    </row>
    <row r="2104" spans="1:7">
      <c r="A2104" s="3">
        <v>13</v>
      </c>
      <c r="B2104" s="3">
        <v>2</v>
      </c>
      <c r="C2104" s="3" t="s">
        <v>89</v>
      </c>
      <c r="D2104" s="3">
        <v>3</v>
      </c>
      <c r="E2104" s="3">
        <v>1</v>
      </c>
      <c r="F2104" s="4" t="str">
        <f>HYPERLINK("http://141.218.60.56/~jnz1568/getInfo.php?workbook=13_02.xlsx&amp;sheet=U0&amp;row=2104&amp;col=6&amp;number=3&amp;sourceID=14","3")</f>
        <v>3</v>
      </c>
      <c r="G2104" s="4" t="str">
        <f>HYPERLINK("http://141.218.60.56/~jnz1568/getInfo.php?workbook=13_02.xlsx&amp;sheet=U0&amp;row=2104&amp;col=7&amp;number=0.00412&amp;sourceID=14","0.00412")</f>
        <v>0.00412</v>
      </c>
    </row>
    <row r="2105" spans="1:7">
      <c r="A2105" s="3"/>
      <c r="B2105" s="3"/>
      <c r="C2105" s="3"/>
      <c r="D2105" s="3"/>
      <c r="E2105" s="3">
        <v>2</v>
      </c>
      <c r="F2105" s="4" t="str">
        <f>HYPERLINK("http://141.218.60.56/~jnz1568/getInfo.php?workbook=13_02.xlsx&amp;sheet=U0&amp;row=2105&amp;col=6&amp;number=3.1&amp;sourceID=14","3.1")</f>
        <v>3.1</v>
      </c>
      <c r="G2105" s="4" t="str">
        <f>HYPERLINK("http://141.218.60.56/~jnz1568/getInfo.php?workbook=13_02.xlsx&amp;sheet=U0&amp;row=2105&amp;col=7&amp;number=0.00412&amp;sourceID=14","0.00412")</f>
        <v>0.00412</v>
      </c>
    </row>
    <row r="2106" spans="1:7">
      <c r="A2106" s="3"/>
      <c r="B2106" s="3"/>
      <c r="C2106" s="3"/>
      <c r="D2106" s="3"/>
      <c r="E2106" s="3">
        <v>3</v>
      </c>
      <c r="F2106" s="4" t="str">
        <f>HYPERLINK("http://141.218.60.56/~jnz1568/getInfo.php?workbook=13_02.xlsx&amp;sheet=U0&amp;row=2106&amp;col=6&amp;number=3.2&amp;sourceID=14","3.2")</f>
        <v>3.2</v>
      </c>
      <c r="G2106" s="4" t="str">
        <f>HYPERLINK("http://141.218.60.56/~jnz1568/getInfo.php?workbook=13_02.xlsx&amp;sheet=U0&amp;row=2106&amp;col=7&amp;number=0.00412&amp;sourceID=14","0.00412")</f>
        <v>0.00412</v>
      </c>
    </row>
    <row r="2107" spans="1:7">
      <c r="A2107" s="3"/>
      <c r="B2107" s="3"/>
      <c r="C2107" s="3"/>
      <c r="D2107" s="3"/>
      <c r="E2107" s="3">
        <v>4</v>
      </c>
      <c r="F2107" s="4" t="str">
        <f>HYPERLINK("http://141.218.60.56/~jnz1568/getInfo.php?workbook=13_02.xlsx&amp;sheet=U0&amp;row=2107&amp;col=6&amp;number=3.3&amp;sourceID=14","3.3")</f>
        <v>3.3</v>
      </c>
      <c r="G2107" s="4" t="str">
        <f>HYPERLINK("http://141.218.60.56/~jnz1568/getInfo.php?workbook=13_02.xlsx&amp;sheet=U0&amp;row=2107&amp;col=7&amp;number=0.00412&amp;sourceID=14","0.00412")</f>
        <v>0.00412</v>
      </c>
    </row>
    <row r="2108" spans="1:7">
      <c r="A2108" s="3"/>
      <c r="B2108" s="3"/>
      <c r="C2108" s="3"/>
      <c r="D2108" s="3"/>
      <c r="E2108" s="3">
        <v>5</v>
      </c>
      <c r="F2108" s="4" t="str">
        <f>HYPERLINK("http://141.218.60.56/~jnz1568/getInfo.php?workbook=13_02.xlsx&amp;sheet=U0&amp;row=2108&amp;col=6&amp;number=3.4&amp;sourceID=14","3.4")</f>
        <v>3.4</v>
      </c>
      <c r="G2108" s="4" t="str">
        <f>HYPERLINK("http://141.218.60.56/~jnz1568/getInfo.php?workbook=13_02.xlsx&amp;sheet=U0&amp;row=2108&amp;col=7&amp;number=0.00412&amp;sourceID=14","0.00412")</f>
        <v>0.00412</v>
      </c>
    </row>
    <row r="2109" spans="1:7">
      <c r="A2109" s="3"/>
      <c r="B2109" s="3"/>
      <c r="C2109" s="3"/>
      <c r="D2109" s="3"/>
      <c r="E2109" s="3">
        <v>6</v>
      </c>
      <c r="F2109" s="4" t="str">
        <f>HYPERLINK("http://141.218.60.56/~jnz1568/getInfo.php?workbook=13_02.xlsx&amp;sheet=U0&amp;row=2109&amp;col=6&amp;number=3.5&amp;sourceID=14","3.5")</f>
        <v>3.5</v>
      </c>
      <c r="G2109" s="4" t="str">
        <f>HYPERLINK("http://141.218.60.56/~jnz1568/getInfo.php?workbook=13_02.xlsx&amp;sheet=U0&amp;row=2109&amp;col=7&amp;number=0.00412&amp;sourceID=14","0.00412")</f>
        <v>0.00412</v>
      </c>
    </row>
    <row r="2110" spans="1:7">
      <c r="A2110" s="3"/>
      <c r="B2110" s="3"/>
      <c r="C2110" s="3"/>
      <c r="D2110" s="3"/>
      <c r="E2110" s="3">
        <v>7</v>
      </c>
      <c r="F2110" s="4" t="str">
        <f>HYPERLINK("http://141.218.60.56/~jnz1568/getInfo.php?workbook=13_02.xlsx&amp;sheet=U0&amp;row=2110&amp;col=6&amp;number=3.6&amp;sourceID=14","3.6")</f>
        <v>3.6</v>
      </c>
      <c r="G2110" s="4" t="str">
        <f>HYPERLINK("http://141.218.60.56/~jnz1568/getInfo.php?workbook=13_02.xlsx&amp;sheet=U0&amp;row=2110&amp;col=7&amp;number=0.00412&amp;sourceID=14","0.00412")</f>
        <v>0.00412</v>
      </c>
    </row>
    <row r="2111" spans="1:7">
      <c r="A2111" s="3"/>
      <c r="B2111" s="3"/>
      <c r="C2111" s="3"/>
      <c r="D2111" s="3"/>
      <c r="E2111" s="3">
        <v>8</v>
      </c>
      <c r="F2111" s="4" t="str">
        <f>HYPERLINK("http://141.218.60.56/~jnz1568/getInfo.php?workbook=13_02.xlsx&amp;sheet=U0&amp;row=2111&amp;col=6&amp;number=3.7&amp;sourceID=14","3.7")</f>
        <v>3.7</v>
      </c>
      <c r="G2111" s="4" t="str">
        <f>HYPERLINK("http://141.218.60.56/~jnz1568/getInfo.php?workbook=13_02.xlsx&amp;sheet=U0&amp;row=2111&amp;col=7&amp;number=0.00412&amp;sourceID=14","0.00412")</f>
        <v>0.00412</v>
      </c>
    </row>
    <row r="2112" spans="1:7">
      <c r="A2112" s="3"/>
      <c r="B2112" s="3"/>
      <c r="C2112" s="3"/>
      <c r="D2112" s="3"/>
      <c r="E2112" s="3">
        <v>9</v>
      </c>
      <c r="F2112" s="4" t="str">
        <f>HYPERLINK("http://141.218.60.56/~jnz1568/getInfo.php?workbook=13_02.xlsx&amp;sheet=U0&amp;row=2112&amp;col=6&amp;number=3.8&amp;sourceID=14","3.8")</f>
        <v>3.8</v>
      </c>
      <c r="G2112" s="4" t="str">
        <f>HYPERLINK("http://141.218.60.56/~jnz1568/getInfo.php?workbook=13_02.xlsx&amp;sheet=U0&amp;row=2112&amp;col=7&amp;number=0.00413&amp;sourceID=14","0.00413")</f>
        <v>0.00413</v>
      </c>
    </row>
    <row r="2113" spans="1:7">
      <c r="A2113" s="3"/>
      <c r="B2113" s="3"/>
      <c r="C2113" s="3"/>
      <c r="D2113" s="3"/>
      <c r="E2113" s="3">
        <v>10</v>
      </c>
      <c r="F2113" s="4" t="str">
        <f>HYPERLINK("http://141.218.60.56/~jnz1568/getInfo.php?workbook=13_02.xlsx&amp;sheet=U0&amp;row=2113&amp;col=6&amp;number=3.9&amp;sourceID=14","3.9")</f>
        <v>3.9</v>
      </c>
      <c r="G2113" s="4" t="str">
        <f>HYPERLINK("http://141.218.60.56/~jnz1568/getInfo.php?workbook=13_02.xlsx&amp;sheet=U0&amp;row=2113&amp;col=7&amp;number=0.00413&amp;sourceID=14","0.00413")</f>
        <v>0.00413</v>
      </c>
    </row>
    <row r="2114" spans="1:7">
      <c r="A2114" s="3"/>
      <c r="B2114" s="3"/>
      <c r="C2114" s="3"/>
      <c r="D2114" s="3"/>
      <c r="E2114" s="3">
        <v>11</v>
      </c>
      <c r="F2114" s="4" t="str">
        <f>HYPERLINK("http://141.218.60.56/~jnz1568/getInfo.php?workbook=13_02.xlsx&amp;sheet=U0&amp;row=2114&amp;col=6&amp;number=4&amp;sourceID=14","4")</f>
        <v>4</v>
      </c>
      <c r="G2114" s="4" t="str">
        <f>HYPERLINK("http://141.218.60.56/~jnz1568/getInfo.php?workbook=13_02.xlsx&amp;sheet=U0&amp;row=2114&amp;col=7&amp;number=0.00413&amp;sourceID=14","0.00413")</f>
        <v>0.00413</v>
      </c>
    </row>
    <row r="2115" spans="1:7">
      <c r="A2115" s="3"/>
      <c r="B2115" s="3"/>
      <c r="C2115" s="3"/>
      <c r="D2115" s="3"/>
      <c r="E2115" s="3">
        <v>12</v>
      </c>
      <c r="F2115" s="4" t="str">
        <f>HYPERLINK("http://141.218.60.56/~jnz1568/getInfo.php?workbook=13_02.xlsx&amp;sheet=U0&amp;row=2115&amp;col=6&amp;number=4.1&amp;sourceID=14","4.1")</f>
        <v>4.1</v>
      </c>
      <c r="G2115" s="4" t="str">
        <f>HYPERLINK("http://141.218.60.56/~jnz1568/getInfo.php?workbook=13_02.xlsx&amp;sheet=U0&amp;row=2115&amp;col=7&amp;number=0.00413&amp;sourceID=14","0.00413")</f>
        <v>0.00413</v>
      </c>
    </row>
    <row r="2116" spans="1:7">
      <c r="A2116" s="3"/>
      <c r="B2116" s="3"/>
      <c r="C2116" s="3"/>
      <c r="D2116" s="3"/>
      <c r="E2116" s="3">
        <v>13</v>
      </c>
      <c r="F2116" s="4" t="str">
        <f>HYPERLINK("http://141.218.60.56/~jnz1568/getInfo.php?workbook=13_02.xlsx&amp;sheet=U0&amp;row=2116&amp;col=6&amp;number=4.2&amp;sourceID=14","4.2")</f>
        <v>4.2</v>
      </c>
      <c r="G2116" s="4" t="str">
        <f>HYPERLINK("http://141.218.60.56/~jnz1568/getInfo.php?workbook=13_02.xlsx&amp;sheet=U0&amp;row=2116&amp;col=7&amp;number=0.00414&amp;sourceID=14","0.00414")</f>
        <v>0.00414</v>
      </c>
    </row>
    <row r="2117" spans="1:7">
      <c r="A2117" s="3"/>
      <c r="B2117" s="3"/>
      <c r="C2117" s="3"/>
      <c r="D2117" s="3"/>
      <c r="E2117" s="3">
        <v>14</v>
      </c>
      <c r="F2117" s="4" t="str">
        <f>HYPERLINK("http://141.218.60.56/~jnz1568/getInfo.php?workbook=13_02.xlsx&amp;sheet=U0&amp;row=2117&amp;col=6&amp;number=4.3&amp;sourceID=14","4.3")</f>
        <v>4.3</v>
      </c>
      <c r="G2117" s="4" t="str">
        <f>HYPERLINK("http://141.218.60.56/~jnz1568/getInfo.php?workbook=13_02.xlsx&amp;sheet=U0&amp;row=2117&amp;col=7&amp;number=0.00414&amp;sourceID=14","0.00414")</f>
        <v>0.00414</v>
      </c>
    </row>
    <row r="2118" spans="1:7">
      <c r="A2118" s="3"/>
      <c r="B2118" s="3"/>
      <c r="C2118" s="3"/>
      <c r="D2118" s="3"/>
      <c r="E2118" s="3">
        <v>15</v>
      </c>
      <c r="F2118" s="4" t="str">
        <f>HYPERLINK("http://141.218.60.56/~jnz1568/getInfo.php?workbook=13_02.xlsx&amp;sheet=U0&amp;row=2118&amp;col=6&amp;number=4.4&amp;sourceID=14","4.4")</f>
        <v>4.4</v>
      </c>
      <c r="G2118" s="4" t="str">
        <f>HYPERLINK("http://141.218.60.56/~jnz1568/getInfo.php?workbook=13_02.xlsx&amp;sheet=U0&amp;row=2118&amp;col=7&amp;number=0.00415&amp;sourceID=14","0.00415")</f>
        <v>0.00415</v>
      </c>
    </row>
    <row r="2119" spans="1:7">
      <c r="A2119" s="3"/>
      <c r="B2119" s="3"/>
      <c r="C2119" s="3"/>
      <c r="D2119" s="3"/>
      <c r="E2119" s="3">
        <v>16</v>
      </c>
      <c r="F2119" s="4" t="str">
        <f>HYPERLINK("http://141.218.60.56/~jnz1568/getInfo.php?workbook=13_02.xlsx&amp;sheet=U0&amp;row=2119&amp;col=6&amp;number=4.5&amp;sourceID=14","4.5")</f>
        <v>4.5</v>
      </c>
      <c r="G2119" s="4" t="str">
        <f>HYPERLINK("http://141.218.60.56/~jnz1568/getInfo.php?workbook=13_02.xlsx&amp;sheet=U0&amp;row=2119&amp;col=7&amp;number=0.00415&amp;sourceID=14","0.00415")</f>
        <v>0.00415</v>
      </c>
    </row>
    <row r="2120" spans="1:7">
      <c r="A2120" s="3"/>
      <c r="B2120" s="3"/>
      <c r="C2120" s="3"/>
      <c r="D2120" s="3"/>
      <c r="E2120" s="3">
        <v>17</v>
      </c>
      <c r="F2120" s="4" t="str">
        <f>HYPERLINK("http://141.218.60.56/~jnz1568/getInfo.php?workbook=13_02.xlsx&amp;sheet=U0&amp;row=2120&amp;col=6&amp;number=4.6&amp;sourceID=14","4.6")</f>
        <v>4.6</v>
      </c>
      <c r="G2120" s="4" t="str">
        <f>HYPERLINK("http://141.218.60.56/~jnz1568/getInfo.php?workbook=13_02.xlsx&amp;sheet=U0&amp;row=2120&amp;col=7&amp;number=0.00416&amp;sourceID=14","0.00416")</f>
        <v>0.00416</v>
      </c>
    </row>
    <row r="2121" spans="1:7">
      <c r="A2121" s="3"/>
      <c r="B2121" s="3"/>
      <c r="C2121" s="3"/>
      <c r="D2121" s="3"/>
      <c r="E2121" s="3">
        <v>18</v>
      </c>
      <c r="F2121" s="4" t="str">
        <f>HYPERLINK("http://141.218.60.56/~jnz1568/getInfo.php?workbook=13_02.xlsx&amp;sheet=U0&amp;row=2121&amp;col=6&amp;number=4.7&amp;sourceID=14","4.7")</f>
        <v>4.7</v>
      </c>
      <c r="G2121" s="4" t="str">
        <f>HYPERLINK("http://141.218.60.56/~jnz1568/getInfo.php?workbook=13_02.xlsx&amp;sheet=U0&amp;row=2121&amp;col=7&amp;number=0.00417&amp;sourceID=14","0.00417")</f>
        <v>0.00417</v>
      </c>
    </row>
    <row r="2122" spans="1:7">
      <c r="A2122" s="3"/>
      <c r="B2122" s="3"/>
      <c r="C2122" s="3"/>
      <c r="D2122" s="3"/>
      <c r="E2122" s="3">
        <v>19</v>
      </c>
      <c r="F2122" s="4" t="str">
        <f>HYPERLINK("http://141.218.60.56/~jnz1568/getInfo.php?workbook=13_02.xlsx&amp;sheet=U0&amp;row=2122&amp;col=6&amp;number=4.8&amp;sourceID=14","4.8")</f>
        <v>4.8</v>
      </c>
      <c r="G2122" s="4" t="str">
        <f>HYPERLINK("http://141.218.60.56/~jnz1568/getInfo.php?workbook=13_02.xlsx&amp;sheet=U0&amp;row=2122&amp;col=7&amp;number=0.00419&amp;sourceID=14","0.00419")</f>
        <v>0.00419</v>
      </c>
    </row>
    <row r="2123" spans="1:7">
      <c r="A2123" s="3"/>
      <c r="B2123" s="3"/>
      <c r="C2123" s="3"/>
      <c r="D2123" s="3"/>
      <c r="E2123" s="3">
        <v>20</v>
      </c>
      <c r="F2123" s="4" t="str">
        <f>HYPERLINK("http://141.218.60.56/~jnz1568/getInfo.php?workbook=13_02.xlsx&amp;sheet=U0&amp;row=2123&amp;col=6&amp;number=4.9&amp;sourceID=14","4.9")</f>
        <v>4.9</v>
      </c>
      <c r="G2123" s="4" t="str">
        <f>HYPERLINK("http://141.218.60.56/~jnz1568/getInfo.php?workbook=13_02.xlsx&amp;sheet=U0&amp;row=2123&amp;col=7&amp;number=0.00421&amp;sourceID=14","0.00421")</f>
        <v>0.00421</v>
      </c>
    </row>
    <row r="2124" spans="1:7">
      <c r="A2124" s="3">
        <v>13</v>
      </c>
      <c r="B2124" s="3">
        <v>2</v>
      </c>
      <c r="C2124" s="3" t="s">
        <v>89</v>
      </c>
      <c r="D2124" s="3">
        <v>4</v>
      </c>
      <c r="E2124" s="3">
        <v>1</v>
      </c>
      <c r="F2124" s="4" t="str">
        <f>HYPERLINK("http://141.218.60.56/~jnz1568/getInfo.php?workbook=13_02.xlsx&amp;sheet=U0&amp;row=2124&amp;col=6&amp;number=3&amp;sourceID=14","3")</f>
        <v>3</v>
      </c>
      <c r="G2124" s="4" t="str">
        <f>HYPERLINK("http://141.218.60.56/~jnz1568/getInfo.php?workbook=13_02.xlsx&amp;sheet=U0&amp;row=2124&amp;col=7&amp;number=0.000924&amp;sourceID=14","0.000924")</f>
        <v>0.000924</v>
      </c>
    </row>
    <row r="2125" spans="1:7">
      <c r="A2125" s="3"/>
      <c r="B2125" s="3"/>
      <c r="C2125" s="3"/>
      <c r="D2125" s="3"/>
      <c r="E2125" s="3">
        <v>2</v>
      </c>
      <c r="F2125" s="4" t="str">
        <f>HYPERLINK("http://141.218.60.56/~jnz1568/getInfo.php?workbook=13_02.xlsx&amp;sheet=U0&amp;row=2125&amp;col=6&amp;number=3.1&amp;sourceID=14","3.1")</f>
        <v>3.1</v>
      </c>
      <c r="G2125" s="4" t="str">
        <f>HYPERLINK("http://141.218.60.56/~jnz1568/getInfo.php?workbook=13_02.xlsx&amp;sheet=U0&amp;row=2125&amp;col=7&amp;number=0.000924&amp;sourceID=14","0.000924")</f>
        <v>0.000924</v>
      </c>
    </row>
    <row r="2126" spans="1:7">
      <c r="A2126" s="3"/>
      <c r="B2126" s="3"/>
      <c r="C2126" s="3"/>
      <c r="D2126" s="3"/>
      <c r="E2126" s="3">
        <v>3</v>
      </c>
      <c r="F2126" s="4" t="str">
        <f>HYPERLINK("http://141.218.60.56/~jnz1568/getInfo.php?workbook=13_02.xlsx&amp;sheet=U0&amp;row=2126&amp;col=6&amp;number=3.2&amp;sourceID=14","3.2")</f>
        <v>3.2</v>
      </c>
      <c r="G2126" s="4" t="str">
        <f>HYPERLINK("http://141.218.60.56/~jnz1568/getInfo.php?workbook=13_02.xlsx&amp;sheet=U0&amp;row=2126&amp;col=7&amp;number=0.000924&amp;sourceID=14","0.000924")</f>
        <v>0.000924</v>
      </c>
    </row>
    <row r="2127" spans="1:7">
      <c r="A2127" s="3"/>
      <c r="B2127" s="3"/>
      <c r="C2127" s="3"/>
      <c r="D2127" s="3"/>
      <c r="E2127" s="3">
        <v>4</v>
      </c>
      <c r="F2127" s="4" t="str">
        <f>HYPERLINK("http://141.218.60.56/~jnz1568/getInfo.php?workbook=13_02.xlsx&amp;sheet=U0&amp;row=2127&amp;col=6&amp;number=3.3&amp;sourceID=14","3.3")</f>
        <v>3.3</v>
      </c>
      <c r="G2127" s="4" t="str">
        <f>HYPERLINK("http://141.218.60.56/~jnz1568/getInfo.php?workbook=13_02.xlsx&amp;sheet=U0&amp;row=2127&amp;col=7&amp;number=0.000924&amp;sourceID=14","0.000924")</f>
        <v>0.000924</v>
      </c>
    </row>
    <row r="2128" spans="1:7">
      <c r="A2128" s="3"/>
      <c r="B2128" s="3"/>
      <c r="C2128" s="3"/>
      <c r="D2128" s="3"/>
      <c r="E2128" s="3">
        <v>5</v>
      </c>
      <c r="F2128" s="4" t="str">
        <f>HYPERLINK("http://141.218.60.56/~jnz1568/getInfo.php?workbook=13_02.xlsx&amp;sheet=U0&amp;row=2128&amp;col=6&amp;number=3.4&amp;sourceID=14","3.4")</f>
        <v>3.4</v>
      </c>
      <c r="G2128" s="4" t="str">
        <f>HYPERLINK("http://141.218.60.56/~jnz1568/getInfo.php?workbook=13_02.xlsx&amp;sheet=U0&amp;row=2128&amp;col=7&amp;number=0.000924&amp;sourceID=14","0.000924")</f>
        <v>0.000924</v>
      </c>
    </row>
    <row r="2129" spans="1:7">
      <c r="A2129" s="3"/>
      <c r="B2129" s="3"/>
      <c r="C2129" s="3"/>
      <c r="D2129" s="3"/>
      <c r="E2129" s="3">
        <v>6</v>
      </c>
      <c r="F2129" s="4" t="str">
        <f>HYPERLINK("http://141.218.60.56/~jnz1568/getInfo.php?workbook=13_02.xlsx&amp;sheet=U0&amp;row=2129&amp;col=6&amp;number=3.5&amp;sourceID=14","3.5")</f>
        <v>3.5</v>
      </c>
      <c r="G2129" s="4" t="str">
        <f>HYPERLINK("http://141.218.60.56/~jnz1568/getInfo.php?workbook=13_02.xlsx&amp;sheet=U0&amp;row=2129&amp;col=7&amp;number=0.000924&amp;sourceID=14","0.000924")</f>
        <v>0.000924</v>
      </c>
    </row>
    <row r="2130" spans="1:7">
      <c r="A2130" s="3"/>
      <c r="B2130" s="3"/>
      <c r="C2130" s="3"/>
      <c r="D2130" s="3"/>
      <c r="E2130" s="3">
        <v>7</v>
      </c>
      <c r="F2130" s="4" t="str">
        <f>HYPERLINK("http://141.218.60.56/~jnz1568/getInfo.php?workbook=13_02.xlsx&amp;sheet=U0&amp;row=2130&amp;col=6&amp;number=3.6&amp;sourceID=14","3.6")</f>
        <v>3.6</v>
      </c>
      <c r="G2130" s="4" t="str">
        <f>HYPERLINK("http://141.218.60.56/~jnz1568/getInfo.php?workbook=13_02.xlsx&amp;sheet=U0&amp;row=2130&amp;col=7&amp;number=0.000924&amp;sourceID=14","0.000924")</f>
        <v>0.000924</v>
      </c>
    </row>
    <row r="2131" spans="1:7">
      <c r="A2131" s="3"/>
      <c r="B2131" s="3"/>
      <c r="C2131" s="3"/>
      <c r="D2131" s="3"/>
      <c r="E2131" s="3">
        <v>8</v>
      </c>
      <c r="F2131" s="4" t="str">
        <f>HYPERLINK("http://141.218.60.56/~jnz1568/getInfo.php?workbook=13_02.xlsx&amp;sheet=U0&amp;row=2131&amp;col=6&amp;number=3.7&amp;sourceID=14","3.7")</f>
        <v>3.7</v>
      </c>
      <c r="G2131" s="4" t="str">
        <f>HYPERLINK("http://141.218.60.56/~jnz1568/getInfo.php?workbook=13_02.xlsx&amp;sheet=U0&amp;row=2131&amp;col=7&amp;number=0.000923&amp;sourceID=14","0.000923")</f>
        <v>0.000923</v>
      </c>
    </row>
    <row r="2132" spans="1:7">
      <c r="A2132" s="3"/>
      <c r="B2132" s="3"/>
      <c r="C2132" s="3"/>
      <c r="D2132" s="3"/>
      <c r="E2132" s="3">
        <v>9</v>
      </c>
      <c r="F2132" s="4" t="str">
        <f>HYPERLINK("http://141.218.60.56/~jnz1568/getInfo.php?workbook=13_02.xlsx&amp;sheet=U0&amp;row=2132&amp;col=6&amp;number=3.8&amp;sourceID=14","3.8")</f>
        <v>3.8</v>
      </c>
      <c r="G2132" s="4" t="str">
        <f>HYPERLINK("http://141.218.60.56/~jnz1568/getInfo.php?workbook=13_02.xlsx&amp;sheet=U0&amp;row=2132&amp;col=7&amp;number=0.000923&amp;sourceID=14","0.000923")</f>
        <v>0.000923</v>
      </c>
    </row>
    <row r="2133" spans="1:7">
      <c r="A2133" s="3"/>
      <c r="B2133" s="3"/>
      <c r="C2133" s="3"/>
      <c r="D2133" s="3"/>
      <c r="E2133" s="3">
        <v>10</v>
      </c>
      <c r="F2133" s="4" t="str">
        <f>HYPERLINK("http://141.218.60.56/~jnz1568/getInfo.php?workbook=13_02.xlsx&amp;sheet=U0&amp;row=2133&amp;col=6&amp;number=3.9&amp;sourceID=14","3.9")</f>
        <v>3.9</v>
      </c>
      <c r="G2133" s="4" t="str">
        <f>HYPERLINK("http://141.218.60.56/~jnz1568/getInfo.php?workbook=13_02.xlsx&amp;sheet=U0&amp;row=2133&amp;col=7&amp;number=0.000923&amp;sourceID=14","0.000923")</f>
        <v>0.000923</v>
      </c>
    </row>
    <row r="2134" spans="1:7">
      <c r="A2134" s="3"/>
      <c r="B2134" s="3"/>
      <c r="C2134" s="3"/>
      <c r="D2134" s="3"/>
      <c r="E2134" s="3">
        <v>11</v>
      </c>
      <c r="F2134" s="4" t="str">
        <f>HYPERLINK("http://141.218.60.56/~jnz1568/getInfo.php?workbook=13_02.xlsx&amp;sheet=U0&amp;row=2134&amp;col=6&amp;number=4&amp;sourceID=14","4")</f>
        <v>4</v>
      </c>
      <c r="G2134" s="4" t="str">
        <f>HYPERLINK("http://141.218.60.56/~jnz1568/getInfo.php?workbook=13_02.xlsx&amp;sheet=U0&amp;row=2134&amp;col=7&amp;number=0.000922&amp;sourceID=14","0.000922")</f>
        <v>0.000922</v>
      </c>
    </row>
    <row r="2135" spans="1:7">
      <c r="A2135" s="3"/>
      <c r="B2135" s="3"/>
      <c r="C2135" s="3"/>
      <c r="D2135" s="3"/>
      <c r="E2135" s="3">
        <v>12</v>
      </c>
      <c r="F2135" s="4" t="str">
        <f>HYPERLINK("http://141.218.60.56/~jnz1568/getInfo.php?workbook=13_02.xlsx&amp;sheet=U0&amp;row=2135&amp;col=6&amp;number=4.1&amp;sourceID=14","4.1")</f>
        <v>4.1</v>
      </c>
      <c r="G2135" s="4" t="str">
        <f>HYPERLINK("http://141.218.60.56/~jnz1568/getInfo.php?workbook=13_02.xlsx&amp;sheet=U0&amp;row=2135&amp;col=7&amp;number=0.000922&amp;sourceID=14","0.000922")</f>
        <v>0.000922</v>
      </c>
    </row>
    <row r="2136" spans="1:7">
      <c r="A2136" s="3"/>
      <c r="B2136" s="3"/>
      <c r="C2136" s="3"/>
      <c r="D2136" s="3"/>
      <c r="E2136" s="3">
        <v>13</v>
      </c>
      <c r="F2136" s="4" t="str">
        <f>HYPERLINK("http://141.218.60.56/~jnz1568/getInfo.php?workbook=13_02.xlsx&amp;sheet=U0&amp;row=2136&amp;col=6&amp;number=4.2&amp;sourceID=14","4.2")</f>
        <v>4.2</v>
      </c>
      <c r="G2136" s="4" t="str">
        <f>HYPERLINK("http://141.218.60.56/~jnz1568/getInfo.php?workbook=13_02.xlsx&amp;sheet=U0&amp;row=2136&amp;col=7&amp;number=0.000921&amp;sourceID=14","0.000921")</f>
        <v>0.000921</v>
      </c>
    </row>
    <row r="2137" spans="1:7">
      <c r="A2137" s="3"/>
      <c r="B2137" s="3"/>
      <c r="C2137" s="3"/>
      <c r="D2137" s="3"/>
      <c r="E2137" s="3">
        <v>14</v>
      </c>
      <c r="F2137" s="4" t="str">
        <f>HYPERLINK("http://141.218.60.56/~jnz1568/getInfo.php?workbook=13_02.xlsx&amp;sheet=U0&amp;row=2137&amp;col=6&amp;number=4.3&amp;sourceID=14","4.3")</f>
        <v>4.3</v>
      </c>
      <c r="G2137" s="4" t="str">
        <f>HYPERLINK("http://141.218.60.56/~jnz1568/getInfo.php?workbook=13_02.xlsx&amp;sheet=U0&amp;row=2137&amp;col=7&amp;number=0.00092&amp;sourceID=14","0.00092")</f>
        <v>0.00092</v>
      </c>
    </row>
    <row r="2138" spans="1:7">
      <c r="A2138" s="3"/>
      <c r="B2138" s="3"/>
      <c r="C2138" s="3"/>
      <c r="D2138" s="3"/>
      <c r="E2138" s="3">
        <v>15</v>
      </c>
      <c r="F2138" s="4" t="str">
        <f>HYPERLINK("http://141.218.60.56/~jnz1568/getInfo.php?workbook=13_02.xlsx&amp;sheet=U0&amp;row=2138&amp;col=6&amp;number=4.4&amp;sourceID=14","4.4")</f>
        <v>4.4</v>
      </c>
      <c r="G2138" s="4" t="str">
        <f>HYPERLINK("http://141.218.60.56/~jnz1568/getInfo.php?workbook=13_02.xlsx&amp;sheet=U0&amp;row=2138&amp;col=7&amp;number=0.000919&amp;sourceID=14","0.000919")</f>
        <v>0.000919</v>
      </c>
    </row>
    <row r="2139" spans="1:7">
      <c r="A2139" s="3"/>
      <c r="B2139" s="3"/>
      <c r="C2139" s="3"/>
      <c r="D2139" s="3"/>
      <c r="E2139" s="3">
        <v>16</v>
      </c>
      <c r="F2139" s="4" t="str">
        <f>HYPERLINK("http://141.218.60.56/~jnz1568/getInfo.php?workbook=13_02.xlsx&amp;sheet=U0&amp;row=2139&amp;col=6&amp;number=4.5&amp;sourceID=14","4.5")</f>
        <v>4.5</v>
      </c>
      <c r="G2139" s="4" t="str">
        <f>HYPERLINK("http://141.218.60.56/~jnz1568/getInfo.php?workbook=13_02.xlsx&amp;sheet=U0&amp;row=2139&amp;col=7&amp;number=0.000918&amp;sourceID=14","0.000918")</f>
        <v>0.000918</v>
      </c>
    </row>
    <row r="2140" spans="1:7">
      <c r="A2140" s="3"/>
      <c r="B2140" s="3"/>
      <c r="C2140" s="3"/>
      <c r="D2140" s="3"/>
      <c r="E2140" s="3">
        <v>17</v>
      </c>
      <c r="F2140" s="4" t="str">
        <f>HYPERLINK("http://141.218.60.56/~jnz1568/getInfo.php?workbook=13_02.xlsx&amp;sheet=U0&amp;row=2140&amp;col=6&amp;number=4.6&amp;sourceID=14","4.6")</f>
        <v>4.6</v>
      </c>
      <c r="G2140" s="4" t="str">
        <f>HYPERLINK("http://141.218.60.56/~jnz1568/getInfo.php?workbook=13_02.xlsx&amp;sheet=U0&amp;row=2140&amp;col=7&amp;number=0.000916&amp;sourceID=14","0.000916")</f>
        <v>0.000916</v>
      </c>
    </row>
    <row r="2141" spans="1:7">
      <c r="A2141" s="3"/>
      <c r="B2141" s="3"/>
      <c r="C2141" s="3"/>
      <c r="D2141" s="3"/>
      <c r="E2141" s="3">
        <v>18</v>
      </c>
      <c r="F2141" s="4" t="str">
        <f>HYPERLINK("http://141.218.60.56/~jnz1568/getInfo.php?workbook=13_02.xlsx&amp;sheet=U0&amp;row=2141&amp;col=6&amp;number=4.7&amp;sourceID=14","4.7")</f>
        <v>4.7</v>
      </c>
      <c r="G2141" s="4" t="str">
        <f>HYPERLINK("http://141.218.60.56/~jnz1568/getInfo.php?workbook=13_02.xlsx&amp;sheet=U0&amp;row=2141&amp;col=7&amp;number=0.000914&amp;sourceID=14","0.000914")</f>
        <v>0.000914</v>
      </c>
    </row>
    <row r="2142" spans="1:7">
      <c r="A2142" s="3"/>
      <c r="B2142" s="3"/>
      <c r="C2142" s="3"/>
      <c r="D2142" s="3"/>
      <c r="E2142" s="3">
        <v>19</v>
      </c>
      <c r="F2142" s="4" t="str">
        <f>HYPERLINK("http://141.218.60.56/~jnz1568/getInfo.php?workbook=13_02.xlsx&amp;sheet=U0&amp;row=2142&amp;col=6&amp;number=4.8&amp;sourceID=14","4.8")</f>
        <v>4.8</v>
      </c>
      <c r="G2142" s="4" t="str">
        <f>HYPERLINK("http://141.218.60.56/~jnz1568/getInfo.php?workbook=13_02.xlsx&amp;sheet=U0&amp;row=2142&amp;col=7&amp;number=0.000912&amp;sourceID=14","0.000912")</f>
        <v>0.000912</v>
      </c>
    </row>
    <row r="2143" spans="1:7">
      <c r="A2143" s="3"/>
      <c r="B2143" s="3"/>
      <c r="C2143" s="3"/>
      <c r="D2143" s="3"/>
      <c r="E2143" s="3">
        <v>20</v>
      </c>
      <c r="F2143" s="4" t="str">
        <f>HYPERLINK("http://141.218.60.56/~jnz1568/getInfo.php?workbook=13_02.xlsx&amp;sheet=U0&amp;row=2143&amp;col=6&amp;number=4.9&amp;sourceID=14","4.9")</f>
        <v>4.9</v>
      </c>
      <c r="G2143" s="4" t="str">
        <f>HYPERLINK("http://141.218.60.56/~jnz1568/getInfo.php?workbook=13_02.xlsx&amp;sheet=U0&amp;row=2143&amp;col=7&amp;number=0.000908&amp;sourceID=14","0.000908")</f>
        <v>0.000908</v>
      </c>
    </row>
    <row r="2144" spans="1:7">
      <c r="A2144" s="3">
        <v>13</v>
      </c>
      <c r="B2144" s="3">
        <v>2</v>
      </c>
      <c r="C2144" s="3" t="s">
        <v>89</v>
      </c>
      <c r="D2144" s="3">
        <v>5</v>
      </c>
      <c r="E2144" s="3">
        <v>1</v>
      </c>
      <c r="F2144" s="4" t="str">
        <f>HYPERLINK("http://141.218.60.56/~jnz1568/getInfo.php?workbook=13_02.xlsx&amp;sheet=U0&amp;row=2144&amp;col=6&amp;number=3&amp;sourceID=14","3")</f>
        <v>3</v>
      </c>
      <c r="G2144" s="4" t="str">
        <f>HYPERLINK("http://141.218.60.56/~jnz1568/getInfo.php?workbook=13_02.xlsx&amp;sheet=U0&amp;row=2144&amp;col=7&amp;number=0.00171&amp;sourceID=14","0.00171")</f>
        <v>0.00171</v>
      </c>
    </row>
    <row r="2145" spans="1:7">
      <c r="A2145" s="3"/>
      <c r="B2145" s="3"/>
      <c r="C2145" s="3"/>
      <c r="D2145" s="3"/>
      <c r="E2145" s="3">
        <v>2</v>
      </c>
      <c r="F2145" s="4" t="str">
        <f>HYPERLINK("http://141.218.60.56/~jnz1568/getInfo.php?workbook=13_02.xlsx&amp;sheet=U0&amp;row=2145&amp;col=6&amp;number=3.1&amp;sourceID=14","3.1")</f>
        <v>3.1</v>
      </c>
      <c r="G2145" s="4" t="str">
        <f>HYPERLINK("http://141.218.60.56/~jnz1568/getInfo.php?workbook=13_02.xlsx&amp;sheet=U0&amp;row=2145&amp;col=7&amp;number=0.00171&amp;sourceID=14","0.00171")</f>
        <v>0.00171</v>
      </c>
    </row>
    <row r="2146" spans="1:7">
      <c r="A2146" s="3"/>
      <c r="B2146" s="3"/>
      <c r="C2146" s="3"/>
      <c r="D2146" s="3"/>
      <c r="E2146" s="3">
        <v>3</v>
      </c>
      <c r="F2146" s="4" t="str">
        <f>HYPERLINK("http://141.218.60.56/~jnz1568/getInfo.php?workbook=13_02.xlsx&amp;sheet=U0&amp;row=2146&amp;col=6&amp;number=3.2&amp;sourceID=14","3.2")</f>
        <v>3.2</v>
      </c>
      <c r="G2146" s="4" t="str">
        <f>HYPERLINK("http://141.218.60.56/~jnz1568/getInfo.php?workbook=13_02.xlsx&amp;sheet=U0&amp;row=2146&amp;col=7&amp;number=0.00171&amp;sourceID=14","0.00171")</f>
        <v>0.00171</v>
      </c>
    </row>
    <row r="2147" spans="1:7">
      <c r="A2147" s="3"/>
      <c r="B2147" s="3"/>
      <c r="C2147" s="3"/>
      <c r="D2147" s="3"/>
      <c r="E2147" s="3">
        <v>4</v>
      </c>
      <c r="F2147" s="4" t="str">
        <f>HYPERLINK("http://141.218.60.56/~jnz1568/getInfo.php?workbook=13_02.xlsx&amp;sheet=U0&amp;row=2147&amp;col=6&amp;number=3.3&amp;sourceID=14","3.3")</f>
        <v>3.3</v>
      </c>
      <c r="G2147" s="4" t="str">
        <f>HYPERLINK("http://141.218.60.56/~jnz1568/getInfo.php?workbook=13_02.xlsx&amp;sheet=U0&amp;row=2147&amp;col=7&amp;number=0.00171&amp;sourceID=14","0.00171")</f>
        <v>0.00171</v>
      </c>
    </row>
    <row r="2148" spans="1:7">
      <c r="A2148" s="3"/>
      <c r="B2148" s="3"/>
      <c r="C2148" s="3"/>
      <c r="D2148" s="3"/>
      <c r="E2148" s="3">
        <v>5</v>
      </c>
      <c r="F2148" s="4" t="str">
        <f>HYPERLINK("http://141.218.60.56/~jnz1568/getInfo.php?workbook=13_02.xlsx&amp;sheet=U0&amp;row=2148&amp;col=6&amp;number=3.4&amp;sourceID=14","3.4")</f>
        <v>3.4</v>
      </c>
      <c r="G2148" s="4" t="str">
        <f>HYPERLINK("http://141.218.60.56/~jnz1568/getInfo.php?workbook=13_02.xlsx&amp;sheet=U0&amp;row=2148&amp;col=7&amp;number=0.00171&amp;sourceID=14","0.00171")</f>
        <v>0.00171</v>
      </c>
    </row>
    <row r="2149" spans="1:7">
      <c r="A2149" s="3"/>
      <c r="B2149" s="3"/>
      <c r="C2149" s="3"/>
      <c r="D2149" s="3"/>
      <c r="E2149" s="3">
        <v>6</v>
      </c>
      <c r="F2149" s="4" t="str">
        <f>HYPERLINK("http://141.218.60.56/~jnz1568/getInfo.php?workbook=13_02.xlsx&amp;sheet=U0&amp;row=2149&amp;col=6&amp;number=3.5&amp;sourceID=14","3.5")</f>
        <v>3.5</v>
      </c>
      <c r="G2149" s="4" t="str">
        <f>HYPERLINK("http://141.218.60.56/~jnz1568/getInfo.php?workbook=13_02.xlsx&amp;sheet=U0&amp;row=2149&amp;col=7&amp;number=0.00171&amp;sourceID=14","0.00171")</f>
        <v>0.00171</v>
      </c>
    </row>
    <row r="2150" spans="1:7">
      <c r="A2150" s="3"/>
      <c r="B2150" s="3"/>
      <c r="C2150" s="3"/>
      <c r="D2150" s="3"/>
      <c r="E2150" s="3">
        <v>7</v>
      </c>
      <c r="F2150" s="4" t="str">
        <f>HYPERLINK("http://141.218.60.56/~jnz1568/getInfo.php?workbook=13_02.xlsx&amp;sheet=U0&amp;row=2150&amp;col=6&amp;number=3.6&amp;sourceID=14","3.6")</f>
        <v>3.6</v>
      </c>
      <c r="G2150" s="4" t="str">
        <f>HYPERLINK("http://141.218.60.56/~jnz1568/getInfo.php?workbook=13_02.xlsx&amp;sheet=U0&amp;row=2150&amp;col=7&amp;number=0.00171&amp;sourceID=14","0.00171")</f>
        <v>0.00171</v>
      </c>
    </row>
    <row r="2151" spans="1:7">
      <c r="A2151" s="3"/>
      <c r="B2151" s="3"/>
      <c r="C2151" s="3"/>
      <c r="D2151" s="3"/>
      <c r="E2151" s="3">
        <v>8</v>
      </c>
      <c r="F2151" s="4" t="str">
        <f>HYPERLINK("http://141.218.60.56/~jnz1568/getInfo.php?workbook=13_02.xlsx&amp;sheet=U0&amp;row=2151&amp;col=6&amp;number=3.7&amp;sourceID=14","3.7")</f>
        <v>3.7</v>
      </c>
      <c r="G2151" s="4" t="str">
        <f>HYPERLINK("http://141.218.60.56/~jnz1568/getInfo.php?workbook=13_02.xlsx&amp;sheet=U0&amp;row=2151&amp;col=7&amp;number=0.00171&amp;sourceID=14","0.00171")</f>
        <v>0.00171</v>
      </c>
    </row>
    <row r="2152" spans="1:7">
      <c r="A2152" s="3"/>
      <c r="B2152" s="3"/>
      <c r="C2152" s="3"/>
      <c r="D2152" s="3"/>
      <c r="E2152" s="3">
        <v>9</v>
      </c>
      <c r="F2152" s="4" t="str">
        <f>HYPERLINK("http://141.218.60.56/~jnz1568/getInfo.php?workbook=13_02.xlsx&amp;sheet=U0&amp;row=2152&amp;col=6&amp;number=3.8&amp;sourceID=14","3.8")</f>
        <v>3.8</v>
      </c>
      <c r="G2152" s="4" t="str">
        <f>HYPERLINK("http://141.218.60.56/~jnz1568/getInfo.php?workbook=13_02.xlsx&amp;sheet=U0&amp;row=2152&amp;col=7&amp;number=0.00171&amp;sourceID=14","0.00171")</f>
        <v>0.00171</v>
      </c>
    </row>
    <row r="2153" spans="1:7">
      <c r="A2153" s="3"/>
      <c r="B2153" s="3"/>
      <c r="C2153" s="3"/>
      <c r="D2153" s="3"/>
      <c r="E2153" s="3">
        <v>10</v>
      </c>
      <c r="F2153" s="4" t="str">
        <f>HYPERLINK("http://141.218.60.56/~jnz1568/getInfo.php?workbook=13_02.xlsx&amp;sheet=U0&amp;row=2153&amp;col=6&amp;number=3.9&amp;sourceID=14","3.9")</f>
        <v>3.9</v>
      </c>
      <c r="G2153" s="4" t="str">
        <f>HYPERLINK("http://141.218.60.56/~jnz1568/getInfo.php?workbook=13_02.xlsx&amp;sheet=U0&amp;row=2153&amp;col=7&amp;number=0.00171&amp;sourceID=14","0.00171")</f>
        <v>0.00171</v>
      </c>
    </row>
    <row r="2154" spans="1:7">
      <c r="A2154" s="3"/>
      <c r="B2154" s="3"/>
      <c r="C2154" s="3"/>
      <c r="D2154" s="3"/>
      <c r="E2154" s="3">
        <v>11</v>
      </c>
      <c r="F2154" s="4" t="str">
        <f>HYPERLINK("http://141.218.60.56/~jnz1568/getInfo.php?workbook=13_02.xlsx&amp;sheet=U0&amp;row=2154&amp;col=6&amp;number=4&amp;sourceID=14","4")</f>
        <v>4</v>
      </c>
      <c r="G2154" s="4" t="str">
        <f>HYPERLINK("http://141.218.60.56/~jnz1568/getInfo.php?workbook=13_02.xlsx&amp;sheet=U0&amp;row=2154&amp;col=7&amp;number=0.00171&amp;sourceID=14","0.00171")</f>
        <v>0.00171</v>
      </c>
    </row>
    <row r="2155" spans="1:7">
      <c r="A2155" s="3"/>
      <c r="B2155" s="3"/>
      <c r="C2155" s="3"/>
      <c r="D2155" s="3"/>
      <c r="E2155" s="3">
        <v>12</v>
      </c>
      <c r="F2155" s="4" t="str">
        <f>HYPERLINK("http://141.218.60.56/~jnz1568/getInfo.php?workbook=13_02.xlsx&amp;sheet=U0&amp;row=2155&amp;col=6&amp;number=4.1&amp;sourceID=14","4.1")</f>
        <v>4.1</v>
      </c>
      <c r="G2155" s="4" t="str">
        <f>HYPERLINK("http://141.218.60.56/~jnz1568/getInfo.php?workbook=13_02.xlsx&amp;sheet=U0&amp;row=2155&amp;col=7&amp;number=0.00171&amp;sourceID=14","0.00171")</f>
        <v>0.00171</v>
      </c>
    </row>
    <row r="2156" spans="1:7">
      <c r="A2156" s="3"/>
      <c r="B2156" s="3"/>
      <c r="C2156" s="3"/>
      <c r="D2156" s="3"/>
      <c r="E2156" s="3">
        <v>13</v>
      </c>
      <c r="F2156" s="4" t="str">
        <f>HYPERLINK("http://141.218.60.56/~jnz1568/getInfo.php?workbook=13_02.xlsx&amp;sheet=U0&amp;row=2156&amp;col=6&amp;number=4.2&amp;sourceID=14","4.2")</f>
        <v>4.2</v>
      </c>
      <c r="G2156" s="4" t="str">
        <f>HYPERLINK("http://141.218.60.56/~jnz1568/getInfo.php?workbook=13_02.xlsx&amp;sheet=U0&amp;row=2156&amp;col=7&amp;number=0.00171&amp;sourceID=14","0.00171")</f>
        <v>0.00171</v>
      </c>
    </row>
    <row r="2157" spans="1:7">
      <c r="A2157" s="3"/>
      <c r="B2157" s="3"/>
      <c r="C2157" s="3"/>
      <c r="D2157" s="3"/>
      <c r="E2157" s="3">
        <v>14</v>
      </c>
      <c r="F2157" s="4" t="str">
        <f>HYPERLINK("http://141.218.60.56/~jnz1568/getInfo.php?workbook=13_02.xlsx&amp;sheet=U0&amp;row=2157&amp;col=6&amp;number=4.3&amp;sourceID=14","4.3")</f>
        <v>4.3</v>
      </c>
      <c r="G2157" s="4" t="str">
        <f>HYPERLINK("http://141.218.60.56/~jnz1568/getInfo.php?workbook=13_02.xlsx&amp;sheet=U0&amp;row=2157&amp;col=7&amp;number=0.00171&amp;sourceID=14","0.00171")</f>
        <v>0.00171</v>
      </c>
    </row>
    <row r="2158" spans="1:7">
      <c r="A2158" s="3"/>
      <c r="B2158" s="3"/>
      <c r="C2158" s="3"/>
      <c r="D2158" s="3"/>
      <c r="E2158" s="3">
        <v>15</v>
      </c>
      <c r="F2158" s="4" t="str">
        <f>HYPERLINK("http://141.218.60.56/~jnz1568/getInfo.php?workbook=13_02.xlsx&amp;sheet=U0&amp;row=2158&amp;col=6&amp;number=4.4&amp;sourceID=14","4.4")</f>
        <v>4.4</v>
      </c>
      <c r="G2158" s="4" t="str">
        <f>HYPERLINK("http://141.218.60.56/~jnz1568/getInfo.php?workbook=13_02.xlsx&amp;sheet=U0&amp;row=2158&amp;col=7&amp;number=0.00171&amp;sourceID=14","0.00171")</f>
        <v>0.00171</v>
      </c>
    </row>
    <row r="2159" spans="1:7">
      <c r="A2159" s="3"/>
      <c r="B2159" s="3"/>
      <c r="C2159" s="3"/>
      <c r="D2159" s="3"/>
      <c r="E2159" s="3">
        <v>16</v>
      </c>
      <c r="F2159" s="4" t="str">
        <f>HYPERLINK("http://141.218.60.56/~jnz1568/getInfo.php?workbook=13_02.xlsx&amp;sheet=U0&amp;row=2159&amp;col=6&amp;number=4.5&amp;sourceID=14","4.5")</f>
        <v>4.5</v>
      </c>
      <c r="G2159" s="4" t="str">
        <f>HYPERLINK("http://141.218.60.56/~jnz1568/getInfo.php?workbook=13_02.xlsx&amp;sheet=U0&amp;row=2159&amp;col=7&amp;number=0.0017&amp;sourceID=14","0.0017")</f>
        <v>0.0017</v>
      </c>
    </row>
    <row r="2160" spans="1:7">
      <c r="A2160" s="3"/>
      <c r="B2160" s="3"/>
      <c r="C2160" s="3"/>
      <c r="D2160" s="3"/>
      <c r="E2160" s="3">
        <v>17</v>
      </c>
      <c r="F2160" s="4" t="str">
        <f>HYPERLINK("http://141.218.60.56/~jnz1568/getInfo.php?workbook=13_02.xlsx&amp;sheet=U0&amp;row=2160&amp;col=6&amp;number=4.6&amp;sourceID=14","4.6")</f>
        <v>4.6</v>
      </c>
      <c r="G2160" s="4" t="str">
        <f>HYPERLINK("http://141.218.60.56/~jnz1568/getInfo.php?workbook=13_02.xlsx&amp;sheet=U0&amp;row=2160&amp;col=7&amp;number=0.0017&amp;sourceID=14","0.0017")</f>
        <v>0.0017</v>
      </c>
    </row>
    <row r="2161" spans="1:7">
      <c r="A2161" s="3"/>
      <c r="B2161" s="3"/>
      <c r="C2161" s="3"/>
      <c r="D2161" s="3"/>
      <c r="E2161" s="3">
        <v>18</v>
      </c>
      <c r="F2161" s="4" t="str">
        <f>HYPERLINK("http://141.218.60.56/~jnz1568/getInfo.php?workbook=13_02.xlsx&amp;sheet=U0&amp;row=2161&amp;col=6&amp;number=4.7&amp;sourceID=14","4.7")</f>
        <v>4.7</v>
      </c>
      <c r="G2161" s="4" t="str">
        <f>HYPERLINK("http://141.218.60.56/~jnz1568/getInfo.php?workbook=13_02.xlsx&amp;sheet=U0&amp;row=2161&amp;col=7&amp;number=0.0017&amp;sourceID=14","0.0017")</f>
        <v>0.0017</v>
      </c>
    </row>
    <row r="2162" spans="1:7">
      <c r="A2162" s="3"/>
      <c r="B2162" s="3"/>
      <c r="C2162" s="3"/>
      <c r="D2162" s="3"/>
      <c r="E2162" s="3">
        <v>19</v>
      </c>
      <c r="F2162" s="4" t="str">
        <f>HYPERLINK("http://141.218.60.56/~jnz1568/getInfo.php?workbook=13_02.xlsx&amp;sheet=U0&amp;row=2162&amp;col=6&amp;number=4.8&amp;sourceID=14","4.8")</f>
        <v>4.8</v>
      </c>
      <c r="G2162" s="4" t="str">
        <f>HYPERLINK("http://141.218.60.56/~jnz1568/getInfo.php?workbook=13_02.xlsx&amp;sheet=U0&amp;row=2162&amp;col=7&amp;number=0.0017&amp;sourceID=14","0.0017")</f>
        <v>0.0017</v>
      </c>
    </row>
    <row r="2163" spans="1:7">
      <c r="A2163" s="3"/>
      <c r="B2163" s="3"/>
      <c r="C2163" s="3"/>
      <c r="D2163" s="3"/>
      <c r="E2163" s="3">
        <v>20</v>
      </c>
      <c r="F2163" s="4" t="str">
        <f>HYPERLINK("http://141.218.60.56/~jnz1568/getInfo.php?workbook=13_02.xlsx&amp;sheet=U0&amp;row=2163&amp;col=6&amp;number=4.9&amp;sourceID=14","4.9")</f>
        <v>4.9</v>
      </c>
      <c r="G2163" s="4" t="str">
        <f>HYPERLINK("http://141.218.60.56/~jnz1568/getInfo.php?workbook=13_02.xlsx&amp;sheet=U0&amp;row=2163&amp;col=7&amp;number=0.0017&amp;sourceID=14","0.0017")</f>
        <v>0.0017</v>
      </c>
    </row>
    <row r="2164" spans="1:7">
      <c r="A2164" s="3">
        <v>13</v>
      </c>
      <c r="B2164" s="3">
        <v>2</v>
      </c>
      <c r="C2164" s="3" t="s">
        <v>89</v>
      </c>
      <c r="D2164" s="3">
        <v>6</v>
      </c>
      <c r="E2164" s="3">
        <v>1</v>
      </c>
      <c r="F2164" s="4" t="str">
        <f>HYPERLINK("http://141.218.60.56/~jnz1568/getInfo.php?workbook=13_02.xlsx&amp;sheet=U0&amp;row=2164&amp;col=6&amp;number=3&amp;sourceID=14","3")</f>
        <v>3</v>
      </c>
      <c r="G2164" s="4" t="str">
        <f>HYPERLINK("http://141.218.60.56/~jnz1568/getInfo.php?workbook=13_02.xlsx&amp;sheet=U0&amp;row=2164&amp;col=7&amp;number=0.00216&amp;sourceID=14","0.00216")</f>
        <v>0.00216</v>
      </c>
    </row>
    <row r="2165" spans="1:7">
      <c r="A2165" s="3"/>
      <c r="B2165" s="3"/>
      <c r="C2165" s="3"/>
      <c r="D2165" s="3"/>
      <c r="E2165" s="3">
        <v>2</v>
      </c>
      <c r="F2165" s="4" t="str">
        <f>HYPERLINK("http://141.218.60.56/~jnz1568/getInfo.php?workbook=13_02.xlsx&amp;sheet=U0&amp;row=2165&amp;col=6&amp;number=3.1&amp;sourceID=14","3.1")</f>
        <v>3.1</v>
      </c>
      <c r="G2165" s="4" t="str">
        <f>HYPERLINK("http://141.218.60.56/~jnz1568/getInfo.php?workbook=13_02.xlsx&amp;sheet=U0&amp;row=2165&amp;col=7&amp;number=0.00216&amp;sourceID=14","0.00216")</f>
        <v>0.00216</v>
      </c>
    </row>
    <row r="2166" spans="1:7">
      <c r="A2166" s="3"/>
      <c r="B2166" s="3"/>
      <c r="C2166" s="3"/>
      <c r="D2166" s="3"/>
      <c r="E2166" s="3">
        <v>3</v>
      </c>
      <c r="F2166" s="4" t="str">
        <f>HYPERLINK("http://141.218.60.56/~jnz1568/getInfo.php?workbook=13_02.xlsx&amp;sheet=U0&amp;row=2166&amp;col=6&amp;number=3.2&amp;sourceID=14","3.2")</f>
        <v>3.2</v>
      </c>
      <c r="G2166" s="4" t="str">
        <f>HYPERLINK("http://141.218.60.56/~jnz1568/getInfo.php?workbook=13_02.xlsx&amp;sheet=U0&amp;row=2166&amp;col=7&amp;number=0.00216&amp;sourceID=14","0.00216")</f>
        <v>0.00216</v>
      </c>
    </row>
    <row r="2167" spans="1:7">
      <c r="A2167" s="3"/>
      <c r="B2167" s="3"/>
      <c r="C2167" s="3"/>
      <c r="D2167" s="3"/>
      <c r="E2167" s="3">
        <v>4</v>
      </c>
      <c r="F2167" s="4" t="str">
        <f>HYPERLINK("http://141.218.60.56/~jnz1568/getInfo.php?workbook=13_02.xlsx&amp;sheet=U0&amp;row=2167&amp;col=6&amp;number=3.3&amp;sourceID=14","3.3")</f>
        <v>3.3</v>
      </c>
      <c r="G2167" s="4" t="str">
        <f>HYPERLINK("http://141.218.60.56/~jnz1568/getInfo.php?workbook=13_02.xlsx&amp;sheet=U0&amp;row=2167&amp;col=7&amp;number=0.00216&amp;sourceID=14","0.00216")</f>
        <v>0.00216</v>
      </c>
    </row>
    <row r="2168" spans="1:7">
      <c r="A2168" s="3"/>
      <c r="B2168" s="3"/>
      <c r="C2168" s="3"/>
      <c r="D2168" s="3"/>
      <c r="E2168" s="3">
        <v>5</v>
      </c>
      <c r="F2168" s="4" t="str">
        <f>HYPERLINK("http://141.218.60.56/~jnz1568/getInfo.php?workbook=13_02.xlsx&amp;sheet=U0&amp;row=2168&amp;col=6&amp;number=3.4&amp;sourceID=14","3.4")</f>
        <v>3.4</v>
      </c>
      <c r="G2168" s="4" t="str">
        <f>HYPERLINK("http://141.218.60.56/~jnz1568/getInfo.php?workbook=13_02.xlsx&amp;sheet=U0&amp;row=2168&amp;col=7&amp;number=0.00216&amp;sourceID=14","0.00216")</f>
        <v>0.00216</v>
      </c>
    </row>
    <row r="2169" spans="1:7">
      <c r="A2169" s="3"/>
      <c r="B2169" s="3"/>
      <c r="C2169" s="3"/>
      <c r="D2169" s="3"/>
      <c r="E2169" s="3">
        <v>6</v>
      </c>
      <c r="F2169" s="4" t="str">
        <f>HYPERLINK("http://141.218.60.56/~jnz1568/getInfo.php?workbook=13_02.xlsx&amp;sheet=U0&amp;row=2169&amp;col=6&amp;number=3.5&amp;sourceID=14","3.5")</f>
        <v>3.5</v>
      </c>
      <c r="G2169" s="4" t="str">
        <f>HYPERLINK("http://141.218.60.56/~jnz1568/getInfo.php?workbook=13_02.xlsx&amp;sheet=U0&amp;row=2169&amp;col=7&amp;number=0.00216&amp;sourceID=14","0.00216")</f>
        <v>0.00216</v>
      </c>
    </row>
    <row r="2170" spans="1:7">
      <c r="A2170" s="3"/>
      <c r="B2170" s="3"/>
      <c r="C2170" s="3"/>
      <c r="D2170" s="3"/>
      <c r="E2170" s="3">
        <v>7</v>
      </c>
      <c r="F2170" s="4" t="str">
        <f>HYPERLINK("http://141.218.60.56/~jnz1568/getInfo.php?workbook=13_02.xlsx&amp;sheet=U0&amp;row=2170&amp;col=6&amp;number=3.6&amp;sourceID=14","3.6")</f>
        <v>3.6</v>
      </c>
      <c r="G2170" s="4" t="str">
        <f>HYPERLINK("http://141.218.60.56/~jnz1568/getInfo.php?workbook=13_02.xlsx&amp;sheet=U0&amp;row=2170&amp;col=7&amp;number=0.00216&amp;sourceID=14","0.00216")</f>
        <v>0.00216</v>
      </c>
    </row>
    <row r="2171" spans="1:7">
      <c r="A2171" s="3"/>
      <c r="B2171" s="3"/>
      <c r="C2171" s="3"/>
      <c r="D2171" s="3"/>
      <c r="E2171" s="3">
        <v>8</v>
      </c>
      <c r="F2171" s="4" t="str">
        <f>HYPERLINK("http://141.218.60.56/~jnz1568/getInfo.php?workbook=13_02.xlsx&amp;sheet=U0&amp;row=2171&amp;col=6&amp;number=3.7&amp;sourceID=14","3.7")</f>
        <v>3.7</v>
      </c>
      <c r="G2171" s="4" t="str">
        <f>HYPERLINK("http://141.218.60.56/~jnz1568/getInfo.php?workbook=13_02.xlsx&amp;sheet=U0&amp;row=2171&amp;col=7&amp;number=0.00215&amp;sourceID=14","0.00215")</f>
        <v>0.00215</v>
      </c>
    </row>
    <row r="2172" spans="1:7">
      <c r="A2172" s="3"/>
      <c r="B2172" s="3"/>
      <c r="C2172" s="3"/>
      <c r="D2172" s="3"/>
      <c r="E2172" s="3">
        <v>9</v>
      </c>
      <c r="F2172" s="4" t="str">
        <f>HYPERLINK("http://141.218.60.56/~jnz1568/getInfo.php?workbook=13_02.xlsx&amp;sheet=U0&amp;row=2172&amp;col=6&amp;number=3.8&amp;sourceID=14","3.8")</f>
        <v>3.8</v>
      </c>
      <c r="G2172" s="4" t="str">
        <f>HYPERLINK("http://141.218.60.56/~jnz1568/getInfo.php?workbook=13_02.xlsx&amp;sheet=U0&amp;row=2172&amp;col=7&amp;number=0.00215&amp;sourceID=14","0.00215")</f>
        <v>0.00215</v>
      </c>
    </row>
    <row r="2173" spans="1:7">
      <c r="A2173" s="3"/>
      <c r="B2173" s="3"/>
      <c r="C2173" s="3"/>
      <c r="D2173" s="3"/>
      <c r="E2173" s="3">
        <v>10</v>
      </c>
      <c r="F2173" s="4" t="str">
        <f>HYPERLINK("http://141.218.60.56/~jnz1568/getInfo.php?workbook=13_02.xlsx&amp;sheet=U0&amp;row=2173&amp;col=6&amp;number=3.9&amp;sourceID=14","3.9")</f>
        <v>3.9</v>
      </c>
      <c r="G2173" s="4" t="str">
        <f>HYPERLINK("http://141.218.60.56/~jnz1568/getInfo.php?workbook=13_02.xlsx&amp;sheet=U0&amp;row=2173&amp;col=7&amp;number=0.00215&amp;sourceID=14","0.00215")</f>
        <v>0.00215</v>
      </c>
    </row>
    <row r="2174" spans="1:7">
      <c r="A2174" s="3"/>
      <c r="B2174" s="3"/>
      <c r="C2174" s="3"/>
      <c r="D2174" s="3"/>
      <c r="E2174" s="3">
        <v>11</v>
      </c>
      <c r="F2174" s="4" t="str">
        <f>HYPERLINK("http://141.218.60.56/~jnz1568/getInfo.php?workbook=13_02.xlsx&amp;sheet=U0&amp;row=2174&amp;col=6&amp;number=4&amp;sourceID=14","4")</f>
        <v>4</v>
      </c>
      <c r="G2174" s="4" t="str">
        <f>HYPERLINK("http://141.218.60.56/~jnz1568/getInfo.php?workbook=13_02.xlsx&amp;sheet=U0&amp;row=2174&amp;col=7&amp;number=0.00215&amp;sourceID=14","0.00215")</f>
        <v>0.00215</v>
      </c>
    </row>
    <row r="2175" spans="1:7">
      <c r="A2175" s="3"/>
      <c r="B2175" s="3"/>
      <c r="C2175" s="3"/>
      <c r="D2175" s="3"/>
      <c r="E2175" s="3">
        <v>12</v>
      </c>
      <c r="F2175" s="4" t="str">
        <f>HYPERLINK("http://141.218.60.56/~jnz1568/getInfo.php?workbook=13_02.xlsx&amp;sheet=U0&amp;row=2175&amp;col=6&amp;number=4.1&amp;sourceID=14","4.1")</f>
        <v>4.1</v>
      </c>
      <c r="G2175" s="4" t="str">
        <f>HYPERLINK("http://141.218.60.56/~jnz1568/getInfo.php?workbook=13_02.xlsx&amp;sheet=U0&amp;row=2175&amp;col=7&amp;number=0.00215&amp;sourceID=14","0.00215")</f>
        <v>0.00215</v>
      </c>
    </row>
    <row r="2176" spans="1:7">
      <c r="A2176" s="3"/>
      <c r="B2176" s="3"/>
      <c r="C2176" s="3"/>
      <c r="D2176" s="3"/>
      <c r="E2176" s="3">
        <v>13</v>
      </c>
      <c r="F2176" s="4" t="str">
        <f>HYPERLINK("http://141.218.60.56/~jnz1568/getInfo.php?workbook=13_02.xlsx&amp;sheet=U0&amp;row=2176&amp;col=6&amp;number=4.2&amp;sourceID=14","4.2")</f>
        <v>4.2</v>
      </c>
      <c r="G2176" s="4" t="str">
        <f>HYPERLINK("http://141.218.60.56/~jnz1568/getInfo.php?workbook=13_02.xlsx&amp;sheet=U0&amp;row=2176&amp;col=7&amp;number=0.00215&amp;sourceID=14","0.00215")</f>
        <v>0.00215</v>
      </c>
    </row>
    <row r="2177" spans="1:7">
      <c r="A2177" s="3"/>
      <c r="B2177" s="3"/>
      <c r="C2177" s="3"/>
      <c r="D2177" s="3"/>
      <c r="E2177" s="3">
        <v>14</v>
      </c>
      <c r="F2177" s="4" t="str">
        <f>HYPERLINK("http://141.218.60.56/~jnz1568/getInfo.php?workbook=13_02.xlsx&amp;sheet=U0&amp;row=2177&amp;col=6&amp;number=4.3&amp;sourceID=14","4.3")</f>
        <v>4.3</v>
      </c>
      <c r="G2177" s="4" t="str">
        <f>HYPERLINK("http://141.218.60.56/~jnz1568/getInfo.php?workbook=13_02.xlsx&amp;sheet=U0&amp;row=2177&amp;col=7&amp;number=0.00215&amp;sourceID=14","0.00215")</f>
        <v>0.00215</v>
      </c>
    </row>
    <row r="2178" spans="1:7">
      <c r="A2178" s="3"/>
      <c r="B2178" s="3"/>
      <c r="C2178" s="3"/>
      <c r="D2178" s="3"/>
      <c r="E2178" s="3">
        <v>15</v>
      </c>
      <c r="F2178" s="4" t="str">
        <f>HYPERLINK("http://141.218.60.56/~jnz1568/getInfo.php?workbook=13_02.xlsx&amp;sheet=U0&amp;row=2178&amp;col=6&amp;number=4.4&amp;sourceID=14","4.4")</f>
        <v>4.4</v>
      </c>
      <c r="G2178" s="4" t="str">
        <f>HYPERLINK("http://141.218.60.56/~jnz1568/getInfo.php?workbook=13_02.xlsx&amp;sheet=U0&amp;row=2178&amp;col=7&amp;number=0.00214&amp;sourceID=14","0.00214")</f>
        <v>0.00214</v>
      </c>
    </row>
    <row r="2179" spans="1:7">
      <c r="A2179" s="3"/>
      <c r="B2179" s="3"/>
      <c r="C2179" s="3"/>
      <c r="D2179" s="3"/>
      <c r="E2179" s="3">
        <v>16</v>
      </c>
      <c r="F2179" s="4" t="str">
        <f>HYPERLINK("http://141.218.60.56/~jnz1568/getInfo.php?workbook=13_02.xlsx&amp;sheet=U0&amp;row=2179&amp;col=6&amp;number=4.5&amp;sourceID=14","4.5")</f>
        <v>4.5</v>
      </c>
      <c r="G2179" s="4" t="str">
        <f>HYPERLINK("http://141.218.60.56/~jnz1568/getInfo.php?workbook=13_02.xlsx&amp;sheet=U0&amp;row=2179&amp;col=7&amp;number=0.00214&amp;sourceID=14","0.00214")</f>
        <v>0.00214</v>
      </c>
    </row>
    <row r="2180" spans="1:7">
      <c r="A2180" s="3"/>
      <c r="B2180" s="3"/>
      <c r="C2180" s="3"/>
      <c r="D2180" s="3"/>
      <c r="E2180" s="3">
        <v>17</v>
      </c>
      <c r="F2180" s="4" t="str">
        <f>HYPERLINK("http://141.218.60.56/~jnz1568/getInfo.php?workbook=13_02.xlsx&amp;sheet=U0&amp;row=2180&amp;col=6&amp;number=4.6&amp;sourceID=14","4.6")</f>
        <v>4.6</v>
      </c>
      <c r="G2180" s="4" t="str">
        <f>HYPERLINK("http://141.218.60.56/~jnz1568/getInfo.php?workbook=13_02.xlsx&amp;sheet=U0&amp;row=2180&amp;col=7&amp;number=0.00214&amp;sourceID=14","0.00214")</f>
        <v>0.00214</v>
      </c>
    </row>
    <row r="2181" spans="1:7">
      <c r="A2181" s="3"/>
      <c r="B2181" s="3"/>
      <c r="C2181" s="3"/>
      <c r="D2181" s="3"/>
      <c r="E2181" s="3">
        <v>18</v>
      </c>
      <c r="F2181" s="4" t="str">
        <f>HYPERLINK("http://141.218.60.56/~jnz1568/getInfo.php?workbook=13_02.xlsx&amp;sheet=U0&amp;row=2181&amp;col=6&amp;number=4.7&amp;sourceID=14","4.7")</f>
        <v>4.7</v>
      </c>
      <c r="G2181" s="4" t="str">
        <f>HYPERLINK("http://141.218.60.56/~jnz1568/getInfo.php?workbook=13_02.xlsx&amp;sheet=U0&amp;row=2181&amp;col=7&amp;number=0.00213&amp;sourceID=14","0.00213")</f>
        <v>0.00213</v>
      </c>
    </row>
    <row r="2182" spans="1:7">
      <c r="A2182" s="3"/>
      <c r="B2182" s="3"/>
      <c r="C2182" s="3"/>
      <c r="D2182" s="3"/>
      <c r="E2182" s="3">
        <v>19</v>
      </c>
      <c r="F2182" s="4" t="str">
        <f>HYPERLINK("http://141.218.60.56/~jnz1568/getInfo.php?workbook=13_02.xlsx&amp;sheet=U0&amp;row=2182&amp;col=6&amp;number=4.8&amp;sourceID=14","4.8")</f>
        <v>4.8</v>
      </c>
      <c r="G2182" s="4" t="str">
        <f>HYPERLINK("http://141.218.60.56/~jnz1568/getInfo.php?workbook=13_02.xlsx&amp;sheet=U0&amp;row=2182&amp;col=7&amp;number=0.00213&amp;sourceID=14","0.00213")</f>
        <v>0.00213</v>
      </c>
    </row>
    <row r="2183" spans="1:7">
      <c r="A2183" s="3"/>
      <c r="B2183" s="3"/>
      <c r="C2183" s="3"/>
      <c r="D2183" s="3"/>
      <c r="E2183" s="3">
        <v>20</v>
      </c>
      <c r="F2183" s="4" t="str">
        <f>HYPERLINK("http://141.218.60.56/~jnz1568/getInfo.php?workbook=13_02.xlsx&amp;sheet=U0&amp;row=2183&amp;col=6&amp;number=4.9&amp;sourceID=14","4.9")</f>
        <v>4.9</v>
      </c>
      <c r="G2183" s="4" t="str">
        <f>HYPERLINK("http://141.218.60.56/~jnz1568/getInfo.php?workbook=13_02.xlsx&amp;sheet=U0&amp;row=2183&amp;col=7&amp;number=0.00212&amp;sourceID=14","0.00212")</f>
        <v>0.00212</v>
      </c>
    </row>
    <row r="2184" spans="1:7">
      <c r="A2184" s="3">
        <v>13</v>
      </c>
      <c r="B2184" s="3">
        <v>2</v>
      </c>
      <c r="C2184" s="3" t="s">
        <v>89</v>
      </c>
      <c r="D2184" s="3">
        <v>7</v>
      </c>
      <c r="E2184" s="3">
        <v>1</v>
      </c>
      <c r="F2184" s="4" t="str">
        <f>HYPERLINK("http://141.218.60.56/~jnz1568/getInfo.php?workbook=13_02.xlsx&amp;sheet=U0&amp;row=2184&amp;col=6&amp;number=3&amp;sourceID=14","3")</f>
        <v>3</v>
      </c>
      <c r="G2184" s="4" t="str">
        <f>HYPERLINK("http://141.218.60.56/~jnz1568/getInfo.php?workbook=13_02.xlsx&amp;sheet=U0&amp;row=2184&amp;col=7&amp;number=0.00578&amp;sourceID=14","0.00578")</f>
        <v>0.00578</v>
      </c>
    </row>
    <row r="2185" spans="1:7">
      <c r="A2185" s="3"/>
      <c r="B2185" s="3"/>
      <c r="C2185" s="3"/>
      <c r="D2185" s="3"/>
      <c r="E2185" s="3">
        <v>2</v>
      </c>
      <c r="F2185" s="4" t="str">
        <f>HYPERLINK("http://141.218.60.56/~jnz1568/getInfo.php?workbook=13_02.xlsx&amp;sheet=U0&amp;row=2185&amp;col=6&amp;number=3.1&amp;sourceID=14","3.1")</f>
        <v>3.1</v>
      </c>
      <c r="G2185" s="4" t="str">
        <f>HYPERLINK("http://141.218.60.56/~jnz1568/getInfo.php?workbook=13_02.xlsx&amp;sheet=U0&amp;row=2185&amp;col=7&amp;number=0.00578&amp;sourceID=14","0.00578")</f>
        <v>0.00578</v>
      </c>
    </row>
    <row r="2186" spans="1:7">
      <c r="A2186" s="3"/>
      <c r="B2186" s="3"/>
      <c r="C2186" s="3"/>
      <c r="D2186" s="3"/>
      <c r="E2186" s="3">
        <v>3</v>
      </c>
      <c r="F2186" s="4" t="str">
        <f>HYPERLINK("http://141.218.60.56/~jnz1568/getInfo.php?workbook=13_02.xlsx&amp;sheet=U0&amp;row=2186&amp;col=6&amp;number=3.2&amp;sourceID=14","3.2")</f>
        <v>3.2</v>
      </c>
      <c r="G2186" s="4" t="str">
        <f>HYPERLINK("http://141.218.60.56/~jnz1568/getInfo.php?workbook=13_02.xlsx&amp;sheet=U0&amp;row=2186&amp;col=7&amp;number=0.00578&amp;sourceID=14","0.00578")</f>
        <v>0.00578</v>
      </c>
    </row>
    <row r="2187" spans="1:7">
      <c r="A2187" s="3"/>
      <c r="B2187" s="3"/>
      <c r="C2187" s="3"/>
      <c r="D2187" s="3"/>
      <c r="E2187" s="3">
        <v>4</v>
      </c>
      <c r="F2187" s="4" t="str">
        <f>HYPERLINK("http://141.218.60.56/~jnz1568/getInfo.php?workbook=13_02.xlsx&amp;sheet=U0&amp;row=2187&amp;col=6&amp;number=3.3&amp;sourceID=14","3.3")</f>
        <v>3.3</v>
      </c>
      <c r="G2187" s="4" t="str">
        <f>HYPERLINK("http://141.218.60.56/~jnz1568/getInfo.php?workbook=13_02.xlsx&amp;sheet=U0&amp;row=2187&amp;col=7&amp;number=0.00578&amp;sourceID=14","0.00578")</f>
        <v>0.00578</v>
      </c>
    </row>
    <row r="2188" spans="1:7">
      <c r="A2188" s="3"/>
      <c r="B2188" s="3"/>
      <c r="C2188" s="3"/>
      <c r="D2188" s="3"/>
      <c r="E2188" s="3">
        <v>5</v>
      </c>
      <c r="F2188" s="4" t="str">
        <f>HYPERLINK("http://141.218.60.56/~jnz1568/getInfo.php?workbook=13_02.xlsx&amp;sheet=U0&amp;row=2188&amp;col=6&amp;number=3.4&amp;sourceID=14","3.4")</f>
        <v>3.4</v>
      </c>
      <c r="G2188" s="4" t="str">
        <f>HYPERLINK("http://141.218.60.56/~jnz1568/getInfo.php?workbook=13_02.xlsx&amp;sheet=U0&amp;row=2188&amp;col=7&amp;number=0.00578&amp;sourceID=14","0.00578")</f>
        <v>0.00578</v>
      </c>
    </row>
    <row r="2189" spans="1:7">
      <c r="A2189" s="3"/>
      <c r="B2189" s="3"/>
      <c r="C2189" s="3"/>
      <c r="D2189" s="3"/>
      <c r="E2189" s="3">
        <v>6</v>
      </c>
      <c r="F2189" s="4" t="str">
        <f>HYPERLINK("http://141.218.60.56/~jnz1568/getInfo.php?workbook=13_02.xlsx&amp;sheet=U0&amp;row=2189&amp;col=6&amp;number=3.5&amp;sourceID=14","3.5")</f>
        <v>3.5</v>
      </c>
      <c r="G2189" s="4" t="str">
        <f>HYPERLINK("http://141.218.60.56/~jnz1568/getInfo.php?workbook=13_02.xlsx&amp;sheet=U0&amp;row=2189&amp;col=7&amp;number=0.00578&amp;sourceID=14","0.00578")</f>
        <v>0.00578</v>
      </c>
    </row>
    <row r="2190" spans="1:7">
      <c r="A2190" s="3"/>
      <c r="B2190" s="3"/>
      <c r="C2190" s="3"/>
      <c r="D2190" s="3"/>
      <c r="E2190" s="3">
        <v>7</v>
      </c>
      <c r="F2190" s="4" t="str">
        <f>HYPERLINK("http://141.218.60.56/~jnz1568/getInfo.php?workbook=13_02.xlsx&amp;sheet=U0&amp;row=2190&amp;col=6&amp;number=3.6&amp;sourceID=14","3.6")</f>
        <v>3.6</v>
      </c>
      <c r="G2190" s="4" t="str">
        <f>HYPERLINK("http://141.218.60.56/~jnz1568/getInfo.php?workbook=13_02.xlsx&amp;sheet=U0&amp;row=2190&amp;col=7&amp;number=0.00578&amp;sourceID=14","0.00578")</f>
        <v>0.00578</v>
      </c>
    </row>
    <row r="2191" spans="1:7">
      <c r="A2191" s="3"/>
      <c r="B2191" s="3"/>
      <c r="C2191" s="3"/>
      <c r="D2191" s="3"/>
      <c r="E2191" s="3">
        <v>8</v>
      </c>
      <c r="F2191" s="4" t="str">
        <f>HYPERLINK("http://141.218.60.56/~jnz1568/getInfo.php?workbook=13_02.xlsx&amp;sheet=U0&amp;row=2191&amp;col=6&amp;number=3.7&amp;sourceID=14","3.7")</f>
        <v>3.7</v>
      </c>
      <c r="G2191" s="4" t="str">
        <f>HYPERLINK("http://141.218.60.56/~jnz1568/getInfo.php?workbook=13_02.xlsx&amp;sheet=U0&amp;row=2191&amp;col=7&amp;number=0.00578&amp;sourceID=14","0.00578")</f>
        <v>0.00578</v>
      </c>
    </row>
    <row r="2192" spans="1:7">
      <c r="A2192" s="3"/>
      <c r="B2192" s="3"/>
      <c r="C2192" s="3"/>
      <c r="D2192" s="3"/>
      <c r="E2192" s="3">
        <v>9</v>
      </c>
      <c r="F2192" s="4" t="str">
        <f>HYPERLINK("http://141.218.60.56/~jnz1568/getInfo.php?workbook=13_02.xlsx&amp;sheet=U0&amp;row=2192&amp;col=6&amp;number=3.8&amp;sourceID=14","3.8")</f>
        <v>3.8</v>
      </c>
      <c r="G2192" s="4" t="str">
        <f>HYPERLINK("http://141.218.60.56/~jnz1568/getInfo.php?workbook=13_02.xlsx&amp;sheet=U0&amp;row=2192&amp;col=7&amp;number=0.00578&amp;sourceID=14","0.00578")</f>
        <v>0.00578</v>
      </c>
    </row>
    <row r="2193" spans="1:7">
      <c r="A2193" s="3"/>
      <c r="B2193" s="3"/>
      <c r="C2193" s="3"/>
      <c r="D2193" s="3"/>
      <c r="E2193" s="3">
        <v>10</v>
      </c>
      <c r="F2193" s="4" t="str">
        <f>HYPERLINK("http://141.218.60.56/~jnz1568/getInfo.php?workbook=13_02.xlsx&amp;sheet=U0&amp;row=2193&amp;col=6&amp;number=3.9&amp;sourceID=14","3.9")</f>
        <v>3.9</v>
      </c>
      <c r="G2193" s="4" t="str">
        <f>HYPERLINK("http://141.218.60.56/~jnz1568/getInfo.php?workbook=13_02.xlsx&amp;sheet=U0&amp;row=2193&amp;col=7&amp;number=0.00579&amp;sourceID=14","0.00579")</f>
        <v>0.00579</v>
      </c>
    </row>
    <row r="2194" spans="1:7">
      <c r="A2194" s="3"/>
      <c r="B2194" s="3"/>
      <c r="C2194" s="3"/>
      <c r="D2194" s="3"/>
      <c r="E2194" s="3">
        <v>11</v>
      </c>
      <c r="F2194" s="4" t="str">
        <f>HYPERLINK("http://141.218.60.56/~jnz1568/getInfo.php?workbook=13_02.xlsx&amp;sheet=U0&amp;row=2194&amp;col=6&amp;number=4&amp;sourceID=14","4")</f>
        <v>4</v>
      </c>
      <c r="G2194" s="4" t="str">
        <f>HYPERLINK("http://141.218.60.56/~jnz1568/getInfo.php?workbook=13_02.xlsx&amp;sheet=U0&amp;row=2194&amp;col=7&amp;number=0.00579&amp;sourceID=14","0.00579")</f>
        <v>0.00579</v>
      </c>
    </row>
    <row r="2195" spans="1:7">
      <c r="A2195" s="3"/>
      <c r="B2195" s="3"/>
      <c r="C2195" s="3"/>
      <c r="D2195" s="3"/>
      <c r="E2195" s="3">
        <v>12</v>
      </c>
      <c r="F2195" s="4" t="str">
        <f>HYPERLINK("http://141.218.60.56/~jnz1568/getInfo.php?workbook=13_02.xlsx&amp;sheet=U0&amp;row=2195&amp;col=6&amp;number=4.1&amp;sourceID=14","4.1")</f>
        <v>4.1</v>
      </c>
      <c r="G2195" s="4" t="str">
        <f>HYPERLINK("http://141.218.60.56/~jnz1568/getInfo.php?workbook=13_02.xlsx&amp;sheet=U0&amp;row=2195&amp;col=7&amp;number=0.00579&amp;sourceID=14","0.00579")</f>
        <v>0.00579</v>
      </c>
    </row>
    <row r="2196" spans="1:7">
      <c r="A2196" s="3"/>
      <c r="B2196" s="3"/>
      <c r="C2196" s="3"/>
      <c r="D2196" s="3"/>
      <c r="E2196" s="3">
        <v>13</v>
      </c>
      <c r="F2196" s="4" t="str">
        <f>HYPERLINK("http://141.218.60.56/~jnz1568/getInfo.php?workbook=13_02.xlsx&amp;sheet=U0&amp;row=2196&amp;col=6&amp;number=4.2&amp;sourceID=14","4.2")</f>
        <v>4.2</v>
      </c>
      <c r="G2196" s="4" t="str">
        <f>HYPERLINK("http://141.218.60.56/~jnz1568/getInfo.php?workbook=13_02.xlsx&amp;sheet=U0&amp;row=2196&amp;col=7&amp;number=0.00579&amp;sourceID=14","0.00579")</f>
        <v>0.00579</v>
      </c>
    </row>
    <row r="2197" spans="1:7">
      <c r="A2197" s="3"/>
      <c r="B2197" s="3"/>
      <c r="C2197" s="3"/>
      <c r="D2197" s="3"/>
      <c r="E2197" s="3">
        <v>14</v>
      </c>
      <c r="F2197" s="4" t="str">
        <f>HYPERLINK("http://141.218.60.56/~jnz1568/getInfo.php?workbook=13_02.xlsx&amp;sheet=U0&amp;row=2197&amp;col=6&amp;number=4.3&amp;sourceID=14","4.3")</f>
        <v>4.3</v>
      </c>
      <c r="G2197" s="4" t="str">
        <f>HYPERLINK("http://141.218.60.56/~jnz1568/getInfo.php?workbook=13_02.xlsx&amp;sheet=U0&amp;row=2197&amp;col=7&amp;number=0.00579&amp;sourceID=14","0.00579")</f>
        <v>0.00579</v>
      </c>
    </row>
    <row r="2198" spans="1:7">
      <c r="A2198" s="3"/>
      <c r="B2198" s="3"/>
      <c r="C2198" s="3"/>
      <c r="D2198" s="3"/>
      <c r="E2198" s="3">
        <v>15</v>
      </c>
      <c r="F2198" s="4" t="str">
        <f>HYPERLINK("http://141.218.60.56/~jnz1568/getInfo.php?workbook=13_02.xlsx&amp;sheet=U0&amp;row=2198&amp;col=6&amp;number=4.4&amp;sourceID=14","4.4")</f>
        <v>4.4</v>
      </c>
      <c r="G2198" s="4" t="str">
        <f>HYPERLINK("http://141.218.60.56/~jnz1568/getInfo.php?workbook=13_02.xlsx&amp;sheet=U0&amp;row=2198&amp;col=7&amp;number=0.0058&amp;sourceID=14","0.0058")</f>
        <v>0.0058</v>
      </c>
    </row>
    <row r="2199" spans="1:7">
      <c r="A2199" s="3"/>
      <c r="B2199" s="3"/>
      <c r="C2199" s="3"/>
      <c r="D2199" s="3"/>
      <c r="E2199" s="3">
        <v>16</v>
      </c>
      <c r="F2199" s="4" t="str">
        <f>HYPERLINK("http://141.218.60.56/~jnz1568/getInfo.php?workbook=13_02.xlsx&amp;sheet=U0&amp;row=2199&amp;col=6&amp;number=4.5&amp;sourceID=14","4.5")</f>
        <v>4.5</v>
      </c>
      <c r="G2199" s="4" t="str">
        <f>HYPERLINK("http://141.218.60.56/~jnz1568/getInfo.php?workbook=13_02.xlsx&amp;sheet=U0&amp;row=2199&amp;col=7&amp;number=0.0058&amp;sourceID=14","0.0058")</f>
        <v>0.0058</v>
      </c>
    </row>
    <row r="2200" spans="1:7">
      <c r="A2200" s="3"/>
      <c r="B2200" s="3"/>
      <c r="C2200" s="3"/>
      <c r="D2200" s="3"/>
      <c r="E2200" s="3">
        <v>17</v>
      </c>
      <c r="F2200" s="4" t="str">
        <f>HYPERLINK("http://141.218.60.56/~jnz1568/getInfo.php?workbook=13_02.xlsx&amp;sheet=U0&amp;row=2200&amp;col=6&amp;number=4.6&amp;sourceID=14","4.6")</f>
        <v>4.6</v>
      </c>
      <c r="G2200" s="4" t="str">
        <f>HYPERLINK("http://141.218.60.56/~jnz1568/getInfo.php?workbook=13_02.xlsx&amp;sheet=U0&amp;row=2200&amp;col=7&amp;number=0.00581&amp;sourceID=14","0.00581")</f>
        <v>0.00581</v>
      </c>
    </row>
    <row r="2201" spans="1:7">
      <c r="A2201" s="3"/>
      <c r="B2201" s="3"/>
      <c r="C2201" s="3"/>
      <c r="D2201" s="3"/>
      <c r="E2201" s="3">
        <v>18</v>
      </c>
      <c r="F2201" s="4" t="str">
        <f>HYPERLINK("http://141.218.60.56/~jnz1568/getInfo.php?workbook=13_02.xlsx&amp;sheet=U0&amp;row=2201&amp;col=6&amp;number=4.7&amp;sourceID=14","4.7")</f>
        <v>4.7</v>
      </c>
      <c r="G2201" s="4" t="str">
        <f>HYPERLINK("http://141.218.60.56/~jnz1568/getInfo.php?workbook=13_02.xlsx&amp;sheet=U0&amp;row=2201&amp;col=7&amp;number=0.00581&amp;sourceID=14","0.00581")</f>
        <v>0.00581</v>
      </c>
    </row>
    <row r="2202" spans="1:7">
      <c r="A2202" s="3"/>
      <c r="B2202" s="3"/>
      <c r="C2202" s="3"/>
      <c r="D2202" s="3"/>
      <c r="E2202" s="3">
        <v>19</v>
      </c>
      <c r="F2202" s="4" t="str">
        <f>HYPERLINK("http://141.218.60.56/~jnz1568/getInfo.php?workbook=13_02.xlsx&amp;sheet=U0&amp;row=2202&amp;col=6&amp;number=4.8&amp;sourceID=14","4.8")</f>
        <v>4.8</v>
      </c>
      <c r="G2202" s="4" t="str">
        <f>HYPERLINK("http://141.218.60.56/~jnz1568/getInfo.php?workbook=13_02.xlsx&amp;sheet=U0&amp;row=2202&amp;col=7&amp;number=0.00582&amp;sourceID=14","0.00582")</f>
        <v>0.00582</v>
      </c>
    </row>
    <row r="2203" spans="1:7">
      <c r="A2203" s="3"/>
      <c r="B2203" s="3"/>
      <c r="C2203" s="3"/>
      <c r="D2203" s="3"/>
      <c r="E2203" s="3">
        <v>20</v>
      </c>
      <c r="F2203" s="4" t="str">
        <f>HYPERLINK("http://141.218.60.56/~jnz1568/getInfo.php?workbook=13_02.xlsx&amp;sheet=U0&amp;row=2203&amp;col=6&amp;number=4.9&amp;sourceID=14","4.9")</f>
        <v>4.9</v>
      </c>
      <c r="G2203" s="4" t="str">
        <f>HYPERLINK("http://141.218.60.56/~jnz1568/getInfo.php?workbook=13_02.xlsx&amp;sheet=U0&amp;row=2203&amp;col=7&amp;number=0.00583&amp;sourceID=14","0.00583")</f>
        <v>0.00583</v>
      </c>
    </row>
    <row r="2204" spans="1:7">
      <c r="A2204" s="3">
        <v>13</v>
      </c>
      <c r="B2204" s="3">
        <v>2</v>
      </c>
      <c r="C2204" s="3" t="s">
        <v>89</v>
      </c>
      <c r="D2204" s="3">
        <v>8</v>
      </c>
      <c r="E2204" s="3">
        <v>1</v>
      </c>
      <c r="F2204" s="4" t="str">
        <f>HYPERLINK("http://141.218.60.56/~jnz1568/getInfo.php?workbook=13_02.xlsx&amp;sheet=U0&amp;row=2204&amp;col=6&amp;number=3&amp;sourceID=14","3")</f>
        <v>3</v>
      </c>
      <c r="G2204" s="4" t="str">
        <f>HYPERLINK("http://141.218.60.56/~jnz1568/getInfo.php?workbook=13_02.xlsx&amp;sheet=U0&amp;row=2204&amp;col=7&amp;number=0.000824&amp;sourceID=14","0.000824")</f>
        <v>0.000824</v>
      </c>
    </row>
    <row r="2205" spans="1:7">
      <c r="A2205" s="3"/>
      <c r="B2205" s="3"/>
      <c r="C2205" s="3"/>
      <c r="D2205" s="3"/>
      <c r="E2205" s="3">
        <v>2</v>
      </c>
      <c r="F2205" s="4" t="str">
        <f>HYPERLINK("http://141.218.60.56/~jnz1568/getInfo.php?workbook=13_02.xlsx&amp;sheet=U0&amp;row=2205&amp;col=6&amp;number=3.1&amp;sourceID=14","3.1")</f>
        <v>3.1</v>
      </c>
      <c r="G2205" s="4" t="str">
        <f>HYPERLINK("http://141.218.60.56/~jnz1568/getInfo.php?workbook=13_02.xlsx&amp;sheet=U0&amp;row=2205&amp;col=7&amp;number=0.000824&amp;sourceID=14","0.000824")</f>
        <v>0.000824</v>
      </c>
    </row>
    <row r="2206" spans="1:7">
      <c r="A2206" s="3"/>
      <c r="B2206" s="3"/>
      <c r="C2206" s="3"/>
      <c r="D2206" s="3"/>
      <c r="E2206" s="3">
        <v>3</v>
      </c>
      <c r="F2206" s="4" t="str">
        <f>HYPERLINK("http://141.218.60.56/~jnz1568/getInfo.php?workbook=13_02.xlsx&amp;sheet=U0&amp;row=2206&amp;col=6&amp;number=3.2&amp;sourceID=14","3.2")</f>
        <v>3.2</v>
      </c>
      <c r="G2206" s="4" t="str">
        <f>HYPERLINK("http://141.218.60.56/~jnz1568/getInfo.php?workbook=13_02.xlsx&amp;sheet=U0&amp;row=2206&amp;col=7&amp;number=0.000823&amp;sourceID=14","0.000823")</f>
        <v>0.000823</v>
      </c>
    </row>
    <row r="2207" spans="1:7">
      <c r="A2207" s="3"/>
      <c r="B2207" s="3"/>
      <c r="C2207" s="3"/>
      <c r="D2207" s="3"/>
      <c r="E2207" s="3">
        <v>4</v>
      </c>
      <c r="F2207" s="4" t="str">
        <f>HYPERLINK("http://141.218.60.56/~jnz1568/getInfo.php?workbook=13_02.xlsx&amp;sheet=U0&amp;row=2207&amp;col=6&amp;number=3.3&amp;sourceID=14","3.3")</f>
        <v>3.3</v>
      </c>
      <c r="G2207" s="4" t="str">
        <f>HYPERLINK("http://141.218.60.56/~jnz1568/getInfo.php?workbook=13_02.xlsx&amp;sheet=U0&amp;row=2207&amp;col=7&amp;number=0.000823&amp;sourceID=14","0.000823")</f>
        <v>0.000823</v>
      </c>
    </row>
    <row r="2208" spans="1:7">
      <c r="A2208" s="3"/>
      <c r="B2208" s="3"/>
      <c r="C2208" s="3"/>
      <c r="D2208" s="3"/>
      <c r="E2208" s="3">
        <v>5</v>
      </c>
      <c r="F2208" s="4" t="str">
        <f>HYPERLINK("http://141.218.60.56/~jnz1568/getInfo.php?workbook=13_02.xlsx&amp;sheet=U0&amp;row=2208&amp;col=6&amp;number=3.4&amp;sourceID=14","3.4")</f>
        <v>3.4</v>
      </c>
      <c r="G2208" s="4" t="str">
        <f>HYPERLINK("http://141.218.60.56/~jnz1568/getInfo.php?workbook=13_02.xlsx&amp;sheet=U0&amp;row=2208&amp;col=7&amp;number=0.000823&amp;sourceID=14","0.000823")</f>
        <v>0.000823</v>
      </c>
    </row>
    <row r="2209" spans="1:7">
      <c r="A2209" s="3"/>
      <c r="B2209" s="3"/>
      <c r="C2209" s="3"/>
      <c r="D2209" s="3"/>
      <c r="E2209" s="3">
        <v>6</v>
      </c>
      <c r="F2209" s="4" t="str">
        <f>HYPERLINK("http://141.218.60.56/~jnz1568/getInfo.php?workbook=13_02.xlsx&amp;sheet=U0&amp;row=2209&amp;col=6&amp;number=3.5&amp;sourceID=14","3.5")</f>
        <v>3.5</v>
      </c>
      <c r="G2209" s="4" t="str">
        <f>HYPERLINK("http://141.218.60.56/~jnz1568/getInfo.php?workbook=13_02.xlsx&amp;sheet=U0&amp;row=2209&amp;col=7&amp;number=0.000823&amp;sourceID=14","0.000823")</f>
        <v>0.000823</v>
      </c>
    </row>
    <row r="2210" spans="1:7">
      <c r="A2210" s="3"/>
      <c r="B2210" s="3"/>
      <c r="C2210" s="3"/>
      <c r="D2210" s="3"/>
      <c r="E2210" s="3">
        <v>7</v>
      </c>
      <c r="F2210" s="4" t="str">
        <f>HYPERLINK("http://141.218.60.56/~jnz1568/getInfo.php?workbook=13_02.xlsx&amp;sheet=U0&amp;row=2210&amp;col=6&amp;number=3.6&amp;sourceID=14","3.6")</f>
        <v>3.6</v>
      </c>
      <c r="G2210" s="4" t="str">
        <f>HYPERLINK("http://141.218.60.56/~jnz1568/getInfo.php?workbook=13_02.xlsx&amp;sheet=U0&amp;row=2210&amp;col=7&amp;number=0.000823&amp;sourceID=14","0.000823")</f>
        <v>0.000823</v>
      </c>
    </row>
    <row r="2211" spans="1:7">
      <c r="A2211" s="3"/>
      <c r="B2211" s="3"/>
      <c r="C2211" s="3"/>
      <c r="D2211" s="3"/>
      <c r="E2211" s="3">
        <v>8</v>
      </c>
      <c r="F2211" s="4" t="str">
        <f>HYPERLINK("http://141.218.60.56/~jnz1568/getInfo.php?workbook=13_02.xlsx&amp;sheet=U0&amp;row=2211&amp;col=6&amp;number=3.7&amp;sourceID=14","3.7")</f>
        <v>3.7</v>
      </c>
      <c r="G2211" s="4" t="str">
        <f>HYPERLINK("http://141.218.60.56/~jnz1568/getInfo.php?workbook=13_02.xlsx&amp;sheet=U0&amp;row=2211&amp;col=7&amp;number=0.000823&amp;sourceID=14","0.000823")</f>
        <v>0.000823</v>
      </c>
    </row>
    <row r="2212" spans="1:7">
      <c r="A2212" s="3"/>
      <c r="B2212" s="3"/>
      <c r="C2212" s="3"/>
      <c r="D2212" s="3"/>
      <c r="E2212" s="3">
        <v>9</v>
      </c>
      <c r="F2212" s="4" t="str">
        <f>HYPERLINK("http://141.218.60.56/~jnz1568/getInfo.php?workbook=13_02.xlsx&amp;sheet=U0&amp;row=2212&amp;col=6&amp;number=3.8&amp;sourceID=14","3.8")</f>
        <v>3.8</v>
      </c>
      <c r="G2212" s="4" t="str">
        <f>HYPERLINK("http://141.218.60.56/~jnz1568/getInfo.php?workbook=13_02.xlsx&amp;sheet=U0&amp;row=2212&amp;col=7&amp;number=0.000822&amp;sourceID=14","0.000822")</f>
        <v>0.000822</v>
      </c>
    </row>
    <row r="2213" spans="1:7">
      <c r="A2213" s="3"/>
      <c r="B2213" s="3"/>
      <c r="C2213" s="3"/>
      <c r="D2213" s="3"/>
      <c r="E2213" s="3">
        <v>10</v>
      </c>
      <c r="F2213" s="4" t="str">
        <f>HYPERLINK("http://141.218.60.56/~jnz1568/getInfo.php?workbook=13_02.xlsx&amp;sheet=U0&amp;row=2213&amp;col=6&amp;number=3.9&amp;sourceID=14","3.9")</f>
        <v>3.9</v>
      </c>
      <c r="G2213" s="4" t="str">
        <f>HYPERLINK("http://141.218.60.56/~jnz1568/getInfo.php?workbook=13_02.xlsx&amp;sheet=U0&amp;row=2213&amp;col=7&amp;number=0.000822&amp;sourceID=14","0.000822")</f>
        <v>0.000822</v>
      </c>
    </row>
    <row r="2214" spans="1:7">
      <c r="A2214" s="3"/>
      <c r="B2214" s="3"/>
      <c r="C2214" s="3"/>
      <c r="D2214" s="3"/>
      <c r="E2214" s="3">
        <v>11</v>
      </c>
      <c r="F2214" s="4" t="str">
        <f>HYPERLINK("http://141.218.60.56/~jnz1568/getInfo.php?workbook=13_02.xlsx&amp;sheet=U0&amp;row=2214&amp;col=6&amp;number=4&amp;sourceID=14","4")</f>
        <v>4</v>
      </c>
      <c r="G2214" s="4" t="str">
        <f>HYPERLINK("http://141.218.60.56/~jnz1568/getInfo.php?workbook=13_02.xlsx&amp;sheet=U0&amp;row=2214&amp;col=7&amp;number=0.000822&amp;sourceID=14","0.000822")</f>
        <v>0.000822</v>
      </c>
    </row>
    <row r="2215" spans="1:7">
      <c r="A2215" s="3"/>
      <c r="B2215" s="3"/>
      <c r="C2215" s="3"/>
      <c r="D2215" s="3"/>
      <c r="E2215" s="3">
        <v>12</v>
      </c>
      <c r="F2215" s="4" t="str">
        <f>HYPERLINK("http://141.218.60.56/~jnz1568/getInfo.php?workbook=13_02.xlsx&amp;sheet=U0&amp;row=2215&amp;col=6&amp;number=4.1&amp;sourceID=14","4.1")</f>
        <v>4.1</v>
      </c>
      <c r="G2215" s="4" t="str">
        <f>HYPERLINK("http://141.218.60.56/~jnz1568/getInfo.php?workbook=13_02.xlsx&amp;sheet=U0&amp;row=2215&amp;col=7&amp;number=0.000821&amp;sourceID=14","0.000821")</f>
        <v>0.000821</v>
      </c>
    </row>
    <row r="2216" spans="1:7">
      <c r="A2216" s="3"/>
      <c r="B2216" s="3"/>
      <c r="C2216" s="3"/>
      <c r="D2216" s="3"/>
      <c r="E2216" s="3">
        <v>13</v>
      </c>
      <c r="F2216" s="4" t="str">
        <f>HYPERLINK("http://141.218.60.56/~jnz1568/getInfo.php?workbook=13_02.xlsx&amp;sheet=U0&amp;row=2216&amp;col=6&amp;number=4.2&amp;sourceID=14","4.2")</f>
        <v>4.2</v>
      </c>
      <c r="G2216" s="4" t="str">
        <f>HYPERLINK("http://141.218.60.56/~jnz1568/getInfo.php?workbook=13_02.xlsx&amp;sheet=U0&amp;row=2216&amp;col=7&amp;number=0.00082&amp;sourceID=14","0.00082")</f>
        <v>0.00082</v>
      </c>
    </row>
    <row r="2217" spans="1:7">
      <c r="A2217" s="3"/>
      <c r="B2217" s="3"/>
      <c r="C2217" s="3"/>
      <c r="D2217" s="3"/>
      <c r="E2217" s="3">
        <v>14</v>
      </c>
      <c r="F2217" s="4" t="str">
        <f>HYPERLINK("http://141.218.60.56/~jnz1568/getInfo.php?workbook=13_02.xlsx&amp;sheet=U0&amp;row=2217&amp;col=6&amp;number=4.3&amp;sourceID=14","4.3")</f>
        <v>4.3</v>
      </c>
      <c r="G2217" s="4" t="str">
        <f>HYPERLINK("http://141.218.60.56/~jnz1568/getInfo.php?workbook=13_02.xlsx&amp;sheet=U0&amp;row=2217&amp;col=7&amp;number=0.00082&amp;sourceID=14","0.00082")</f>
        <v>0.00082</v>
      </c>
    </row>
    <row r="2218" spans="1:7">
      <c r="A2218" s="3"/>
      <c r="B2218" s="3"/>
      <c r="C2218" s="3"/>
      <c r="D2218" s="3"/>
      <c r="E2218" s="3">
        <v>15</v>
      </c>
      <c r="F2218" s="4" t="str">
        <f>HYPERLINK("http://141.218.60.56/~jnz1568/getInfo.php?workbook=13_02.xlsx&amp;sheet=U0&amp;row=2218&amp;col=6&amp;number=4.4&amp;sourceID=14","4.4")</f>
        <v>4.4</v>
      </c>
      <c r="G2218" s="4" t="str">
        <f>HYPERLINK("http://141.218.60.56/~jnz1568/getInfo.php?workbook=13_02.xlsx&amp;sheet=U0&amp;row=2218&amp;col=7&amp;number=0.000818&amp;sourceID=14","0.000818")</f>
        <v>0.000818</v>
      </c>
    </row>
    <row r="2219" spans="1:7">
      <c r="A2219" s="3"/>
      <c r="B2219" s="3"/>
      <c r="C2219" s="3"/>
      <c r="D2219" s="3"/>
      <c r="E2219" s="3">
        <v>16</v>
      </c>
      <c r="F2219" s="4" t="str">
        <f>HYPERLINK("http://141.218.60.56/~jnz1568/getInfo.php?workbook=13_02.xlsx&amp;sheet=U0&amp;row=2219&amp;col=6&amp;number=4.5&amp;sourceID=14","4.5")</f>
        <v>4.5</v>
      </c>
      <c r="G2219" s="4" t="str">
        <f>HYPERLINK("http://141.218.60.56/~jnz1568/getInfo.php?workbook=13_02.xlsx&amp;sheet=U0&amp;row=2219&amp;col=7&amp;number=0.000817&amp;sourceID=14","0.000817")</f>
        <v>0.000817</v>
      </c>
    </row>
    <row r="2220" spans="1:7">
      <c r="A2220" s="3"/>
      <c r="B2220" s="3"/>
      <c r="C2220" s="3"/>
      <c r="D2220" s="3"/>
      <c r="E2220" s="3">
        <v>17</v>
      </c>
      <c r="F2220" s="4" t="str">
        <f>HYPERLINK("http://141.218.60.56/~jnz1568/getInfo.php?workbook=13_02.xlsx&amp;sheet=U0&amp;row=2220&amp;col=6&amp;number=4.6&amp;sourceID=14","4.6")</f>
        <v>4.6</v>
      </c>
      <c r="G2220" s="4" t="str">
        <f>HYPERLINK("http://141.218.60.56/~jnz1568/getInfo.php?workbook=13_02.xlsx&amp;sheet=U0&amp;row=2220&amp;col=7&amp;number=0.000815&amp;sourceID=14","0.000815")</f>
        <v>0.000815</v>
      </c>
    </row>
    <row r="2221" spans="1:7">
      <c r="A2221" s="3"/>
      <c r="B2221" s="3"/>
      <c r="C2221" s="3"/>
      <c r="D2221" s="3"/>
      <c r="E2221" s="3">
        <v>18</v>
      </c>
      <c r="F2221" s="4" t="str">
        <f>HYPERLINK("http://141.218.60.56/~jnz1568/getInfo.php?workbook=13_02.xlsx&amp;sheet=U0&amp;row=2221&amp;col=6&amp;number=4.7&amp;sourceID=14","4.7")</f>
        <v>4.7</v>
      </c>
      <c r="G2221" s="4" t="str">
        <f>HYPERLINK("http://141.218.60.56/~jnz1568/getInfo.php?workbook=13_02.xlsx&amp;sheet=U0&amp;row=2221&amp;col=7&amp;number=0.000813&amp;sourceID=14","0.000813")</f>
        <v>0.000813</v>
      </c>
    </row>
    <row r="2222" spans="1:7">
      <c r="A2222" s="3"/>
      <c r="B2222" s="3"/>
      <c r="C2222" s="3"/>
      <c r="D2222" s="3"/>
      <c r="E2222" s="3">
        <v>19</v>
      </c>
      <c r="F2222" s="4" t="str">
        <f>HYPERLINK("http://141.218.60.56/~jnz1568/getInfo.php?workbook=13_02.xlsx&amp;sheet=U0&amp;row=2222&amp;col=6&amp;number=4.8&amp;sourceID=14","4.8")</f>
        <v>4.8</v>
      </c>
      <c r="G2222" s="4" t="str">
        <f>HYPERLINK("http://141.218.60.56/~jnz1568/getInfo.php?workbook=13_02.xlsx&amp;sheet=U0&amp;row=2222&amp;col=7&amp;number=0.00081&amp;sourceID=14","0.00081")</f>
        <v>0.00081</v>
      </c>
    </row>
    <row r="2223" spans="1:7">
      <c r="A2223" s="3"/>
      <c r="B2223" s="3"/>
      <c r="C2223" s="3"/>
      <c r="D2223" s="3"/>
      <c r="E2223" s="3">
        <v>20</v>
      </c>
      <c r="F2223" s="4" t="str">
        <f>HYPERLINK("http://141.218.60.56/~jnz1568/getInfo.php?workbook=13_02.xlsx&amp;sheet=U0&amp;row=2223&amp;col=6&amp;number=4.9&amp;sourceID=14","4.9")</f>
        <v>4.9</v>
      </c>
      <c r="G2223" s="4" t="str">
        <f>HYPERLINK("http://141.218.60.56/~jnz1568/getInfo.php?workbook=13_02.xlsx&amp;sheet=U0&amp;row=2223&amp;col=7&amp;number=0.000807&amp;sourceID=14","0.000807")</f>
        <v>0.000807</v>
      </c>
    </row>
    <row r="2224" spans="1:7">
      <c r="A2224" s="3">
        <v>13</v>
      </c>
      <c r="B2224" s="3">
        <v>2</v>
      </c>
      <c r="C2224" s="3" t="s">
        <v>89</v>
      </c>
      <c r="D2224" s="3">
        <v>9</v>
      </c>
      <c r="E2224" s="3">
        <v>1</v>
      </c>
      <c r="F2224" s="4" t="str">
        <f>HYPERLINK("http://141.218.60.56/~jnz1568/getInfo.php?workbook=13_02.xlsx&amp;sheet=U0&amp;row=2224&amp;col=6&amp;number=3&amp;sourceID=14","3")</f>
        <v>3</v>
      </c>
      <c r="G2224" s="4" t="str">
        <f>HYPERLINK("http://141.218.60.56/~jnz1568/getInfo.php?workbook=13_02.xlsx&amp;sheet=U0&amp;row=2224&amp;col=7&amp;number=0.00155&amp;sourceID=14","0.00155")</f>
        <v>0.00155</v>
      </c>
    </row>
    <row r="2225" spans="1:7">
      <c r="A2225" s="3"/>
      <c r="B2225" s="3"/>
      <c r="C2225" s="3"/>
      <c r="D2225" s="3"/>
      <c r="E2225" s="3">
        <v>2</v>
      </c>
      <c r="F2225" s="4" t="str">
        <f>HYPERLINK("http://141.218.60.56/~jnz1568/getInfo.php?workbook=13_02.xlsx&amp;sheet=U0&amp;row=2225&amp;col=6&amp;number=3.1&amp;sourceID=14","3.1")</f>
        <v>3.1</v>
      </c>
      <c r="G2225" s="4" t="str">
        <f>HYPERLINK("http://141.218.60.56/~jnz1568/getInfo.php?workbook=13_02.xlsx&amp;sheet=U0&amp;row=2225&amp;col=7&amp;number=0.00155&amp;sourceID=14","0.00155")</f>
        <v>0.00155</v>
      </c>
    </row>
    <row r="2226" spans="1:7">
      <c r="A2226" s="3"/>
      <c r="B2226" s="3"/>
      <c r="C2226" s="3"/>
      <c r="D2226" s="3"/>
      <c r="E2226" s="3">
        <v>3</v>
      </c>
      <c r="F2226" s="4" t="str">
        <f>HYPERLINK("http://141.218.60.56/~jnz1568/getInfo.php?workbook=13_02.xlsx&amp;sheet=U0&amp;row=2226&amp;col=6&amp;number=3.2&amp;sourceID=14","3.2")</f>
        <v>3.2</v>
      </c>
      <c r="G2226" s="4" t="str">
        <f>HYPERLINK("http://141.218.60.56/~jnz1568/getInfo.php?workbook=13_02.xlsx&amp;sheet=U0&amp;row=2226&amp;col=7&amp;number=0.00155&amp;sourceID=14","0.00155")</f>
        <v>0.00155</v>
      </c>
    </row>
    <row r="2227" spans="1:7">
      <c r="A2227" s="3"/>
      <c r="B2227" s="3"/>
      <c r="C2227" s="3"/>
      <c r="D2227" s="3"/>
      <c r="E2227" s="3">
        <v>4</v>
      </c>
      <c r="F2227" s="4" t="str">
        <f>HYPERLINK("http://141.218.60.56/~jnz1568/getInfo.php?workbook=13_02.xlsx&amp;sheet=U0&amp;row=2227&amp;col=6&amp;number=3.3&amp;sourceID=14","3.3")</f>
        <v>3.3</v>
      </c>
      <c r="G2227" s="4" t="str">
        <f>HYPERLINK("http://141.218.60.56/~jnz1568/getInfo.php?workbook=13_02.xlsx&amp;sheet=U0&amp;row=2227&amp;col=7&amp;number=0.00155&amp;sourceID=14","0.00155")</f>
        <v>0.00155</v>
      </c>
    </row>
    <row r="2228" spans="1:7">
      <c r="A2228" s="3"/>
      <c r="B2228" s="3"/>
      <c r="C2228" s="3"/>
      <c r="D2228" s="3"/>
      <c r="E2228" s="3">
        <v>5</v>
      </c>
      <c r="F2228" s="4" t="str">
        <f>HYPERLINK("http://141.218.60.56/~jnz1568/getInfo.php?workbook=13_02.xlsx&amp;sheet=U0&amp;row=2228&amp;col=6&amp;number=3.4&amp;sourceID=14","3.4")</f>
        <v>3.4</v>
      </c>
      <c r="G2228" s="4" t="str">
        <f>HYPERLINK("http://141.218.60.56/~jnz1568/getInfo.php?workbook=13_02.xlsx&amp;sheet=U0&amp;row=2228&amp;col=7&amp;number=0.00155&amp;sourceID=14","0.00155")</f>
        <v>0.00155</v>
      </c>
    </row>
    <row r="2229" spans="1:7">
      <c r="A2229" s="3"/>
      <c r="B2229" s="3"/>
      <c r="C2229" s="3"/>
      <c r="D2229" s="3"/>
      <c r="E2229" s="3">
        <v>6</v>
      </c>
      <c r="F2229" s="4" t="str">
        <f>HYPERLINK("http://141.218.60.56/~jnz1568/getInfo.php?workbook=13_02.xlsx&amp;sheet=U0&amp;row=2229&amp;col=6&amp;number=3.5&amp;sourceID=14","3.5")</f>
        <v>3.5</v>
      </c>
      <c r="G2229" s="4" t="str">
        <f>HYPERLINK("http://141.218.60.56/~jnz1568/getInfo.php?workbook=13_02.xlsx&amp;sheet=U0&amp;row=2229&amp;col=7&amp;number=0.00155&amp;sourceID=14","0.00155")</f>
        <v>0.00155</v>
      </c>
    </row>
    <row r="2230" spans="1:7">
      <c r="A2230" s="3"/>
      <c r="B2230" s="3"/>
      <c r="C2230" s="3"/>
      <c r="D2230" s="3"/>
      <c r="E2230" s="3">
        <v>7</v>
      </c>
      <c r="F2230" s="4" t="str">
        <f>HYPERLINK("http://141.218.60.56/~jnz1568/getInfo.php?workbook=13_02.xlsx&amp;sheet=U0&amp;row=2230&amp;col=6&amp;number=3.6&amp;sourceID=14","3.6")</f>
        <v>3.6</v>
      </c>
      <c r="G2230" s="4" t="str">
        <f>HYPERLINK("http://141.218.60.56/~jnz1568/getInfo.php?workbook=13_02.xlsx&amp;sheet=U0&amp;row=2230&amp;col=7&amp;number=0.00155&amp;sourceID=14","0.00155")</f>
        <v>0.00155</v>
      </c>
    </row>
    <row r="2231" spans="1:7">
      <c r="A2231" s="3"/>
      <c r="B2231" s="3"/>
      <c r="C2231" s="3"/>
      <c r="D2231" s="3"/>
      <c r="E2231" s="3">
        <v>8</v>
      </c>
      <c r="F2231" s="4" t="str">
        <f>HYPERLINK("http://141.218.60.56/~jnz1568/getInfo.php?workbook=13_02.xlsx&amp;sheet=U0&amp;row=2231&amp;col=6&amp;number=3.7&amp;sourceID=14","3.7")</f>
        <v>3.7</v>
      </c>
      <c r="G2231" s="4" t="str">
        <f>HYPERLINK("http://141.218.60.56/~jnz1568/getInfo.php?workbook=13_02.xlsx&amp;sheet=U0&amp;row=2231&amp;col=7&amp;number=0.00155&amp;sourceID=14","0.00155")</f>
        <v>0.00155</v>
      </c>
    </row>
    <row r="2232" spans="1:7">
      <c r="A2232" s="3"/>
      <c r="B2232" s="3"/>
      <c r="C2232" s="3"/>
      <c r="D2232" s="3"/>
      <c r="E2232" s="3">
        <v>9</v>
      </c>
      <c r="F2232" s="4" t="str">
        <f>HYPERLINK("http://141.218.60.56/~jnz1568/getInfo.php?workbook=13_02.xlsx&amp;sheet=U0&amp;row=2232&amp;col=6&amp;number=3.8&amp;sourceID=14","3.8")</f>
        <v>3.8</v>
      </c>
      <c r="G2232" s="4" t="str">
        <f>HYPERLINK("http://141.218.60.56/~jnz1568/getInfo.php?workbook=13_02.xlsx&amp;sheet=U0&amp;row=2232&amp;col=7&amp;number=0.00155&amp;sourceID=14","0.00155")</f>
        <v>0.00155</v>
      </c>
    </row>
    <row r="2233" spans="1:7">
      <c r="A2233" s="3"/>
      <c r="B2233" s="3"/>
      <c r="C2233" s="3"/>
      <c r="D2233" s="3"/>
      <c r="E2233" s="3">
        <v>10</v>
      </c>
      <c r="F2233" s="4" t="str">
        <f>HYPERLINK("http://141.218.60.56/~jnz1568/getInfo.php?workbook=13_02.xlsx&amp;sheet=U0&amp;row=2233&amp;col=6&amp;number=3.9&amp;sourceID=14","3.9")</f>
        <v>3.9</v>
      </c>
      <c r="G2233" s="4" t="str">
        <f>HYPERLINK("http://141.218.60.56/~jnz1568/getInfo.php?workbook=13_02.xlsx&amp;sheet=U0&amp;row=2233&amp;col=7&amp;number=0.00155&amp;sourceID=14","0.00155")</f>
        <v>0.00155</v>
      </c>
    </row>
    <row r="2234" spans="1:7">
      <c r="A2234" s="3"/>
      <c r="B2234" s="3"/>
      <c r="C2234" s="3"/>
      <c r="D2234" s="3"/>
      <c r="E2234" s="3">
        <v>11</v>
      </c>
      <c r="F2234" s="4" t="str">
        <f>HYPERLINK("http://141.218.60.56/~jnz1568/getInfo.php?workbook=13_02.xlsx&amp;sheet=U0&amp;row=2234&amp;col=6&amp;number=4&amp;sourceID=14","4")</f>
        <v>4</v>
      </c>
      <c r="G2234" s="4" t="str">
        <f>HYPERLINK("http://141.218.60.56/~jnz1568/getInfo.php?workbook=13_02.xlsx&amp;sheet=U0&amp;row=2234&amp;col=7&amp;number=0.00155&amp;sourceID=14","0.00155")</f>
        <v>0.00155</v>
      </c>
    </row>
    <row r="2235" spans="1:7">
      <c r="A2235" s="3"/>
      <c r="B2235" s="3"/>
      <c r="C2235" s="3"/>
      <c r="D2235" s="3"/>
      <c r="E2235" s="3">
        <v>12</v>
      </c>
      <c r="F2235" s="4" t="str">
        <f>HYPERLINK("http://141.218.60.56/~jnz1568/getInfo.php?workbook=13_02.xlsx&amp;sheet=U0&amp;row=2235&amp;col=6&amp;number=4.1&amp;sourceID=14","4.1")</f>
        <v>4.1</v>
      </c>
      <c r="G2235" s="4" t="str">
        <f>HYPERLINK("http://141.218.60.56/~jnz1568/getInfo.php?workbook=13_02.xlsx&amp;sheet=U0&amp;row=2235&amp;col=7&amp;number=0.00155&amp;sourceID=14","0.00155")</f>
        <v>0.00155</v>
      </c>
    </row>
    <row r="2236" spans="1:7">
      <c r="A2236" s="3"/>
      <c r="B2236" s="3"/>
      <c r="C2236" s="3"/>
      <c r="D2236" s="3"/>
      <c r="E2236" s="3">
        <v>13</v>
      </c>
      <c r="F2236" s="4" t="str">
        <f>HYPERLINK("http://141.218.60.56/~jnz1568/getInfo.php?workbook=13_02.xlsx&amp;sheet=U0&amp;row=2236&amp;col=6&amp;number=4.2&amp;sourceID=14","4.2")</f>
        <v>4.2</v>
      </c>
      <c r="G2236" s="4" t="str">
        <f>HYPERLINK("http://141.218.60.56/~jnz1568/getInfo.php?workbook=13_02.xlsx&amp;sheet=U0&amp;row=2236&amp;col=7&amp;number=0.00155&amp;sourceID=14","0.00155")</f>
        <v>0.00155</v>
      </c>
    </row>
    <row r="2237" spans="1:7">
      <c r="A2237" s="3"/>
      <c r="B2237" s="3"/>
      <c r="C2237" s="3"/>
      <c r="D2237" s="3"/>
      <c r="E2237" s="3">
        <v>14</v>
      </c>
      <c r="F2237" s="4" t="str">
        <f>HYPERLINK("http://141.218.60.56/~jnz1568/getInfo.php?workbook=13_02.xlsx&amp;sheet=U0&amp;row=2237&amp;col=6&amp;number=4.3&amp;sourceID=14","4.3")</f>
        <v>4.3</v>
      </c>
      <c r="G2237" s="4" t="str">
        <f>HYPERLINK("http://141.218.60.56/~jnz1568/getInfo.php?workbook=13_02.xlsx&amp;sheet=U0&amp;row=2237&amp;col=7&amp;number=0.00155&amp;sourceID=14","0.00155")</f>
        <v>0.00155</v>
      </c>
    </row>
    <row r="2238" spans="1:7">
      <c r="A2238" s="3"/>
      <c r="B2238" s="3"/>
      <c r="C2238" s="3"/>
      <c r="D2238" s="3"/>
      <c r="E2238" s="3">
        <v>15</v>
      </c>
      <c r="F2238" s="4" t="str">
        <f>HYPERLINK("http://141.218.60.56/~jnz1568/getInfo.php?workbook=13_02.xlsx&amp;sheet=U0&amp;row=2238&amp;col=6&amp;number=4.4&amp;sourceID=14","4.4")</f>
        <v>4.4</v>
      </c>
      <c r="G2238" s="4" t="str">
        <f>HYPERLINK("http://141.218.60.56/~jnz1568/getInfo.php?workbook=13_02.xlsx&amp;sheet=U0&amp;row=2238&amp;col=7&amp;number=0.00155&amp;sourceID=14","0.00155")</f>
        <v>0.00155</v>
      </c>
    </row>
    <row r="2239" spans="1:7">
      <c r="A2239" s="3"/>
      <c r="B2239" s="3"/>
      <c r="C2239" s="3"/>
      <c r="D2239" s="3"/>
      <c r="E2239" s="3">
        <v>16</v>
      </c>
      <c r="F2239" s="4" t="str">
        <f>HYPERLINK("http://141.218.60.56/~jnz1568/getInfo.php?workbook=13_02.xlsx&amp;sheet=U0&amp;row=2239&amp;col=6&amp;number=4.5&amp;sourceID=14","4.5")</f>
        <v>4.5</v>
      </c>
      <c r="G2239" s="4" t="str">
        <f>HYPERLINK("http://141.218.60.56/~jnz1568/getInfo.php?workbook=13_02.xlsx&amp;sheet=U0&amp;row=2239&amp;col=7&amp;number=0.00155&amp;sourceID=14","0.00155")</f>
        <v>0.00155</v>
      </c>
    </row>
    <row r="2240" spans="1:7">
      <c r="A2240" s="3"/>
      <c r="B2240" s="3"/>
      <c r="C2240" s="3"/>
      <c r="D2240" s="3"/>
      <c r="E2240" s="3">
        <v>17</v>
      </c>
      <c r="F2240" s="4" t="str">
        <f>HYPERLINK("http://141.218.60.56/~jnz1568/getInfo.php?workbook=13_02.xlsx&amp;sheet=U0&amp;row=2240&amp;col=6&amp;number=4.6&amp;sourceID=14","4.6")</f>
        <v>4.6</v>
      </c>
      <c r="G2240" s="4" t="str">
        <f>HYPERLINK("http://141.218.60.56/~jnz1568/getInfo.php?workbook=13_02.xlsx&amp;sheet=U0&amp;row=2240&amp;col=7&amp;number=0.00155&amp;sourceID=14","0.00155")</f>
        <v>0.00155</v>
      </c>
    </row>
    <row r="2241" spans="1:7">
      <c r="A2241" s="3"/>
      <c r="B2241" s="3"/>
      <c r="C2241" s="3"/>
      <c r="D2241" s="3"/>
      <c r="E2241" s="3">
        <v>18</v>
      </c>
      <c r="F2241" s="4" t="str">
        <f>HYPERLINK("http://141.218.60.56/~jnz1568/getInfo.php?workbook=13_02.xlsx&amp;sheet=U0&amp;row=2241&amp;col=6&amp;number=4.7&amp;sourceID=14","4.7")</f>
        <v>4.7</v>
      </c>
      <c r="G2241" s="4" t="str">
        <f>HYPERLINK("http://141.218.60.56/~jnz1568/getInfo.php?workbook=13_02.xlsx&amp;sheet=U0&amp;row=2241&amp;col=7&amp;number=0.00155&amp;sourceID=14","0.00155")</f>
        <v>0.00155</v>
      </c>
    </row>
    <row r="2242" spans="1:7">
      <c r="A2242" s="3"/>
      <c r="B2242" s="3"/>
      <c r="C2242" s="3"/>
      <c r="D2242" s="3"/>
      <c r="E2242" s="3">
        <v>19</v>
      </c>
      <c r="F2242" s="4" t="str">
        <f>HYPERLINK("http://141.218.60.56/~jnz1568/getInfo.php?workbook=13_02.xlsx&amp;sheet=U0&amp;row=2242&amp;col=6&amp;number=4.8&amp;sourceID=14","4.8")</f>
        <v>4.8</v>
      </c>
      <c r="G2242" s="4" t="str">
        <f>HYPERLINK("http://141.218.60.56/~jnz1568/getInfo.php?workbook=13_02.xlsx&amp;sheet=U0&amp;row=2242&amp;col=7&amp;number=0.00155&amp;sourceID=14","0.00155")</f>
        <v>0.00155</v>
      </c>
    </row>
    <row r="2243" spans="1:7">
      <c r="A2243" s="3"/>
      <c r="B2243" s="3"/>
      <c r="C2243" s="3"/>
      <c r="D2243" s="3"/>
      <c r="E2243" s="3">
        <v>20</v>
      </c>
      <c r="F2243" s="4" t="str">
        <f>HYPERLINK("http://141.218.60.56/~jnz1568/getInfo.php?workbook=13_02.xlsx&amp;sheet=U0&amp;row=2243&amp;col=6&amp;number=4.9&amp;sourceID=14","4.9")</f>
        <v>4.9</v>
      </c>
      <c r="G2243" s="4" t="str">
        <f>HYPERLINK("http://141.218.60.56/~jnz1568/getInfo.php?workbook=13_02.xlsx&amp;sheet=U0&amp;row=2243&amp;col=7&amp;number=0.00156&amp;sourceID=14","0.00156")</f>
        <v>0.00156</v>
      </c>
    </row>
    <row r="2244" spans="1:7">
      <c r="A2244" s="3">
        <v>13</v>
      </c>
      <c r="B2244" s="3">
        <v>2</v>
      </c>
      <c r="C2244" s="3" t="s">
        <v>90</v>
      </c>
      <c r="D2244" s="3">
        <v>0</v>
      </c>
      <c r="E2244" s="3">
        <v>1</v>
      </c>
      <c r="F2244" s="4" t="str">
        <f>HYPERLINK("http://141.218.60.56/~jnz1568/getInfo.php?workbook=13_02.xlsx&amp;sheet=U0&amp;row=2244&amp;col=6&amp;number=3&amp;sourceID=14","3")</f>
        <v>3</v>
      </c>
      <c r="G2244" s="4" t="str">
        <f>HYPERLINK("http://141.218.60.56/~jnz1568/getInfo.php?workbook=13_02.xlsx&amp;sheet=U0&amp;row=2244&amp;col=7&amp;number=0.00148&amp;sourceID=14","0.00148")</f>
        <v>0.00148</v>
      </c>
    </row>
    <row r="2245" spans="1:7">
      <c r="A2245" s="3"/>
      <c r="B2245" s="3"/>
      <c r="C2245" s="3"/>
      <c r="D2245" s="3"/>
      <c r="E2245" s="3">
        <v>2</v>
      </c>
      <c r="F2245" s="4" t="str">
        <f>HYPERLINK("http://141.218.60.56/~jnz1568/getInfo.php?workbook=13_02.xlsx&amp;sheet=U0&amp;row=2245&amp;col=6&amp;number=3.1&amp;sourceID=14","3.1")</f>
        <v>3.1</v>
      </c>
      <c r="G2245" s="4" t="str">
        <f>HYPERLINK("http://141.218.60.56/~jnz1568/getInfo.php?workbook=13_02.xlsx&amp;sheet=U0&amp;row=2245&amp;col=7&amp;number=0.00148&amp;sourceID=14","0.00148")</f>
        <v>0.00148</v>
      </c>
    </row>
    <row r="2246" spans="1:7">
      <c r="A2246" s="3"/>
      <c r="B2246" s="3"/>
      <c r="C2246" s="3"/>
      <c r="D2246" s="3"/>
      <c r="E2246" s="3">
        <v>3</v>
      </c>
      <c r="F2246" s="4" t="str">
        <f>HYPERLINK("http://141.218.60.56/~jnz1568/getInfo.php?workbook=13_02.xlsx&amp;sheet=U0&amp;row=2246&amp;col=6&amp;number=3.2&amp;sourceID=14","3.2")</f>
        <v>3.2</v>
      </c>
      <c r="G2246" s="4" t="str">
        <f>HYPERLINK("http://141.218.60.56/~jnz1568/getInfo.php?workbook=13_02.xlsx&amp;sheet=U0&amp;row=2246&amp;col=7&amp;number=0.00148&amp;sourceID=14","0.00148")</f>
        <v>0.00148</v>
      </c>
    </row>
    <row r="2247" spans="1:7">
      <c r="A2247" s="3"/>
      <c r="B2247" s="3"/>
      <c r="C2247" s="3"/>
      <c r="D2247" s="3"/>
      <c r="E2247" s="3">
        <v>4</v>
      </c>
      <c r="F2247" s="4" t="str">
        <f>HYPERLINK("http://141.218.60.56/~jnz1568/getInfo.php?workbook=13_02.xlsx&amp;sheet=U0&amp;row=2247&amp;col=6&amp;number=3.3&amp;sourceID=14","3.3")</f>
        <v>3.3</v>
      </c>
      <c r="G2247" s="4" t="str">
        <f>HYPERLINK("http://141.218.60.56/~jnz1568/getInfo.php?workbook=13_02.xlsx&amp;sheet=U0&amp;row=2247&amp;col=7&amp;number=0.00148&amp;sourceID=14","0.00148")</f>
        <v>0.00148</v>
      </c>
    </row>
    <row r="2248" spans="1:7">
      <c r="A2248" s="3"/>
      <c r="B2248" s="3"/>
      <c r="C2248" s="3"/>
      <c r="D2248" s="3"/>
      <c r="E2248" s="3">
        <v>5</v>
      </c>
      <c r="F2248" s="4" t="str">
        <f>HYPERLINK("http://141.218.60.56/~jnz1568/getInfo.php?workbook=13_02.xlsx&amp;sheet=U0&amp;row=2248&amp;col=6&amp;number=3.4&amp;sourceID=14","3.4")</f>
        <v>3.4</v>
      </c>
      <c r="G2248" s="4" t="str">
        <f>HYPERLINK("http://141.218.60.56/~jnz1568/getInfo.php?workbook=13_02.xlsx&amp;sheet=U0&amp;row=2248&amp;col=7&amp;number=0.00148&amp;sourceID=14","0.00148")</f>
        <v>0.00148</v>
      </c>
    </row>
    <row r="2249" spans="1:7">
      <c r="A2249" s="3"/>
      <c r="B2249" s="3"/>
      <c r="C2249" s="3"/>
      <c r="D2249" s="3"/>
      <c r="E2249" s="3">
        <v>6</v>
      </c>
      <c r="F2249" s="4" t="str">
        <f>HYPERLINK("http://141.218.60.56/~jnz1568/getInfo.php?workbook=13_02.xlsx&amp;sheet=U0&amp;row=2249&amp;col=6&amp;number=3.5&amp;sourceID=14","3.5")</f>
        <v>3.5</v>
      </c>
      <c r="G2249" s="4" t="str">
        <f>HYPERLINK("http://141.218.60.56/~jnz1568/getInfo.php?workbook=13_02.xlsx&amp;sheet=U0&amp;row=2249&amp;col=7&amp;number=0.00148&amp;sourceID=14","0.00148")</f>
        <v>0.00148</v>
      </c>
    </row>
    <row r="2250" spans="1:7">
      <c r="A2250" s="3"/>
      <c r="B2250" s="3"/>
      <c r="C2250" s="3"/>
      <c r="D2250" s="3"/>
      <c r="E2250" s="3">
        <v>7</v>
      </c>
      <c r="F2250" s="4" t="str">
        <f>HYPERLINK("http://141.218.60.56/~jnz1568/getInfo.php?workbook=13_02.xlsx&amp;sheet=U0&amp;row=2250&amp;col=6&amp;number=3.6&amp;sourceID=14","3.6")</f>
        <v>3.6</v>
      </c>
      <c r="G2250" s="4" t="str">
        <f>HYPERLINK("http://141.218.60.56/~jnz1568/getInfo.php?workbook=13_02.xlsx&amp;sheet=U0&amp;row=2250&amp;col=7&amp;number=0.00148&amp;sourceID=14","0.00148")</f>
        <v>0.00148</v>
      </c>
    </row>
    <row r="2251" spans="1:7">
      <c r="A2251" s="3"/>
      <c r="B2251" s="3"/>
      <c r="C2251" s="3"/>
      <c r="D2251" s="3"/>
      <c r="E2251" s="3">
        <v>8</v>
      </c>
      <c r="F2251" s="4" t="str">
        <f>HYPERLINK("http://141.218.60.56/~jnz1568/getInfo.php?workbook=13_02.xlsx&amp;sheet=U0&amp;row=2251&amp;col=6&amp;number=3.7&amp;sourceID=14","3.7")</f>
        <v>3.7</v>
      </c>
      <c r="G2251" s="4" t="str">
        <f>HYPERLINK("http://141.218.60.56/~jnz1568/getInfo.php?workbook=13_02.xlsx&amp;sheet=U0&amp;row=2251&amp;col=7&amp;number=0.00148&amp;sourceID=14","0.00148")</f>
        <v>0.00148</v>
      </c>
    </row>
    <row r="2252" spans="1:7">
      <c r="A2252" s="3"/>
      <c r="B2252" s="3"/>
      <c r="C2252" s="3"/>
      <c r="D2252" s="3"/>
      <c r="E2252" s="3">
        <v>9</v>
      </c>
      <c r="F2252" s="4" t="str">
        <f>HYPERLINK("http://141.218.60.56/~jnz1568/getInfo.php?workbook=13_02.xlsx&amp;sheet=U0&amp;row=2252&amp;col=6&amp;number=3.8&amp;sourceID=14","3.8")</f>
        <v>3.8</v>
      </c>
      <c r="G2252" s="4" t="str">
        <f>HYPERLINK("http://141.218.60.56/~jnz1568/getInfo.php?workbook=13_02.xlsx&amp;sheet=U0&amp;row=2252&amp;col=7&amp;number=0.00148&amp;sourceID=14","0.00148")</f>
        <v>0.00148</v>
      </c>
    </row>
    <row r="2253" spans="1:7">
      <c r="A2253" s="3"/>
      <c r="B2253" s="3"/>
      <c r="C2253" s="3"/>
      <c r="D2253" s="3"/>
      <c r="E2253" s="3">
        <v>10</v>
      </c>
      <c r="F2253" s="4" t="str">
        <f>HYPERLINK("http://141.218.60.56/~jnz1568/getInfo.php?workbook=13_02.xlsx&amp;sheet=U0&amp;row=2253&amp;col=6&amp;number=3.9&amp;sourceID=14","3.9")</f>
        <v>3.9</v>
      </c>
      <c r="G2253" s="4" t="str">
        <f>HYPERLINK("http://141.218.60.56/~jnz1568/getInfo.php?workbook=13_02.xlsx&amp;sheet=U0&amp;row=2253&amp;col=7&amp;number=0.00148&amp;sourceID=14","0.00148")</f>
        <v>0.00148</v>
      </c>
    </row>
    <row r="2254" spans="1:7">
      <c r="A2254" s="3"/>
      <c r="B2254" s="3"/>
      <c r="C2254" s="3"/>
      <c r="D2254" s="3"/>
      <c r="E2254" s="3">
        <v>11</v>
      </c>
      <c r="F2254" s="4" t="str">
        <f>HYPERLINK("http://141.218.60.56/~jnz1568/getInfo.php?workbook=13_02.xlsx&amp;sheet=U0&amp;row=2254&amp;col=6&amp;number=4&amp;sourceID=14","4")</f>
        <v>4</v>
      </c>
      <c r="G2254" s="4" t="str">
        <f>HYPERLINK("http://141.218.60.56/~jnz1568/getInfo.php?workbook=13_02.xlsx&amp;sheet=U0&amp;row=2254&amp;col=7&amp;number=0.00148&amp;sourceID=14","0.00148")</f>
        <v>0.00148</v>
      </c>
    </row>
    <row r="2255" spans="1:7">
      <c r="A2255" s="3"/>
      <c r="B2255" s="3"/>
      <c r="C2255" s="3"/>
      <c r="D2255" s="3"/>
      <c r="E2255" s="3">
        <v>12</v>
      </c>
      <c r="F2255" s="4" t="str">
        <f>HYPERLINK("http://141.218.60.56/~jnz1568/getInfo.php?workbook=13_02.xlsx&amp;sheet=U0&amp;row=2255&amp;col=6&amp;number=4.1&amp;sourceID=14","4.1")</f>
        <v>4.1</v>
      </c>
      <c r="G2255" s="4" t="str">
        <f>HYPERLINK("http://141.218.60.56/~jnz1568/getInfo.php?workbook=13_02.xlsx&amp;sheet=U0&amp;row=2255&amp;col=7&amp;number=0.00148&amp;sourceID=14","0.00148")</f>
        <v>0.00148</v>
      </c>
    </row>
    <row r="2256" spans="1:7">
      <c r="A2256" s="3"/>
      <c r="B2256" s="3"/>
      <c r="C2256" s="3"/>
      <c r="D2256" s="3"/>
      <c r="E2256" s="3">
        <v>13</v>
      </c>
      <c r="F2256" s="4" t="str">
        <f>HYPERLINK("http://141.218.60.56/~jnz1568/getInfo.php?workbook=13_02.xlsx&amp;sheet=U0&amp;row=2256&amp;col=6&amp;number=4.2&amp;sourceID=14","4.2")</f>
        <v>4.2</v>
      </c>
      <c r="G2256" s="4" t="str">
        <f>HYPERLINK("http://141.218.60.56/~jnz1568/getInfo.php?workbook=13_02.xlsx&amp;sheet=U0&amp;row=2256&amp;col=7&amp;number=0.00148&amp;sourceID=14","0.00148")</f>
        <v>0.00148</v>
      </c>
    </row>
    <row r="2257" spans="1:7">
      <c r="A2257" s="3"/>
      <c r="B2257" s="3"/>
      <c r="C2257" s="3"/>
      <c r="D2257" s="3"/>
      <c r="E2257" s="3">
        <v>14</v>
      </c>
      <c r="F2257" s="4" t="str">
        <f>HYPERLINK("http://141.218.60.56/~jnz1568/getInfo.php?workbook=13_02.xlsx&amp;sheet=U0&amp;row=2257&amp;col=6&amp;number=4.3&amp;sourceID=14","4.3")</f>
        <v>4.3</v>
      </c>
      <c r="G2257" s="4" t="str">
        <f>HYPERLINK("http://141.218.60.56/~jnz1568/getInfo.php?workbook=13_02.xlsx&amp;sheet=U0&amp;row=2257&amp;col=7&amp;number=0.00148&amp;sourceID=14","0.00148")</f>
        <v>0.00148</v>
      </c>
    </row>
    <row r="2258" spans="1:7">
      <c r="A2258" s="3"/>
      <c r="B2258" s="3"/>
      <c r="C2258" s="3"/>
      <c r="D2258" s="3"/>
      <c r="E2258" s="3">
        <v>15</v>
      </c>
      <c r="F2258" s="4" t="str">
        <f>HYPERLINK("http://141.218.60.56/~jnz1568/getInfo.php?workbook=13_02.xlsx&amp;sheet=U0&amp;row=2258&amp;col=6&amp;number=4.4&amp;sourceID=14","4.4")</f>
        <v>4.4</v>
      </c>
      <c r="G2258" s="4" t="str">
        <f>HYPERLINK("http://141.218.60.56/~jnz1568/getInfo.php?workbook=13_02.xlsx&amp;sheet=U0&amp;row=2258&amp;col=7&amp;number=0.00147&amp;sourceID=14","0.00147")</f>
        <v>0.00147</v>
      </c>
    </row>
    <row r="2259" spans="1:7">
      <c r="A2259" s="3"/>
      <c r="B2259" s="3"/>
      <c r="C2259" s="3"/>
      <c r="D2259" s="3"/>
      <c r="E2259" s="3">
        <v>16</v>
      </c>
      <c r="F2259" s="4" t="str">
        <f>HYPERLINK("http://141.218.60.56/~jnz1568/getInfo.php?workbook=13_02.xlsx&amp;sheet=U0&amp;row=2259&amp;col=6&amp;number=4.5&amp;sourceID=14","4.5")</f>
        <v>4.5</v>
      </c>
      <c r="G2259" s="4" t="str">
        <f>HYPERLINK("http://141.218.60.56/~jnz1568/getInfo.php?workbook=13_02.xlsx&amp;sheet=U0&amp;row=2259&amp;col=7&amp;number=0.00147&amp;sourceID=14","0.00147")</f>
        <v>0.00147</v>
      </c>
    </row>
    <row r="2260" spans="1:7">
      <c r="A2260" s="3"/>
      <c r="B2260" s="3"/>
      <c r="C2260" s="3"/>
      <c r="D2260" s="3"/>
      <c r="E2260" s="3">
        <v>17</v>
      </c>
      <c r="F2260" s="4" t="str">
        <f>HYPERLINK("http://141.218.60.56/~jnz1568/getInfo.php?workbook=13_02.xlsx&amp;sheet=U0&amp;row=2260&amp;col=6&amp;number=4.6&amp;sourceID=14","4.6")</f>
        <v>4.6</v>
      </c>
      <c r="G2260" s="4" t="str">
        <f>HYPERLINK("http://141.218.60.56/~jnz1568/getInfo.php?workbook=13_02.xlsx&amp;sheet=U0&amp;row=2260&amp;col=7&amp;number=0.00147&amp;sourceID=14","0.00147")</f>
        <v>0.00147</v>
      </c>
    </row>
    <row r="2261" spans="1:7">
      <c r="A2261" s="3"/>
      <c r="B2261" s="3"/>
      <c r="C2261" s="3"/>
      <c r="D2261" s="3"/>
      <c r="E2261" s="3">
        <v>18</v>
      </c>
      <c r="F2261" s="4" t="str">
        <f>HYPERLINK("http://141.218.60.56/~jnz1568/getInfo.php?workbook=13_02.xlsx&amp;sheet=U0&amp;row=2261&amp;col=6&amp;number=4.7&amp;sourceID=14","4.7")</f>
        <v>4.7</v>
      </c>
      <c r="G2261" s="4" t="str">
        <f>HYPERLINK("http://141.218.60.56/~jnz1568/getInfo.php?workbook=13_02.xlsx&amp;sheet=U0&amp;row=2261&amp;col=7&amp;number=0.00146&amp;sourceID=14","0.00146")</f>
        <v>0.00146</v>
      </c>
    </row>
    <row r="2262" spans="1:7">
      <c r="A2262" s="3"/>
      <c r="B2262" s="3"/>
      <c r="C2262" s="3"/>
      <c r="D2262" s="3"/>
      <c r="E2262" s="3">
        <v>19</v>
      </c>
      <c r="F2262" s="4" t="str">
        <f>HYPERLINK("http://141.218.60.56/~jnz1568/getInfo.php?workbook=13_02.xlsx&amp;sheet=U0&amp;row=2262&amp;col=6&amp;number=4.8&amp;sourceID=14","4.8")</f>
        <v>4.8</v>
      </c>
      <c r="G2262" s="4" t="str">
        <f>HYPERLINK("http://141.218.60.56/~jnz1568/getInfo.php?workbook=13_02.xlsx&amp;sheet=U0&amp;row=2262&amp;col=7&amp;number=0.00146&amp;sourceID=14","0.00146")</f>
        <v>0.00146</v>
      </c>
    </row>
    <row r="2263" spans="1:7">
      <c r="A2263" s="3"/>
      <c r="B2263" s="3"/>
      <c r="C2263" s="3"/>
      <c r="D2263" s="3"/>
      <c r="E2263" s="3">
        <v>20</v>
      </c>
      <c r="F2263" s="4" t="str">
        <f>HYPERLINK("http://141.218.60.56/~jnz1568/getInfo.php?workbook=13_02.xlsx&amp;sheet=U0&amp;row=2263&amp;col=6&amp;number=4.9&amp;sourceID=14","4.9")</f>
        <v>4.9</v>
      </c>
      <c r="G2263" s="4" t="str">
        <f>HYPERLINK("http://141.218.60.56/~jnz1568/getInfo.php?workbook=13_02.xlsx&amp;sheet=U0&amp;row=2263&amp;col=7&amp;number=0.00145&amp;sourceID=14","0.00145")</f>
        <v>0.00145</v>
      </c>
    </row>
    <row r="2264" spans="1:7">
      <c r="A2264" s="3">
        <v>13</v>
      </c>
      <c r="B2264" s="3">
        <v>2</v>
      </c>
      <c r="C2264" s="3" t="s">
        <v>90</v>
      </c>
      <c r="D2264" s="3">
        <v>1</v>
      </c>
      <c r="E2264" s="3">
        <v>1</v>
      </c>
      <c r="F2264" s="4" t="str">
        <f>HYPERLINK("http://141.218.60.56/~jnz1568/getInfo.php?workbook=13_02.xlsx&amp;sheet=U0&amp;row=2264&amp;col=6&amp;number=3&amp;sourceID=14","3")</f>
        <v>3</v>
      </c>
      <c r="G2264" s="4" t="str">
        <f>HYPERLINK("http://141.218.60.56/~jnz1568/getInfo.php?workbook=13_02.xlsx&amp;sheet=U0&amp;row=2264&amp;col=7&amp;number=0.00179&amp;sourceID=14","0.00179")</f>
        <v>0.00179</v>
      </c>
    </row>
    <row r="2265" spans="1:7">
      <c r="A2265" s="3"/>
      <c r="B2265" s="3"/>
      <c r="C2265" s="3"/>
      <c r="D2265" s="3"/>
      <c r="E2265" s="3">
        <v>2</v>
      </c>
      <c r="F2265" s="4" t="str">
        <f>HYPERLINK("http://141.218.60.56/~jnz1568/getInfo.php?workbook=13_02.xlsx&amp;sheet=U0&amp;row=2265&amp;col=6&amp;number=3.1&amp;sourceID=14","3.1")</f>
        <v>3.1</v>
      </c>
      <c r="G2265" s="4" t="str">
        <f>HYPERLINK("http://141.218.60.56/~jnz1568/getInfo.php?workbook=13_02.xlsx&amp;sheet=U0&amp;row=2265&amp;col=7&amp;number=0.00179&amp;sourceID=14","0.00179")</f>
        <v>0.00179</v>
      </c>
    </row>
    <row r="2266" spans="1:7">
      <c r="A2266" s="3"/>
      <c r="B2266" s="3"/>
      <c r="C2266" s="3"/>
      <c r="D2266" s="3"/>
      <c r="E2266" s="3">
        <v>3</v>
      </c>
      <c r="F2266" s="4" t="str">
        <f>HYPERLINK("http://141.218.60.56/~jnz1568/getInfo.php?workbook=13_02.xlsx&amp;sheet=U0&amp;row=2266&amp;col=6&amp;number=3.2&amp;sourceID=14","3.2")</f>
        <v>3.2</v>
      </c>
      <c r="G2266" s="4" t="str">
        <f>HYPERLINK("http://141.218.60.56/~jnz1568/getInfo.php?workbook=13_02.xlsx&amp;sheet=U0&amp;row=2266&amp;col=7&amp;number=0.00179&amp;sourceID=14","0.00179")</f>
        <v>0.00179</v>
      </c>
    </row>
    <row r="2267" spans="1:7">
      <c r="A2267" s="3"/>
      <c r="B2267" s="3"/>
      <c r="C2267" s="3"/>
      <c r="D2267" s="3"/>
      <c r="E2267" s="3">
        <v>4</v>
      </c>
      <c r="F2267" s="4" t="str">
        <f>HYPERLINK("http://141.218.60.56/~jnz1568/getInfo.php?workbook=13_02.xlsx&amp;sheet=U0&amp;row=2267&amp;col=6&amp;number=3.3&amp;sourceID=14","3.3")</f>
        <v>3.3</v>
      </c>
      <c r="G2267" s="4" t="str">
        <f>HYPERLINK("http://141.218.60.56/~jnz1568/getInfo.php?workbook=13_02.xlsx&amp;sheet=U0&amp;row=2267&amp;col=7&amp;number=0.00179&amp;sourceID=14","0.00179")</f>
        <v>0.00179</v>
      </c>
    </row>
    <row r="2268" spans="1:7">
      <c r="A2268" s="3"/>
      <c r="B2268" s="3"/>
      <c r="C2268" s="3"/>
      <c r="D2268" s="3"/>
      <c r="E2268" s="3">
        <v>5</v>
      </c>
      <c r="F2268" s="4" t="str">
        <f>HYPERLINK("http://141.218.60.56/~jnz1568/getInfo.php?workbook=13_02.xlsx&amp;sheet=U0&amp;row=2268&amp;col=6&amp;number=3.4&amp;sourceID=14","3.4")</f>
        <v>3.4</v>
      </c>
      <c r="G2268" s="4" t="str">
        <f>HYPERLINK("http://141.218.60.56/~jnz1568/getInfo.php?workbook=13_02.xlsx&amp;sheet=U0&amp;row=2268&amp;col=7&amp;number=0.00179&amp;sourceID=14","0.00179")</f>
        <v>0.00179</v>
      </c>
    </row>
    <row r="2269" spans="1:7">
      <c r="A2269" s="3"/>
      <c r="B2269" s="3"/>
      <c r="C2269" s="3"/>
      <c r="D2269" s="3"/>
      <c r="E2269" s="3">
        <v>6</v>
      </c>
      <c r="F2269" s="4" t="str">
        <f>HYPERLINK("http://141.218.60.56/~jnz1568/getInfo.php?workbook=13_02.xlsx&amp;sheet=U0&amp;row=2269&amp;col=6&amp;number=3.5&amp;sourceID=14","3.5")</f>
        <v>3.5</v>
      </c>
      <c r="G2269" s="4" t="str">
        <f>HYPERLINK("http://141.218.60.56/~jnz1568/getInfo.php?workbook=13_02.xlsx&amp;sheet=U0&amp;row=2269&amp;col=7&amp;number=0.00179&amp;sourceID=14","0.00179")</f>
        <v>0.00179</v>
      </c>
    </row>
    <row r="2270" spans="1:7">
      <c r="A2270" s="3"/>
      <c r="B2270" s="3"/>
      <c r="C2270" s="3"/>
      <c r="D2270" s="3"/>
      <c r="E2270" s="3">
        <v>7</v>
      </c>
      <c r="F2270" s="4" t="str">
        <f>HYPERLINK("http://141.218.60.56/~jnz1568/getInfo.php?workbook=13_02.xlsx&amp;sheet=U0&amp;row=2270&amp;col=6&amp;number=3.6&amp;sourceID=14","3.6")</f>
        <v>3.6</v>
      </c>
      <c r="G2270" s="4" t="str">
        <f>HYPERLINK("http://141.218.60.56/~jnz1568/getInfo.php?workbook=13_02.xlsx&amp;sheet=U0&amp;row=2270&amp;col=7&amp;number=0.00179&amp;sourceID=14","0.00179")</f>
        <v>0.00179</v>
      </c>
    </row>
    <row r="2271" spans="1:7">
      <c r="A2271" s="3"/>
      <c r="B2271" s="3"/>
      <c r="C2271" s="3"/>
      <c r="D2271" s="3"/>
      <c r="E2271" s="3">
        <v>8</v>
      </c>
      <c r="F2271" s="4" t="str">
        <f>HYPERLINK("http://141.218.60.56/~jnz1568/getInfo.php?workbook=13_02.xlsx&amp;sheet=U0&amp;row=2271&amp;col=6&amp;number=3.7&amp;sourceID=14","3.7")</f>
        <v>3.7</v>
      </c>
      <c r="G2271" s="4" t="str">
        <f>HYPERLINK("http://141.218.60.56/~jnz1568/getInfo.php?workbook=13_02.xlsx&amp;sheet=U0&amp;row=2271&amp;col=7&amp;number=0.0018&amp;sourceID=14","0.0018")</f>
        <v>0.0018</v>
      </c>
    </row>
    <row r="2272" spans="1:7">
      <c r="A2272" s="3"/>
      <c r="B2272" s="3"/>
      <c r="C2272" s="3"/>
      <c r="D2272" s="3"/>
      <c r="E2272" s="3">
        <v>9</v>
      </c>
      <c r="F2272" s="4" t="str">
        <f>HYPERLINK("http://141.218.60.56/~jnz1568/getInfo.php?workbook=13_02.xlsx&amp;sheet=U0&amp;row=2272&amp;col=6&amp;number=3.8&amp;sourceID=14","3.8")</f>
        <v>3.8</v>
      </c>
      <c r="G2272" s="4" t="str">
        <f>HYPERLINK("http://141.218.60.56/~jnz1568/getInfo.php?workbook=13_02.xlsx&amp;sheet=U0&amp;row=2272&amp;col=7&amp;number=0.0018&amp;sourceID=14","0.0018")</f>
        <v>0.0018</v>
      </c>
    </row>
    <row r="2273" spans="1:7">
      <c r="A2273" s="3"/>
      <c r="B2273" s="3"/>
      <c r="C2273" s="3"/>
      <c r="D2273" s="3"/>
      <c r="E2273" s="3">
        <v>10</v>
      </c>
      <c r="F2273" s="4" t="str">
        <f>HYPERLINK("http://141.218.60.56/~jnz1568/getInfo.php?workbook=13_02.xlsx&amp;sheet=U0&amp;row=2273&amp;col=6&amp;number=3.9&amp;sourceID=14","3.9")</f>
        <v>3.9</v>
      </c>
      <c r="G2273" s="4" t="str">
        <f>HYPERLINK("http://141.218.60.56/~jnz1568/getInfo.php?workbook=13_02.xlsx&amp;sheet=U0&amp;row=2273&amp;col=7&amp;number=0.0018&amp;sourceID=14","0.0018")</f>
        <v>0.0018</v>
      </c>
    </row>
    <row r="2274" spans="1:7">
      <c r="A2274" s="3"/>
      <c r="B2274" s="3"/>
      <c r="C2274" s="3"/>
      <c r="D2274" s="3"/>
      <c r="E2274" s="3">
        <v>11</v>
      </c>
      <c r="F2274" s="4" t="str">
        <f>HYPERLINK("http://141.218.60.56/~jnz1568/getInfo.php?workbook=13_02.xlsx&amp;sheet=U0&amp;row=2274&amp;col=6&amp;number=4&amp;sourceID=14","4")</f>
        <v>4</v>
      </c>
      <c r="G2274" s="4" t="str">
        <f>HYPERLINK("http://141.218.60.56/~jnz1568/getInfo.php?workbook=13_02.xlsx&amp;sheet=U0&amp;row=2274&amp;col=7&amp;number=0.0018&amp;sourceID=14","0.0018")</f>
        <v>0.0018</v>
      </c>
    </row>
    <row r="2275" spans="1:7">
      <c r="A2275" s="3"/>
      <c r="B2275" s="3"/>
      <c r="C2275" s="3"/>
      <c r="D2275" s="3"/>
      <c r="E2275" s="3">
        <v>12</v>
      </c>
      <c r="F2275" s="4" t="str">
        <f>HYPERLINK("http://141.218.60.56/~jnz1568/getInfo.php?workbook=13_02.xlsx&amp;sheet=U0&amp;row=2275&amp;col=6&amp;number=4.1&amp;sourceID=14","4.1")</f>
        <v>4.1</v>
      </c>
      <c r="G2275" s="4" t="str">
        <f>HYPERLINK("http://141.218.60.56/~jnz1568/getInfo.php?workbook=13_02.xlsx&amp;sheet=U0&amp;row=2275&amp;col=7&amp;number=0.0018&amp;sourceID=14","0.0018")</f>
        <v>0.0018</v>
      </c>
    </row>
    <row r="2276" spans="1:7">
      <c r="A2276" s="3"/>
      <c r="B2276" s="3"/>
      <c r="C2276" s="3"/>
      <c r="D2276" s="3"/>
      <c r="E2276" s="3">
        <v>13</v>
      </c>
      <c r="F2276" s="4" t="str">
        <f>HYPERLINK("http://141.218.60.56/~jnz1568/getInfo.php?workbook=13_02.xlsx&amp;sheet=U0&amp;row=2276&amp;col=6&amp;number=4.2&amp;sourceID=14","4.2")</f>
        <v>4.2</v>
      </c>
      <c r="G2276" s="4" t="str">
        <f>HYPERLINK("http://141.218.60.56/~jnz1568/getInfo.php?workbook=13_02.xlsx&amp;sheet=U0&amp;row=2276&amp;col=7&amp;number=0.0018&amp;sourceID=14","0.0018")</f>
        <v>0.0018</v>
      </c>
    </row>
    <row r="2277" spans="1:7">
      <c r="A2277" s="3"/>
      <c r="B2277" s="3"/>
      <c r="C2277" s="3"/>
      <c r="D2277" s="3"/>
      <c r="E2277" s="3">
        <v>14</v>
      </c>
      <c r="F2277" s="4" t="str">
        <f>HYPERLINK("http://141.218.60.56/~jnz1568/getInfo.php?workbook=13_02.xlsx&amp;sheet=U0&amp;row=2277&amp;col=6&amp;number=4.3&amp;sourceID=14","4.3")</f>
        <v>4.3</v>
      </c>
      <c r="G2277" s="4" t="str">
        <f>HYPERLINK("http://141.218.60.56/~jnz1568/getInfo.php?workbook=13_02.xlsx&amp;sheet=U0&amp;row=2277&amp;col=7&amp;number=0.0018&amp;sourceID=14","0.0018")</f>
        <v>0.0018</v>
      </c>
    </row>
    <row r="2278" spans="1:7">
      <c r="A2278" s="3"/>
      <c r="B2278" s="3"/>
      <c r="C2278" s="3"/>
      <c r="D2278" s="3"/>
      <c r="E2278" s="3">
        <v>15</v>
      </c>
      <c r="F2278" s="4" t="str">
        <f>HYPERLINK("http://141.218.60.56/~jnz1568/getInfo.php?workbook=13_02.xlsx&amp;sheet=U0&amp;row=2278&amp;col=6&amp;number=4.4&amp;sourceID=14","4.4")</f>
        <v>4.4</v>
      </c>
      <c r="G2278" s="4" t="str">
        <f>HYPERLINK("http://141.218.60.56/~jnz1568/getInfo.php?workbook=13_02.xlsx&amp;sheet=U0&amp;row=2278&amp;col=7&amp;number=0.0018&amp;sourceID=14","0.0018")</f>
        <v>0.0018</v>
      </c>
    </row>
    <row r="2279" spans="1:7">
      <c r="A2279" s="3"/>
      <c r="B2279" s="3"/>
      <c r="C2279" s="3"/>
      <c r="D2279" s="3"/>
      <c r="E2279" s="3">
        <v>16</v>
      </c>
      <c r="F2279" s="4" t="str">
        <f>HYPERLINK("http://141.218.60.56/~jnz1568/getInfo.php?workbook=13_02.xlsx&amp;sheet=U0&amp;row=2279&amp;col=6&amp;number=4.5&amp;sourceID=14","4.5")</f>
        <v>4.5</v>
      </c>
      <c r="G2279" s="4" t="str">
        <f>HYPERLINK("http://141.218.60.56/~jnz1568/getInfo.php?workbook=13_02.xlsx&amp;sheet=U0&amp;row=2279&amp;col=7&amp;number=0.0018&amp;sourceID=14","0.0018")</f>
        <v>0.0018</v>
      </c>
    </row>
    <row r="2280" spans="1:7">
      <c r="A2280" s="3"/>
      <c r="B2280" s="3"/>
      <c r="C2280" s="3"/>
      <c r="D2280" s="3"/>
      <c r="E2280" s="3">
        <v>17</v>
      </c>
      <c r="F2280" s="4" t="str">
        <f>HYPERLINK("http://141.218.60.56/~jnz1568/getInfo.php?workbook=13_02.xlsx&amp;sheet=U0&amp;row=2280&amp;col=6&amp;number=4.6&amp;sourceID=14","4.6")</f>
        <v>4.6</v>
      </c>
      <c r="G2280" s="4" t="str">
        <f>HYPERLINK("http://141.218.60.56/~jnz1568/getInfo.php?workbook=13_02.xlsx&amp;sheet=U0&amp;row=2280&amp;col=7&amp;number=0.0018&amp;sourceID=14","0.0018")</f>
        <v>0.0018</v>
      </c>
    </row>
    <row r="2281" spans="1:7">
      <c r="A2281" s="3"/>
      <c r="B2281" s="3"/>
      <c r="C2281" s="3"/>
      <c r="D2281" s="3"/>
      <c r="E2281" s="3">
        <v>18</v>
      </c>
      <c r="F2281" s="4" t="str">
        <f>HYPERLINK("http://141.218.60.56/~jnz1568/getInfo.php?workbook=13_02.xlsx&amp;sheet=U0&amp;row=2281&amp;col=6&amp;number=4.7&amp;sourceID=14","4.7")</f>
        <v>4.7</v>
      </c>
      <c r="G2281" s="4" t="str">
        <f>HYPERLINK("http://141.218.60.56/~jnz1568/getInfo.php?workbook=13_02.xlsx&amp;sheet=U0&amp;row=2281&amp;col=7&amp;number=0.0018&amp;sourceID=14","0.0018")</f>
        <v>0.0018</v>
      </c>
    </row>
    <row r="2282" spans="1:7">
      <c r="A2282" s="3"/>
      <c r="B2282" s="3"/>
      <c r="C2282" s="3"/>
      <c r="D2282" s="3"/>
      <c r="E2282" s="3">
        <v>19</v>
      </c>
      <c r="F2282" s="4" t="str">
        <f>HYPERLINK("http://141.218.60.56/~jnz1568/getInfo.php?workbook=13_02.xlsx&amp;sheet=U0&amp;row=2282&amp;col=6&amp;number=4.8&amp;sourceID=14","4.8")</f>
        <v>4.8</v>
      </c>
      <c r="G2282" s="4" t="str">
        <f>HYPERLINK("http://141.218.60.56/~jnz1568/getInfo.php?workbook=13_02.xlsx&amp;sheet=U0&amp;row=2282&amp;col=7&amp;number=0.00181&amp;sourceID=14","0.00181")</f>
        <v>0.00181</v>
      </c>
    </row>
    <row r="2283" spans="1:7">
      <c r="A2283" s="3"/>
      <c r="B2283" s="3"/>
      <c r="C2283" s="3"/>
      <c r="D2283" s="3"/>
      <c r="E2283" s="3">
        <v>20</v>
      </c>
      <c r="F2283" s="4" t="str">
        <f>HYPERLINK("http://141.218.60.56/~jnz1568/getInfo.php?workbook=13_02.xlsx&amp;sheet=U0&amp;row=2283&amp;col=6&amp;number=4.9&amp;sourceID=14","4.9")</f>
        <v>4.9</v>
      </c>
      <c r="G2283" s="4" t="str">
        <f>HYPERLINK("http://141.218.60.56/~jnz1568/getInfo.php?workbook=13_02.xlsx&amp;sheet=U0&amp;row=2283&amp;col=7&amp;number=0.00181&amp;sourceID=14","0.00181")</f>
        <v>0.00181</v>
      </c>
    </row>
    <row r="2284" spans="1:7">
      <c r="A2284" s="3">
        <v>13</v>
      </c>
      <c r="B2284" s="3">
        <v>2</v>
      </c>
      <c r="C2284" s="3" t="s">
        <v>90</v>
      </c>
      <c r="D2284" s="3">
        <v>2</v>
      </c>
      <c r="E2284" s="3">
        <v>1</v>
      </c>
      <c r="F2284" s="4" t="str">
        <f>HYPERLINK("http://141.218.60.56/~jnz1568/getInfo.php?workbook=13_02.xlsx&amp;sheet=U0&amp;row=2284&amp;col=6&amp;number=3&amp;sourceID=14","3")</f>
        <v>3</v>
      </c>
      <c r="G2284" s="4" t="str">
        <f>HYPERLINK("http://141.218.60.56/~jnz1568/getInfo.php?workbook=13_02.xlsx&amp;sheet=U0&amp;row=2284&amp;col=7&amp;number=0.000348&amp;sourceID=14","0.000348")</f>
        <v>0.000348</v>
      </c>
    </row>
    <row r="2285" spans="1:7">
      <c r="A2285" s="3"/>
      <c r="B2285" s="3"/>
      <c r="C2285" s="3"/>
      <c r="D2285" s="3"/>
      <c r="E2285" s="3">
        <v>2</v>
      </c>
      <c r="F2285" s="4" t="str">
        <f>HYPERLINK("http://141.218.60.56/~jnz1568/getInfo.php?workbook=13_02.xlsx&amp;sheet=U0&amp;row=2285&amp;col=6&amp;number=3.1&amp;sourceID=14","3.1")</f>
        <v>3.1</v>
      </c>
      <c r="G2285" s="4" t="str">
        <f>HYPERLINK("http://141.218.60.56/~jnz1568/getInfo.php?workbook=13_02.xlsx&amp;sheet=U0&amp;row=2285&amp;col=7&amp;number=0.000348&amp;sourceID=14","0.000348")</f>
        <v>0.000348</v>
      </c>
    </row>
    <row r="2286" spans="1:7">
      <c r="A2286" s="3"/>
      <c r="B2286" s="3"/>
      <c r="C2286" s="3"/>
      <c r="D2286" s="3"/>
      <c r="E2286" s="3">
        <v>3</v>
      </c>
      <c r="F2286" s="4" t="str">
        <f>HYPERLINK("http://141.218.60.56/~jnz1568/getInfo.php?workbook=13_02.xlsx&amp;sheet=U0&amp;row=2286&amp;col=6&amp;number=3.2&amp;sourceID=14","3.2")</f>
        <v>3.2</v>
      </c>
      <c r="G2286" s="4" t="str">
        <f>HYPERLINK("http://141.218.60.56/~jnz1568/getInfo.php?workbook=13_02.xlsx&amp;sheet=U0&amp;row=2286&amp;col=7&amp;number=0.000348&amp;sourceID=14","0.000348")</f>
        <v>0.000348</v>
      </c>
    </row>
    <row r="2287" spans="1:7">
      <c r="A2287" s="3"/>
      <c r="B2287" s="3"/>
      <c r="C2287" s="3"/>
      <c r="D2287" s="3"/>
      <c r="E2287" s="3">
        <v>4</v>
      </c>
      <c r="F2287" s="4" t="str">
        <f>HYPERLINK("http://141.218.60.56/~jnz1568/getInfo.php?workbook=13_02.xlsx&amp;sheet=U0&amp;row=2287&amp;col=6&amp;number=3.3&amp;sourceID=14","3.3")</f>
        <v>3.3</v>
      </c>
      <c r="G2287" s="4" t="str">
        <f>HYPERLINK("http://141.218.60.56/~jnz1568/getInfo.php?workbook=13_02.xlsx&amp;sheet=U0&amp;row=2287&amp;col=7&amp;number=0.000348&amp;sourceID=14","0.000348")</f>
        <v>0.000348</v>
      </c>
    </row>
    <row r="2288" spans="1:7">
      <c r="A2288" s="3"/>
      <c r="B2288" s="3"/>
      <c r="C2288" s="3"/>
      <c r="D2288" s="3"/>
      <c r="E2288" s="3">
        <v>5</v>
      </c>
      <c r="F2288" s="4" t="str">
        <f>HYPERLINK("http://141.218.60.56/~jnz1568/getInfo.php?workbook=13_02.xlsx&amp;sheet=U0&amp;row=2288&amp;col=6&amp;number=3.4&amp;sourceID=14","3.4")</f>
        <v>3.4</v>
      </c>
      <c r="G2288" s="4" t="str">
        <f>HYPERLINK("http://141.218.60.56/~jnz1568/getInfo.php?workbook=13_02.xlsx&amp;sheet=U0&amp;row=2288&amp;col=7&amp;number=0.000348&amp;sourceID=14","0.000348")</f>
        <v>0.000348</v>
      </c>
    </row>
    <row r="2289" spans="1:7">
      <c r="A2289" s="3"/>
      <c r="B2289" s="3"/>
      <c r="C2289" s="3"/>
      <c r="D2289" s="3"/>
      <c r="E2289" s="3">
        <v>6</v>
      </c>
      <c r="F2289" s="4" t="str">
        <f>HYPERLINK("http://141.218.60.56/~jnz1568/getInfo.php?workbook=13_02.xlsx&amp;sheet=U0&amp;row=2289&amp;col=6&amp;number=3.5&amp;sourceID=14","3.5")</f>
        <v>3.5</v>
      </c>
      <c r="G2289" s="4" t="str">
        <f>HYPERLINK("http://141.218.60.56/~jnz1568/getInfo.php?workbook=13_02.xlsx&amp;sheet=U0&amp;row=2289&amp;col=7&amp;number=0.000348&amp;sourceID=14","0.000348")</f>
        <v>0.000348</v>
      </c>
    </row>
    <row r="2290" spans="1:7">
      <c r="A2290" s="3"/>
      <c r="B2290" s="3"/>
      <c r="C2290" s="3"/>
      <c r="D2290" s="3"/>
      <c r="E2290" s="3">
        <v>7</v>
      </c>
      <c r="F2290" s="4" t="str">
        <f>HYPERLINK("http://141.218.60.56/~jnz1568/getInfo.php?workbook=13_02.xlsx&amp;sheet=U0&amp;row=2290&amp;col=6&amp;number=3.6&amp;sourceID=14","3.6")</f>
        <v>3.6</v>
      </c>
      <c r="G2290" s="4" t="str">
        <f>HYPERLINK("http://141.218.60.56/~jnz1568/getInfo.php?workbook=13_02.xlsx&amp;sheet=U0&amp;row=2290&amp;col=7&amp;number=0.000347&amp;sourceID=14","0.000347")</f>
        <v>0.000347</v>
      </c>
    </row>
    <row r="2291" spans="1:7">
      <c r="A2291" s="3"/>
      <c r="B2291" s="3"/>
      <c r="C2291" s="3"/>
      <c r="D2291" s="3"/>
      <c r="E2291" s="3">
        <v>8</v>
      </c>
      <c r="F2291" s="4" t="str">
        <f>HYPERLINK("http://141.218.60.56/~jnz1568/getInfo.php?workbook=13_02.xlsx&amp;sheet=U0&amp;row=2291&amp;col=6&amp;number=3.7&amp;sourceID=14","3.7")</f>
        <v>3.7</v>
      </c>
      <c r="G2291" s="4" t="str">
        <f>HYPERLINK("http://141.218.60.56/~jnz1568/getInfo.php?workbook=13_02.xlsx&amp;sheet=U0&amp;row=2291&amp;col=7&amp;number=0.000347&amp;sourceID=14","0.000347")</f>
        <v>0.000347</v>
      </c>
    </row>
    <row r="2292" spans="1:7">
      <c r="A2292" s="3"/>
      <c r="B2292" s="3"/>
      <c r="C2292" s="3"/>
      <c r="D2292" s="3"/>
      <c r="E2292" s="3">
        <v>9</v>
      </c>
      <c r="F2292" s="4" t="str">
        <f>HYPERLINK("http://141.218.60.56/~jnz1568/getInfo.php?workbook=13_02.xlsx&amp;sheet=U0&amp;row=2292&amp;col=6&amp;number=3.8&amp;sourceID=14","3.8")</f>
        <v>3.8</v>
      </c>
      <c r="G2292" s="4" t="str">
        <f>HYPERLINK("http://141.218.60.56/~jnz1568/getInfo.php?workbook=13_02.xlsx&amp;sheet=U0&amp;row=2292&amp;col=7&amp;number=0.000347&amp;sourceID=14","0.000347")</f>
        <v>0.000347</v>
      </c>
    </row>
    <row r="2293" spans="1:7">
      <c r="A2293" s="3"/>
      <c r="B2293" s="3"/>
      <c r="C2293" s="3"/>
      <c r="D2293" s="3"/>
      <c r="E2293" s="3">
        <v>10</v>
      </c>
      <c r="F2293" s="4" t="str">
        <f>HYPERLINK("http://141.218.60.56/~jnz1568/getInfo.php?workbook=13_02.xlsx&amp;sheet=U0&amp;row=2293&amp;col=6&amp;number=3.9&amp;sourceID=14","3.9")</f>
        <v>3.9</v>
      </c>
      <c r="G2293" s="4" t="str">
        <f>HYPERLINK("http://141.218.60.56/~jnz1568/getInfo.php?workbook=13_02.xlsx&amp;sheet=U0&amp;row=2293&amp;col=7&amp;number=0.000347&amp;sourceID=14","0.000347")</f>
        <v>0.000347</v>
      </c>
    </row>
    <row r="2294" spans="1:7">
      <c r="A2294" s="3"/>
      <c r="B2294" s="3"/>
      <c r="C2294" s="3"/>
      <c r="D2294" s="3"/>
      <c r="E2294" s="3">
        <v>11</v>
      </c>
      <c r="F2294" s="4" t="str">
        <f>HYPERLINK("http://141.218.60.56/~jnz1568/getInfo.php?workbook=13_02.xlsx&amp;sheet=U0&amp;row=2294&amp;col=6&amp;number=4&amp;sourceID=14","4")</f>
        <v>4</v>
      </c>
      <c r="G2294" s="4" t="str">
        <f>HYPERLINK("http://141.218.60.56/~jnz1568/getInfo.php?workbook=13_02.xlsx&amp;sheet=U0&amp;row=2294&amp;col=7&amp;number=0.000347&amp;sourceID=14","0.000347")</f>
        <v>0.000347</v>
      </c>
    </row>
    <row r="2295" spans="1:7">
      <c r="A2295" s="3"/>
      <c r="B2295" s="3"/>
      <c r="C2295" s="3"/>
      <c r="D2295" s="3"/>
      <c r="E2295" s="3">
        <v>12</v>
      </c>
      <c r="F2295" s="4" t="str">
        <f>HYPERLINK("http://141.218.60.56/~jnz1568/getInfo.php?workbook=13_02.xlsx&amp;sheet=U0&amp;row=2295&amp;col=6&amp;number=4.1&amp;sourceID=14","4.1")</f>
        <v>4.1</v>
      </c>
      <c r="G2295" s="4" t="str">
        <f>HYPERLINK("http://141.218.60.56/~jnz1568/getInfo.php?workbook=13_02.xlsx&amp;sheet=U0&amp;row=2295&amp;col=7&amp;number=0.000347&amp;sourceID=14","0.000347")</f>
        <v>0.000347</v>
      </c>
    </row>
    <row r="2296" spans="1:7">
      <c r="A2296" s="3"/>
      <c r="B2296" s="3"/>
      <c r="C2296" s="3"/>
      <c r="D2296" s="3"/>
      <c r="E2296" s="3">
        <v>13</v>
      </c>
      <c r="F2296" s="4" t="str">
        <f>HYPERLINK("http://141.218.60.56/~jnz1568/getInfo.php?workbook=13_02.xlsx&amp;sheet=U0&amp;row=2296&amp;col=6&amp;number=4.2&amp;sourceID=14","4.2")</f>
        <v>4.2</v>
      </c>
      <c r="G2296" s="4" t="str">
        <f>HYPERLINK("http://141.218.60.56/~jnz1568/getInfo.php?workbook=13_02.xlsx&amp;sheet=U0&amp;row=2296&amp;col=7&amp;number=0.000347&amp;sourceID=14","0.000347")</f>
        <v>0.000347</v>
      </c>
    </row>
    <row r="2297" spans="1:7">
      <c r="A2297" s="3"/>
      <c r="B2297" s="3"/>
      <c r="C2297" s="3"/>
      <c r="D2297" s="3"/>
      <c r="E2297" s="3">
        <v>14</v>
      </c>
      <c r="F2297" s="4" t="str">
        <f>HYPERLINK("http://141.218.60.56/~jnz1568/getInfo.php?workbook=13_02.xlsx&amp;sheet=U0&amp;row=2297&amp;col=6&amp;number=4.3&amp;sourceID=14","4.3")</f>
        <v>4.3</v>
      </c>
      <c r="G2297" s="4" t="str">
        <f>HYPERLINK("http://141.218.60.56/~jnz1568/getInfo.php?workbook=13_02.xlsx&amp;sheet=U0&amp;row=2297&amp;col=7&amp;number=0.000346&amp;sourceID=14","0.000346")</f>
        <v>0.000346</v>
      </c>
    </row>
    <row r="2298" spans="1:7">
      <c r="A2298" s="3"/>
      <c r="B2298" s="3"/>
      <c r="C2298" s="3"/>
      <c r="D2298" s="3"/>
      <c r="E2298" s="3">
        <v>15</v>
      </c>
      <c r="F2298" s="4" t="str">
        <f>HYPERLINK("http://141.218.60.56/~jnz1568/getInfo.php?workbook=13_02.xlsx&amp;sheet=U0&amp;row=2298&amp;col=6&amp;number=4.4&amp;sourceID=14","4.4")</f>
        <v>4.4</v>
      </c>
      <c r="G2298" s="4" t="str">
        <f>HYPERLINK("http://141.218.60.56/~jnz1568/getInfo.php?workbook=13_02.xlsx&amp;sheet=U0&amp;row=2298&amp;col=7&amp;number=0.000346&amp;sourceID=14","0.000346")</f>
        <v>0.000346</v>
      </c>
    </row>
    <row r="2299" spans="1:7">
      <c r="A2299" s="3"/>
      <c r="B2299" s="3"/>
      <c r="C2299" s="3"/>
      <c r="D2299" s="3"/>
      <c r="E2299" s="3">
        <v>16</v>
      </c>
      <c r="F2299" s="4" t="str">
        <f>HYPERLINK("http://141.218.60.56/~jnz1568/getInfo.php?workbook=13_02.xlsx&amp;sheet=U0&amp;row=2299&amp;col=6&amp;number=4.5&amp;sourceID=14","4.5")</f>
        <v>4.5</v>
      </c>
      <c r="G2299" s="4" t="str">
        <f>HYPERLINK("http://141.218.60.56/~jnz1568/getInfo.php?workbook=13_02.xlsx&amp;sheet=U0&amp;row=2299&amp;col=7&amp;number=0.000345&amp;sourceID=14","0.000345")</f>
        <v>0.000345</v>
      </c>
    </row>
    <row r="2300" spans="1:7">
      <c r="A2300" s="3"/>
      <c r="B2300" s="3"/>
      <c r="C2300" s="3"/>
      <c r="D2300" s="3"/>
      <c r="E2300" s="3">
        <v>17</v>
      </c>
      <c r="F2300" s="4" t="str">
        <f>HYPERLINK("http://141.218.60.56/~jnz1568/getInfo.php?workbook=13_02.xlsx&amp;sheet=U0&amp;row=2300&amp;col=6&amp;number=4.6&amp;sourceID=14","4.6")</f>
        <v>4.6</v>
      </c>
      <c r="G2300" s="4" t="str">
        <f>HYPERLINK("http://141.218.60.56/~jnz1568/getInfo.php?workbook=13_02.xlsx&amp;sheet=U0&amp;row=2300&amp;col=7&amp;number=0.000345&amp;sourceID=14","0.000345")</f>
        <v>0.000345</v>
      </c>
    </row>
    <row r="2301" spans="1:7">
      <c r="A2301" s="3"/>
      <c r="B2301" s="3"/>
      <c r="C2301" s="3"/>
      <c r="D2301" s="3"/>
      <c r="E2301" s="3">
        <v>18</v>
      </c>
      <c r="F2301" s="4" t="str">
        <f>HYPERLINK("http://141.218.60.56/~jnz1568/getInfo.php?workbook=13_02.xlsx&amp;sheet=U0&amp;row=2301&amp;col=6&amp;number=4.7&amp;sourceID=14","4.7")</f>
        <v>4.7</v>
      </c>
      <c r="G2301" s="4" t="str">
        <f>HYPERLINK("http://141.218.60.56/~jnz1568/getInfo.php?workbook=13_02.xlsx&amp;sheet=U0&amp;row=2301&amp;col=7&amp;number=0.000344&amp;sourceID=14","0.000344")</f>
        <v>0.000344</v>
      </c>
    </row>
    <row r="2302" spans="1:7">
      <c r="A2302" s="3"/>
      <c r="B2302" s="3"/>
      <c r="C2302" s="3"/>
      <c r="D2302" s="3"/>
      <c r="E2302" s="3">
        <v>19</v>
      </c>
      <c r="F2302" s="4" t="str">
        <f>HYPERLINK("http://141.218.60.56/~jnz1568/getInfo.php?workbook=13_02.xlsx&amp;sheet=U0&amp;row=2302&amp;col=6&amp;number=4.8&amp;sourceID=14","4.8")</f>
        <v>4.8</v>
      </c>
      <c r="G2302" s="4" t="str">
        <f>HYPERLINK("http://141.218.60.56/~jnz1568/getInfo.php?workbook=13_02.xlsx&amp;sheet=U0&amp;row=2302&amp;col=7&amp;number=0.000343&amp;sourceID=14","0.000343")</f>
        <v>0.000343</v>
      </c>
    </row>
    <row r="2303" spans="1:7">
      <c r="A2303" s="3"/>
      <c r="B2303" s="3"/>
      <c r="C2303" s="3"/>
      <c r="D2303" s="3"/>
      <c r="E2303" s="3">
        <v>20</v>
      </c>
      <c r="F2303" s="4" t="str">
        <f>HYPERLINK("http://141.218.60.56/~jnz1568/getInfo.php?workbook=13_02.xlsx&amp;sheet=U0&amp;row=2303&amp;col=6&amp;number=4.9&amp;sourceID=14","4.9")</f>
        <v>4.9</v>
      </c>
      <c r="G2303" s="4" t="str">
        <f>HYPERLINK("http://141.218.60.56/~jnz1568/getInfo.php?workbook=13_02.xlsx&amp;sheet=U0&amp;row=2303&amp;col=7&amp;number=0.000342&amp;sourceID=14","0.000342")</f>
        <v>0.000342</v>
      </c>
    </row>
    <row r="2304" spans="1:7">
      <c r="A2304" s="3">
        <v>13</v>
      </c>
      <c r="B2304" s="3">
        <v>2</v>
      </c>
      <c r="C2304" s="3" t="s">
        <v>90</v>
      </c>
      <c r="D2304" s="3">
        <v>3</v>
      </c>
      <c r="E2304" s="3">
        <v>1</v>
      </c>
      <c r="F2304" s="4" t="str">
        <f>HYPERLINK("http://141.218.60.56/~jnz1568/getInfo.php?workbook=13_02.xlsx&amp;sheet=U0&amp;row=2304&amp;col=6&amp;number=3&amp;sourceID=14","3")</f>
        <v>3</v>
      </c>
      <c r="G2304" s="4" t="str">
        <f>HYPERLINK("http://141.218.60.56/~jnz1568/getInfo.php?workbook=13_02.xlsx&amp;sheet=U0&amp;row=2304&amp;col=7&amp;number=0.00189&amp;sourceID=14","0.00189")</f>
        <v>0.00189</v>
      </c>
    </row>
    <row r="2305" spans="1:7">
      <c r="A2305" s="3"/>
      <c r="B2305" s="3"/>
      <c r="C2305" s="3"/>
      <c r="D2305" s="3"/>
      <c r="E2305" s="3">
        <v>2</v>
      </c>
      <c r="F2305" s="4" t="str">
        <f>HYPERLINK("http://141.218.60.56/~jnz1568/getInfo.php?workbook=13_02.xlsx&amp;sheet=U0&amp;row=2305&amp;col=6&amp;number=3.1&amp;sourceID=14","3.1")</f>
        <v>3.1</v>
      </c>
      <c r="G2305" s="4" t="str">
        <f>HYPERLINK("http://141.218.60.56/~jnz1568/getInfo.php?workbook=13_02.xlsx&amp;sheet=U0&amp;row=2305&amp;col=7&amp;number=0.00189&amp;sourceID=14","0.00189")</f>
        <v>0.00189</v>
      </c>
    </row>
    <row r="2306" spans="1:7">
      <c r="A2306" s="3"/>
      <c r="B2306" s="3"/>
      <c r="C2306" s="3"/>
      <c r="D2306" s="3"/>
      <c r="E2306" s="3">
        <v>3</v>
      </c>
      <c r="F2306" s="4" t="str">
        <f>HYPERLINK("http://141.218.60.56/~jnz1568/getInfo.php?workbook=13_02.xlsx&amp;sheet=U0&amp;row=2306&amp;col=6&amp;number=3.2&amp;sourceID=14","3.2")</f>
        <v>3.2</v>
      </c>
      <c r="G2306" s="4" t="str">
        <f>HYPERLINK("http://141.218.60.56/~jnz1568/getInfo.php?workbook=13_02.xlsx&amp;sheet=U0&amp;row=2306&amp;col=7&amp;number=0.00189&amp;sourceID=14","0.00189")</f>
        <v>0.00189</v>
      </c>
    </row>
    <row r="2307" spans="1:7">
      <c r="A2307" s="3"/>
      <c r="B2307" s="3"/>
      <c r="C2307" s="3"/>
      <c r="D2307" s="3"/>
      <c r="E2307" s="3">
        <v>4</v>
      </c>
      <c r="F2307" s="4" t="str">
        <f>HYPERLINK("http://141.218.60.56/~jnz1568/getInfo.php?workbook=13_02.xlsx&amp;sheet=U0&amp;row=2307&amp;col=6&amp;number=3.3&amp;sourceID=14","3.3")</f>
        <v>3.3</v>
      </c>
      <c r="G2307" s="4" t="str">
        <f>HYPERLINK("http://141.218.60.56/~jnz1568/getInfo.php?workbook=13_02.xlsx&amp;sheet=U0&amp;row=2307&amp;col=7&amp;number=0.00189&amp;sourceID=14","0.00189")</f>
        <v>0.00189</v>
      </c>
    </row>
    <row r="2308" spans="1:7">
      <c r="A2308" s="3"/>
      <c r="B2308" s="3"/>
      <c r="C2308" s="3"/>
      <c r="D2308" s="3"/>
      <c r="E2308" s="3">
        <v>5</v>
      </c>
      <c r="F2308" s="4" t="str">
        <f>HYPERLINK("http://141.218.60.56/~jnz1568/getInfo.php?workbook=13_02.xlsx&amp;sheet=U0&amp;row=2308&amp;col=6&amp;number=3.4&amp;sourceID=14","3.4")</f>
        <v>3.4</v>
      </c>
      <c r="G2308" s="4" t="str">
        <f>HYPERLINK("http://141.218.60.56/~jnz1568/getInfo.php?workbook=13_02.xlsx&amp;sheet=U0&amp;row=2308&amp;col=7&amp;number=0.00189&amp;sourceID=14","0.00189")</f>
        <v>0.00189</v>
      </c>
    </row>
    <row r="2309" spans="1:7">
      <c r="A2309" s="3"/>
      <c r="B2309" s="3"/>
      <c r="C2309" s="3"/>
      <c r="D2309" s="3"/>
      <c r="E2309" s="3">
        <v>6</v>
      </c>
      <c r="F2309" s="4" t="str">
        <f>HYPERLINK("http://141.218.60.56/~jnz1568/getInfo.php?workbook=13_02.xlsx&amp;sheet=U0&amp;row=2309&amp;col=6&amp;number=3.5&amp;sourceID=14","3.5")</f>
        <v>3.5</v>
      </c>
      <c r="G2309" s="4" t="str">
        <f>HYPERLINK("http://141.218.60.56/~jnz1568/getInfo.php?workbook=13_02.xlsx&amp;sheet=U0&amp;row=2309&amp;col=7&amp;number=0.00189&amp;sourceID=14","0.00189")</f>
        <v>0.00189</v>
      </c>
    </row>
    <row r="2310" spans="1:7">
      <c r="A2310" s="3"/>
      <c r="B2310" s="3"/>
      <c r="C2310" s="3"/>
      <c r="D2310" s="3"/>
      <c r="E2310" s="3">
        <v>7</v>
      </c>
      <c r="F2310" s="4" t="str">
        <f>HYPERLINK("http://141.218.60.56/~jnz1568/getInfo.php?workbook=13_02.xlsx&amp;sheet=U0&amp;row=2310&amp;col=6&amp;number=3.6&amp;sourceID=14","3.6")</f>
        <v>3.6</v>
      </c>
      <c r="G2310" s="4" t="str">
        <f>HYPERLINK("http://141.218.60.56/~jnz1568/getInfo.php?workbook=13_02.xlsx&amp;sheet=U0&amp;row=2310&amp;col=7&amp;number=0.00189&amp;sourceID=14","0.00189")</f>
        <v>0.00189</v>
      </c>
    </row>
    <row r="2311" spans="1:7">
      <c r="A2311" s="3"/>
      <c r="B2311" s="3"/>
      <c r="C2311" s="3"/>
      <c r="D2311" s="3"/>
      <c r="E2311" s="3">
        <v>8</v>
      </c>
      <c r="F2311" s="4" t="str">
        <f>HYPERLINK("http://141.218.60.56/~jnz1568/getInfo.php?workbook=13_02.xlsx&amp;sheet=U0&amp;row=2311&amp;col=6&amp;number=3.7&amp;sourceID=14","3.7")</f>
        <v>3.7</v>
      </c>
      <c r="G2311" s="4" t="str">
        <f>HYPERLINK("http://141.218.60.56/~jnz1568/getInfo.php?workbook=13_02.xlsx&amp;sheet=U0&amp;row=2311&amp;col=7&amp;number=0.00189&amp;sourceID=14","0.00189")</f>
        <v>0.00189</v>
      </c>
    </row>
    <row r="2312" spans="1:7">
      <c r="A2312" s="3"/>
      <c r="B2312" s="3"/>
      <c r="C2312" s="3"/>
      <c r="D2312" s="3"/>
      <c r="E2312" s="3">
        <v>9</v>
      </c>
      <c r="F2312" s="4" t="str">
        <f>HYPERLINK("http://141.218.60.56/~jnz1568/getInfo.php?workbook=13_02.xlsx&amp;sheet=U0&amp;row=2312&amp;col=6&amp;number=3.8&amp;sourceID=14","3.8")</f>
        <v>3.8</v>
      </c>
      <c r="G2312" s="4" t="str">
        <f>HYPERLINK("http://141.218.60.56/~jnz1568/getInfo.php?workbook=13_02.xlsx&amp;sheet=U0&amp;row=2312&amp;col=7&amp;number=0.00189&amp;sourceID=14","0.00189")</f>
        <v>0.00189</v>
      </c>
    </row>
    <row r="2313" spans="1:7">
      <c r="A2313" s="3"/>
      <c r="B2313" s="3"/>
      <c r="C2313" s="3"/>
      <c r="D2313" s="3"/>
      <c r="E2313" s="3">
        <v>10</v>
      </c>
      <c r="F2313" s="4" t="str">
        <f>HYPERLINK("http://141.218.60.56/~jnz1568/getInfo.php?workbook=13_02.xlsx&amp;sheet=U0&amp;row=2313&amp;col=6&amp;number=3.9&amp;sourceID=14","3.9")</f>
        <v>3.9</v>
      </c>
      <c r="G2313" s="4" t="str">
        <f>HYPERLINK("http://141.218.60.56/~jnz1568/getInfo.php?workbook=13_02.xlsx&amp;sheet=U0&amp;row=2313&amp;col=7&amp;number=0.00189&amp;sourceID=14","0.00189")</f>
        <v>0.00189</v>
      </c>
    </row>
    <row r="2314" spans="1:7">
      <c r="A2314" s="3"/>
      <c r="B2314" s="3"/>
      <c r="C2314" s="3"/>
      <c r="D2314" s="3"/>
      <c r="E2314" s="3">
        <v>11</v>
      </c>
      <c r="F2314" s="4" t="str">
        <f>HYPERLINK("http://141.218.60.56/~jnz1568/getInfo.php?workbook=13_02.xlsx&amp;sheet=U0&amp;row=2314&amp;col=6&amp;number=4&amp;sourceID=14","4")</f>
        <v>4</v>
      </c>
      <c r="G2314" s="4" t="str">
        <f>HYPERLINK("http://141.218.60.56/~jnz1568/getInfo.php?workbook=13_02.xlsx&amp;sheet=U0&amp;row=2314&amp;col=7&amp;number=0.00189&amp;sourceID=14","0.00189")</f>
        <v>0.00189</v>
      </c>
    </row>
    <row r="2315" spans="1:7">
      <c r="A2315" s="3"/>
      <c r="B2315" s="3"/>
      <c r="C2315" s="3"/>
      <c r="D2315" s="3"/>
      <c r="E2315" s="3">
        <v>12</v>
      </c>
      <c r="F2315" s="4" t="str">
        <f>HYPERLINK("http://141.218.60.56/~jnz1568/getInfo.php?workbook=13_02.xlsx&amp;sheet=U0&amp;row=2315&amp;col=6&amp;number=4.1&amp;sourceID=14","4.1")</f>
        <v>4.1</v>
      </c>
      <c r="G2315" s="4" t="str">
        <f>HYPERLINK("http://141.218.60.56/~jnz1568/getInfo.php?workbook=13_02.xlsx&amp;sheet=U0&amp;row=2315&amp;col=7&amp;number=0.00189&amp;sourceID=14","0.00189")</f>
        <v>0.00189</v>
      </c>
    </row>
    <row r="2316" spans="1:7">
      <c r="A2316" s="3"/>
      <c r="B2316" s="3"/>
      <c r="C2316" s="3"/>
      <c r="D2316" s="3"/>
      <c r="E2316" s="3">
        <v>13</v>
      </c>
      <c r="F2316" s="4" t="str">
        <f>HYPERLINK("http://141.218.60.56/~jnz1568/getInfo.php?workbook=13_02.xlsx&amp;sheet=U0&amp;row=2316&amp;col=6&amp;number=4.2&amp;sourceID=14","4.2")</f>
        <v>4.2</v>
      </c>
      <c r="G2316" s="4" t="str">
        <f>HYPERLINK("http://141.218.60.56/~jnz1568/getInfo.php?workbook=13_02.xlsx&amp;sheet=U0&amp;row=2316&amp;col=7&amp;number=0.00189&amp;sourceID=14","0.00189")</f>
        <v>0.00189</v>
      </c>
    </row>
    <row r="2317" spans="1:7">
      <c r="A2317" s="3"/>
      <c r="B2317" s="3"/>
      <c r="C2317" s="3"/>
      <c r="D2317" s="3"/>
      <c r="E2317" s="3">
        <v>14</v>
      </c>
      <c r="F2317" s="4" t="str">
        <f>HYPERLINK("http://141.218.60.56/~jnz1568/getInfo.php?workbook=13_02.xlsx&amp;sheet=U0&amp;row=2317&amp;col=6&amp;number=4.3&amp;sourceID=14","4.3")</f>
        <v>4.3</v>
      </c>
      <c r="G2317" s="4" t="str">
        <f>HYPERLINK("http://141.218.60.56/~jnz1568/getInfo.php?workbook=13_02.xlsx&amp;sheet=U0&amp;row=2317&amp;col=7&amp;number=0.00189&amp;sourceID=14","0.00189")</f>
        <v>0.00189</v>
      </c>
    </row>
    <row r="2318" spans="1:7">
      <c r="A2318" s="3"/>
      <c r="B2318" s="3"/>
      <c r="C2318" s="3"/>
      <c r="D2318" s="3"/>
      <c r="E2318" s="3">
        <v>15</v>
      </c>
      <c r="F2318" s="4" t="str">
        <f>HYPERLINK("http://141.218.60.56/~jnz1568/getInfo.php?workbook=13_02.xlsx&amp;sheet=U0&amp;row=2318&amp;col=6&amp;number=4.4&amp;sourceID=14","4.4")</f>
        <v>4.4</v>
      </c>
      <c r="G2318" s="4" t="str">
        <f>HYPERLINK("http://141.218.60.56/~jnz1568/getInfo.php?workbook=13_02.xlsx&amp;sheet=U0&amp;row=2318&amp;col=7&amp;number=0.00189&amp;sourceID=14","0.00189")</f>
        <v>0.00189</v>
      </c>
    </row>
    <row r="2319" spans="1:7">
      <c r="A2319" s="3"/>
      <c r="B2319" s="3"/>
      <c r="C2319" s="3"/>
      <c r="D2319" s="3"/>
      <c r="E2319" s="3">
        <v>16</v>
      </c>
      <c r="F2319" s="4" t="str">
        <f>HYPERLINK("http://141.218.60.56/~jnz1568/getInfo.php?workbook=13_02.xlsx&amp;sheet=U0&amp;row=2319&amp;col=6&amp;number=4.5&amp;sourceID=14","4.5")</f>
        <v>4.5</v>
      </c>
      <c r="G2319" s="4" t="str">
        <f>HYPERLINK("http://141.218.60.56/~jnz1568/getInfo.php?workbook=13_02.xlsx&amp;sheet=U0&amp;row=2319&amp;col=7&amp;number=0.00189&amp;sourceID=14","0.00189")</f>
        <v>0.00189</v>
      </c>
    </row>
    <row r="2320" spans="1:7">
      <c r="A2320" s="3"/>
      <c r="B2320" s="3"/>
      <c r="C2320" s="3"/>
      <c r="D2320" s="3"/>
      <c r="E2320" s="3">
        <v>17</v>
      </c>
      <c r="F2320" s="4" t="str">
        <f>HYPERLINK("http://141.218.60.56/~jnz1568/getInfo.php?workbook=13_02.xlsx&amp;sheet=U0&amp;row=2320&amp;col=6&amp;number=4.6&amp;sourceID=14","4.6")</f>
        <v>4.6</v>
      </c>
      <c r="G2320" s="4" t="str">
        <f>HYPERLINK("http://141.218.60.56/~jnz1568/getInfo.php?workbook=13_02.xlsx&amp;sheet=U0&amp;row=2320&amp;col=7&amp;number=0.00189&amp;sourceID=14","0.00189")</f>
        <v>0.00189</v>
      </c>
    </row>
    <row r="2321" spans="1:7">
      <c r="A2321" s="3"/>
      <c r="B2321" s="3"/>
      <c r="C2321" s="3"/>
      <c r="D2321" s="3"/>
      <c r="E2321" s="3">
        <v>18</v>
      </c>
      <c r="F2321" s="4" t="str">
        <f>HYPERLINK("http://141.218.60.56/~jnz1568/getInfo.php?workbook=13_02.xlsx&amp;sheet=U0&amp;row=2321&amp;col=6&amp;number=4.7&amp;sourceID=14","4.7")</f>
        <v>4.7</v>
      </c>
      <c r="G2321" s="4" t="str">
        <f>HYPERLINK("http://141.218.60.56/~jnz1568/getInfo.php?workbook=13_02.xlsx&amp;sheet=U0&amp;row=2321&amp;col=7&amp;number=0.00189&amp;sourceID=14","0.00189")</f>
        <v>0.00189</v>
      </c>
    </row>
    <row r="2322" spans="1:7">
      <c r="A2322" s="3"/>
      <c r="B2322" s="3"/>
      <c r="C2322" s="3"/>
      <c r="D2322" s="3"/>
      <c r="E2322" s="3">
        <v>19</v>
      </c>
      <c r="F2322" s="4" t="str">
        <f>HYPERLINK("http://141.218.60.56/~jnz1568/getInfo.php?workbook=13_02.xlsx&amp;sheet=U0&amp;row=2322&amp;col=6&amp;number=4.8&amp;sourceID=14","4.8")</f>
        <v>4.8</v>
      </c>
      <c r="G2322" s="4" t="str">
        <f>HYPERLINK("http://141.218.60.56/~jnz1568/getInfo.php?workbook=13_02.xlsx&amp;sheet=U0&amp;row=2322&amp;col=7&amp;number=0.00189&amp;sourceID=14","0.00189")</f>
        <v>0.00189</v>
      </c>
    </row>
    <row r="2323" spans="1:7">
      <c r="A2323" s="3"/>
      <c r="B2323" s="3"/>
      <c r="C2323" s="3"/>
      <c r="D2323" s="3"/>
      <c r="E2323" s="3">
        <v>20</v>
      </c>
      <c r="F2323" s="4" t="str">
        <f>HYPERLINK("http://141.218.60.56/~jnz1568/getInfo.php?workbook=13_02.xlsx&amp;sheet=U0&amp;row=2323&amp;col=6&amp;number=4.9&amp;sourceID=14","4.9")</f>
        <v>4.9</v>
      </c>
      <c r="G2323" s="4" t="str">
        <f>HYPERLINK("http://141.218.60.56/~jnz1568/getInfo.php?workbook=13_02.xlsx&amp;sheet=U0&amp;row=2323&amp;col=7&amp;number=0.00189&amp;sourceID=14","0.00189")</f>
        <v>0.00189</v>
      </c>
    </row>
    <row r="2324" spans="1:7">
      <c r="A2324" s="3">
        <v>13</v>
      </c>
      <c r="B2324" s="3">
        <v>2</v>
      </c>
      <c r="C2324" s="3" t="s">
        <v>90</v>
      </c>
      <c r="D2324" s="3">
        <v>4</v>
      </c>
      <c r="E2324" s="3">
        <v>1</v>
      </c>
      <c r="F2324" s="4" t="str">
        <f>HYPERLINK("http://141.218.60.56/~jnz1568/getInfo.php?workbook=13_02.xlsx&amp;sheet=U0&amp;row=2324&amp;col=6&amp;number=3&amp;sourceID=14","3")</f>
        <v>3</v>
      </c>
      <c r="G2324" s="4" t="str">
        <f>HYPERLINK("http://141.218.60.56/~jnz1568/getInfo.php?workbook=13_02.xlsx&amp;sheet=U0&amp;row=2324&amp;col=7&amp;number=0.000103&amp;sourceID=14","0.000103")</f>
        <v>0.000103</v>
      </c>
    </row>
    <row r="2325" spans="1:7">
      <c r="A2325" s="3"/>
      <c r="B2325" s="3"/>
      <c r="C2325" s="3"/>
      <c r="D2325" s="3"/>
      <c r="E2325" s="3">
        <v>2</v>
      </c>
      <c r="F2325" s="4" t="str">
        <f>HYPERLINK("http://141.218.60.56/~jnz1568/getInfo.php?workbook=13_02.xlsx&amp;sheet=U0&amp;row=2325&amp;col=6&amp;number=3.1&amp;sourceID=14","3.1")</f>
        <v>3.1</v>
      </c>
      <c r="G2325" s="4" t="str">
        <f>HYPERLINK("http://141.218.60.56/~jnz1568/getInfo.php?workbook=13_02.xlsx&amp;sheet=U0&amp;row=2325&amp;col=7&amp;number=0.000103&amp;sourceID=14","0.000103")</f>
        <v>0.000103</v>
      </c>
    </row>
    <row r="2326" spans="1:7">
      <c r="A2326" s="3"/>
      <c r="B2326" s="3"/>
      <c r="C2326" s="3"/>
      <c r="D2326" s="3"/>
      <c r="E2326" s="3">
        <v>3</v>
      </c>
      <c r="F2326" s="4" t="str">
        <f>HYPERLINK("http://141.218.60.56/~jnz1568/getInfo.php?workbook=13_02.xlsx&amp;sheet=U0&amp;row=2326&amp;col=6&amp;number=3.2&amp;sourceID=14","3.2")</f>
        <v>3.2</v>
      </c>
      <c r="G2326" s="4" t="str">
        <f>HYPERLINK("http://141.218.60.56/~jnz1568/getInfo.php?workbook=13_02.xlsx&amp;sheet=U0&amp;row=2326&amp;col=7&amp;number=0.000103&amp;sourceID=14","0.000103")</f>
        <v>0.000103</v>
      </c>
    </row>
    <row r="2327" spans="1:7">
      <c r="A2327" s="3"/>
      <c r="B2327" s="3"/>
      <c r="C2327" s="3"/>
      <c r="D2327" s="3"/>
      <c r="E2327" s="3">
        <v>4</v>
      </c>
      <c r="F2327" s="4" t="str">
        <f>HYPERLINK("http://141.218.60.56/~jnz1568/getInfo.php?workbook=13_02.xlsx&amp;sheet=U0&amp;row=2327&amp;col=6&amp;number=3.3&amp;sourceID=14","3.3")</f>
        <v>3.3</v>
      </c>
      <c r="G2327" s="4" t="str">
        <f>HYPERLINK("http://141.218.60.56/~jnz1568/getInfo.php?workbook=13_02.xlsx&amp;sheet=U0&amp;row=2327&amp;col=7&amp;number=0.000103&amp;sourceID=14","0.000103")</f>
        <v>0.000103</v>
      </c>
    </row>
    <row r="2328" spans="1:7">
      <c r="A2328" s="3"/>
      <c r="B2328" s="3"/>
      <c r="C2328" s="3"/>
      <c r="D2328" s="3"/>
      <c r="E2328" s="3">
        <v>5</v>
      </c>
      <c r="F2328" s="4" t="str">
        <f>HYPERLINK("http://141.218.60.56/~jnz1568/getInfo.php?workbook=13_02.xlsx&amp;sheet=U0&amp;row=2328&amp;col=6&amp;number=3.4&amp;sourceID=14","3.4")</f>
        <v>3.4</v>
      </c>
      <c r="G2328" s="4" t="str">
        <f>HYPERLINK("http://141.218.60.56/~jnz1568/getInfo.php?workbook=13_02.xlsx&amp;sheet=U0&amp;row=2328&amp;col=7&amp;number=0.000103&amp;sourceID=14","0.000103")</f>
        <v>0.000103</v>
      </c>
    </row>
    <row r="2329" spans="1:7">
      <c r="A2329" s="3"/>
      <c r="B2329" s="3"/>
      <c r="C2329" s="3"/>
      <c r="D2329" s="3"/>
      <c r="E2329" s="3">
        <v>6</v>
      </c>
      <c r="F2329" s="4" t="str">
        <f>HYPERLINK("http://141.218.60.56/~jnz1568/getInfo.php?workbook=13_02.xlsx&amp;sheet=U0&amp;row=2329&amp;col=6&amp;number=3.5&amp;sourceID=14","3.5")</f>
        <v>3.5</v>
      </c>
      <c r="G2329" s="4" t="str">
        <f>HYPERLINK("http://141.218.60.56/~jnz1568/getInfo.php?workbook=13_02.xlsx&amp;sheet=U0&amp;row=2329&amp;col=7&amp;number=0.000103&amp;sourceID=14","0.000103")</f>
        <v>0.000103</v>
      </c>
    </row>
    <row r="2330" spans="1:7">
      <c r="A2330" s="3"/>
      <c r="B2330" s="3"/>
      <c r="C2330" s="3"/>
      <c r="D2330" s="3"/>
      <c r="E2330" s="3">
        <v>7</v>
      </c>
      <c r="F2330" s="4" t="str">
        <f>HYPERLINK("http://141.218.60.56/~jnz1568/getInfo.php?workbook=13_02.xlsx&amp;sheet=U0&amp;row=2330&amp;col=6&amp;number=3.6&amp;sourceID=14","3.6")</f>
        <v>3.6</v>
      </c>
      <c r="G2330" s="4" t="str">
        <f>HYPERLINK("http://141.218.60.56/~jnz1568/getInfo.php?workbook=13_02.xlsx&amp;sheet=U0&amp;row=2330&amp;col=7&amp;number=0.000103&amp;sourceID=14","0.000103")</f>
        <v>0.000103</v>
      </c>
    </row>
    <row r="2331" spans="1:7">
      <c r="A2331" s="3"/>
      <c r="B2331" s="3"/>
      <c r="C2331" s="3"/>
      <c r="D2331" s="3"/>
      <c r="E2331" s="3">
        <v>8</v>
      </c>
      <c r="F2331" s="4" t="str">
        <f>HYPERLINK("http://141.218.60.56/~jnz1568/getInfo.php?workbook=13_02.xlsx&amp;sheet=U0&amp;row=2331&amp;col=6&amp;number=3.7&amp;sourceID=14","3.7")</f>
        <v>3.7</v>
      </c>
      <c r="G2331" s="4" t="str">
        <f>HYPERLINK("http://141.218.60.56/~jnz1568/getInfo.php?workbook=13_02.xlsx&amp;sheet=U0&amp;row=2331&amp;col=7&amp;number=0.000103&amp;sourceID=14","0.000103")</f>
        <v>0.000103</v>
      </c>
    </row>
    <row r="2332" spans="1:7">
      <c r="A2332" s="3"/>
      <c r="B2332" s="3"/>
      <c r="C2332" s="3"/>
      <c r="D2332" s="3"/>
      <c r="E2332" s="3">
        <v>9</v>
      </c>
      <c r="F2332" s="4" t="str">
        <f>HYPERLINK("http://141.218.60.56/~jnz1568/getInfo.php?workbook=13_02.xlsx&amp;sheet=U0&amp;row=2332&amp;col=6&amp;number=3.8&amp;sourceID=14","3.8")</f>
        <v>3.8</v>
      </c>
      <c r="G2332" s="4" t="str">
        <f>HYPERLINK("http://141.218.60.56/~jnz1568/getInfo.php?workbook=13_02.xlsx&amp;sheet=U0&amp;row=2332&amp;col=7&amp;number=0.000103&amp;sourceID=14","0.000103")</f>
        <v>0.000103</v>
      </c>
    </row>
    <row r="2333" spans="1:7">
      <c r="A2333" s="3"/>
      <c r="B2333" s="3"/>
      <c r="C2333" s="3"/>
      <c r="D2333" s="3"/>
      <c r="E2333" s="3">
        <v>10</v>
      </c>
      <c r="F2333" s="4" t="str">
        <f>HYPERLINK("http://141.218.60.56/~jnz1568/getInfo.php?workbook=13_02.xlsx&amp;sheet=U0&amp;row=2333&amp;col=6&amp;number=3.9&amp;sourceID=14","3.9")</f>
        <v>3.9</v>
      </c>
      <c r="G2333" s="4" t="str">
        <f>HYPERLINK("http://141.218.60.56/~jnz1568/getInfo.php?workbook=13_02.xlsx&amp;sheet=U0&amp;row=2333&amp;col=7&amp;number=0.000103&amp;sourceID=14","0.000103")</f>
        <v>0.000103</v>
      </c>
    </row>
    <row r="2334" spans="1:7">
      <c r="A2334" s="3"/>
      <c r="B2334" s="3"/>
      <c r="C2334" s="3"/>
      <c r="D2334" s="3"/>
      <c r="E2334" s="3">
        <v>11</v>
      </c>
      <c r="F2334" s="4" t="str">
        <f>HYPERLINK("http://141.218.60.56/~jnz1568/getInfo.php?workbook=13_02.xlsx&amp;sheet=U0&amp;row=2334&amp;col=6&amp;number=4&amp;sourceID=14","4")</f>
        <v>4</v>
      </c>
      <c r="G2334" s="4" t="str">
        <f>HYPERLINK("http://141.218.60.56/~jnz1568/getInfo.php?workbook=13_02.xlsx&amp;sheet=U0&amp;row=2334&amp;col=7&amp;number=0.000103&amp;sourceID=14","0.000103")</f>
        <v>0.000103</v>
      </c>
    </row>
    <row r="2335" spans="1:7">
      <c r="A2335" s="3"/>
      <c r="B2335" s="3"/>
      <c r="C2335" s="3"/>
      <c r="D2335" s="3"/>
      <c r="E2335" s="3">
        <v>12</v>
      </c>
      <c r="F2335" s="4" t="str">
        <f>HYPERLINK("http://141.218.60.56/~jnz1568/getInfo.php?workbook=13_02.xlsx&amp;sheet=U0&amp;row=2335&amp;col=6&amp;number=4.1&amp;sourceID=14","4.1")</f>
        <v>4.1</v>
      </c>
      <c r="G2335" s="4" t="str">
        <f>HYPERLINK("http://141.218.60.56/~jnz1568/getInfo.php?workbook=13_02.xlsx&amp;sheet=U0&amp;row=2335&amp;col=7&amp;number=0.000103&amp;sourceID=14","0.000103")</f>
        <v>0.000103</v>
      </c>
    </row>
    <row r="2336" spans="1:7">
      <c r="A2336" s="3"/>
      <c r="B2336" s="3"/>
      <c r="C2336" s="3"/>
      <c r="D2336" s="3"/>
      <c r="E2336" s="3">
        <v>13</v>
      </c>
      <c r="F2336" s="4" t="str">
        <f>HYPERLINK("http://141.218.60.56/~jnz1568/getInfo.php?workbook=13_02.xlsx&amp;sheet=U0&amp;row=2336&amp;col=6&amp;number=4.2&amp;sourceID=14","4.2")</f>
        <v>4.2</v>
      </c>
      <c r="G2336" s="4" t="str">
        <f>HYPERLINK("http://141.218.60.56/~jnz1568/getInfo.php?workbook=13_02.xlsx&amp;sheet=U0&amp;row=2336&amp;col=7&amp;number=0.000103&amp;sourceID=14","0.000103")</f>
        <v>0.000103</v>
      </c>
    </row>
    <row r="2337" spans="1:7">
      <c r="A2337" s="3"/>
      <c r="B2337" s="3"/>
      <c r="C2337" s="3"/>
      <c r="D2337" s="3"/>
      <c r="E2337" s="3">
        <v>14</v>
      </c>
      <c r="F2337" s="4" t="str">
        <f>HYPERLINK("http://141.218.60.56/~jnz1568/getInfo.php?workbook=13_02.xlsx&amp;sheet=U0&amp;row=2337&amp;col=6&amp;number=4.3&amp;sourceID=14","4.3")</f>
        <v>4.3</v>
      </c>
      <c r="G2337" s="4" t="str">
        <f>HYPERLINK("http://141.218.60.56/~jnz1568/getInfo.php?workbook=13_02.xlsx&amp;sheet=U0&amp;row=2337&amp;col=7&amp;number=0.000103&amp;sourceID=14","0.000103")</f>
        <v>0.000103</v>
      </c>
    </row>
    <row r="2338" spans="1:7">
      <c r="A2338" s="3"/>
      <c r="B2338" s="3"/>
      <c r="C2338" s="3"/>
      <c r="D2338" s="3"/>
      <c r="E2338" s="3">
        <v>15</v>
      </c>
      <c r="F2338" s="4" t="str">
        <f>HYPERLINK("http://141.218.60.56/~jnz1568/getInfo.php?workbook=13_02.xlsx&amp;sheet=U0&amp;row=2338&amp;col=6&amp;number=4.4&amp;sourceID=14","4.4")</f>
        <v>4.4</v>
      </c>
      <c r="G2338" s="4" t="str">
        <f>HYPERLINK("http://141.218.60.56/~jnz1568/getInfo.php?workbook=13_02.xlsx&amp;sheet=U0&amp;row=2338&amp;col=7&amp;number=0.000103&amp;sourceID=14","0.000103")</f>
        <v>0.000103</v>
      </c>
    </row>
    <row r="2339" spans="1:7">
      <c r="A2339" s="3"/>
      <c r="B2339" s="3"/>
      <c r="C2339" s="3"/>
      <c r="D2339" s="3"/>
      <c r="E2339" s="3">
        <v>16</v>
      </c>
      <c r="F2339" s="4" t="str">
        <f>HYPERLINK("http://141.218.60.56/~jnz1568/getInfo.php?workbook=13_02.xlsx&amp;sheet=U0&amp;row=2339&amp;col=6&amp;number=4.5&amp;sourceID=14","4.5")</f>
        <v>4.5</v>
      </c>
      <c r="G2339" s="4" t="str">
        <f>HYPERLINK("http://141.218.60.56/~jnz1568/getInfo.php?workbook=13_02.xlsx&amp;sheet=U0&amp;row=2339&amp;col=7&amp;number=0.000103&amp;sourceID=14","0.000103")</f>
        <v>0.000103</v>
      </c>
    </row>
    <row r="2340" spans="1:7">
      <c r="A2340" s="3"/>
      <c r="B2340" s="3"/>
      <c r="C2340" s="3"/>
      <c r="D2340" s="3"/>
      <c r="E2340" s="3">
        <v>17</v>
      </c>
      <c r="F2340" s="4" t="str">
        <f>HYPERLINK("http://141.218.60.56/~jnz1568/getInfo.php?workbook=13_02.xlsx&amp;sheet=U0&amp;row=2340&amp;col=6&amp;number=4.6&amp;sourceID=14","4.6")</f>
        <v>4.6</v>
      </c>
      <c r="G2340" s="4" t="str">
        <f>HYPERLINK("http://141.218.60.56/~jnz1568/getInfo.php?workbook=13_02.xlsx&amp;sheet=U0&amp;row=2340&amp;col=7&amp;number=0.000103&amp;sourceID=14","0.000103")</f>
        <v>0.000103</v>
      </c>
    </row>
    <row r="2341" spans="1:7">
      <c r="A2341" s="3"/>
      <c r="B2341" s="3"/>
      <c r="C2341" s="3"/>
      <c r="D2341" s="3"/>
      <c r="E2341" s="3">
        <v>18</v>
      </c>
      <c r="F2341" s="4" t="str">
        <f>HYPERLINK("http://141.218.60.56/~jnz1568/getInfo.php?workbook=13_02.xlsx&amp;sheet=U0&amp;row=2341&amp;col=6&amp;number=4.7&amp;sourceID=14","4.7")</f>
        <v>4.7</v>
      </c>
      <c r="G2341" s="4" t="str">
        <f>HYPERLINK("http://141.218.60.56/~jnz1568/getInfo.php?workbook=13_02.xlsx&amp;sheet=U0&amp;row=2341&amp;col=7&amp;number=0.000102&amp;sourceID=14","0.000102")</f>
        <v>0.000102</v>
      </c>
    </row>
    <row r="2342" spans="1:7">
      <c r="A2342" s="3"/>
      <c r="B2342" s="3"/>
      <c r="C2342" s="3"/>
      <c r="D2342" s="3"/>
      <c r="E2342" s="3">
        <v>19</v>
      </c>
      <c r="F2342" s="4" t="str">
        <f>HYPERLINK("http://141.218.60.56/~jnz1568/getInfo.php?workbook=13_02.xlsx&amp;sheet=U0&amp;row=2342&amp;col=6&amp;number=4.8&amp;sourceID=14","4.8")</f>
        <v>4.8</v>
      </c>
      <c r="G2342" s="4" t="str">
        <f>HYPERLINK("http://141.218.60.56/~jnz1568/getInfo.php?workbook=13_02.xlsx&amp;sheet=U0&amp;row=2342&amp;col=7&amp;number=0.000102&amp;sourceID=14","0.000102")</f>
        <v>0.000102</v>
      </c>
    </row>
    <row r="2343" spans="1:7">
      <c r="A2343" s="3"/>
      <c r="B2343" s="3"/>
      <c r="C2343" s="3"/>
      <c r="D2343" s="3"/>
      <c r="E2343" s="3">
        <v>20</v>
      </c>
      <c r="F2343" s="4" t="str">
        <f>HYPERLINK("http://141.218.60.56/~jnz1568/getInfo.php?workbook=13_02.xlsx&amp;sheet=U0&amp;row=2343&amp;col=6&amp;number=4.9&amp;sourceID=14","4.9")</f>
        <v>4.9</v>
      </c>
      <c r="G2343" s="4" t="str">
        <f>HYPERLINK("http://141.218.60.56/~jnz1568/getInfo.php?workbook=13_02.xlsx&amp;sheet=U0&amp;row=2343&amp;col=7&amp;number=0.000102&amp;sourceID=14","0.000102")</f>
        <v>0.000102</v>
      </c>
    </row>
    <row r="2344" spans="1:7">
      <c r="A2344" s="3">
        <v>13</v>
      </c>
      <c r="B2344" s="3">
        <v>2</v>
      </c>
      <c r="C2344" s="3" t="s">
        <v>90</v>
      </c>
      <c r="D2344" s="3">
        <v>5</v>
      </c>
      <c r="E2344" s="3">
        <v>1</v>
      </c>
      <c r="F2344" s="4" t="str">
        <f>HYPERLINK("http://141.218.60.56/~jnz1568/getInfo.php?workbook=13_02.xlsx&amp;sheet=U0&amp;row=2344&amp;col=6&amp;number=3&amp;sourceID=14","3")</f>
        <v>3</v>
      </c>
      <c r="G2344" s="4" t="str">
        <f>HYPERLINK("http://141.218.60.56/~jnz1568/getInfo.php?workbook=13_02.xlsx&amp;sheet=U0&amp;row=2344&amp;col=7&amp;number=0.000327&amp;sourceID=14","0.000327")</f>
        <v>0.000327</v>
      </c>
    </row>
    <row r="2345" spans="1:7">
      <c r="A2345" s="3"/>
      <c r="B2345" s="3"/>
      <c r="C2345" s="3"/>
      <c r="D2345" s="3"/>
      <c r="E2345" s="3">
        <v>2</v>
      </c>
      <c r="F2345" s="4" t="str">
        <f>HYPERLINK("http://141.218.60.56/~jnz1568/getInfo.php?workbook=13_02.xlsx&amp;sheet=U0&amp;row=2345&amp;col=6&amp;number=3.1&amp;sourceID=14","3.1")</f>
        <v>3.1</v>
      </c>
      <c r="G2345" s="4" t="str">
        <f>HYPERLINK("http://141.218.60.56/~jnz1568/getInfo.php?workbook=13_02.xlsx&amp;sheet=U0&amp;row=2345&amp;col=7&amp;number=0.000327&amp;sourceID=14","0.000327")</f>
        <v>0.000327</v>
      </c>
    </row>
    <row r="2346" spans="1:7">
      <c r="A2346" s="3"/>
      <c r="B2346" s="3"/>
      <c r="C2346" s="3"/>
      <c r="D2346" s="3"/>
      <c r="E2346" s="3">
        <v>3</v>
      </c>
      <c r="F2346" s="4" t="str">
        <f>HYPERLINK("http://141.218.60.56/~jnz1568/getInfo.php?workbook=13_02.xlsx&amp;sheet=U0&amp;row=2346&amp;col=6&amp;number=3.2&amp;sourceID=14","3.2")</f>
        <v>3.2</v>
      </c>
      <c r="G2346" s="4" t="str">
        <f>HYPERLINK("http://141.218.60.56/~jnz1568/getInfo.php?workbook=13_02.xlsx&amp;sheet=U0&amp;row=2346&amp;col=7&amp;number=0.000327&amp;sourceID=14","0.000327")</f>
        <v>0.000327</v>
      </c>
    </row>
    <row r="2347" spans="1:7">
      <c r="A2347" s="3"/>
      <c r="B2347" s="3"/>
      <c r="C2347" s="3"/>
      <c r="D2347" s="3"/>
      <c r="E2347" s="3">
        <v>4</v>
      </c>
      <c r="F2347" s="4" t="str">
        <f>HYPERLINK("http://141.218.60.56/~jnz1568/getInfo.php?workbook=13_02.xlsx&amp;sheet=U0&amp;row=2347&amp;col=6&amp;number=3.3&amp;sourceID=14","3.3")</f>
        <v>3.3</v>
      </c>
      <c r="G2347" s="4" t="str">
        <f>HYPERLINK("http://141.218.60.56/~jnz1568/getInfo.php?workbook=13_02.xlsx&amp;sheet=U0&amp;row=2347&amp;col=7&amp;number=0.000327&amp;sourceID=14","0.000327")</f>
        <v>0.000327</v>
      </c>
    </row>
    <row r="2348" spans="1:7">
      <c r="A2348" s="3"/>
      <c r="B2348" s="3"/>
      <c r="C2348" s="3"/>
      <c r="D2348" s="3"/>
      <c r="E2348" s="3">
        <v>5</v>
      </c>
      <c r="F2348" s="4" t="str">
        <f>HYPERLINK("http://141.218.60.56/~jnz1568/getInfo.php?workbook=13_02.xlsx&amp;sheet=U0&amp;row=2348&amp;col=6&amp;number=3.4&amp;sourceID=14","3.4")</f>
        <v>3.4</v>
      </c>
      <c r="G2348" s="4" t="str">
        <f>HYPERLINK("http://141.218.60.56/~jnz1568/getInfo.php?workbook=13_02.xlsx&amp;sheet=U0&amp;row=2348&amp;col=7&amp;number=0.000327&amp;sourceID=14","0.000327")</f>
        <v>0.000327</v>
      </c>
    </row>
    <row r="2349" spans="1:7">
      <c r="A2349" s="3"/>
      <c r="B2349" s="3"/>
      <c r="C2349" s="3"/>
      <c r="D2349" s="3"/>
      <c r="E2349" s="3">
        <v>6</v>
      </c>
      <c r="F2349" s="4" t="str">
        <f>HYPERLINK("http://141.218.60.56/~jnz1568/getInfo.php?workbook=13_02.xlsx&amp;sheet=U0&amp;row=2349&amp;col=6&amp;number=3.5&amp;sourceID=14","3.5")</f>
        <v>3.5</v>
      </c>
      <c r="G2349" s="4" t="str">
        <f>HYPERLINK("http://141.218.60.56/~jnz1568/getInfo.php?workbook=13_02.xlsx&amp;sheet=U0&amp;row=2349&amp;col=7&amp;number=0.000327&amp;sourceID=14","0.000327")</f>
        <v>0.000327</v>
      </c>
    </row>
    <row r="2350" spans="1:7">
      <c r="A2350" s="3"/>
      <c r="B2350" s="3"/>
      <c r="C2350" s="3"/>
      <c r="D2350" s="3"/>
      <c r="E2350" s="3">
        <v>7</v>
      </c>
      <c r="F2350" s="4" t="str">
        <f>HYPERLINK("http://141.218.60.56/~jnz1568/getInfo.php?workbook=13_02.xlsx&amp;sheet=U0&amp;row=2350&amp;col=6&amp;number=3.6&amp;sourceID=14","3.6")</f>
        <v>3.6</v>
      </c>
      <c r="G2350" s="4" t="str">
        <f>HYPERLINK("http://141.218.60.56/~jnz1568/getInfo.php?workbook=13_02.xlsx&amp;sheet=U0&amp;row=2350&amp;col=7&amp;number=0.000327&amp;sourceID=14","0.000327")</f>
        <v>0.000327</v>
      </c>
    </row>
    <row r="2351" spans="1:7">
      <c r="A2351" s="3"/>
      <c r="B2351" s="3"/>
      <c r="C2351" s="3"/>
      <c r="D2351" s="3"/>
      <c r="E2351" s="3">
        <v>8</v>
      </c>
      <c r="F2351" s="4" t="str">
        <f>HYPERLINK("http://141.218.60.56/~jnz1568/getInfo.php?workbook=13_02.xlsx&amp;sheet=U0&amp;row=2351&amp;col=6&amp;number=3.7&amp;sourceID=14","3.7")</f>
        <v>3.7</v>
      </c>
      <c r="G2351" s="4" t="str">
        <f>HYPERLINK("http://141.218.60.56/~jnz1568/getInfo.php?workbook=13_02.xlsx&amp;sheet=U0&amp;row=2351&amp;col=7&amp;number=0.000327&amp;sourceID=14","0.000327")</f>
        <v>0.000327</v>
      </c>
    </row>
    <row r="2352" spans="1:7">
      <c r="A2352" s="3"/>
      <c r="B2352" s="3"/>
      <c r="C2352" s="3"/>
      <c r="D2352" s="3"/>
      <c r="E2352" s="3">
        <v>9</v>
      </c>
      <c r="F2352" s="4" t="str">
        <f>HYPERLINK("http://141.218.60.56/~jnz1568/getInfo.php?workbook=13_02.xlsx&amp;sheet=U0&amp;row=2352&amp;col=6&amp;number=3.8&amp;sourceID=14","3.8")</f>
        <v>3.8</v>
      </c>
      <c r="G2352" s="4" t="str">
        <f>HYPERLINK("http://141.218.60.56/~jnz1568/getInfo.php?workbook=13_02.xlsx&amp;sheet=U0&amp;row=2352&amp;col=7&amp;number=0.000327&amp;sourceID=14","0.000327")</f>
        <v>0.000327</v>
      </c>
    </row>
    <row r="2353" spans="1:7">
      <c r="A2353" s="3"/>
      <c r="B2353" s="3"/>
      <c r="C2353" s="3"/>
      <c r="D2353" s="3"/>
      <c r="E2353" s="3">
        <v>10</v>
      </c>
      <c r="F2353" s="4" t="str">
        <f>HYPERLINK("http://141.218.60.56/~jnz1568/getInfo.php?workbook=13_02.xlsx&amp;sheet=U0&amp;row=2353&amp;col=6&amp;number=3.9&amp;sourceID=14","3.9")</f>
        <v>3.9</v>
      </c>
      <c r="G2353" s="4" t="str">
        <f>HYPERLINK("http://141.218.60.56/~jnz1568/getInfo.php?workbook=13_02.xlsx&amp;sheet=U0&amp;row=2353&amp;col=7&amp;number=0.000327&amp;sourceID=14","0.000327")</f>
        <v>0.000327</v>
      </c>
    </row>
    <row r="2354" spans="1:7">
      <c r="A2354" s="3"/>
      <c r="B2354" s="3"/>
      <c r="C2354" s="3"/>
      <c r="D2354" s="3"/>
      <c r="E2354" s="3">
        <v>11</v>
      </c>
      <c r="F2354" s="4" t="str">
        <f>HYPERLINK("http://141.218.60.56/~jnz1568/getInfo.php?workbook=13_02.xlsx&amp;sheet=U0&amp;row=2354&amp;col=6&amp;number=4&amp;sourceID=14","4")</f>
        <v>4</v>
      </c>
      <c r="G2354" s="4" t="str">
        <f>HYPERLINK("http://141.218.60.56/~jnz1568/getInfo.php?workbook=13_02.xlsx&amp;sheet=U0&amp;row=2354&amp;col=7&amp;number=0.000326&amp;sourceID=14","0.000326")</f>
        <v>0.000326</v>
      </c>
    </row>
    <row r="2355" spans="1:7">
      <c r="A2355" s="3"/>
      <c r="B2355" s="3"/>
      <c r="C2355" s="3"/>
      <c r="D2355" s="3"/>
      <c r="E2355" s="3">
        <v>12</v>
      </c>
      <c r="F2355" s="4" t="str">
        <f>HYPERLINK("http://141.218.60.56/~jnz1568/getInfo.php?workbook=13_02.xlsx&amp;sheet=U0&amp;row=2355&amp;col=6&amp;number=4.1&amp;sourceID=14","4.1")</f>
        <v>4.1</v>
      </c>
      <c r="G2355" s="4" t="str">
        <f>HYPERLINK("http://141.218.60.56/~jnz1568/getInfo.php?workbook=13_02.xlsx&amp;sheet=U0&amp;row=2355&amp;col=7&amp;number=0.000326&amp;sourceID=14","0.000326")</f>
        <v>0.000326</v>
      </c>
    </row>
    <row r="2356" spans="1:7">
      <c r="A2356" s="3"/>
      <c r="B2356" s="3"/>
      <c r="C2356" s="3"/>
      <c r="D2356" s="3"/>
      <c r="E2356" s="3">
        <v>13</v>
      </c>
      <c r="F2356" s="4" t="str">
        <f>HYPERLINK("http://141.218.60.56/~jnz1568/getInfo.php?workbook=13_02.xlsx&amp;sheet=U0&amp;row=2356&amp;col=6&amp;number=4.2&amp;sourceID=14","4.2")</f>
        <v>4.2</v>
      </c>
      <c r="G2356" s="4" t="str">
        <f>HYPERLINK("http://141.218.60.56/~jnz1568/getInfo.php?workbook=13_02.xlsx&amp;sheet=U0&amp;row=2356&amp;col=7&amp;number=0.000326&amp;sourceID=14","0.000326")</f>
        <v>0.000326</v>
      </c>
    </row>
    <row r="2357" spans="1:7">
      <c r="A2357" s="3"/>
      <c r="B2357" s="3"/>
      <c r="C2357" s="3"/>
      <c r="D2357" s="3"/>
      <c r="E2357" s="3">
        <v>14</v>
      </c>
      <c r="F2357" s="4" t="str">
        <f>HYPERLINK("http://141.218.60.56/~jnz1568/getInfo.php?workbook=13_02.xlsx&amp;sheet=U0&amp;row=2357&amp;col=6&amp;number=4.3&amp;sourceID=14","4.3")</f>
        <v>4.3</v>
      </c>
      <c r="G2357" s="4" t="str">
        <f>HYPERLINK("http://141.218.60.56/~jnz1568/getInfo.php?workbook=13_02.xlsx&amp;sheet=U0&amp;row=2357&amp;col=7&amp;number=0.000326&amp;sourceID=14","0.000326")</f>
        <v>0.000326</v>
      </c>
    </row>
    <row r="2358" spans="1:7">
      <c r="A2358" s="3"/>
      <c r="B2358" s="3"/>
      <c r="C2358" s="3"/>
      <c r="D2358" s="3"/>
      <c r="E2358" s="3">
        <v>15</v>
      </c>
      <c r="F2358" s="4" t="str">
        <f>HYPERLINK("http://141.218.60.56/~jnz1568/getInfo.php?workbook=13_02.xlsx&amp;sheet=U0&amp;row=2358&amp;col=6&amp;number=4.4&amp;sourceID=14","4.4")</f>
        <v>4.4</v>
      </c>
      <c r="G2358" s="4" t="str">
        <f>HYPERLINK("http://141.218.60.56/~jnz1568/getInfo.php?workbook=13_02.xlsx&amp;sheet=U0&amp;row=2358&amp;col=7&amp;number=0.000325&amp;sourceID=14","0.000325")</f>
        <v>0.000325</v>
      </c>
    </row>
    <row r="2359" spans="1:7">
      <c r="A2359" s="3"/>
      <c r="B2359" s="3"/>
      <c r="C2359" s="3"/>
      <c r="D2359" s="3"/>
      <c r="E2359" s="3">
        <v>16</v>
      </c>
      <c r="F2359" s="4" t="str">
        <f>HYPERLINK("http://141.218.60.56/~jnz1568/getInfo.php?workbook=13_02.xlsx&amp;sheet=U0&amp;row=2359&amp;col=6&amp;number=4.5&amp;sourceID=14","4.5")</f>
        <v>4.5</v>
      </c>
      <c r="G2359" s="4" t="str">
        <f>HYPERLINK("http://141.218.60.56/~jnz1568/getInfo.php?workbook=13_02.xlsx&amp;sheet=U0&amp;row=2359&amp;col=7&amp;number=0.000325&amp;sourceID=14","0.000325")</f>
        <v>0.000325</v>
      </c>
    </row>
    <row r="2360" spans="1:7">
      <c r="A2360" s="3"/>
      <c r="B2360" s="3"/>
      <c r="C2360" s="3"/>
      <c r="D2360" s="3"/>
      <c r="E2360" s="3">
        <v>17</v>
      </c>
      <c r="F2360" s="4" t="str">
        <f>HYPERLINK("http://141.218.60.56/~jnz1568/getInfo.php?workbook=13_02.xlsx&amp;sheet=U0&amp;row=2360&amp;col=6&amp;number=4.6&amp;sourceID=14","4.6")</f>
        <v>4.6</v>
      </c>
      <c r="G2360" s="4" t="str">
        <f>HYPERLINK("http://141.218.60.56/~jnz1568/getInfo.php?workbook=13_02.xlsx&amp;sheet=U0&amp;row=2360&amp;col=7&amp;number=0.000324&amp;sourceID=14","0.000324")</f>
        <v>0.000324</v>
      </c>
    </row>
    <row r="2361" spans="1:7">
      <c r="A2361" s="3"/>
      <c r="B2361" s="3"/>
      <c r="C2361" s="3"/>
      <c r="D2361" s="3"/>
      <c r="E2361" s="3">
        <v>18</v>
      </c>
      <c r="F2361" s="4" t="str">
        <f>HYPERLINK("http://141.218.60.56/~jnz1568/getInfo.php?workbook=13_02.xlsx&amp;sheet=U0&amp;row=2361&amp;col=6&amp;number=4.7&amp;sourceID=14","4.7")</f>
        <v>4.7</v>
      </c>
      <c r="G2361" s="4" t="str">
        <f>HYPERLINK("http://141.218.60.56/~jnz1568/getInfo.php?workbook=13_02.xlsx&amp;sheet=U0&amp;row=2361&amp;col=7&amp;number=0.000324&amp;sourceID=14","0.000324")</f>
        <v>0.000324</v>
      </c>
    </row>
    <row r="2362" spans="1:7">
      <c r="A2362" s="3"/>
      <c r="B2362" s="3"/>
      <c r="C2362" s="3"/>
      <c r="D2362" s="3"/>
      <c r="E2362" s="3">
        <v>19</v>
      </c>
      <c r="F2362" s="4" t="str">
        <f>HYPERLINK("http://141.218.60.56/~jnz1568/getInfo.php?workbook=13_02.xlsx&amp;sheet=U0&amp;row=2362&amp;col=6&amp;number=4.8&amp;sourceID=14","4.8")</f>
        <v>4.8</v>
      </c>
      <c r="G2362" s="4" t="str">
        <f>HYPERLINK("http://141.218.60.56/~jnz1568/getInfo.php?workbook=13_02.xlsx&amp;sheet=U0&amp;row=2362&amp;col=7&amp;number=0.000323&amp;sourceID=14","0.000323")</f>
        <v>0.000323</v>
      </c>
    </row>
    <row r="2363" spans="1:7">
      <c r="A2363" s="3"/>
      <c r="B2363" s="3"/>
      <c r="C2363" s="3"/>
      <c r="D2363" s="3"/>
      <c r="E2363" s="3">
        <v>20</v>
      </c>
      <c r="F2363" s="4" t="str">
        <f>HYPERLINK("http://141.218.60.56/~jnz1568/getInfo.php?workbook=13_02.xlsx&amp;sheet=U0&amp;row=2363&amp;col=6&amp;number=4.9&amp;sourceID=14","4.9")</f>
        <v>4.9</v>
      </c>
      <c r="G2363" s="4" t="str">
        <f>HYPERLINK("http://141.218.60.56/~jnz1568/getInfo.php?workbook=13_02.xlsx&amp;sheet=U0&amp;row=2363&amp;col=7&amp;number=0.000321&amp;sourceID=14","0.000321")</f>
        <v>0.000321</v>
      </c>
    </row>
    <row r="2364" spans="1:7">
      <c r="A2364" s="3">
        <v>13</v>
      </c>
      <c r="B2364" s="3">
        <v>2</v>
      </c>
      <c r="C2364" s="3" t="s">
        <v>90</v>
      </c>
      <c r="D2364" s="3">
        <v>6</v>
      </c>
      <c r="E2364" s="3">
        <v>1</v>
      </c>
      <c r="F2364" s="4" t="str">
        <f>HYPERLINK("http://141.218.60.56/~jnz1568/getInfo.php?workbook=13_02.xlsx&amp;sheet=U0&amp;row=2364&amp;col=6&amp;number=3&amp;sourceID=14","3")</f>
        <v>3</v>
      </c>
      <c r="G2364" s="4" t="str">
        <f>HYPERLINK("http://141.218.60.56/~jnz1568/getInfo.php?workbook=13_02.xlsx&amp;sheet=U0&amp;row=2364&amp;col=7&amp;number=0.000518&amp;sourceID=14","0.000518")</f>
        <v>0.000518</v>
      </c>
    </row>
    <row r="2365" spans="1:7">
      <c r="A2365" s="3"/>
      <c r="B2365" s="3"/>
      <c r="C2365" s="3"/>
      <c r="D2365" s="3"/>
      <c r="E2365" s="3">
        <v>2</v>
      </c>
      <c r="F2365" s="4" t="str">
        <f>HYPERLINK("http://141.218.60.56/~jnz1568/getInfo.php?workbook=13_02.xlsx&amp;sheet=U0&amp;row=2365&amp;col=6&amp;number=3.1&amp;sourceID=14","3.1")</f>
        <v>3.1</v>
      </c>
      <c r="G2365" s="4" t="str">
        <f>HYPERLINK("http://141.218.60.56/~jnz1568/getInfo.php?workbook=13_02.xlsx&amp;sheet=U0&amp;row=2365&amp;col=7&amp;number=0.000518&amp;sourceID=14","0.000518")</f>
        <v>0.000518</v>
      </c>
    </row>
    <row r="2366" spans="1:7">
      <c r="A2366" s="3"/>
      <c r="B2366" s="3"/>
      <c r="C2366" s="3"/>
      <c r="D2366" s="3"/>
      <c r="E2366" s="3">
        <v>3</v>
      </c>
      <c r="F2366" s="4" t="str">
        <f>HYPERLINK("http://141.218.60.56/~jnz1568/getInfo.php?workbook=13_02.xlsx&amp;sheet=U0&amp;row=2366&amp;col=6&amp;number=3.2&amp;sourceID=14","3.2")</f>
        <v>3.2</v>
      </c>
      <c r="G2366" s="4" t="str">
        <f>HYPERLINK("http://141.218.60.56/~jnz1568/getInfo.php?workbook=13_02.xlsx&amp;sheet=U0&amp;row=2366&amp;col=7&amp;number=0.000518&amp;sourceID=14","0.000518")</f>
        <v>0.000518</v>
      </c>
    </row>
    <row r="2367" spans="1:7">
      <c r="A2367" s="3"/>
      <c r="B2367" s="3"/>
      <c r="C2367" s="3"/>
      <c r="D2367" s="3"/>
      <c r="E2367" s="3">
        <v>4</v>
      </c>
      <c r="F2367" s="4" t="str">
        <f>HYPERLINK("http://141.218.60.56/~jnz1568/getInfo.php?workbook=13_02.xlsx&amp;sheet=U0&amp;row=2367&amp;col=6&amp;number=3.3&amp;sourceID=14","3.3")</f>
        <v>3.3</v>
      </c>
      <c r="G2367" s="4" t="str">
        <f>HYPERLINK("http://141.218.60.56/~jnz1568/getInfo.php?workbook=13_02.xlsx&amp;sheet=U0&amp;row=2367&amp;col=7&amp;number=0.000517&amp;sourceID=14","0.000517")</f>
        <v>0.000517</v>
      </c>
    </row>
    <row r="2368" spans="1:7">
      <c r="A2368" s="3"/>
      <c r="B2368" s="3"/>
      <c r="C2368" s="3"/>
      <c r="D2368" s="3"/>
      <c r="E2368" s="3">
        <v>5</v>
      </c>
      <c r="F2368" s="4" t="str">
        <f>HYPERLINK("http://141.218.60.56/~jnz1568/getInfo.php?workbook=13_02.xlsx&amp;sheet=U0&amp;row=2368&amp;col=6&amp;number=3.4&amp;sourceID=14","3.4")</f>
        <v>3.4</v>
      </c>
      <c r="G2368" s="4" t="str">
        <f>HYPERLINK("http://141.218.60.56/~jnz1568/getInfo.php?workbook=13_02.xlsx&amp;sheet=U0&amp;row=2368&amp;col=7&amp;number=0.000517&amp;sourceID=14","0.000517")</f>
        <v>0.000517</v>
      </c>
    </row>
    <row r="2369" spans="1:7">
      <c r="A2369" s="3"/>
      <c r="B2369" s="3"/>
      <c r="C2369" s="3"/>
      <c r="D2369" s="3"/>
      <c r="E2369" s="3">
        <v>6</v>
      </c>
      <c r="F2369" s="4" t="str">
        <f>HYPERLINK("http://141.218.60.56/~jnz1568/getInfo.php?workbook=13_02.xlsx&amp;sheet=U0&amp;row=2369&amp;col=6&amp;number=3.5&amp;sourceID=14","3.5")</f>
        <v>3.5</v>
      </c>
      <c r="G2369" s="4" t="str">
        <f>HYPERLINK("http://141.218.60.56/~jnz1568/getInfo.php?workbook=13_02.xlsx&amp;sheet=U0&amp;row=2369&amp;col=7&amp;number=0.000517&amp;sourceID=14","0.000517")</f>
        <v>0.000517</v>
      </c>
    </row>
    <row r="2370" spans="1:7">
      <c r="A2370" s="3"/>
      <c r="B2370" s="3"/>
      <c r="C2370" s="3"/>
      <c r="D2370" s="3"/>
      <c r="E2370" s="3">
        <v>7</v>
      </c>
      <c r="F2370" s="4" t="str">
        <f>HYPERLINK("http://141.218.60.56/~jnz1568/getInfo.php?workbook=13_02.xlsx&amp;sheet=U0&amp;row=2370&amp;col=6&amp;number=3.6&amp;sourceID=14","3.6")</f>
        <v>3.6</v>
      </c>
      <c r="G2370" s="4" t="str">
        <f>HYPERLINK("http://141.218.60.56/~jnz1568/getInfo.php?workbook=13_02.xlsx&amp;sheet=U0&amp;row=2370&amp;col=7&amp;number=0.000517&amp;sourceID=14","0.000517")</f>
        <v>0.000517</v>
      </c>
    </row>
    <row r="2371" spans="1:7">
      <c r="A2371" s="3"/>
      <c r="B2371" s="3"/>
      <c r="C2371" s="3"/>
      <c r="D2371" s="3"/>
      <c r="E2371" s="3">
        <v>8</v>
      </c>
      <c r="F2371" s="4" t="str">
        <f>HYPERLINK("http://141.218.60.56/~jnz1568/getInfo.php?workbook=13_02.xlsx&amp;sheet=U0&amp;row=2371&amp;col=6&amp;number=3.7&amp;sourceID=14","3.7")</f>
        <v>3.7</v>
      </c>
      <c r="G2371" s="4" t="str">
        <f>HYPERLINK("http://141.218.60.56/~jnz1568/getInfo.php?workbook=13_02.xlsx&amp;sheet=U0&amp;row=2371&amp;col=7&amp;number=0.000517&amp;sourceID=14","0.000517")</f>
        <v>0.000517</v>
      </c>
    </row>
    <row r="2372" spans="1:7">
      <c r="A2372" s="3"/>
      <c r="B2372" s="3"/>
      <c r="C2372" s="3"/>
      <c r="D2372" s="3"/>
      <c r="E2372" s="3">
        <v>9</v>
      </c>
      <c r="F2372" s="4" t="str">
        <f>HYPERLINK("http://141.218.60.56/~jnz1568/getInfo.php?workbook=13_02.xlsx&amp;sheet=U0&amp;row=2372&amp;col=6&amp;number=3.8&amp;sourceID=14","3.8")</f>
        <v>3.8</v>
      </c>
      <c r="G2372" s="4" t="str">
        <f>HYPERLINK("http://141.218.60.56/~jnz1568/getInfo.php?workbook=13_02.xlsx&amp;sheet=U0&amp;row=2372&amp;col=7&amp;number=0.000517&amp;sourceID=14","0.000517")</f>
        <v>0.000517</v>
      </c>
    </row>
    <row r="2373" spans="1:7">
      <c r="A2373" s="3"/>
      <c r="B2373" s="3"/>
      <c r="C2373" s="3"/>
      <c r="D2373" s="3"/>
      <c r="E2373" s="3">
        <v>10</v>
      </c>
      <c r="F2373" s="4" t="str">
        <f>HYPERLINK("http://141.218.60.56/~jnz1568/getInfo.php?workbook=13_02.xlsx&amp;sheet=U0&amp;row=2373&amp;col=6&amp;number=3.9&amp;sourceID=14","3.9")</f>
        <v>3.9</v>
      </c>
      <c r="G2373" s="4" t="str">
        <f>HYPERLINK("http://141.218.60.56/~jnz1568/getInfo.php?workbook=13_02.xlsx&amp;sheet=U0&amp;row=2373&amp;col=7&amp;number=0.000517&amp;sourceID=14","0.000517")</f>
        <v>0.000517</v>
      </c>
    </row>
    <row r="2374" spans="1:7">
      <c r="A2374" s="3"/>
      <c r="B2374" s="3"/>
      <c r="C2374" s="3"/>
      <c r="D2374" s="3"/>
      <c r="E2374" s="3">
        <v>11</v>
      </c>
      <c r="F2374" s="4" t="str">
        <f>HYPERLINK("http://141.218.60.56/~jnz1568/getInfo.php?workbook=13_02.xlsx&amp;sheet=U0&amp;row=2374&amp;col=6&amp;number=4&amp;sourceID=14","4")</f>
        <v>4</v>
      </c>
      <c r="G2374" s="4" t="str">
        <f>HYPERLINK("http://141.218.60.56/~jnz1568/getInfo.php?workbook=13_02.xlsx&amp;sheet=U0&amp;row=2374&amp;col=7&amp;number=0.000517&amp;sourceID=14","0.000517")</f>
        <v>0.000517</v>
      </c>
    </row>
    <row r="2375" spans="1:7">
      <c r="A2375" s="3"/>
      <c r="B2375" s="3"/>
      <c r="C2375" s="3"/>
      <c r="D2375" s="3"/>
      <c r="E2375" s="3">
        <v>12</v>
      </c>
      <c r="F2375" s="4" t="str">
        <f>HYPERLINK("http://141.218.60.56/~jnz1568/getInfo.php?workbook=13_02.xlsx&amp;sheet=U0&amp;row=2375&amp;col=6&amp;number=4.1&amp;sourceID=14","4.1")</f>
        <v>4.1</v>
      </c>
      <c r="G2375" s="4" t="str">
        <f>HYPERLINK("http://141.218.60.56/~jnz1568/getInfo.php?workbook=13_02.xlsx&amp;sheet=U0&amp;row=2375&amp;col=7&amp;number=0.000516&amp;sourceID=14","0.000516")</f>
        <v>0.000516</v>
      </c>
    </row>
    <row r="2376" spans="1:7">
      <c r="A2376" s="3"/>
      <c r="B2376" s="3"/>
      <c r="C2376" s="3"/>
      <c r="D2376" s="3"/>
      <c r="E2376" s="3">
        <v>13</v>
      </c>
      <c r="F2376" s="4" t="str">
        <f>HYPERLINK("http://141.218.60.56/~jnz1568/getInfo.php?workbook=13_02.xlsx&amp;sheet=U0&amp;row=2376&amp;col=6&amp;number=4.2&amp;sourceID=14","4.2")</f>
        <v>4.2</v>
      </c>
      <c r="G2376" s="4" t="str">
        <f>HYPERLINK("http://141.218.60.56/~jnz1568/getInfo.php?workbook=13_02.xlsx&amp;sheet=U0&amp;row=2376&amp;col=7&amp;number=0.000516&amp;sourceID=14","0.000516")</f>
        <v>0.000516</v>
      </c>
    </row>
    <row r="2377" spans="1:7">
      <c r="A2377" s="3"/>
      <c r="B2377" s="3"/>
      <c r="C2377" s="3"/>
      <c r="D2377" s="3"/>
      <c r="E2377" s="3">
        <v>14</v>
      </c>
      <c r="F2377" s="4" t="str">
        <f>HYPERLINK("http://141.218.60.56/~jnz1568/getInfo.php?workbook=13_02.xlsx&amp;sheet=U0&amp;row=2377&amp;col=6&amp;number=4.3&amp;sourceID=14","4.3")</f>
        <v>4.3</v>
      </c>
      <c r="G2377" s="4" t="str">
        <f>HYPERLINK("http://141.218.60.56/~jnz1568/getInfo.php?workbook=13_02.xlsx&amp;sheet=U0&amp;row=2377&amp;col=7&amp;number=0.000515&amp;sourceID=14","0.000515")</f>
        <v>0.000515</v>
      </c>
    </row>
    <row r="2378" spans="1:7">
      <c r="A2378" s="3"/>
      <c r="B2378" s="3"/>
      <c r="C2378" s="3"/>
      <c r="D2378" s="3"/>
      <c r="E2378" s="3">
        <v>15</v>
      </c>
      <c r="F2378" s="4" t="str">
        <f>HYPERLINK("http://141.218.60.56/~jnz1568/getInfo.php?workbook=13_02.xlsx&amp;sheet=U0&amp;row=2378&amp;col=6&amp;number=4.4&amp;sourceID=14","4.4")</f>
        <v>4.4</v>
      </c>
      <c r="G2378" s="4" t="str">
        <f>HYPERLINK("http://141.218.60.56/~jnz1568/getInfo.php?workbook=13_02.xlsx&amp;sheet=U0&amp;row=2378&amp;col=7&amp;number=0.000515&amp;sourceID=14","0.000515")</f>
        <v>0.000515</v>
      </c>
    </row>
    <row r="2379" spans="1:7">
      <c r="A2379" s="3"/>
      <c r="B2379" s="3"/>
      <c r="C2379" s="3"/>
      <c r="D2379" s="3"/>
      <c r="E2379" s="3">
        <v>16</v>
      </c>
      <c r="F2379" s="4" t="str">
        <f>HYPERLINK("http://141.218.60.56/~jnz1568/getInfo.php?workbook=13_02.xlsx&amp;sheet=U0&amp;row=2379&amp;col=6&amp;number=4.5&amp;sourceID=14","4.5")</f>
        <v>4.5</v>
      </c>
      <c r="G2379" s="4" t="str">
        <f>HYPERLINK("http://141.218.60.56/~jnz1568/getInfo.php?workbook=13_02.xlsx&amp;sheet=U0&amp;row=2379&amp;col=7&amp;number=0.000514&amp;sourceID=14","0.000514")</f>
        <v>0.000514</v>
      </c>
    </row>
    <row r="2380" spans="1:7">
      <c r="A2380" s="3"/>
      <c r="B2380" s="3"/>
      <c r="C2380" s="3"/>
      <c r="D2380" s="3"/>
      <c r="E2380" s="3">
        <v>17</v>
      </c>
      <c r="F2380" s="4" t="str">
        <f>HYPERLINK("http://141.218.60.56/~jnz1568/getInfo.php?workbook=13_02.xlsx&amp;sheet=U0&amp;row=2380&amp;col=6&amp;number=4.6&amp;sourceID=14","4.6")</f>
        <v>4.6</v>
      </c>
      <c r="G2380" s="4" t="str">
        <f>HYPERLINK("http://141.218.60.56/~jnz1568/getInfo.php?workbook=13_02.xlsx&amp;sheet=U0&amp;row=2380&amp;col=7&amp;number=0.000513&amp;sourceID=14","0.000513")</f>
        <v>0.000513</v>
      </c>
    </row>
    <row r="2381" spans="1:7">
      <c r="A2381" s="3"/>
      <c r="B2381" s="3"/>
      <c r="C2381" s="3"/>
      <c r="D2381" s="3"/>
      <c r="E2381" s="3">
        <v>18</v>
      </c>
      <c r="F2381" s="4" t="str">
        <f>HYPERLINK("http://141.218.60.56/~jnz1568/getInfo.php?workbook=13_02.xlsx&amp;sheet=U0&amp;row=2381&amp;col=6&amp;number=4.7&amp;sourceID=14","4.7")</f>
        <v>4.7</v>
      </c>
      <c r="G2381" s="4" t="str">
        <f>HYPERLINK("http://141.218.60.56/~jnz1568/getInfo.php?workbook=13_02.xlsx&amp;sheet=U0&amp;row=2381&amp;col=7&amp;number=0.000512&amp;sourceID=14","0.000512")</f>
        <v>0.000512</v>
      </c>
    </row>
    <row r="2382" spans="1:7">
      <c r="A2382" s="3"/>
      <c r="B2382" s="3"/>
      <c r="C2382" s="3"/>
      <c r="D2382" s="3"/>
      <c r="E2382" s="3">
        <v>19</v>
      </c>
      <c r="F2382" s="4" t="str">
        <f>HYPERLINK("http://141.218.60.56/~jnz1568/getInfo.php?workbook=13_02.xlsx&amp;sheet=U0&amp;row=2382&amp;col=6&amp;number=4.8&amp;sourceID=14","4.8")</f>
        <v>4.8</v>
      </c>
      <c r="G2382" s="4" t="str">
        <f>HYPERLINK("http://141.218.60.56/~jnz1568/getInfo.php?workbook=13_02.xlsx&amp;sheet=U0&amp;row=2382&amp;col=7&amp;number=0.000511&amp;sourceID=14","0.000511")</f>
        <v>0.000511</v>
      </c>
    </row>
    <row r="2383" spans="1:7">
      <c r="A2383" s="3"/>
      <c r="B2383" s="3"/>
      <c r="C2383" s="3"/>
      <c r="D2383" s="3"/>
      <c r="E2383" s="3">
        <v>20</v>
      </c>
      <c r="F2383" s="4" t="str">
        <f>HYPERLINK("http://141.218.60.56/~jnz1568/getInfo.php?workbook=13_02.xlsx&amp;sheet=U0&amp;row=2383&amp;col=6&amp;number=4.9&amp;sourceID=14","4.9")</f>
        <v>4.9</v>
      </c>
      <c r="G2383" s="4" t="str">
        <f>HYPERLINK("http://141.218.60.56/~jnz1568/getInfo.php?workbook=13_02.xlsx&amp;sheet=U0&amp;row=2383&amp;col=7&amp;number=0.000509&amp;sourceID=14","0.000509")</f>
        <v>0.000509</v>
      </c>
    </row>
    <row r="2384" spans="1:7">
      <c r="A2384" s="3">
        <v>13</v>
      </c>
      <c r="B2384" s="3">
        <v>2</v>
      </c>
      <c r="C2384" s="3" t="s">
        <v>90</v>
      </c>
      <c r="D2384" s="3">
        <v>7</v>
      </c>
      <c r="E2384" s="3">
        <v>1</v>
      </c>
      <c r="F2384" s="4" t="str">
        <f>HYPERLINK("http://141.218.60.56/~jnz1568/getInfo.php?workbook=13_02.xlsx&amp;sheet=U0&amp;row=2384&amp;col=6&amp;number=3&amp;sourceID=14","3")</f>
        <v>3</v>
      </c>
      <c r="G2384" s="4" t="str">
        <f>HYPERLINK("http://141.218.60.56/~jnz1568/getInfo.php?workbook=13_02.xlsx&amp;sheet=U0&amp;row=2384&amp;col=7&amp;number=0.00142&amp;sourceID=14","0.00142")</f>
        <v>0.00142</v>
      </c>
    </row>
    <row r="2385" spans="1:7">
      <c r="A2385" s="3"/>
      <c r="B2385" s="3"/>
      <c r="C2385" s="3"/>
      <c r="D2385" s="3"/>
      <c r="E2385" s="3">
        <v>2</v>
      </c>
      <c r="F2385" s="4" t="str">
        <f>HYPERLINK("http://141.218.60.56/~jnz1568/getInfo.php?workbook=13_02.xlsx&amp;sheet=U0&amp;row=2385&amp;col=6&amp;number=3.1&amp;sourceID=14","3.1")</f>
        <v>3.1</v>
      </c>
      <c r="G2385" s="4" t="str">
        <f>HYPERLINK("http://141.218.60.56/~jnz1568/getInfo.php?workbook=13_02.xlsx&amp;sheet=U0&amp;row=2385&amp;col=7&amp;number=0.00142&amp;sourceID=14","0.00142")</f>
        <v>0.00142</v>
      </c>
    </row>
    <row r="2386" spans="1:7">
      <c r="A2386" s="3"/>
      <c r="B2386" s="3"/>
      <c r="C2386" s="3"/>
      <c r="D2386" s="3"/>
      <c r="E2386" s="3">
        <v>3</v>
      </c>
      <c r="F2386" s="4" t="str">
        <f>HYPERLINK("http://141.218.60.56/~jnz1568/getInfo.php?workbook=13_02.xlsx&amp;sheet=U0&amp;row=2386&amp;col=6&amp;number=3.2&amp;sourceID=14","3.2")</f>
        <v>3.2</v>
      </c>
      <c r="G2386" s="4" t="str">
        <f>HYPERLINK("http://141.218.60.56/~jnz1568/getInfo.php?workbook=13_02.xlsx&amp;sheet=U0&amp;row=2386&amp;col=7&amp;number=0.00142&amp;sourceID=14","0.00142")</f>
        <v>0.00142</v>
      </c>
    </row>
    <row r="2387" spans="1:7">
      <c r="A2387" s="3"/>
      <c r="B2387" s="3"/>
      <c r="C2387" s="3"/>
      <c r="D2387" s="3"/>
      <c r="E2387" s="3">
        <v>4</v>
      </c>
      <c r="F2387" s="4" t="str">
        <f>HYPERLINK("http://141.218.60.56/~jnz1568/getInfo.php?workbook=13_02.xlsx&amp;sheet=U0&amp;row=2387&amp;col=6&amp;number=3.3&amp;sourceID=14","3.3")</f>
        <v>3.3</v>
      </c>
      <c r="G2387" s="4" t="str">
        <f>HYPERLINK("http://141.218.60.56/~jnz1568/getInfo.php?workbook=13_02.xlsx&amp;sheet=U0&amp;row=2387&amp;col=7&amp;number=0.00142&amp;sourceID=14","0.00142")</f>
        <v>0.00142</v>
      </c>
    </row>
    <row r="2388" spans="1:7">
      <c r="A2388" s="3"/>
      <c r="B2388" s="3"/>
      <c r="C2388" s="3"/>
      <c r="D2388" s="3"/>
      <c r="E2388" s="3">
        <v>5</v>
      </c>
      <c r="F2388" s="4" t="str">
        <f>HYPERLINK("http://141.218.60.56/~jnz1568/getInfo.php?workbook=13_02.xlsx&amp;sheet=U0&amp;row=2388&amp;col=6&amp;number=3.4&amp;sourceID=14","3.4")</f>
        <v>3.4</v>
      </c>
      <c r="G2388" s="4" t="str">
        <f>HYPERLINK("http://141.218.60.56/~jnz1568/getInfo.php?workbook=13_02.xlsx&amp;sheet=U0&amp;row=2388&amp;col=7&amp;number=0.00142&amp;sourceID=14","0.00142")</f>
        <v>0.00142</v>
      </c>
    </row>
    <row r="2389" spans="1:7">
      <c r="A2389" s="3"/>
      <c r="B2389" s="3"/>
      <c r="C2389" s="3"/>
      <c r="D2389" s="3"/>
      <c r="E2389" s="3">
        <v>6</v>
      </c>
      <c r="F2389" s="4" t="str">
        <f>HYPERLINK("http://141.218.60.56/~jnz1568/getInfo.php?workbook=13_02.xlsx&amp;sheet=U0&amp;row=2389&amp;col=6&amp;number=3.5&amp;sourceID=14","3.5")</f>
        <v>3.5</v>
      </c>
      <c r="G2389" s="4" t="str">
        <f>HYPERLINK("http://141.218.60.56/~jnz1568/getInfo.php?workbook=13_02.xlsx&amp;sheet=U0&amp;row=2389&amp;col=7&amp;number=0.00142&amp;sourceID=14","0.00142")</f>
        <v>0.00142</v>
      </c>
    </row>
    <row r="2390" spans="1:7">
      <c r="A2390" s="3"/>
      <c r="B2390" s="3"/>
      <c r="C2390" s="3"/>
      <c r="D2390" s="3"/>
      <c r="E2390" s="3">
        <v>7</v>
      </c>
      <c r="F2390" s="4" t="str">
        <f>HYPERLINK("http://141.218.60.56/~jnz1568/getInfo.php?workbook=13_02.xlsx&amp;sheet=U0&amp;row=2390&amp;col=6&amp;number=3.6&amp;sourceID=14","3.6")</f>
        <v>3.6</v>
      </c>
      <c r="G2390" s="4" t="str">
        <f>HYPERLINK("http://141.218.60.56/~jnz1568/getInfo.php?workbook=13_02.xlsx&amp;sheet=U0&amp;row=2390&amp;col=7&amp;number=0.00142&amp;sourceID=14","0.00142")</f>
        <v>0.00142</v>
      </c>
    </row>
    <row r="2391" spans="1:7">
      <c r="A2391" s="3"/>
      <c r="B2391" s="3"/>
      <c r="C2391" s="3"/>
      <c r="D2391" s="3"/>
      <c r="E2391" s="3">
        <v>8</v>
      </c>
      <c r="F2391" s="4" t="str">
        <f>HYPERLINK("http://141.218.60.56/~jnz1568/getInfo.php?workbook=13_02.xlsx&amp;sheet=U0&amp;row=2391&amp;col=6&amp;number=3.7&amp;sourceID=14","3.7")</f>
        <v>3.7</v>
      </c>
      <c r="G2391" s="4" t="str">
        <f>HYPERLINK("http://141.218.60.56/~jnz1568/getInfo.php?workbook=13_02.xlsx&amp;sheet=U0&amp;row=2391&amp;col=7&amp;number=0.00142&amp;sourceID=14","0.00142")</f>
        <v>0.00142</v>
      </c>
    </row>
    <row r="2392" spans="1:7">
      <c r="A2392" s="3"/>
      <c r="B2392" s="3"/>
      <c r="C2392" s="3"/>
      <c r="D2392" s="3"/>
      <c r="E2392" s="3">
        <v>9</v>
      </c>
      <c r="F2392" s="4" t="str">
        <f>HYPERLINK("http://141.218.60.56/~jnz1568/getInfo.php?workbook=13_02.xlsx&amp;sheet=U0&amp;row=2392&amp;col=6&amp;number=3.8&amp;sourceID=14","3.8")</f>
        <v>3.8</v>
      </c>
      <c r="G2392" s="4" t="str">
        <f>HYPERLINK("http://141.218.60.56/~jnz1568/getInfo.php?workbook=13_02.xlsx&amp;sheet=U0&amp;row=2392&amp;col=7&amp;number=0.00142&amp;sourceID=14","0.00142")</f>
        <v>0.00142</v>
      </c>
    </row>
    <row r="2393" spans="1:7">
      <c r="A2393" s="3"/>
      <c r="B2393" s="3"/>
      <c r="C2393" s="3"/>
      <c r="D2393" s="3"/>
      <c r="E2393" s="3">
        <v>10</v>
      </c>
      <c r="F2393" s="4" t="str">
        <f>HYPERLINK("http://141.218.60.56/~jnz1568/getInfo.php?workbook=13_02.xlsx&amp;sheet=U0&amp;row=2393&amp;col=6&amp;number=3.9&amp;sourceID=14","3.9")</f>
        <v>3.9</v>
      </c>
      <c r="G2393" s="4" t="str">
        <f>HYPERLINK("http://141.218.60.56/~jnz1568/getInfo.php?workbook=13_02.xlsx&amp;sheet=U0&amp;row=2393&amp;col=7&amp;number=0.00142&amp;sourceID=14","0.00142")</f>
        <v>0.00142</v>
      </c>
    </row>
    <row r="2394" spans="1:7">
      <c r="A2394" s="3"/>
      <c r="B2394" s="3"/>
      <c r="C2394" s="3"/>
      <c r="D2394" s="3"/>
      <c r="E2394" s="3">
        <v>11</v>
      </c>
      <c r="F2394" s="4" t="str">
        <f>HYPERLINK("http://141.218.60.56/~jnz1568/getInfo.php?workbook=13_02.xlsx&amp;sheet=U0&amp;row=2394&amp;col=6&amp;number=4&amp;sourceID=14","4")</f>
        <v>4</v>
      </c>
      <c r="G2394" s="4" t="str">
        <f>HYPERLINK("http://141.218.60.56/~jnz1568/getInfo.php?workbook=13_02.xlsx&amp;sheet=U0&amp;row=2394&amp;col=7&amp;number=0.00142&amp;sourceID=14","0.00142")</f>
        <v>0.00142</v>
      </c>
    </row>
    <row r="2395" spans="1:7">
      <c r="A2395" s="3"/>
      <c r="B2395" s="3"/>
      <c r="C2395" s="3"/>
      <c r="D2395" s="3"/>
      <c r="E2395" s="3">
        <v>12</v>
      </c>
      <c r="F2395" s="4" t="str">
        <f>HYPERLINK("http://141.218.60.56/~jnz1568/getInfo.php?workbook=13_02.xlsx&amp;sheet=U0&amp;row=2395&amp;col=6&amp;number=4.1&amp;sourceID=14","4.1")</f>
        <v>4.1</v>
      </c>
      <c r="G2395" s="4" t="str">
        <f>HYPERLINK("http://141.218.60.56/~jnz1568/getInfo.php?workbook=13_02.xlsx&amp;sheet=U0&amp;row=2395&amp;col=7&amp;number=0.00142&amp;sourceID=14","0.00142")</f>
        <v>0.00142</v>
      </c>
    </row>
    <row r="2396" spans="1:7">
      <c r="A2396" s="3"/>
      <c r="B2396" s="3"/>
      <c r="C2396" s="3"/>
      <c r="D2396" s="3"/>
      <c r="E2396" s="3">
        <v>13</v>
      </c>
      <c r="F2396" s="4" t="str">
        <f>HYPERLINK("http://141.218.60.56/~jnz1568/getInfo.php?workbook=13_02.xlsx&amp;sheet=U0&amp;row=2396&amp;col=6&amp;number=4.2&amp;sourceID=14","4.2")</f>
        <v>4.2</v>
      </c>
      <c r="G2396" s="4" t="str">
        <f>HYPERLINK("http://141.218.60.56/~jnz1568/getInfo.php?workbook=13_02.xlsx&amp;sheet=U0&amp;row=2396&amp;col=7&amp;number=0.00143&amp;sourceID=14","0.00143")</f>
        <v>0.00143</v>
      </c>
    </row>
    <row r="2397" spans="1:7">
      <c r="A2397" s="3"/>
      <c r="B2397" s="3"/>
      <c r="C2397" s="3"/>
      <c r="D2397" s="3"/>
      <c r="E2397" s="3">
        <v>14</v>
      </c>
      <c r="F2397" s="4" t="str">
        <f>HYPERLINK("http://141.218.60.56/~jnz1568/getInfo.php?workbook=13_02.xlsx&amp;sheet=U0&amp;row=2397&amp;col=6&amp;number=4.3&amp;sourceID=14","4.3")</f>
        <v>4.3</v>
      </c>
      <c r="G2397" s="4" t="str">
        <f>HYPERLINK("http://141.218.60.56/~jnz1568/getInfo.php?workbook=13_02.xlsx&amp;sheet=U0&amp;row=2397&amp;col=7&amp;number=0.00143&amp;sourceID=14","0.00143")</f>
        <v>0.00143</v>
      </c>
    </row>
    <row r="2398" spans="1:7">
      <c r="A2398" s="3"/>
      <c r="B2398" s="3"/>
      <c r="C2398" s="3"/>
      <c r="D2398" s="3"/>
      <c r="E2398" s="3">
        <v>15</v>
      </c>
      <c r="F2398" s="4" t="str">
        <f>HYPERLINK("http://141.218.60.56/~jnz1568/getInfo.php?workbook=13_02.xlsx&amp;sheet=U0&amp;row=2398&amp;col=6&amp;number=4.4&amp;sourceID=14","4.4")</f>
        <v>4.4</v>
      </c>
      <c r="G2398" s="4" t="str">
        <f>HYPERLINK("http://141.218.60.56/~jnz1568/getInfo.php?workbook=13_02.xlsx&amp;sheet=U0&amp;row=2398&amp;col=7&amp;number=0.00143&amp;sourceID=14","0.00143")</f>
        <v>0.00143</v>
      </c>
    </row>
    <row r="2399" spans="1:7">
      <c r="A2399" s="3"/>
      <c r="B2399" s="3"/>
      <c r="C2399" s="3"/>
      <c r="D2399" s="3"/>
      <c r="E2399" s="3">
        <v>16</v>
      </c>
      <c r="F2399" s="4" t="str">
        <f>HYPERLINK("http://141.218.60.56/~jnz1568/getInfo.php?workbook=13_02.xlsx&amp;sheet=U0&amp;row=2399&amp;col=6&amp;number=4.5&amp;sourceID=14","4.5")</f>
        <v>4.5</v>
      </c>
      <c r="G2399" s="4" t="str">
        <f>HYPERLINK("http://141.218.60.56/~jnz1568/getInfo.php?workbook=13_02.xlsx&amp;sheet=U0&amp;row=2399&amp;col=7&amp;number=0.00143&amp;sourceID=14","0.00143")</f>
        <v>0.00143</v>
      </c>
    </row>
    <row r="2400" spans="1:7">
      <c r="A2400" s="3"/>
      <c r="B2400" s="3"/>
      <c r="C2400" s="3"/>
      <c r="D2400" s="3"/>
      <c r="E2400" s="3">
        <v>17</v>
      </c>
      <c r="F2400" s="4" t="str">
        <f>HYPERLINK("http://141.218.60.56/~jnz1568/getInfo.php?workbook=13_02.xlsx&amp;sheet=U0&amp;row=2400&amp;col=6&amp;number=4.6&amp;sourceID=14","4.6")</f>
        <v>4.6</v>
      </c>
      <c r="G2400" s="4" t="str">
        <f>HYPERLINK("http://141.218.60.56/~jnz1568/getInfo.php?workbook=13_02.xlsx&amp;sheet=U0&amp;row=2400&amp;col=7&amp;number=0.00144&amp;sourceID=14","0.00144")</f>
        <v>0.00144</v>
      </c>
    </row>
    <row r="2401" spans="1:7">
      <c r="A2401" s="3"/>
      <c r="B2401" s="3"/>
      <c r="C2401" s="3"/>
      <c r="D2401" s="3"/>
      <c r="E2401" s="3">
        <v>18</v>
      </c>
      <c r="F2401" s="4" t="str">
        <f>HYPERLINK("http://141.218.60.56/~jnz1568/getInfo.php?workbook=13_02.xlsx&amp;sheet=U0&amp;row=2401&amp;col=6&amp;number=4.7&amp;sourceID=14","4.7")</f>
        <v>4.7</v>
      </c>
      <c r="G2401" s="4" t="str">
        <f>HYPERLINK("http://141.218.60.56/~jnz1568/getInfo.php?workbook=13_02.xlsx&amp;sheet=U0&amp;row=2401&amp;col=7&amp;number=0.00144&amp;sourceID=14","0.00144")</f>
        <v>0.00144</v>
      </c>
    </row>
    <row r="2402" spans="1:7">
      <c r="A2402" s="3"/>
      <c r="B2402" s="3"/>
      <c r="C2402" s="3"/>
      <c r="D2402" s="3"/>
      <c r="E2402" s="3">
        <v>19</v>
      </c>
      <c r="F2402" s="4" t="str">
        <f>HYPERLINK("http://141.218.60.56/~jnz1568/getInfo.php?workbook=13_02.xlsx&amp;sheet=U0&amp;row=2402&amp;col=6&amp;number=4.8&amp;sourceID=14","4.8")</f>
        <v>4.8</v>
      </c>
      <c r="G2402" s="4" t="str">
        <f>HYPERLINK("http://141.218.60.56/~jnz1568/getInfo.php?workbook=13_02.xlsx&amp;sheet=U0&amp;row=2402&amp;col=7&amp;number=0.00145&amp;sourceID=14","0.00145")</f>
        <v>0.00145</v>
      </c>
    </row>
    <row r="2403" spans="1:7">
      <c r="A2403" s="3"/>
      <c r="B2403" s="3"/>
      <c r="C2403" s="3"/>
      <c r="D2403" s="3"/>
      <c r="E2403" s="3">
        <v>20</v>
      </c>
      <c r="F2403" s="4" t="str">
        <f>HYPERLINK("http://141.218.60.56/~jnz1568/getInfo.php?workbook=13_02.xlsx&amp;sheet=U0&amp;row=2403&amp;col=6&amp;number=4.9&amp;sourceID=14","4.9")</f>
        <v>4.9</v>
      </c>
      <c r="G2403" s="4" t="str">
        <f>HYPERLINK("http://141.218.60.56/~jnz1568/getInfo.php?workbook=13_02.xlsx&amp;sheet=U0&amp;row=2403&amp;col=7&amp;number=0.00146&amp;sourceID=14","0.00146")</f>
        <v>0.00146</v>
      </c>
    </row>
    <row r="2404" spans="1:7">
      <c r="A2404" s="3">
        <v>13</v>
      </c>
      <c r="B2404" s="3">
        <v>2</v>
      </c>
      <c r="C2404" s="3" t="s">
        <v>90</v>
      </c>
      <c r="D2404" s="3">
        <v>8</v>
      </c>
      <c r="E2404" s="3">
        <v>1</v>
      </c>
      <c r="F2404" s="4" t="str">
        <f>HYPERLINK("http://141.218.60.56/~jnz1568/getInfo.php?workbook=13_02.xlsx&amp;sheet=U0&amp;row=2404&amp;col=6&amp;number=3&amp;sourceID=14","3")</f>
        <v>3</v>
      </c>
      <c r="G2404" s="4" t="str">
        <f>HYPERLINK("http://141.218.60.56/~jnz1568/getInfo.php?workbook=13_02.xlsx&amp;sheet=U0&amp;row=2404&amp;col=7&amp;number=0.000413&amp;sourceID=14","0.000413")</f>
        <v>0.000413</v>
      </c>
    </row>
    <row r="2405" spans="1:7">
      <c r="A2405" s="3"/>
      <c r="B2405" s="3"/>
      <c r="C2405" s="3"/>
      <c r="D2405" s="3"/>
      <c r="E2405" s="3">
        <v>2</v>
      </c>
      <c r="F2405" s="4" t="str">
        <f>HYPERLINK("http://141.218.60.56/~jnz1568/getInfo.php?workbook=13_02.xlsx&amp;sheet=U0&amp;row=2405&amp;col=6&amp;number=3.1&amp;sourceID=14","3.1")</f>
        <v>3.1</v>
      </c>
      <c r="G2405" s="4" t="str">
        <f>HYPERLINK("http://141.218.60.56/~jnz1568/getInfo.php?workbook=13_02.xlsx&amp;sheet=U0&amp;row=2405&amp;col=7&amp;number=0.000413&amp;sourceID=14","0.000413")</f>
        <v>0.000413</v>
      </c>
    </row>
    <row r="2406" spans="1:7">
      <c r="A2406" s="3"/>
      <c r="B2406" s="3"/>
      <c r="C2406" s="3"/>
      <c r="D2406" s="3"/>
      <c r="E2406" s="3">
        <v>3</v>
      </c>
      <c r="F2406" s="4" t="str">
        <f>HYPERLINK("http://141.218.60.56/~jnz1568/getInfo.php?workbook=13_02.xlsx&amp;sheet=U0&amp;row=2406&amp;col=6&amp;number=3.2&amp;sourceID=14","3.2")</f>
        <v>3.2</v>
      </c>
      <c r="G2406" s="4" t="str">
        <f>HYPERLINK("http://141.218.60.56/~jnz1568/getInfo.php?workbook=13_02.xlsx&amp;sheet=U0&amp;row=2406&amp;col=7&amp;number=0.000413&amp;sourceID=14","0.000413")</f>
        <v>0.000413</v>
      </c>
    </row>
    <row r="2407" spans="1:7">
      <c r="A2407" s="3"/>
      <c r="B2407" s="3"/>
      <c r="C2407" s="3"/>
      <c r="D2407" s="3"/>
      <c r="E2407" s="3">
        <v>4</v>
      </c>
      <c r="F2407" s="4" t="str">
        <f>HYPERLINK("http://141.218.60.56/~jnz1568/getInfo.php?workbook=13_02.xlsx&amp;sheet=U0&amp;row=2407&amp;col=6&amp;number=3.3&amp;sourceID=14","3.3")</f>
        <v>3.3</v>
      </c>
      <c r="G2407" s="4" t="str">
        <f>HYPERLINK("http://141.218.60.56/~jnz1568/getInfo.php?workbook=13_02.xlsx&amp;sheet=U0&amp;row=2407&amp;col=7&amp;number=0.000413&amp;sourceID=14","0.000413")</f>
        <v>0.000413</v>
      </c>
    </row>
    <row r="2408" spans="1:7">
      <c r="A2408" s="3"/>
      <c r="B2408" s="3"/>
      <c r="C2408" s="3"/>
      <c r="D2408" s="3"/>
      <c r="E2408" s="3">
        <v>5</v>
      </c>
      <c r="F2408" s="4" t="str">
        <f>HYPERLINK("http://141.218.60.56/~jnz1568/getInfo.php?workbook=13_02.xlsx&amp;sheet=U0&amp;row=2408&amp;col=6&amp;number=3.4&amp;sourceID=14","3.4")</f>
        <v>3.4</v>
      </c>
      <c r="G2408" s="4" t="str">
        <f>HYPERLINK("http://141.218.60.56/~jnz1568/getInfo.php?workbook=13_02.xlsx&amp;sheet=U0&amp;row=2408&amp;col=7&amp;number=0.000413&amp;sourceID=14","0.000413")</f>
        <v>0.000413</v>
      </c>
    </row>
    <row r="2409" spans="1:7">
      <c r="A2409" s="3"/>
      <c r="B2409" s="3"/>
      <c r="C2409" s="3"/>
      <c r="D2409" s="3"/>
      <c r="E2409" s="3">
        <v>6</v>
      </c>
      <c r="F2409" s="4" t="str">
        <f>HYPERLINK("http://141.218.60.56/~jnz1568/getInfo.php?workbook=13_02.xlsx&amp;sheet=U0&amp;row=2409&amp;col=6&amp;number=3.5&amp;sourceID=14","3.5")</f>
        <v>3.5</v>
      </c>
      <c r="G2409" s="4" t="str">
        <f>HYPERLINK("http://141.218.60.56/~jnz1568/getInfo.php?workbook=13_02.xlsx&amp;sheet=U0&amp;row=2409&amp;col=7&amp;number=0.000413&amp;sourceID=14","0.000413")</f>
        <v>0.000413</v>
      </c>
    </row>
    <row r="2410" spans="1:7">
      <c r="A2410" s="3"/>
      <c r="B2410" s="3"/>
      <c r="C2410" s="3"/>
      <c r="D2410" s="3"/>
      <c r="E2410" s="3">
        <v>7</v>
      </c>
      <c r="F2410" s="4" t="str">
        <f>HYPERLINK("http://141.218.60.56/~jnz1568/getInfo.php?workbook=13_02.xlsx&amp;sheet=U0&amp;row=2410&amp;col=6&amp;number=3.6&amp;sourceID=14","3.6")</f>
        <v>3.6</v>
      </c>
      <c r="G2410" s="4" t="str">
        <f>HYPERLINK("http://141.218.60.56/~jnz1568/getInfo.php?workbook=13_02.xlsx&amp;sheet=U0&amp;row=2410&amp;col=7&amp;number=0.000413&amp;sourceID=14","0.000413")</f>
        <v>0.000413</v>
      </c>
    </row>
    <row r="2411" spans="1:7">
      <c r="A2411" s="3"/>
      <c r="B2411" s="3"/>
      <c r="C2411" s="3"/>
      <c r="D2411" s="3"/>
      <c r="E2411" s="3">
        <v>8</v>
      </c>
      <c r="F2411" s="4" t="str">
        <f>HYPERLINK("http://141.218.60.56/~jnz1568/getInfo.php?workbook=13_02.xlsx&amp;sheet=U0&amp;row=2411&amp;col=6&amp;number=3.7&amp;sourceID=14","3.7")</f>
        <v>3.7</v>
      </c>
      <c r="G2411" s="4" t="str">
        <f>HYPERLINK("http://141.218.60.56/~jnz1568/getInfo.php?workbook=13_02.xlsx&amp;sheet=U0&amp;row=2411&amp;col=7&amp;number=0.000413&amp;sourceID=14","0.000413")</f>
        <v>0.000413</v>
      </c>
    </row>
    <row r="2412" spans="1:7">
      <c r="A2412" s="3"/>
      <c r="B2412" s="3"/>
      <c r="C2412" s="3"/>
      <c r="D2412" s="3"/>
      <c r="E2412" s="3">
        <v>9</v>
      </c>
      <c r="F2412" s="4" t="str">
        <f>HYPERLINK("http://141.218.60.56/~jnz1568/getInfo.php?workbook=13_02.xlsx&amp;sheet=U0&amp;row=2412&amp;col=6&amp;number=3.8&amp;sourceID=14","3.8")</f>
        <v>3.8</v>
      </c>
      <c r="G2412" s="4" t="str">
        <f>HYPERLINK("http://141.218.60.56/~jnz1568/getInfo.php?workbook=13_02.xlsx&amp;sheet=U0&amp;row=2412&amp;col=7&amp;number=0.000413&amp;sourceID=14","0.000413")</f>
        <v>0.000413</v>
      </c>
    </row>
    <row r="2413" spans="1:7">
      <c r="A2413" s="3"/>
      <c r="B2413" s="3"/>
      <c r="C2413" s="3"/>
      <c r="D2413" s="3"/>
      <c r="E2413" s="3">
        <v>10</v>
      </c>
      <c r="F2413" s="4" t="str">
        <f>HYPERLINK("http://141.218.60.56/~jnz1568/getInfo.php?workbook=13_02.xlsx&amp;sheet=U0&amp;row=2413&amp;col=6&amp;number=3.9&amp;sourceID=14","3.9")</f>
        <v>3.9</v>
      </c>
      <c r="G2413" s="4" t="str">
        <f>HYPERLINK("http://141.218.60.56/~jnz1568/getInfo.php?workbook=13_02.xlsx&amp;sheet=U0&amp;row=2413&amp;col=7&amp;number=0.000413&amp;sourceID=14","0.000413")</f>
        <v>0.000413</v>
      </c>
    </row>
    <row r="2414" spans="1:7">
      <c r="A2414" s="3"/>
      <c r="B2414" s="3"/>
      <c r="C2414" s="3"/>
      <c r="D2414" s="3"/>
      <c r="E2414" s="3">
        <v>11</v>
      </c>
      <c r="F2414" s="4" t="str">
        <f>HYPERLINK("http://141.218.60.56/~jnz1568/getInfo.php?workbook=13_02.xlsx&amp;sheet=U0&amp;row=2414&amp;col=6&amp;number=4&amp;sourceID=14","4")</f>
        <v>4</v>
      </c>
      <c r="G2414" s="4" t="str">
        <f>HYPERLINK("http://141.218.60.56/~jnz1568/getInfo.php?workbook=13_02.xlsx&amp;sheet=U0&amp;row=2414&amp;col=7&amp;number=0.000413&amp;sourceID=14","0.000413")</f>
        <v>0.000413</v>
      </c>
    </row>
    <row r="2415" spans="1:7">
      <c r="A2415" s="3"/>
      <c r="B2415" s="3"/>
      <c r="C2415" s="3"/>
      <c r="D2415" s="3"/>
      <c r="E2415" s="3">
        <v>12</v>
      </c>
      <c r="F2415" s="4" t="str">
        <f>HYPERLINK("http://141.218.60.56/~jnz1568/getInfo.php?workbook=13_02.xlsx&amp;sheet=U0&amp;row=2415&amp;col=6&amp;number=4.1&amp;sourceID=14","4.1")</f>
        <v>4.1</v>
      </c>
      <c r="G2415" s="4" t="str">
        <f>HYPERLINK("http://141.218.60.56/~jnz1568/getInfo.php?workbook=13_02.xlsx&amp;sheet=U0&amp;row=2415&amp;col=7&amp;number=0.000412&amp;sourceID=14","0.000412")</f>
        <v>0.000412</v>
      </c>
    </row>
    <row r="2416" spans="1:7">
      <c r="A2416" s="3"/>
      <c r="B2416" s="3"/>
      <c r="C2416" s="3"/>
      <c r="D2416" s="3"/>
      <c r="E2416" s="3">
        <v>13</v>
      </c>
      <c r="F2416" s="4" t="str">
        <f>HYPERLINK("http://141.218.60.56/~jnz1568/getInfo.php?workbook=13_02.xlsx&amp;sheet=U0&amp;row=2416&amp;col=6&amp;number=4.2&amp;sourceID=14","4.2")</f>
        <v>4.2</v>
      </c>
      <c r="G2416" s="4" t="str">
        <f>HYPERLINK("http://141.218.60.56/~jnz1568/getInfo.php?workbook=13_02.xlsx&amp;sheet=U0&amp;row=2416&amp;col=7&amp;number=0.000412&amp;sourceID=14","0.000412")</f>
        <v>0.000412</v>
      </c>
    </row>
    <row r="2417" spans="1:7">
      <c r="A2417" s="3"/>
      <c r="B2417" s="3"/>
      <c r="C2417" s="3"/>
      <c r="D2417" s="3"/>
      <c r="E2417" s="3">
        <v>14</v>
      </c>
      <c r="F2417" s="4" t="str">
        <f>HYPERLINK("http://141.218.60.56/~jnz1568/getInfo.php?workbook=13_02.xlsx&amp;sheet=U0&amp;row=2417&amp;col=6&amp;number=4.3&amp;sourceID=14","4.3")</f>
        <v>4.3</v>
      </c>
      <c r="G2417" s="4" t="str">
        <f>HYPERLINK("http://141.218.60.56/~jnz1568/getInfo.php?workbook=13_02.xlsx&amp;sheet=U0&amp;row=2417&amp;col=7&amp;number=0.000412&amp;sourceID=14","0.000412")</f>
        <v>0.000412</v>
      </c>
    </row>
    <row r="2418" spans="1:7">
      <c r="A2418" s="3"/>
      <c r="B2418" s="3"/>
      <c r="C2418" s="3"/>
      <c r="D2418" s="3"/>
      <c r="E2418" s="3">
        <v>15</v>
      </c>
      <c r="F2418" s="4" t="str">
        <f>HYPERLINK("http://141.218.60.56/~jnz1568/getInfo.php?workbook=13_02.xlsx&amp;sheet=U0&amp;row=2418&amp;col=6&amp;number=4.4&amp;sourceID=14","4.4")</f>
        <v>4.4</v>
      </c>
      <c r="G2418" s="4" t="str">
        <f>HYPERLINK("http://141.218.60.56/~jnz1568/getInfo.php?workbook=13_02.xlsx&amp;sheet=U0&amp;row=2418&amp;col=7&amp;number=0.000411&amp;sourceID=14","0.000411")</f>
        <v>0.000411</v>
      </c>
    </row>
    <row r="2419" spans="1:7">
      <c r="A2419" s="3"/>
      <c r="B2419" s="3"/>
      <c r="C2419" s="3"/>
      <c r="D2419" s="3"/>
      <c r="E2419" s="3">
        <v>16</v>
      </c>
      <c r="F2419" s="4" t="str">
        <f>HYPERLINK("http://141.218.60.56/~jnz1568/getInfo.php?workbook=13_02.xlsx&amp;sheet=U0&amp;row=2419&amp;col=6&amp;number=4.5&amp;sourceID=14","4.5")</f>
        <v>4.5</v>
      </c>
      <c r="G2419" s="4" t="str">
        <f>HYPERLINK("http://141.218.60.56/~jnz1568/getInfo.php?workbook=13_02.xlsx&amp;sheet=U0&amp;row=2419&amp;col=7&amp;number=0.000411&amp;sourceID=14","0.000411")</f>
        <v>0.000411</v>
      </c>
    </row>
    <row r="2420" spans="1:7">
      <c r="A2420" s="3"/>
      <c r="B2420" s="3"/>
      <c r="C2420" s="3"/>
      <c r="D2420" s="3"/>
      <c r="E2420" s="3">
        <v>17</v>
      </c>
      <c r="F2420" s="4" t="str">
        <f>HYPERLINK("http://141.218.60.56/~jnz1568/getInfo.php?workbook=13_02.xlsx&amp;sheet=U0&amp;row=2420&amp;col=6&amp;number=4.6&amp;sourceID=14","4.6")</f>
        <v>4.6</v>
      </c>
      <c r="G2420" s="4" t="str">
        <f>HYPERLINK("http://141.218.60.56/~jnz1568/getInfo.php?workbook=13_02.xlsx&amp;sheet=U0&amp;row=2420&amp;col=7&amp;number=0.00041&amp;sourceID=14","0.00041")</f>
        <v>0.00041</v>
      </c>
    </row>
    <row r="2421" spans="1:7">
      <c r="A2421" s="3"/>
      <c r="B2421" s="3"/>
      <c r="C2421" s="3"/>
      <c r="D2421" s="3"/>
      <c r="E2421" s="3">
        <v>18</v>
      </c>
      <c r="F2421" s="4" t="str">
        <f>HYPERLINK("http://141.218.60.56/~jnz1568/getInfo.php?workbook=13_02.xlsx&amp;sheet=U0&amp;row=2421&amp;col=6&amp;number=4.7&amp;sourceID=14","4.7")</f>
        <v>4.7</v>
      </c>
      <c r="G2421" s="4" t="str">
        <f>HYPERLINK("http://141.218.60.56/~jnz1568/getInfo.php?workbook=13_02.xlsx&amp;sheet=U0&amp;row=2421&amp;col=7&amp;number=0.000409&amp;sourceID=14","0.000409")</f>
        <v>0.000409</v>
      </c>
    </row>
    <row r="2422" spans="1:7">
      <c r="A2422" s="3"/>
      <c r="B2422" s="3"/>
      <c r="C2422" s="3"/>
      <c r="D2422" s="3"/>
      <c r="E2422" s="3">
        <v>19</v>
      </c>
      <c r="F2422" s="4" t="str">
        <f>HYPERLINK("http://141.218.60.56/~jnz1568/getInfo.php?workbook=13_02.xlsx&amp;sheet=U0&amp;row=2422&amp;col=6&amp;number=4.8&amp;sourceID=14","4.8")</f>
        <v>4.8</v>
      </c>
      <c r="G2422" s="4" t="str">
        <f>HYPERLINK("http://141.218.60.56/~jnz1568/getInfo.php?workbook=13_02.xlsx&amp;sheet=U0&amp;row=2422&amp;col=7&amp;number=0.000408&amp;sourceID=14","0.000408")</f>
        <v>0.000408</v>
      </c>
    </row>
    <row r="2423" spans="1:7">
      <c r="A2423" s="3"/>
      <c r="B2423" s="3"/>
      <c r="C2423" s="3"/>
      <c r="D2423" s="3"/>
      <c r="E2423" s="3">
        <v>20</v>
      </c>
      <c r="F2423" s="4" t="str">
        <f>HYPERLINK("http://141.218.60.56/~jnz1568/getInfo.php?workbook=13_02.xlsx&amp;sheet=U0&amp;row=2423&amp;col=6&amp;number=4.9&amp;sourceID=14","4.9")</f>
        <v>4.9</v>
      </c>
      <c r="G2423" s="4" t="str">
        <f>HYPERLINK("http://141.218.60.56/~jnz1568/getInfo.php?workbook=13_02.xlsx&amp;sheet=U0&amp;row=2423&amp;col=7&amp;number=0.000407&amp;sourceID=14","0.000407")</f>
        <v>0.000407</v>
      </c>
    </row>
    <row r="2424" spans="1:7">
      <c r="A2424" s="3">
        <v>13</v>
      </c>
      <c r="B2424" s="3">
        <v>2</v>
      </c>
      <c r="C2424" s="3" t="s">
        <v>90</v>
      </c>
      <c r="D2424" s="3">
        <v>9</v>
      </c>
      <c r="E2424" s="3">
        <v>1</v>
      </c>
      <c r="F2424" s="4" t="str">
        <f>HYPERLINK("http://141.218.60.56/~jnz1568/getInfo.php?workbook=13_02.xlsx&amp;sheet=U0&amp;row=2424&amp;col=6&amp;number=3&amp;sourceID=14","3")</f>
        <v>3</v>
      </c>
      <c r="G2424" s="4" t="str">
        <f>HYPERLINK("http://141.218.60.56/~jnz1568/getInfo.php?workbook=13_02.xlsx&amp;sheet=U0&amp;row=2424&amp;col=7&amp;number=0.000717&amp;sourceID=14","0.000717")</f>
        <v>0.000717</v>
      </c>
    </row>
    <row r="2425" spans="1:7">
      <c r="A2425" s="3"/>
      <c r="B2425" s="3"/>
      <c r="C2425" s="3"/>
      <c r="D2425" s="3"/>
      <c r="E2425" s="3">
        <v>2</v>
      </c>
      <c r="F2425" s="4" t="str">
        <f>HYPERLINK("http://141.218.60.56/~jnz1568/getInfo.php?workbook=13_02.xlsx&amp;sheet=U0&amp;row=2425&amp;col=6&amp;number=3.1&amp;sourceID=14","3.1")</f>
        <v>3.1</v>
      </c>
      <c r="G2425" s="4" t="str">
        <f>HYPERLINK("http://141.218.60.56/~jnz1568/getInfo.php?workbook=13_02.xlsx&amp;sheet=U0&amp;row=2425&amp;col=7&amp;number=0.000717&amp;sourceID=14","0.000717")</f>
        <v>0.000717</v>
      </c>
    </row>
    <row r="2426" spans="1:7">
      <c r="A2426" s="3"/>
      <c r="B2426" s="3"/>
      <c r="C2426" s="3"/>
      <c r="D2426" s="3"/>
      <c r="E2426" s="3">
        <v>3</v>
      </c>
      <c r="F2426" s="4" t="str">
        <f>HYPERLINK("http://141.218.60.56/~jnz1568/getInfo.php?workbook=13_02.xlsx&amp;sheet=U0&amp;row=2426&amp;col=6&amp;number=3.2&amp;sourceID=14","3.2")</f>
        <v>3.2</v>
      </c>
      <c r="G2426" s="4" t="str">
        <f>HYPERLINK("http://141.218.60.56/~jnz1568/getInfo.php?workbook=13_02.xlsx&amp;sheet=U0&amp;row=2426&amp;col=7&amp;number=0.000717&amp;sourceID=14","0.000717")</f>
        <v>0.000717</v>
      </c>
    </row>
    <row r="2427" spans="1:7">
      <c r="A2427" s="3"/>
      <c r="B2427" s="3"/>
      <c r="C2427" s="3"/>
      <c r="D2427" s="3"/>
      <c r="E2427" s="3">
        <v>4</v>
      </c>
      <c r="F2427" s="4" t="str">
        <f>HYPERLINK("http://141.218.60.56/~jnz1568/getInfo.php?workbook=13_02.xlsx&amp;sheet=U0&amp;row=2427&amp;col=6&amp;number=3.3&amp;sourceID=14","3.3")</f>
        <v>3.3</v>
      </c>
      <c r="G2427" s="4" t="str">
        <f>HYPERLINK("http://141.218.60.56/~jnz1568/getInfo.php?workbook=13_02.xlsx&amp;sheet=U0&amp;row=2427&amp;col=7&amp;number=0.000717&amp;sourceID=14","0.000717")</f>
        <v>0.000717</v>
      </c>
    </row>
    <row r="2428" spans="1:7">
      <c r="A2428" s="3"/>
      <c r="B2428" s="3"/>
      <c r="C2428" s="3"/>
      <c r="D2428" s="3"/>
      <c r="E2428" s="3">
        <v>5</v>
      </c>
      <c r="F2428" s="4" t="str">
        <f>HYPERLINK("http://141.218.60.56/~jnz1568/getInfo.php?workbook=13_02.xlsx&amp;sheet=U0&amp;row=2428&amp;col=6&amp;number=3.4&amp;sourceID=14","3.4")</f>
        <v>3.4</v>
      </c>
      <c r="G2428" s="4" t="str">
        <f>HYPERLINK("http://141.218.60.56/~jnz1568/getInfo.php?workbook=13_02.xlsx&amp;sheet=U0&amp;row=2428&amp;col=7&amp;number=0.000717&amp;sourceID=14","0.000717")</f>
        <v>0.000717</v>
      </c>
    </row>
    <row r="2429" spans="1:7">
      <c r="A2429" s="3"/>
      <c r="B2429" s="3"/>
      <c r="C2429" s="3"/>
      <c r="D2429" s="3"/>
      <c r="E2429" s="3">
        <v>6</v>
      </c>
      <c r="F2429" s="4" t="str">
        <f>HYPERLINK("http://141.218.60.56/~jnz1568/getInfo.php?workbook=13_02.xlsx&amp;sheet=U0&amp;row=2429&amp;col=6&amp;number=3.5&amp;sourceID=14","3.5")</f>
        <v>3.5</v>
      </c>
      <c r="G2429" s="4" t="str">
        <f>HYPERLINK("http://141.218.60.56/~jnz1568/getInfo.php?workbook=13_02.xlsx&amp;sheet=U0&amp;row=2429&amp;col=7&amp;number=0.000717&amp;sourceID=14","0.000717")</f>
        <v>0.000717</v>
      </c>
    </row>
    <row r="2430" spans="1:7">
      <c r="A2430" s="3"/>
      <c r="B2430" s="3"/>
      <c r="C2430" s="3"/>
      <c r="D2430" s="3"/>
      <c r="E2430" s="3">
        <v>7</v>
      </c>
      <c r="F2430" s="4" t="str">
        <f>HYPERLINK("http://141.218.60.56/~jnz1568/getInfo.php?workbook=13_02.xlsx&amp;sheet=U0&amp;row=2430&amp;col=6&amp;number=3.6&amp;sourceID=14","3.6")</f>
        <v>3.6</v>
      </c>
      <c r="G2430" s="4" t="str">
        <f>HYPERLINK("http://141.218.60.56/~jnz1568/getInfo.php?workbook=13_02.xlsx&amp;sheet=U0&amp;row=2430&amp;col=7&amp;number=0.000717&amp;sourceID=14","0.000717")</f>
        <v>0.000717</v>
      </c>
    </row>
    <row r="2431" spans="1:7">
      <c r="A2431" s="3"/>
      <c r="B2431" s="3"/>
      <c r="C2431" s="3"/>
      <c r="D2431" s="3"/>
      <c r="E2431" s="3">
        <v>8</v>
      </c>
      <c r="F2431" s="4" t="str">
        <f>HYPERLINK("http://141.218.60.56/~jnz1568/getInfo.php?workbook=13_02.xlsx&amp;sheet=U0&amp;row=2431&amp;col=6&amp;number=3.7&amp;sourceID=14","3.7")</f>
        <v>3.7</v>
      </c>
      <c r="G2431" s="4" t="str">
        <f>HYPERLINK("http://141.218.60.56/~jnz1568/getInfo.php?workbook=13_02.xlsx&amp;sheet=U0&amp;row=2431&amp;col=7&amp;number=0.000717&amp;sourceID=14","0.000717")</f>
        <v>0.000717</v>
      </c>
    </row>
    <row r="2432" spans="1:7">
      <c r="A2432" s="3"/>
      <c r="B2432" s="3"/>
      <c r="C2432" s="3"/>
      <c r="D2432" s="3"/>
      <c r="E2432" s="3">
        <v>9</v>
      </c>
      <c r="F2432" s="4" t="str">
        <f>HYPERLINK("http://141.218.60.56/~jnz1568/getInfo.php?workbook=13_02.xlsx&amp;sheet=U0&amp;row=2432&amp;col=6&amp;number=3.8&amp;sourceID=14","3.8")</f>
        <v>3.8</v>
      </c>
      <c r="G2432" s="4" t="str">
        <f>HYPERLINK("http://141.218.60.56/~jnz1568/getInfo.php?workbook=13_02.xlsx&amp;sheet=U0&amp;row=2432&amp;col=7&amp;number=0.000717&amp;sourceID=14","0.000717")</f>
        <v>0.000717</v>
      </c>
    </row>
    <row r="2433" spans="1:7">
      <c r="A2433" s="3"/>
      <c r="B2433" s="3"/>
      <c r="C2433" s="3"/>
      <c r="D2433" s="3"/>
      <c r="E2433" s="3">
        <v>10</v>
      </c>
      <c r="F2433" s="4" t="str">
        <f>HYPERLINK("http://141.218.60.56/~jnz1568/getInfo.php?workbook=13_02.xlsx&amp;sheet=U0&amp;row=2433&amp;col=6&amp;number=3.9&amp;sourceID=14","3.9")</f>
        <v>3.9</v>
      </c>
      <c r="G2433" s="4" t="str">
        <f>HYPERLINK("http://141.218.60.56/~jnz1568/getInfo.php?workbook=13_02.xlsx&amp;sheet=U0&amp;row=2433&amp;col=7&amp;number=0.000717&amp;sourceID=14","0.000717")</f>
        <v>0.000717</v>
      </c>
    </row>
    <row r="2434" spans="1:7">
      <c r="A2434" s="3"/>
      <c r="B2434" s="3"/>
      <c r="C2434" s="3"/>
      <c r="D2434" s="3"/>
      <c r="E2434" s="3">
        <v>11</v>
      </c>
      <c r="F2434" s="4" t="str">
        <f>HYPERLINK("http://141.218.60.56/~jnz1568/getInfo.php?workbook=13_02.xlsx&amp;sheet=U0&amp;row=2434&amp;col=6&amp;number=4&amp;sourceID=14","4")</f>
        <v>4</v>
      </c>
      <c r="G2434" s="4" t="str">
        <f>HYPERLINK("http://141.218.60.56/~jnz1568/getInfo.php?workbook=13_02.xlsx&amp;sheet=U0&amp;row=2434&amp;col=7&amp;number=0.000716&amp;sourceID=14","0.000716")</f>
        <v>0.000716</v>
      </c>
    </row>
    <row r="2435" spans="1:7">
      <c r="A2435" s="3"/>
      <c r="B2435" s="3"/>
      <c r="C2435" s="3"/>
      <c r="D2435" s="3"/>
      <c r="E2435" s="3">
        <v>12</v>
      </c>
      <c r="F2435" s="4" t="str">
        <f>HYPERLINK("http://141.218.60.56/~jnz1568/getInfo.php?workbook=13_02.xlsx&amp;sheet=U0&amp;row=2435&amp;col=6&amp;number=4.1&amp;sourceID=14","4.1")</f>
        <v>4.1</v>
      </c>
      <c r="G2435" s="4" t="str">
        <f>HYPERLINK("http://141.218.60.56/~jnz1568/getInfo.php?workbook=13_02.xlsx&amp;sheet=U0&amp;row=2435&amp;col=7&amp;number=0.000716&amp;sourceID=14","0.000716")</f>
        <v>0.000716</v>
      </c>
    </row>
    <row r="2436" spans="1:7">
      <c r="A2436" s="3"/>
      <c r="B2436" s="3"/>
      <c r="C2436" s="3"/>
      <c r="D2436" s="3"/>
      <c r="E2436" s="3">
        <v>13</v>
      </c>
      <c r="F2436" s="4" t="str">
        <f>HYPERLINK("http://141.218.60.56/~jnz1568/getInfo.php?workbook=13_02.xlsx&amp;sheet=U0&amp;row=2436&amp;col=6&amp;number=4.2&amp;sourceID=14","4.2")</f>
        <v>4.2</v>
      </c>
      <c r="G2436" s="4" t="str">
        <f>HYPERLINK("http://141.218.60.56/~jnz1568/getInfo.php?workbook=13_02.xlsx&amp;sheet=U0&amp;row=2436&amp;col=7&amp;number=0.000716&amp;sourceID=14","0.000716")</f>
        <v>0.000716</v>
      </c>
    </row>
    <row r="2437" spans="1:7">
      <c r="A2437" s="3"/>
      <c r="B2437" s="3"/>
      <c r="C2437" s="3"/>
      <c r="D2437" s="3"/>
      <c r="E2437" s="3">
        <v>14</v>
      </c>
      <c r="F2437" s="4" t="str">
        <f>HYPERLINK("http://141.218.60.56/~jnz1568/getInfo.php?workbook=13_02.xlsx&amp;sheet=U0&amp;row=2437&amp;col=6&amp;number=4.3&amp;sourceID=14","4.3")</f>
        <v>4.3</v>
      </c>
      <c r="G2437" s="4" t="str">
        <f>HYPERLINK("http://141.218.60.56/~jnz1568/getInfo.php?workbook=13_02.xlsx&amp;sheet=U0&amp;row=2437&amp;col=7&amp;number=0.000716&amp;sourceID=14","0.000716")</f>
        <v>0.000716</v>
      </c>
    </row>
    <row r="2438" spans="1:7">
      <c r="A2438" s="3"/>
      <c r="B2438" s="3"/>
      <c r="C2438" s="3"/>
      <c r="D2438" s="3"/>
      <c r="E2438" s="3">
        <v>15</v>
      </c>
      <c r="F2438" s="4" t="str">
        <f>HYPERLINK("http://141.218.60.56/~jnz1568/getInfo.php?workbook=13_02.xlsx&amp;sheet=U0&amp;row=2438&amp;col=6&amp;number=4.4&amp;sourceID=14","4.4")</f>
        <v>4.4</v>
      </c>
      <c r="G2438" s="4" t="str">
        <f>HYPERLINK("http://141.218.60.56/~jnz1568/getInfo.php?workbook=13_02.xlsx&amp;sheet=U0&amp;row=2438&amp;col=7&amp;number=0.000715&amp;sourceID=14","0.000715")</f>
        <v>0.000715</v>
      </c>
    </row>
    <row r="2439" spans="1:7">
      <c r="A2439" s="3"/>
      <c r="B2439" s="3"/>
      <c r="C2439" s="3"/>
      <c r="D2439" s="3"/>
      <c r="E2439" s="3">
        <v>16</v>
      </c>
      <c r="F2439" s="4" t="str">
        <f>HYPERLINK("http://141.218.60.56/~jnz1568/getInfo.php?workbook=13_02.xlsx&amp;sheet=U0&amp;row=2439&amp;col=6&amp;number=4.5&amp;sourceID=14","4.5")</f>
        <v>4.5</v>
      </c>
      <c r="G2439" s="4" t="str">
        <f>HYPERLINK("http://141.218.60.56/~jnz1568/getInfo.php?workbook=13_02.xlsx&amp;sheet=U0&amp;row=2439&amp;col=7&amp;number=0.000715&amp;sourceID=14","0.000715")</f>
        <v>0.000715</v>
      </c>
    </row>
    <row r="2440" spans="1:7">
      <c r="A2440" s="3"/>
      <c r="B2440" s="3"/>
      <c r="C2440" s="3"/>
      <c r="D2440" s="3"/>
      <c r="E2440" s="3">
        <v>17</v>
      </c>
      <c r="F2440" s="4" t="str">
        <f>HYPERLINK("http://141.218.60.56/~jnz1568/getInfo.php?workbook=13_02.xlsx&amp;sheet=U0&amp;row=2440&amp;col=6&amp;number=4.6&amp;sourceID=14","4.6")</f>
        <v>4.6</v>
      </c>
      <c r="G2440" s="4" t="str">
        <f>HYPERLINK("http://141.218.60.56/~jnz1568/getInfo.php?workbook=13_02.xlsx&amp;sheet=U0&amp;row=2440&amp;col=7&amp;number=0.000714&amp;sourceID=14","0.000714")</f>
        <v>0.000714</v>
      </c>
    </row>
    <row r="2441" spans="1:7">
      <c r="A2441" s="3"/>
      <c r="B2441" s="3"/>
      <c r="C2441" s="3"/>
      <c r="D2441" s="3"/>
      <c r="E2441" s="3">
        <v>18</v>
      </c>
      <c r="F2441" s="4" t="str">
        <f>HYPERLINK("http://141.218.60.56/~jnz1568/getInfo.php?workbook=13_02.xlsx&amp;sheet=U0&amp;row=2441&amp;col=6&amp;number=4.7&amp;sourceID=14","4.7")</f>
        <v>4.7</v>
      </c>
      <c r="G2441" s="4" t="str">
        <f>HYPERLINK("http://141.218.60.56/~jnz1568/getInfo.php?workbook=13_02.xlsx&amp;sheet=U0&amp;row=2441&amp;col=7&amp;number=0.000713&amp;sourceID=14","0.000713")</f>
        <v>0.000713</v>
      </c>
    </row>
    <row r="2442" spans="1:7">
      <c r="A2442" s="3"/>
      <c r="B2442" s="3"/>
      <c r="C2442" s="3"/>
      <c r="D2442" s="3"/>
      <c r="E2442" s="3">
        <v>19</v>
      </c>
      <c r="F2442" s="4" t="str">
        <f>HYPERLINK("http://141.218.60.56/~jnz1568/getInfo.php?workbook=13_02.xlsx&amp;sheet=U0&amp;row=2442&amp;col=6&amp;number=4.8&amp;sourceID=14","4.8")</f>
        <v>4.8</v>
      </c>
      <c r="G2442" s="4" t="str">
        <f>HYPERLINK("http://141.218.60.56/~jnz1568/getInfo.php?workbook=13_02.xlsx&amp;sheet=U0&amp;row=2442&amp;col=7&amp;number=0.000712&amp;sourceID=14","0.000712")</f>
        <v>0.000712</v>
      </c>
    </row>
    <row r="2443" spans="1:7">
      <c r="A2443" s="3"/>
      <c r="B2443" s="3"/>
      <c r="C2443" s="3"/>
      <c r="D2443" s="3"/>
      <c r="E2443" s="3">
        <v>20</v>
      </c>
      <c r="F2443" s="4" t="str">
        <f>HYPERLINK("http://141.218.60.56/~jnz1568/getInfo.php?workbook=13_02.xlsx&amp;sheet=U0&amp;row=2443&amp;col=6&amp;number=4.9&amp;sourceID=14","4.9")</f>
        <v>4.9</v>
      </c>
      <c r="G2443" s="4" t="str">
        <f>HYPERLINK("http://141.218.60.56/~jnz1568/getInfo.php?workbook=13_02.xlsx&amp;sheet=U0&amp;row=2443&amp;col=7&amp;number=0.000711&amp;sourceID=14","0.000711")</f>
        <v>0.000711</v>
      </c>
    </row>
    <row r="2444" spans="1:7">
      <c r="A2444" s="3">
        <v>13</v>
      </c>
      <c r="B2444" s="3">
        <v>2</v>
      </c>
      <c r="C2444" s="3" t="s">
        <v>91</v>
      </c>
      <c r="D2444" s="3">
        <v>0</v>
      </c>
      <c r="E2444" s="3">
        <v>1</v>
      </c>
      <c r="F2444" s="4" t="str">
        <f>HYPERLINK("http://141.218.60.56/~jnz1568/getInfo.php?workbook=13_02.xlsx&amp;sheet=U0&amp;row=2444&amp;col=6&amp;number=3&amp;sourceID=14","3")</f>
        <v>3</v>
      </c>
      <c r="G2444" s="4" t="str">
        <f>HYPERLINK("http://141.218.60.56/~jnz1568/getInfo.php?workbook=13_02.xlsx&amp;sheet=U0&amp;row=2444&amp;col=7&amp;number=0.000965&amp;sourceID=14","0.000965")</f>
        <v>0.000965</v>
      </c>
    </row>
    <row r="2445" spans="1:7">
      <c r="A2445" s="3"/>
      <c r="B2445" s="3"/>
      <c r="C2445" s="3"/>
      <c r="D2445" s="3"/>
      <c r="E2445" s="3">
        <v>2</v>
      </c>
      <c r="F2445" s="4" t="str">
        <f>HYPERLINK("http://141.218.60.56/~jnz1568/getInfo.php?workbook=13_02.xlsx&amp;sheet=U0&amp;row=2445&amp;col=6&amp;number=3.1&amp;sourceID=14","3.1")</f>
        <v>3.1</v>
      </c>
      <c r="G2445" s="4" t="str">
        <f>HYPERLINK("http://141.218.60.56/~jnz1568/getInfo.php?workbook=13_02.xlsx&amp;sheet=U0&amp;row=2445&amp;col=7&amp;number=0.000965&amp;sourceID=14","0.000965")</f>
        <v>0.000965</v>
      </c>
    </row>
    <row r="2446" spans="1:7">
      <c r="A2446" s="3"/>
      <c r="B2446" s="3"/>
      <c r="C2446" s="3"/>
      <c r="D2446" s="3"/>
      <c r="E2446" s="3">
        <v>3</v>
      </c>
      <c r="F2446" s="4" t="str">
        <f>HYPERLINK("http://141.218.60.56/~jnz1568/getInfo.php?workbook=13_02.xlsx&amp;sheet=U0&amp;row=2446&amp;col=6&amp;number=3.2&amp;sourceID=14","3.2")</f>
        <v>3.2</v>
      </c>
      <c r="G2446" s="4" t="str">
        <f>HYPERLINK("http://141.218.60.56/~jnz1568/getInfo.php?workbook=13_02.xlsx&amp;sheet=U0&amp;row=2446&amp;col=7&amp;number=0.000965&amp;sourceID=14","0.000965")</f>
        <v>0.000965</v>
      </c>
    </row>
    <row r="2447" spans="1:7">
      <c r="A2447" s="3"/>
      <c r="B2447" s="3"/>
      <c r="C2447" s="3"/>
      <c r="D2447" s="3"/>
      <c r="E2447" s="3">
        <v>4</v>
      </c>
      <c r="F2447" s="4" t="str">
        <f>HYPERLINK("http://141.218.60.56/~jnz1568/getInfo.php?workbook=13_02.xlsx&amp;sheet=U0&amp;row=2447&amp;col=6&amp;number=3.3&amp;sourceID=14","3.3")</f>
        <v>3.3</v>
      </c>
      <c r="G2447" s="4" t="str">
        <f>HYPERLINK("http://141.218.60.56/~jnz1568/getInfo.php?workbook=13_02.xlsx&amp;sheet=U0&amp;row=2447&amp;col=7&amp;number=0.000964&amp;sourceID=14","0.000964")</f>
        <v>0.000964</v>
      </c>
    </row>
    <row r="2448" spans="1:7">
      <c r="A2448" s="3"/>
      <c r="B2448" s="3"/>
      <c r="C2448" s="3"/>
      <c r="D2448" s="3"/>
      <c r="E2448" s="3">
        <v>5</v>
      </c>
      <c r="F2448" s="4" t="str">
        <f>HYPERLINK("http://141.218.60.56/~jnz1568/getInfo.php?workbook=13_02.xlsx&amp;sheet=U0&amp;row=2448&amp;col=6&amp;number=3.4&amp;sourceID=14","3.4")</f>
        <v>3.4</v>
      </c>
      <c r="G2448" s="4" t="str">
        <f>HYPERLINK("http://141.218.60.56/~jnz1568/getInfo.php?workbook=13_02.xlsx&amp;sheet=U0&amp;row=2448&amp;col=7&amp;number=0.000964&amp;sourceID=14","0.000964")</f>
        <v>0.000964</v>
      </c>
    </row>
    <row r="2449" spans="1:7">
      <c r="A2449" s="3"/>
      <c r="B2449" s="3"/>
      <c r="C2449" s="3"/>
      <c r="D2449" s="3"/>
      <c r="E2449" s="3">
        <v>6</v>
      </c>
      <c r="F2449" s="4" t="str">
        <f>HYPERLINK("http://141.218.60.56/~jnz1568/getInfo.php?workbook=13_02.xlsx&amp;sheet=U0&amp;row=2449&amp;col=6&amp;number=3.5&amp;sourceID=14","3.5")</f>
        <v>3.5</v>
      </c>
      <c r="G2449" s="4" t="str">
        <f>HYPERLINK("http://141.218.60.56/~jnz1568/getInfo.php?workbook=13_02.xlsx&amp;sheet=U0&amp;row=2449&amp;col=7&amp;number=0.000964&amp;sourceID=14","0.000964")</f>
        <v>0.000964</v>
      </c>
    </row>
    <row r="2450" spans="1:7">
      <c r="A2450" s="3"/>
      <c r="B2450" s="3"/>
      <c r="C2450" s="3"/>
      <c r="D2450" s="3"/>
      <c r="E2450" s="3">
        <v>7</v>
      </c>
      <c r="F2450" s="4" t="str">
        <f>HYPERLINK("http://141.218.60.56/~jnz1568/getInfo.php?workbook=13_02.xlsx&amp;sheet=U0&amp;row=2450&amp;col=6&amp;number=3.6&amp;sourceID=14","3.6")</f>
        <v>3.6</v>
      </c>
      <c r="G2450" s="4" t="str">
        <f>HYPERLINK("http://141.218.60.56/~jnz1568/getInfo.php?workbook=13_02.xlsx&amp;sheet=U0&amp;row=2450&amp;col=7&amp;number=0.000964&amp;sourceID=14","0.000964")</f>
        <v>0.000964</v>
      </c>
    </row>
    <row r="2451" spans="1:7">
      <c r="A2451" s="3"/>
      <c r="B2451" s="3"/>
      <c r="C2451" s="3"/>
      <c r="D2451" s="3"/>
      <c r="E2451" s="3">
        <v>8</v>
      </c>
      <c r="F2451" s="4" t="str">
        <f>HYPERLINK("http://141.218.60.56/~jnz1568/getInfo.php?workbook=13_02.xlsx&amp;sheet=U0&amp;row=2451&amp;col=6&amp;number=3.7&amp;sourceID=14","3.7")</f>
        <v>3.7</v>
      </c>
      <c r="G2451" s="4" t="str">
        <f>HYPERLINK("http://141.218.60.56/~jnz1568/getInfo.php?workbook=13_02.xlsx&amp;sheet=U0&amp;row=2451&amp;col=7&amp;number=0.000964&amp;sourceID=14","0.000964")</f>
        <v>0.000964</v>
      </c>
    </row>
    <row r="2452" spans="1:7">
      <c r="A2452" s="3"/>
      <c r="B2452" s="3"/>
      <c r="C2452" s="3"/>
      <c r="D2452" s="3"/>
      <c r="E2452" s="3">
        <v>9</v>
      </c>
      <c r="F2452" s="4" t="str">
        <f>HYPERLINK("http://141.218.60.56/~jnz1568/getInfo.php?workbook=13_02.xlsx&amp;sheet=U0&amp;row=2452&amp;col=6&amp;number=3.8&amp;sourceID=14","3.8")</f>
        <v>3.8</v>
      </c>
      <c r="G2452" s="4" t="str">
        <f>HYPERLINK("http://141.218.60.56/~jnz1568/getInfo.php?workbook=13_02.xlsx&amp;sheet=U0&amp;row=2452&amp;col=7&amp;number=0.000964&amp;sourceID=14","0.000964")</f>
        <v>0.000964</v>
      </c>
    </row>
    <row r="2453" spans="1:7">
      <c r="A2453" s="3"/>
      <c r="B2453" s="3"/>
      <c r="C2453" s="3"/>
      <c r="D2453" s="3"/>
      <c r="E2453" s="3">
        <v>10</v>
      </c>
      <c r="F2453" s="4" t="str">
        <f>HYPERLINK("http://141.218.60.56/~jnz1568/getInfo.php?workbook=13_02.xlsx&amp;sheet=U0&amp;row=2453&amp;col=6&amp;number=3.9&amp;sourceID=14","3.9")</f>
        <v>3.9</v>
      </c>
      <c r="G2453" s="4" t="str">
        <f>HYPERLINK("http://141.218.60.56/~jnz1568/getInfo.php?workbook=13_02.xlsx&amp;sheet=U0&amp;row=2453&amp;col=7&amp;number=0.000963&amp;sourceID=14","0.000963")</f>
        <v>0.000963</v>
      </c>
    </row>
    <row r="2454" spans="1:7">
      <c r="A2454" s="3"/>
      <c r="B2454" s="3"/>
      <c r="C2454" s="3"/>
      <c r="D2454" s="3"/>
      <c r="E2454" s="3">
        <v>11</v>
      </c>
      <c r="F2454" s="4" t="str">
        <f>HYPERLINK("http://141.218.60.56/~jnz1568/getInfo.php?workbook=13_02.xlsx&amp;sheet=U0&amp;row=2454&amp;col=6&amp;number=4&amp;sourceID=14","4")</f>
        <v>4</v>
      </c>
      <c r="G2454" s="4" t="str">
        <f>HYPERLINK("http://141.218.60.56/~jnz1568/getInfo.php?workbook=13_02.xlsx&amp;sheet=U0&amp;row=2454&amp;col=7&amp;number=0.000963&amp;sourceID=14","0.000963")</f>
        <v>0.000963</v>
      </c>
    </row>
    <row r="2455" spans="1:7">
      <c r="A2455" s="3"/>
      <c r="B2455" s="3"/>
      <c r="C2455" s="3"/>
      <c r="D2455" s="3"/>
      <c r="E2455" s="3">
        <v>12</v>
      </c>
      <c r="F2455" s="4" t="str">
        <f>HYPERLINK("http://141.218.60.56/~jnz1568/getInfo.php?workbook=13_02.xlsx&amp;sheet=U0&amp;row=2455&amp;col=6&amp;number=4.1&amp;sourceID=14","4.1")</f>
        <v>4.1</v>
      </c>
      <c r="G2455" s="4" t="str">
        <f>HYPERLINK("http://141.218.60.56/~jnz1568/getInfo.php?workbook=13_02.xlsx&amp;sheet=U0&amp;row=2455&amp;col=7&amp;number=0.000962&amp;sourceID=14","0.000962")</f>
        <v>0.000962</v>
      </c>
    </row>
    <row r="2456" spans="1:7">
      <c r="A2456" s="3"/>
      <c r="B2456" s="3"/>
      <c r="C2456" s="3"/>
      <c r="D2456" s="3"/>
      <c r="E2456" s="3">
        <v>13</v>
      </c>
      <c r="F2456" s="4" t="str">
        <f>HYPERLINK("http://141.218.60.56/~jnz1568/getInfo.php?workbook=13_02.xlsx&amp;sheet=U0&amp;row=2456&amp;col=6&amp;number=4.2&amp;sourceID=14","4.2")</f>
        <v>4.2</v>
      </c>
      <c r="G2456" s="4" t="str">
        <f>HYPERLINK("http://141.218.60.56/~jnz1568/getInfo.php?workbook=13_02.xlsx&amp;sheet=U0&amp;row=2456&amp;col=7&amp;number=0.000962&amp;sourceID=14","0.000962")</f>
        <v>0.000962</v>
      </c>
    </row>
    <row r="2457" spans="1:7">
      <c r="A2457" s="3"/>
      <c r="B2457" s="3"/>
      <c r="C2457" s="3"/>
      <c r="D2457" s="3"/>
      <c r="E2457" s="3">
        <v>14</v>
      </c>
      <c r="F2457" s="4" t="str">
        <f>HYPERLINK("http://141.218.60.56/~jnz1568/getInfo.php?workbook=13_02.xlsx&amp;sheet=U0&amp;row=2457&amp;col=6&amp;number=4.3&amp;sourceID=14","4.3")</f>
        <v>4.3</v>
      </c>
      <c r="G2457" s="4" t="str">
        <f>HYPERLINK("http://141.218.60.56/~jnz1568/getInfo.php?workbook=13_02.xlsx&amp;sheet=U0&amp;row=2457&amp;col=7&amp;number=0.000961&amp;sourceID=14","0.000961")</f>
        <v>0.000961</v>
      </c>
    </row>
    <row r="2458" spans="1:7">
      <c r="A2458" s="3"/>
      <c r="B2458" s="3"/>
      <c r="C2458" s="3"/>
      <c r="D2458" s="3"/>
      <c r="E2458" s="3">
        <v>15</v>
      </c>
      <c r="F2458" s="4" t="str">
        <f>HYPERLINK("http://141.218.60.56/~jnz1568/getInfo.php?workbook=13_02.xlsx&amp;sheet=U0&amp;row=2458&amp;col=6&amp;number=4.4&amp;sourceID=14","4.4")</f>
        <v>4.4</v>
      </c>
      <c r="G2458" s="4" t="str">
        <f>HYPERLINK("http://141.218.60.56/~jnz1568/getInfo.php?workbook=13_02.xlsx&amp;sheet=U0&amp;row=2458&amp;col=7&amp;number=0.00096&amp;sourceID=14","0.00096")</f>
        <v>0.00096</v>
      </c>
    </row>
    <row r="2459" spans="1:7">
      <c r="A2459" s="3"/>
      <c r="B2459" s="3"/>
      <c r="C2459" s="3"/>
      <c r="D2459" s="3"/>
      <c r="E2459" s="3">
        <v>16</v>
      </c>
      <c r="F2459" s="4" t="str">
        <f>HYPERLINK("http://141.218.60.56/~jnz1568/getInfo.php?workbook=13_02.xlsx&amp;sheet=U0&amp;row=2459&amp;col=6&amp;number=4.5&amp;sourceID=14","4.5")</f>
        <v>4.5</v>
      </c>
      <c r="G2459" s="4" t="str">
        <f>HYPERLINK("http://141.218.60.56/~jnz1568/getInfo.php?workbook=13_02.xlsx&amp;sheet=U0&amp;row=2459&amp;col=7&amp;number=0.000958&amp;sourceID=14","0.000958")</f>
        <v>0.000958</v>
      </c>
    </row>
    <row r="2460" spans="1:7">
      <c r="A2460" s="3"/>
      <c r="B2460" s="3"/>
      <c r="C2460" s="3"/>
      <c r="D2460" s="3"/>
      <c r="E2460" s="3">
        <v>17</v>
      </c>
      <c r="F2460" s="4" t="str">
        <f>HYPERLINK("http://141.218.60.56/~jnz1568/getInfo.php?workbook=13_02.xlsx&amp;sheet=U0&amp;row=2460&amp;col=6&amp;number=4.6&amp;sourceID=14","4.6")</f>
        <v>4.6</v>
      </c>
      <c r="G2460" s="4" t="str">
        <f>HYPERLINK("http://141.218.60.56/~jnz1568/getInfo.php?workbook=13_02.xlsx&amp;sheet=U0&amp;row=2460&amp;col=7&amp;number=0.000957&amp;sourceID=14","0.000957")</f>
        <v>0.000957</v>
      </c>
    </row>
    <row r="2461" spans="1:7">
      <c r="A2461" s="3"/>
      <c r="B2461" s="3"/>
      <c r="C2461" s="3"/>
      <c r="D2461" s="3"/>
      <c r="E2461" s="3">
        <v>18</v>
      </c>
      <c r="F2461" s="4" t="str">
        <f>HYPERLINK("http://141.218.60.56/~jnz1568/getInfo.php?workbook=13_02.xlsx&amp;sheet=U0&amp;row=2461&amp;col=6&amp;number=4.7&amp;sourceID=14","4.7")</f>
        <v>4.7</v>
      </c>
      <c r="G2461" s="4" t="str">
        <f>HYPERLINK("http://141.218.60.56/~jnz1568/getInfo.php?workbook=13_02.xlsx&amp;sheet=U0&amp;row=2461&amp;col=7&amp;number=0.000955&amp;sourceID=14","0.000955")</f>
        <v>0.000955</v>
      </c>
    </row>
    <row r="2462" spans="1:7">
      <c r="A2462" s="3"/>
      <c r="B2462" s="3"/>
      <c r="C2462" s="3"/>
      <c r="D2462" s="3"/>
      <c r="E2462" s="3">
        <v>19</v>
      </c>
      <c r="F2462" s="4" t="str">
        <f>HYPERLINK("http://141.218.60.56/~jnz1568/getInfo.php?workbook=13_02.xlsx&amp;sheet=U0&amp;row=2462&amp;col=6&amp;number=4.8&amp;sourceID=14","4.8")</f>
        <v>4.8</v>
      </c>
      <c r="G2462" s="4" t="str">
        <f>HYPERLINK("http://141.218.60.56/~jnz1568/getInfo.php?workbook=13_02.xlsx&amp;sheet=U0&amp;row=2462&amp;col=7&amp;number=0.000952&amp;sourceID=14","0.000952")</f>
        <v>0.000952</v>
      </c>
    </row>
    <row r="2463" spans="1:7">
      <c r="A2463" s="3"/>
      <c r="B2463" s="3"/>
      <c r="C2463" s="3"/>
      <c r="D2463" s="3"/>
      <c r="E2463" s="3">
        <v>20</v>
      </c>
      <c r="F2463" s="4" t="str">
        <f>HYPERLINK("http://141.218.60.56/~jnz1568/getInfo.php?workbook=13_02.xlsx&amp;sheet=U0&amp;row=2463&amp;col=6&amp;number=4.9&amp;sourceID=14","4.9")</f>
        <v>4.9</v>
      </c>
      <c r="G2463" s="4" t="str">
        <f>HYPERLINK("http://141.218.60.56/~jnz1568/getInfo.php?workbook=13_02.xlsx&amp;sheet=U0&amp;row=2463&amp;col=7&amp;number=0.000949&amp;sourceID=14","0.000949")</f>
        <v>0.000949</v>
      </c>
    </row>
    <row r="2464" spans="1:7">
      <c r="A2464" s="3">
        <v>13</v>
      </c>
      <c r="B2464" s="3">
        <v>2</v>
      </c>
      <c r="C2464" s="3" t="s">
        <v>91</v>
      </c>
      <c r="D2464" s="3">
        <v>1</v>
      </c>
      <c r="E2464" s="3">
        <v>1</v>
      </c>
      <c r="F2464" s="4" t="str">
        <f>HYPERLINK("http://141.218.60.56/~jnz1568/getInfo.php?workbook=13_02.xlsx&amp;sheet=U0&amp;row=2464&amp;col=6&amp;number=3&amp;sourceID=14","3")</f>
        <v>3</v>
      </c>
      <c r="G2464" s="4" t="str">
        <f>HYPERLINK("http://141.218.60.56/~jnz1568/getInfo.php?workbook=13_02.xlsx&amp;sheet=U0&amp;row=2464&amp;col=7&amp;number=0.00188&amp;sourceID=14","0.00188")</f>
        <v>0.00188</v>
      </c>
    </row>
    <row r="2465" spans="1:7">
      <c r="A2465" s="3"/>
      <c r="B2465" s="3"/>
      <c r="C2465" s="3"/>
      <c r="D2465" s="3"/>
      <c r="E2465" s="3">
        <v>2</v>
      </c>
      <c r="F2465" s="4" t="str">
        <f>HYPERLINK("http://141.218.60.56/~jnz1568/getInfo.php?workbook=13_02.xlsx&amp;sheet=U0&amp;row=2465&amp;col=6&amp;number=3.1&amp;sourceID=14","3.1")</f>
        <v>3.1</v>
      </c>
      <c r="G2465" s="4" t="str">
        <f>HYPERLINK("http://141.218.60.56/~jnz1568/getInfo.php?workbook=13_02.xlsx&amp;sheet=U0&amp;row=2465&amp;col=7&amp;number=0.00188&amp;sourceID=14","0.00188")</f>
        <v>0.00188</v>
      </c>
    </row>
    <row r="2466" spans="1:7">
      <c r="A2466" s="3"/>
      <c r="B2466" s="3"/>
      <c r="C2466" s="3"/>
      <c r="D2466" s="3"/>
      <c r="E2466" s="3">
        <v>3</v>
      </c>
      <c r="F2466" s="4" t="str">
        <f>HYPERLINK("http://141.218.60.56/~jnz1568/getInfo.php?workbook=13_02.xlsx&amp;sheet=U0&amp;row=2466&amp;col=6&amp;number=3.2&amp;sourceID=14","3.2")</f>
        <v>3.2</v>
      </c>
      <c r="G2466" s="4" t="str">
        <f>HYPERLINK("http://141.218.60.56/~jnz1568/getInfo.php?workbook=13_02.xlsx&amp;sheet=U0&amp;row=2466&amp;col=7&amp;number=0.00188&amp;sourceID=14","0.00188")</f>
        <v>0.00188</v>
      </c>
    </row>
    <row r="2467" spans="1:7">
      <c r="A2467" s="3"/>
      <c r="B2467" s="3"/>
      <c r="C2467" s="3"/>
      <c r="D2467" s="3"/>
      <c r="E2467" s="3">
        <v>4</v>
      </c>
      <c r="F2467" s="4" t="str">
        <f>HYPERLINK("http://141.218.60.56/~jnz1568/getInfo.php?workbook=13_02.xlsx&amp;sheet=U0&amp;row=2467&amp;col=6&amp;number=3.3&amp;sourceID=14","3.3")</f>
        <v>3.3</v>
      </c>
      <c r="G2467" s="4" t="str">
        <f>HYPERLINK("http://141.218.60.56/~jnz1568/getInfo.php?workbook=13_02.xlsx&amp;sheet=U0&amp;row=2467&amp;col=7&amp;number=0.00188&amp;sourceID=14","0.00188")</f>
        <v>0.00188</v>
      </c>
    </row>
    <row r="2468" spans="1:7">
      <c r="A2468" s="3"/>
      <c r="B2468" s="3"/>
      <c r="C2468" s="3"/>
      <c r="D2468" s="3"/>
      <c r="E2468" s="3">
        <v>5</v>
      </c>
      <c r="F2468" s="4" t="str">
        <f>HYPERLINK("http://141.218.60.56/~jnz1568/getInfo.php?workbook=13_02.xlsx&amp;sheet=U0&amp;row=2468&amp;col=6&amp;number=3.4&amp;sourceID=14","3.4")</f>
        <v>3.4</v>
      </c>
      <c r="G2468" s="4" t="str">
        <f>HYPERLINK("http://141.218.60.56/~jnz1568/getInfo.php?workbook=13_02.xlsx&amp;sheet=U0&amp;row=2468&amp;col=7&amp;number=0.00188&amp;sourceID=14","0.00188")</f>
        <v>0.00188</v>
      </c>
    </row>
    <row r="2469" spans="1:7">
      <c r="A2469" s="3"/>
      <c r="B2469" s="3"/>
      <c r="C2469" s="3"/>
      <c r="D2469" s="3"/>
      <c r="E2469" s="3">
        <v>6</v>
      </c>
      <c r="F2469" s="4" t="str">
        <f>HYPERLINK("http://141.218.60.56/~jnz1568/getInfo.php?workbook=13_02.xlsx&amp;sheet=U0&amp;row=2469&amp;col=6&amp;number=3.5&amp;sourceID=14","3.5")</f>
        <v>3.5</v>
      </c>
      <c r="G2469" s="4" t="str">
        <f>HYPERLINK("http://141.218.60.56/~jnz1568/getInfo.php?workbook=13_02.xlsx&amp;sheet=U0&amp;row=2469&amp;col=7&amp;number=0.00188&amp;sourceID=14","0.00188")</f>
        <v>0.00188</v>
      </c>
    </row>
    <row r="2470" spans="1:7">
      <c r="A2470" s="3"/>
      <c r="B2470" s="3"/>
      <c r="C2470" s="3"/>
      <c r="D2470" s="3"/>
      <c r="E2470" s="3">
        <v>7</v>
      </c>
      <c r="F2470" s="4" t="str">
        <f>HYPERLINK("http://141.218.60.56/~jnz1568/getInfo.php?workbook=13_02.xlsx&amp;sheet=U0&amp;row=2470&amp;col=6&amp;number=3.6&amp;sourceID=14","3.6")</f>
        <v>3.6</v>
      </c>
      <c r="G2470" s="4" t="str">
        <f>HYPERLINK("http://141.218.60.56/~jnz1568/getInfo.php?workbook=13_02.xlsx&amp;sheet=U0&amp;row=2470&amp;col=7&amp;number=0.00188&amp;sourceID=14","0.00188")</f>
        <v>0.00188</v>
      </c>
    </row>
    <row r="2471" spans="1:7">
      <c r="A2471" s="3"/>
      <c r="B2471" s="3"/>
      <c r="C2471" s="3"/>
      <c r="D2471" s="3"/>
      <c r="E2471" s="3">
        <v>8</v>
      </c>
      <c r="F2471" s="4" t="str">
        <f>HYPERLINK("http://141.218.60.56/~jnz1568/getInfo.php?workbook=13_02.xlsx&amp;sheet=U0&amp;row=2471&amp;col=6&amp;number=3.7&amp;sourceID=14","3.7")</f>
        <v>3.7</v>
      </c>
      <c r="G2471" s="4" t="str">
        <f>HYPERLINK("http://141.218.60.56/~jnz1568/getInfo.php?workbook=13_02.xlsx&amp;sheet=U0&amp;row=2471&amp;col=7&amp;number=0.00188&amp;sourceID=14","0.00188")</f>
        <v>0.00188</v>
      </c>
    </row>
    <row r="2472" spans="1:7">
      <c r="A2472" s="3"/>
      <c r="B2472" s="3"/>
      <c r="C2472" s="3"/>
      <c r="D2472" s="3"/>
      <c r="E2472" s="3">
        <v>9</v>
      </c>
      <c r="F2472" s="4" t="str">
        <f>HYPERLINK("http://141.218.60.56/~jnz1568/getInfo.php?workbook=13_02.xlsx&amp;sheet=U0&amp;row=2472&amp;col=6&amp;number=3.8&amp;sourceID=14","3.8")</f>
        <v>3.8</v>
      </c>
      <c r="G2472" s="4" t="str">
        <f>HYPERLINK("http://141.218.60.56/~jnz1568/getInfo.php?workbook=13_02.xlsx&amp;sheet=U0&amp;row=2472&amp;col=7&amp;number=0.00188&amp;sourceID=14","0.00188")</f>
        <v>0.00188</v>
      </c>
    </row>
    <row r="2473" spans="1:7">
      <c r="A2473" s="3"/>
      <c r="B2473" s="3"/>
      <c r="C2473" s="3"/>
      <c r="D2473" s="3"/>
      <c r="E2473" s="3">
        <v>10</v>
      </c>
      <c r="F2473" s="4" t="str">
        <f>HYPERLINK("http://141.218.60.56/~jnz1568/getInfo.php?workbook=13_02.xlsx&amp;sheet=U0&amp;row=2473&amp;col=6&amp;number=3.9&amp;sourceID=14","3.9")</f>
        <v>3.9</v>
      </c>
      <c r="G2473" s="4" t="str">
        <f>HYPERLINK("http://141.218.60.56/~jnz1568/getInfo.php?workbook=13_02.xlsx&amp;sheet=U0&amp;row=2473&amp;col=7&amp;number=0.00188&amp;sourceID=14","0.00188")</f>
        <v>0.00188</v>
      </c>
    </row>
    <row r="2474" spans="1:7">
      <c r="A2474" s="3"/>
      <c r="B2474" s="3"/>
      <c r="C2474" s="3"/>
      <c r="D2474" s="3"/>
      <c r="E2474" s="3">
        <v>11</v>
      </c>
      <c r="F2474" s="4" t="str">
        <f>HYPERLINK("http://141.218.60.56/~jnz1568/getInfo.php?workbook=13_02.xlsx&amp;sheet=U0&amp;row=2474&amp;col=6&amp;number=4&amp;sourceID=14","4")</f>
        <v>4</v>
      </c>
      <c r="G2474" s="4" t="str">
        <f>HYPERLINK("http://141.218.60.56/~jnz1568/getInfo.php?workbook=13_02.xlsx&amp;sheet=U0&amp;row=2474&amp;col=7&amp;number=0.00188&amp;sourceID=14","0.00188")</f>
        <v>0.00188</v>
      </c>
    </row>
    <row r="2475" spans="1:7">
      <c r="A2475" s="3"/>
      <c r="B2475" s="3"/>
      <c r="C2475" s="3"/>
      <c r="D2475" s="3"/>
      <c r="E2475" s="3">
        <v>12</v>
      </c>
      <c r="F2475" s="4" t="str">
        <f>HYPERLINK("http://141.218.60.56/~jnz1568/getInfo.php?workbook=13_02.xlsx&amp;sheet=U0&amp;row=2475&amp;col=6&amp;number=4.1&amp;sourceID=14","4.1")</f>
        <v>4.1</v>
      </c>
      <c r="G2475" s="4" t="str">
        <f>HYPERLINK("http://141.218.60.56/~jnz1568/getInfo.php?workbook=13_02.xlsx&amp;sheet=U0&amp;row=2475&amp;col=7&amp;number=0.00188&amp;sourceID=14","0.00188")</f>
        <v>0.00188</v>
      </c>
    </row>
    <row r="2476" spans="1:7">
      <c r="A2476" s="3"/>
      <c r="B2476" s="3"/>
      <c r="C2476" s="3"/>
      <c r="D2476" s="3"/>
      <c r="E2476" s="3">
        <v>13</v>
      </c>
      <c r="F2476" s="4" t="str">
        <f>HYPERLINK("http://141.218.60.56/~jnz1568/getInfo.php?workbook=13_02.xlsx&amp;sheet=U0&amp;row=2476&amp;col=6&amp;number=4.2&amp;sourceID=14","4.2")</f>
        <v>4.2</v>
      </c>
      <c r="G2476" s="4" t="str">
        <f>HYPERLINK("http://141.218.60.56/~jnz1568/getInfo.php?workbook=13_02.xlsx&amp;sheet=U0&amp;row=2476&amp;col=7&amp;number=0.00188&amp;sourceID=14","0.00188")</f>
        <v>0.00188</v>
      </c>
    </row>
    <row r="2477" spans="1:7">
      <c r="A2477" s="3"/>
      <c r="B2477" s="3"/>
      <c r="C2477" s="3"/>
      <c r="D2477" s="3"/>
      <c r="E2477" s="3">
        <v>14</v>
      </c>
      <c r="F2477" s="4" t="str">
        <f>HYPERLINK("http://141.218.60.56/~jnz1568/getInfo.php?workbook=13_02.xlsx&amp;sheet=U0&amp;row=2477&amp;col=6&amp;number=4.3&amp;sourceID=14","4.3")</f>
        <v>4.3</v>
      </c>
      <c r="G2477" s="4" t="str">
        <f>HYPERLINK("http://141.218.60.56/~jnz1568/getInfo.php?workbook=13_02.xlsx&amp;sheet=U0&amp;row=2477&amp;col=7&amp;number=0.00188&amp;sourceID=14","0.00188")</f>
        <v>0.00188</v>
      </c>
    </row>
    <row r="2478" spans="1:7">
      <c r="A2478" s="3"/>
      <c r="B2478" s="3"/>
      <c r="C2478" s="3"/>
      <c r="D2478" s="3"/>
      <c r="E2478" s="3">
        <v>15</v>
      </c>
      <c r="F2478" s="4" t="str">
        <f>HYPERLINK("http://141.218.60.56/~jnz1568/getInfo.php?workbook=13_02.xlsx&amp;sheet=U0&amp;row=2478&amp;col=6&amp;number=4.4&amp;sourceID=14","4.4")</f>
        <v>4.4</v>
      </c>
      <c r="G2478" s="4" t="str">
        <f>HYPERLINK("http://141.218.60.56/~jnz1568/getInfo.php?workbook=13_02.xlsx&amp;sheet=U0&amp;row=2478&amp;col=7&amp;number=0.00189&amp;sourceID=14","0.00189")</f>
        <v>0.00189</v>
      </c>
    </row>
    <row r="2479" spans="1:7">
      <c r="A2479" s="3"/>
      <c r="B2479" s="3"/>
      <c r="C2479" s="3"/>
      <c r="D2479" s="3"/>
      <c r="E2479" s="3">
        <v>16</v>
      </c>
      <c r="F2479" s="4" t="str">
        <f>HYPERLINK("http://141.218.60.56/~jnz1568/getInfo.php?workbook=13_02.xlsx&amp;sheet=U0&amp;row=2479&amp;col=6&amp;number=4.5&amp;sourceID=14","4.5")</f>
        <v>4.5</v>
      </c>
      <c r="G2479" s="4" t="str">
        <f>HYPERLINK("http://141.218.60.56/~jnz1568/getInfo.php?workbook=13_02.xlsx&amp;sheet=U0&amp;row=2479&amp;col=7&amp;number=0.00189&amp;sourceID=14","0.00189")</f>
        <v>0.00189</v>
      </c>
    </row>
    <row r="2480" spans="1:7">
      <c r="A2480" s="3"/>
      <c r="B2480" s="3"/>
      <c r="C2480" s="3"/>
      <c r="D2480" s="3"/>
      <c r="E2480" s="3">
        <v>17</v>
      </c>
      <c r="F2480" s="4" t="str">
        <f>HYPERLINK("http://141.218.60.56/~jnz1568/getInfo.php?workbook=13_02.xlsx&amp;sheet=U0&amp;row=2480&amp;col=6&amp;number=4.6&amp;sourceID=14","4.6")</f>
        <v>4.6</v>
      </c>
      <c r="G2480" s="4" t="str">
        <f>HYPERLINK("http://141.218.60.56/~jnz1568/getInfo.php?workbook=13_02.xlsx&amp;sheet=U0&amp;row=2480&amp;col=7&amp;number=0.00189&amp;sourceID=14","0.00189")</f>
        <v>0.00189</v>
      </c>
    </row>
    <row r="2481" spans="1:7">
      <c r="A2481" s="3"/>
      <c r="B2481" s="3"/>
      <c r="C2481" s="3"/>
      <c r="D2481" s="3"/>
      <c r="E2481" s="3">
        <v>18</v>
      </c>
      <c r="F2481" s="4" t="str">
        <f>HYPERLINK("http://141.218.60.56/~jnz1568/getInfo.php?workbook=13_02.xlsx&amp;sheet=U0&amp;row=2481&amp;col=6&amp;number=4.7&amp;sourceID=14","4.7")</f>
        <v>4.7</v>
      </c>
      <c r="G2481" s="4" t="str">
        <f>HYPERLINK("http://141.218.60.56/~jnz1568/getInfo.php?workbook=13_02.xlsx&amp;sheet=U0&amp;row=2481&amp;col=7&amp;number=0.00189&amp;sourceID=14","0.00189")</f>
        <v>0.00189</v>
      </c>
    </row>
    <row r="2482" spans="1:7">
      <c r="A2482" s="3"/>
      <c r="B2482" s="3"/>
      <c r="C2482" s="3"/>
      <c r="D2482" s="3"/>
      <c r="E2482" s="3">
        <v>19</v>
      </c>
      <c r="F2482" s="4" t="str">
        <f>HYPERLINK("http://141.218.60.56/~jnz1568/getInfo.php?workbook=13_02.xlsx&amp;sheet=U0&amp;row=2482&amp;col=6&amp;number=4.8&amp;sourceID=14","4.8")</f>
        <v>4.8</v>
      </c>
      <c r="G2482" s="4" t="str">
        <f>HYPERLINK("http://141.218.60.56/~jnz1568/getInfo.php?workbook=13_02.xlsx&amp;sheet=U0&amp;row=2482&amp;col=7&amp;number=0.00189&amp;sourceID=14","0.00189")</f>
        <v>0.00189</v>
      </c>
    </row>
    <row r="2483" spans="1:7">
      <c r="A2483" s="3"/>
      <c r="B2483" s="3"/>
      <c r="C2483" s="3"/>
      <c r="D2483" s="3"/>
      <c r="E2483" s="3">
        <v>20</v>
      </c>
      <c r="F2483" s="4" t="str">
        <f>HYPERLINK("http://141.218.60.56/~jnz1568/getInfo.php?workbook=13_02.xlsx&amp;sheet=U0&amp;row=2483&amp;col=6&amp;number=4.9&amp;sourceID=14","4.9")</f>
        <v>4.9</v>
      </c>
      <c r="G2483" s="4" t="str">
        <f>HYPERLINK("http://141.218.60.56/~jnz1568/getInfo.php?workbook=13_02.xlsx&amp;sheet=U0&amp;row=2483&amp;col=7&amp;number=0.0019&amp;sourceID=14","0.0019")</f>
        <v>0.0019</v>
      </c>
    </row>
    <row r="2484" spans="1:7">
      <c r="A2484" s="3">
        <v>13</v>
      </c>
      <c r="B2484" s="3">
        <v>2</v>
      </c>
      <c r="C2484" s="3" t="s">
        <v>91</v>
      </c>
      <c r="D2484" s="3">
        <v>2</v>
      </c>
      <c r="E2484" s="3">
        <v>1</v>
      </c>
      <c r="F2484" s="4" t="str">
        <f>HYPERLINK("http://141.218.60.56/~jnz1568/getInfo.php?workbook=13_02.xlsx&amp;sheet=U0&amp;row=2484&amp;col=6&amp;number=3&amp;sourceID=14","3")</f>
        <v>3</v>
      </c>
      <c r="G2484" s="4" t="str">
        <f>HYPERLINK("http://141.218.60.56/~jnz1568/getInfo.php?workbook=13_02.xlsx&amp;sheet=U0&amp;row=2484&amp;col=7&amp;number=0.000441&amp;sourceID=14","0.000441")</f>
        <v>0.000441</v>
      </c>
    </row>
    <row r="2485" spans="1:7">
      <c r="A2485" s="3"/>
      <c r="B2485" s="3"/>
      <c r="C2485" s="3"/>
      <c r="D2485" s="3"/>
      <c r="E2485" s="3">
        <v>2</v>
      </c>
      <c r="F2485" s="4" t="str">
        <f>HYPERLINK("http://141.218.60.56/~jnz1568/getInfo.php?workbook=13_02.xlsx&amp;sheet=U0&amp;row=2485&amp;col=6&amp;number=3.1&amp;sourceID=14","3.1")</f>
        <v>3.1</v>
      </c>
      <c r="G2485" s="4" t="str">
        <f>HYPERLINK("http://141.218.60.56/~jnz1568/getInfo.php?workbook=13_02.xlsx&amp;sheet=U0&amp;row=2485&amp;col=7&amp;number=0.000441&amp;sourceID=14","0.000441")</f>
        <v>0.000441</v>
      </c>
    </row>
    <row r="2486" spans="1:7">
      <c r="A2486" s="3"/>
      <c r="B2486" s="3"/>
      <c r="C2486" s="3"/>
      <c r="D2486" s="3"/>
      <c r="E2486" s="3">
        <v>3</v>
      </c>
      <c r="F2486" s="4" t="str">
        <f>HYPERLINK("http://141.218.60.56/~jnz1568/getInfo.php?workbook=13_02.xlsx&amp;sheet=U0&amp;row=2486&amp;col=6&amp;number=3.2&amp;sourceID=14","3.2")</f>
        <v>3.2</v>
      </c>
      <c r="G2486" s="4" t="str">
        <f>HYPERLINK("http://141.218.60.56/~jnz1568/getInfo.php?workbook=13_02.xlsx&amp;sheet=U0&amp;row=2486&amp;col=7&amp;number=0.000441&amp;sourceID=14","0.000441")</f>
        <v>0.000441</v>
      </c>
    </row>
    <row r="2487" spans="1:7">
      <c r="A2487" s="3"/>
      <c r="B2487" s="3"/>
      <c r="C2487" s="3"/>
      <c r="D2487" s="3"/>
      <c r="E2487" s="3">
        <v>4</v>
      </c>
      <c r="F2487" s="4" t="str">
        <f>HYPERLINK("http://141.218.60.56/~jnz1568/getInfo.php?workbook=13_02.xlsx&amp;sheet=U0&amp;row=2487&amp;col=6&amp;number=3.3&amp;sourceID=14","3.3")</f>
        <v>3.3</v>
      </c>
      <c r="G2487" s="4" t="str">
        <f>HYPERLINK("http://141.218.60.56/~jnz1568/getInfo.php?workbook=13_02.xlsx&amp;sheet=U0&amp;row=2487&amp;col=7&amp;number=0.000441&amp;sourceID=14","0.000441")</f>
        <v>0.000441</v>
      </c>
    </row>
    <row r="2488" spans="1:7">
      <c r="A2488" s="3"/>
      <c r="B2488" s="3"/>
      <c r="C2488" s="3"/>
      <c r="D2488" s="3"/>
      <c r="E2488" s="3">
        <v>5</v>
      </c>
      <c r="F2488" s="4" t="str">
        <f>HYPERLINK("http://141.218.60.56/~jnz1568/getInfo.php?workbook=13_02.xlsx&amp;sheet=U0&amp;row=2488&amp;col=6&amp;number=3.4&amp;sourceID=14","3.4")</f>
        <v>3.4</v>
      </c>
      <c r="G2488" s="4" t="str">
        <f>HYPERLINK("http://141.218.60.56/~jnz1568/getInfo.php?workbook=13_02.xlsx&amp;sheet=U0&amp;row=2488&amp;col=7&amp;number=0.000441&amp;sourceID=14","0.000441")</f>
        <v>0.000441</v>
      </c>
    </row>
    <row r="2489" spans="1:7">
      <c r="A2489" s="3"/>
      <c r="B2489" s="3"/>
      <c r="C2489" s="3"/>
      <c r="D2489" s="3"/>
      <c r="E2489" s="3">
        <v>6</v>
      </c>
      <c r="F2489" s="4" t="str">
        <f>HYPERLINK("http://141.218.60.56/~jnz1568/getInfo.php?workbook=13_02.xlsx&amp;sheet=U0&amp;row=2489&amp;col=6&amp;number=3.5&amp;sourceID=14","3.5")</f>
        <v>3.5</v>
      </c>
      <c r="G2489" s="4" t="str">
        <f>HYPERLINK("http://141.218.60.56/~jnz1568/getInfo.php?workbook=13_02.xlsx&amp;sheet=U0&amp;row=2489&amp;col=7&amp;number=0.000441&amp;sourceID=14","0.000441")</f>
        <v>0.000441</v>
      </c>
    </row>
    <row r="2490" spans="1:7">
      <c r="A2490" s="3"/>
      <c r="B2490" s="3"/>
      <c r="C2490" s="3"/>
      <c r="D2490" s="3"/>
      <c r="E2490" s="3">
        <v>7</v>
      </c>
      <c r="F2490" s="4" t="str">
        <f>HYPERLINK("http://141.218.60.56/~jnz1568/getInfo.php?workbook=13_02.xlsx&amp;sheet=U0&amp;row=2490&amp;col=6&amp;number=3.6&amp;sourceID=14","3.6")</f>
        <v>3.6</v>
      </c>
      <c r="G2490" s="4" t="str">
        <f>HYPERLINK("http://141.218.60.56/~jnz1568/getInfo.php?workbook=13_02.xlsx&amp;sheet=U0&amp;row=2490&amp;col=7&amp;number=0.000441&amp;sourceID=14","0.000441")</f>
        <v>0.000441</v>
      </c>
    </row>
    <row r="2491" spans="1:7">
      <c r="A2491" s="3"/>
      <c r="B2491" s="3"/>
      <c r="C2491" s="3"/>
      <c r="D2491" s="3"/>
      <c r="E2491" s="3">
        <v>8</v>
      </c>
      <c r="F2491" s="4" t="str">
        <f>HYPERLINK("http://141.218.60.56/~jnz1568/getInfo.php?workbook=13_02.xlsx&amp;sheet=U0&amp;row=2491&amp;col=6&amp;number=3.7&amp;sourceID=14","3.7")</f>
        <v>3.7</v>
      </c>
      <c r="G2491" s="4" t="str">
        <f>HYPERLINK("http://141.218.60.56/~jnz1568/getInfo.php?workbook=13_02.xlsx&amp;sheet=U0&amp;row=2491&amp;col=7&amp;number=0.000441&amp;sourceID=14","0.000441")</f>
        <v>0.000441</v>
      </c>
    </row>
    <row r="2492" spans="1:7">
      <c r="A2492" s="3"/>
      <c r="B2492" s="3"/>
      <c r="C2492" s="3"/>
      <c r="D2492" s="3"/>
      <c r="E2492" s="3">
        <v>9</v>
      </c>
      <c r="F2492" s="4" t="str">
        <f>HYPERLINK("http://141.218.60.56/~jnz1568/getInfo.php?workbook=13_02.xlsx&amp;sheet=U0&amp;row=2492&amp;col=6&amp;number=3.8&amp;sourceID=14","3.8")</f>
        <v>3.8</v>
      </c>
      <c r="G2492" s="4" t="str">
        <f>HYPERLINK("http://141.218.60.56/~jnz1568/getInfo.php?workbook=13_02.xlsx&amp;sheet=U0&amp;row=2492&amp;col=7&amp;number=0.000441&amp;sourceID=14","0.000441")</f>
        <v>0.000441</v>
      </c>
    </row>
    <row r="2493" spans="1:7">
      <c r="A2493" s="3"/>
      <c r="B2493" s="3"/>
      <c r="C2493" s="3"/>
      <c r="D2493" s="3"/>
      <c r="E2493" s="3">
        <v>10</v>
      </c>
      <c r="F2493" s="4" t="str">
        <f>HYPERLINK("http://141.218.60.56/~jnz1568/getInfo.php?workbook=13_02.xlsx&amp;sheet=U0&amp;row=2493&amp;col=6&amp;number=3.9&amp;sourceID=14","3.9")</f>
        <v>3.9</v>
      </c>
      <c r="G2493" s="4" t="str">
        <f>HYPERLINK("http://141.218.60.56/~jnz1568/getInfo.php?workbook=13_02.xlsx&amp;sheet=U0&amp;row=2493&amp;col=7&amp;number=0.000441&amp;sourceID=14","0.000441")</f>
        <v>0.000441</v>
      </c>
    </row>
    <row r="2494" spans="1:7">
      <c r="A2494" s="3"/>
      <c r="B2494" s="3"/>
      <c r="C2494" s="3"/>
      <c r="D2494" s="3"/>
      <c r="E2494" s="3">
        <v>11</v>
      </c>
      <c r="F2494" s="4" t="str">
        <f>HYPERLINK("http://141.218.60.56/~jnz1568/getInfo.php?workbook=13_02.xlsx&amp;sheet=U0&amp;row=2494&amp;col=6&amp;number=4&amp;sourceID=14","4")</f>
        <v>4</v>
      </c>
      <c r="G2494" s="4" t="str">
        <f>HYPERLINK("http://141.218.60.56/~jnz1568/getInfo.php?workbook=13_02.xlsx&amp;sheet=U0&amp;row=2494&amp;col=7&amp;number=0.00044&amp;sourceID=14","0.00044")</f>
        <v>0.00044</v>
      </c>
    </row>
    <row r="2495" spans="1:7">
      <c r="A2495" s="3"/>
      <c r="B2495" s="3"/>
      <c r="C2495" s="3"/>
      <c r="D2495" s="3"/>
      <c r="E2495" s="3">
        <v>12</v>
      </c>
      <c r="F2495" s="4" t="str">
        <f>HYPERLINK("http://141.218.60.56/~jnz1568/getInfo.php?workbook=13_02.xlsx&amp;sheet=U0&amp;row=2495&amp;col=6&amp;number=4.1&amp;sourceID=14","4.1")</f>
        <v>4.1</v>
      </c>
      <c r="G2495" s="4" t="str">
        <f>HYPERLINK("http://141.218.60.56/~jnz1568/getInfo.php?workbook=13_02.xlsx&amp;sheet=U0&amp;row=2495&amp;col=7&amp;number=0.00044&amp;sourceID=14","0.00044")</f>
        <v>0.00044</v>
      </c>
    </row>
    <row r="2496" spans="1:7">
      <c r="A2496" s="3"/>
      <c r="B2496" s="3"/>
      <c r="C2496" s="3"/>
      <c r="D2496" s="3"/>
      <c r="E2496" s="3">
        <v>13</v>
      </c>
      <c r="F2496" s="4" t="str">
        <f>HYPERLINK("http://141.218.60.56/~jnz1568/getInfo.php?workbook=13_02.xlsx&amp;sheet=U0&amp;row=2496&amp;col=6&amp;number=4.2&amp;sourceID=14","4.2")</f>
        <v>4.2</v>
      </c>
      <c r="G2496" s="4" t="str">
        <f>HYPERLINK("http://141.218.60.56/~jnz1568/getInfo.php?workbook=13_02.xlsx&amp;sheet=U0&amp;row=2496&amp;col=7&amp;number=0.00044&amp;sourceID=14","0.00044")</f>
        <v>0.00044</v>
      </c>
    </row>
    <row r="2497" spans="1:7">
      <c r="A2497" s="3"/>
      <c r="B2497" s="3"/>
      <c r="C2497" s="3"/>
      <c r="D2497" s="3"/>
      <c r="E2497" s="3">
        <v>14</v>
      </c>
      <c r="F2497" s="4" t="str">
        <f>HYPERLINK("http://141.218.60.56/~jnz1568/getInfo.php?workbook=13_02.xlsx&amp;sheet=U0&amp;row=2497&amp;col=6&amp;number=4.3&amp;sourceID=14","4.3")</f>
        <v>4.3</v>
      </c>
      <c r="G2497" s="4" t="str">
        <f>HYPERLINK("http://141.218.60.56/~jnz1568/getInfo.php?workbook=13_02.xlsx&amp;sheet=U0&amp;row=2497&amp;col=7&amp;number=0.000439&amp;sourceID=14","0.000439")</f>
        <v>0.000439</v>
      </c>
    </row>
    <row r="2498" spans="1:7">
      <c r="A2498" s="3"/>
      <c r="B2498" s="3"/>
      <c r="C2498" s="3"/>
      <c r="D2498" s="3"/>
      <c r="E2498" s="3">
        <v>15</v>
      </c>
      <c r="F2498" s="4" t="str">
        <f>HYPERLINK("http://141.218.60.56/~jnz1568/getInfo.php?workbook=13_02.xlsx&amp;sheet=U0&amp;row=2498&amp;col=6&amp;number=4.4&amp;sourceID=14","4.4")</f>
        <v>4.4</v>
      </c>
      <c r="G2498" s="4" t="str">
        <f>HYPERLINK("http://141.218.60.56/~jnz1568/getInfo.php?workbook=13_02.xlsx&amp;sheet=U0&amp;row=2498&amp;col=7&amp;number=0.000439&amp;sourceID=14","0.000439")</f>
        <v>0.000439</v>
      </c>
    </row>
    <row r="2499" spans="1:7">
      <c r="A2499" s="3"/>
      <c r="B2499" s="3"/>
      <c r="C2499" s="3"/>
      <c r="D2499" s="3"/>
      <c r="E2499" s="3">
        <v>16</v>
      </c>
      <c r="F2499" s="4" t="str">
        <f>HYPERLINK("http://141.218.60.56/~jnz1568/getInfo.php?workbook=13_02.xlsx&amp;sheet=U0&amp;row=2499&amp;col=6&amp;number=4.5&amp;sourceID=14","4.5")</f>
        <v>4.5</v>
      </c>
      <c r="G2499" s="4" t="str">
        <f>HYPERLINK("http://141.218.60.56/~jnz1568/getInfo.php?workbook=13_02.xlsx&amp;sheet=U0&amp;row=2499&amp;col=7&amp;number=0.000438&amp;sourceID=14","0.000438")</f>
        <v>0.000438</v>
      </c>
    </row>
    <row r="2500" spans="1:7">
      <c r="A2500" s="3"/>
      <c r="B2500" s="3"/>
      <c r="C2500" s="3"/>
      <c r="D2500" s="3"/>
      <c r="E2500" s="3">
        <v>17</v>
      </c>
      <c r="F2500" s="4" t="str">
        <f>HYPERLINK("http://141.218.60.56/~jnz1568/getInfo.php?workbook=13_02.xlsx&amp;sheet=U0&amp;row=2500&amp;col=6&amp;number=4.6&amp;sourceID=14","4.6")</f>
        <v>4.6</v>
      </c>
      <c r="G2500" s="4" t="str">
        <f>HYPERLINK("http://141.218.60.56/~jnz1568/getInfo.php?workbook=13_02.xlsx&amp;sheet=U0&amp;row=2500&amp;col=7&amp;number=0.000437&amp;sourceID=14","0.000437")</f>
        <v>0.000437</v>
      </c>
    </row>
    <row r="2501" spans="1:7">
      <c r="A2501" s="3"/>
      <c r="B2501" s="3"/>
      <c r="C2501" s="3"/>
      <c r="D2501" s="3"/>
      <c r="E2501" s="3">
        <v>18</v>
      </c>
      <c r="F2501" s="4" t="str">
        <f>HYPERLINK("http://141.218.60.56/~jnz1568/getInfo.php?workbook=13_02.xlsx&amp;sheet=U0&amp;row=2501&amp;col=6&amp;number=4.7&amp;sourceID=14","4.7")</f>
        <v>4.7</v>
      </c>
      <c r="G2501" s="4" t="str">
        <f>HYPERLINK("http://141.218.60.56/~jnz1568/getInfo.php?workbook=13_02.xlsx&amp;sheet=U0&amp;row=2501&amp;col=7&amp;number=0.000436&amp;sourceID=14","0.000436")</f>
        <v>0.000436</v>
      </c>
    </row>
    <row r="2502" spans="1:7">
      <c r="A2502" s="3"/>
      <c r="B2502" s="3"/>
      <c r="C2502" s="3"/>
      <c r="D2502" s="3"/>
      <c r="E2502" s="3">
        <v>19</v>
      </c>
      <c r="F2502" s="4" t="str">
        <f>HYPERLINK("http://141.218.60.56/~jnz1568/getInfo.php?workbook=13_02.xlsx&amp;sheet=U0&amp;row=2502&amp;col=6&amp;number=4.8&amp;sourceID=14","4.8")</f>
        <v>4.8</v>
      </c>
      <c r="G2502" s="4" t="str">
        <f>HYPERLINK("http://141.218.60.56/~jnz1568/getInfo.php?workbook=13_02.xlsx&amp;sheet=U0&amp;row=2502&amp;col=7&amp;number=0.000435&amp;sourceID=14","0.000435")</f>
        <v>0.000435</v>
      </c>
    </row>
    <row r="2503" spans="1:7">
      <c r="A2503" s="3"/>
      <c r="B2503" s="3"/>
      <c r="C2503" s="3"/>
      <c r="D2503" s="3"/>
      <c r="E2503" s="3">
        <v>20</v>
      </c>
      <c r="F2503" s="4" t="str">
        <f>HYPERLINK("http://141.218.60.56/~jnz1568/getInfo.php?workbook=13_02.xlsx&amp;sheet=U0&amp;row=2503&amp;col=6&amp;number=4.9&amp;sourceID=14","4.9")</f>
        <v>4.9</v>
      </c>
      <c r="G2503" s="4" t="str">
        <f>HYPERLINK("http://141.218.60.56/~jnz1568/getInfo.php?workbook=13_02.xlsx&amp;sheet=U0&amp;row=2503&amp;col=7&amp;number=0.000433&amp;sourceID=14","0.000433")</f>
        <v>0.000433</v>
      </c>
    </row>
    <row r="2504" spans="1:7">
      <c r="A2504" s="3">
        <v>13</v>
      </c>
      <c r="B2504" s="3">
        <v>2</v>
      </c>
      <c r="C2504" s="3" t="s">
        <v>91</v>
      </c>
      <c r="D2504" s="3">
        <v>3</v>
      </c>
      <c r="E2504" s="3">
        <v>1</v>
      </c>
      <c r="F2504" s="4" t="str">
        <f>HYPERLINK("http://141.218.60.56/~jnz1568/getInfo.php?workbook=13_02.xlsx&amp;sheet=U0&amp;row=2504&amp;col=6&amp;number=3&amp;sourceID=14","3")</f>
        <v>3</v>
      </c>
      <c r="G2504" s="4" t="str">
        <f>HYPERLINK("http://141.218.60.56/~jnz1568/getInfo.php?workbook=13_02.xlsx&amp;sheet=U0&amp;row=2504&amp;col=7&amp;number=0.000811&amp;sourceID=14","0.000811")</f>
        <v>0.000811</v>
      </c>
    </row>
    <row r="2505" spans="1:7">
      <c r="A2505" s="3"/>
      <c r="B2505" s="3"/>
      <c r="C2505" s="3"/>
      <c r="D2505" s="3"/>
      <c r="E2505" s="3">
        <v>2</v>
      </c>
      <c r="F2505" s="4" t="str">
        <f>HYPERLINK("http://141.218.60.56/~jnz1568/getInfo.php?workbook=13_02.xlsx&amp;sheet=U0&amp;row=2505&amp;col=6&amp;number=3.1&amp;sourceID=14","3.1")</f>
        <v>3.1</v>
      </c>
      <c r="G2505" s="4" t="str">
        <f>HYPERLINK("http://141.218.60.56/~jnz1568/getInfo.php?workbook=13_02.xlsx&amp;sheet=U0&amp;row=2505&amp;col=7&amp;number=0.000811&amp;sourceID=14","0.000811")</f>
        <v>0.000811</v>
      </c>
    </row>
    <row r="2506" spans="1:7">
      <c r="A2506" s="3"/>
      <c r="B2506" s="3"/>
      <c r="C2506" s="3"/>
      <c r="D2506" s="3"/>
      <c r="E2506" s="3">
        <v>3</v>
      </c>
      <c r="F2506" s="4" t="str">
        <f>HYPERLINK("http://141.218.60.56/~jnz1568/getInfo.php?workbook=13_02.xlsx&amp;sheet=U0&amp;row=2506&amp;col=6&amp;number=3.2&amp;sourceID=14","3.2")</f>
        <v>3.2</v>
      </c>
      <c r="G2506" s="4" t="str">
        <f>HYPERLINK("http://141.218.60.56/~jnz1568/getInfo.php?workbook=13_02.xlsx&amp;sheet=U0&amp;row=2506&amp;col=7&amp;number=0.000811&amp;sourceID=14","0.000811")</f>
        <v>0.000811</v>
      </c>
    </row>
    <row r="2507" spans="1:7">
      <c r="A2507" s="3"/>
      <c r="B2507" s="3"/>
      <c r="C2507" s="3"/>
      <c r="D2507" s="3"/>
      <c r="E2507" s="3">
        <v>4</v>
      </c>
      <c r="F2507" s="4" t="str">
        <f>HYPERLINK("http://141.218.60.56/~jnz1568/getInfo.php?workbook=13_02.xlsx&amp;sheet=U0&amp;row=2507&amp;col=6&amp;number=3.3&amp;sourceID=14","3.3")</f>
        <v>3.3</v>
      </c>
      <c r="G2507" s="4" t="str">
        <f>HYPERLINK("http://141.218.60.56/~jnz1568/getInfo.php?workbook=13_02.xlsx&amp;sheet=U0&amp;row=2507&amp;col=7&amp;number=0.000811&amp;sourceID=14","0.000811")</f>
        <v>0.000811</v>
      </c>
    </row>
    <row r="2508" spans="1:7">
      <c r="A2508" s="3"/>
      <c r="B2508" s="3"/>
      <c r="C2508" s="3"/>
      <c r="D2508" s="3"/>
      <c r="E2508" s="3">
        <v>5</v>
      </c>
      <c r="F2508" s="4" t="str">
        <f>HYPERLINK("http://141.218.60.56/~jnz1568/getInfo.php?workbook=13_02.xlsx&amp;sheet=U0&amp;row=2508&amp;col=6&amp;number=3.4&amp;sourceID=14","3.4")</f>
        <v>3.4</v>
      </c>
      <c r="G2508" s="4" t="str">
        <f>HYPERLINK("http://141.218.60.56/~jnz1568/getInfo.php?workbook=13_02.xlsx&amp;sheet=U0&amp;row=2508&amp;col=7&amp;number=0.000811&amp;sourceID=14","0.000811")</f>
        <v>0.000811</v>
      </c>
    </row>
    <row r="2509" spans="1:7">
      <c r="A2509" s="3"/>
      <c r="B2509" s="3"/>
      <c r="C2509" s="3"/>
      <c r="D2509" s="3"/>
      <c r="E2509" s="3">
        <v>6</v>
      </c>
      <c r="F2509" s="4" t="str">
        <f>HYPERLINK("http://141.218.60.56/~jnz1568/getInfo.php?workbook=13_02.xlsx&amp;sheet=U0&amp;row=2509&amp;col=6&amp;number=3.5&amp;sourceID=14","3.5")</f>
        <v>3.5</v>
      </c>
      <c r="G2509" s="4" t="str">
        <f>HYPERLINK("http://141.218.60.56/~jnz1568/getInfo.php?workbook=13_02.xlsx&amp;sheet=U0&amp;row=2509&amp;col=7&amp;number=0.000811&amp;sourceID=14","0.000811")</f>
        <v>0.000811</v>
      </c>
    </row>
    <row r="2510" spans="1:7">
      <c r="A2510" s="3"/>
      <c r="B2510" s="3"/>
      <c r="C2510" s="3"/>
      <c r="D2510" s="3"/>
      <c r="E2510" s="3">
        <v>7</v>
      </c>
      <c r="F2510" s="4" t="str">
        <f>HYPERLINK("http://141.218.60.56/~jnz1568/getInfo.php?workbook=13_02.xlsx&amp;sheet=U0&amp;row=2510&amp;col=6&amp;number=3.6&amp;sourceID=14","3.6")</f>
        <v>3.6</v>
      </c>
      <c r="G2510" s="4" t="str">
        <f>HYPERLINK("http://141.218.60.56/~jnz1568/getInfo.php?workbook=13_02.xlsx&amp;sheet=U0&amp;row=2510&amp;col=7&amp;number=0.000811&amp;sourceID=14","0.000811")</f>
        <v>0.000811</v>
      </c>
    </row>
    <row r="2511" spans="1:7">
      <c r="A2511" s="3"/>
      <c r="B2511" s="3"/>
      <c r="C2511" s="3"/>
      <c r="D2511" s="3"/>
      <c r="E2511" s="3">
        <v>8</v>
      </c>
      <c r="F2511" s="4" t="str">
        <f>HYPERLINK("http://141.218.60.56/~jnz1568/getInfo.php?workbook=13_02.xlsx&amp;sheet=U0&amp;row=2511&amp;col=6&amp;number=3.7&amp;sourceID=14","3.7")</f>
        <v>3.7</v>
      </c>
      <c r="G2511" s="4" t="str">
        <f>HYPERLINK("http://141.218.60.56/~jnz1568/getInfo.php?workbook=13_02.xlsx&amp;sheet=U0&amp;row=2511&amp;col=7&amp;number=0.000811&amp;sourceID=14","0.000811")</f>
        <v>0.000811</v>
      </c>
    </row>
    <row r="2512" spans="1:7">
      <c r="A2512" s="3"/>
      <c r="B2512" s="3"/>
      <c r="C2512" s="3"/>
      <c r="D2512" s="3"/>
      <c r="E2512" s="3">
        <v>9</v>
      </c>
      <c r="F2512" s="4" t="str">
        <f>HYPERLINK("http://141.218.60.56/~jnz1568/getInfo.php?workbook=13_02.xlsx&amp;sheet=U0&amp;row=2512&amp;col=6&amp;number=3.8&amp;sourceID=14","3.8")</f>
        <v>3.8</v>
      </c>
      <c r="G2512" s="4" t="str">
        <f>HYPERLINK("http://141.218.60.56/~jnz1568/getInfo.php?workbook=13_02.xlsx&amp;sheet=U0&amp;row=2512&amp;col=7&amp;number=0.000811&amp;sourceID=14","0.000811")</f>
        <v>0.000811</v>
      </c>
    </row>
    <row r="2513" spans="1:7">
      <c r="A2513" s="3"/>
      <c r="B2513" s="3"/>
      <c r="C2513" s="3"/>
      <c r="D2513" s="3"/>
      <c r="E2513" s="3">
        <v>10</v>
      </c>
      <c r="F2513" s="4" t="str">
        <f>HYPERLINK("http://141.218.60.56/~jnz1568/getInfo.php?workbook=13_02.xlsx&amp;sheet=U0&amp;row=2513&amp;col=6&amp;number=3.9&amp;sourceID=14","3.9")</f>
        <v>3.9</v>
      </c>
      <c r="G2513" s="4" t="str">
        <f>HYPERLINK("http://141.218.60.56/~jnz1568/getInfo.php?workbook=13_02.xlsx&amp;sheet=U0&amp;row=2513&amp;col=7&amp;number=0.000811&amp;sourceID=14","0.000811")</f>
        <v>0.000811</v>
      </c>
    </row>
    <row r="2514" spans="1:7">
      <c r="A2514" s="3"/>
      <c r="B2514" s="3"/>
      <c r="C2514" s="3"/>
      <c r="D2514" s="3"/>
      <c r="E2514" s="3">
        <v>11</v>
      </c>
      <c r="F2514" s="4" t="str">
        <f>HYPERLINK("http://141.218.60.56/~jnz1568/getInfo.php?workbook=13_02.xlsx&amp;sheet=U0&amp;row=2514&amp;col=6&amp;number=4&amp;sourceID=14","4")</f>
        <v>4</v>
      </c>
      <c r="G2514" s="4" t="str">
        <f>HYPERLINK("http://141.218.60.56/~jnz1568/getInfo.php?workbook=13_02.xlsx&amp;sheet=U0&amp;row=2514&amp;col=7&amp;number=0.000811&amp;sourceID=14","0.000811")</f>
        <v>0.000811</v>
      </c>
    </row>
    <row r="2515" spans="1:7">
      <c r="A2515" s="3"/>
      <c r="B2515" s="3"/>
      <c r="C2515" s="3"/>
      <c r="D2515" s="3"/>
      <c r="E2515" s="3">
        <v>12</v>
      </c>
      <c r="F2515" s="4" t="str">
        <f>HYPERLINK("http://141.218.60.56/~jnz1568/getInfo.php?workbook=13_02.xlsx&amp;sheet=U0&amp;row=2515&amp;col=6&amp;number=4.1&amp;sourceID=14","4.1")</f>
        <v>4.1</v>
      </c>
      <c r="G2515" s="4" t="str">
        <f>HYPERLINK("http://141.218.60.56/~jnz1568/getInfo.php?workbook=13_02.xlsx&amp;sheet=U0&amp;row=2515&amp;col=7&amp;number=0.000812&amp;sourceID=14","0.000812")</f>
        <v>0.000812</v>
      </c>
    </row>
    <row r="2516" spans="1:7">
      <c r="A2516" s="3"/>
      <c r="B2516" s="3"/>
      <c r="C2516" s="3"/>
      <c r="D2516" s="3"/>
      <c r="E2516" s="3">
        <v>13</v>
      </c>
      <c r="F2516" s="4" t="str">
        <f>HYPERLINK("http://141.218.60.56/~jnz1568/getInfo.php?workbook=13_02.xlsx&amp;sheet=U0&amp;row=2516&amp;col=6&amp;number=4.2&amp;sourceID=14","4.2")</f>
        <v>4.2</v>
      </c>
      <c r="G2516" s="4" t="str">
        <f>HYPERLINK("http://141.218.60.56/~jnz1568/getInfo.php?workbook=13_02.xlsx&amp;sheet=U0&amp;row=2516&amp;col=7&amp;number=0.000812&amp;sourceID=14","0.000812")</f>
        <v>0.000812</v>
      </c>
    </row>
    <row r="2517" spans="1:7">
      <c r="A2517" s="3"/>
      <c r="B2517" s="3"/>
      <c r="C2517" s="3"/>
      <c r="D2517" s="3"/>
      <c r="E2517" s="3">
        <v>14</v>
      </c>
      <c r="F2517" s="4" t="str">
        <f>HYPERLINK("http://141.218.60.56/~jnz1568/getInfo.php?workbook=13_02.xlsx&amp;sheet=U0&amp;row=2517&amp;col=6&amp;number=4.3&amp;sourceID=14","4.3")</f>
        <v>4.3</v>
      </c>
      <c r="G2517" s="4" t="str">
        <f>HYPERLINK("http://141.218.60.56/~jnz1568/getInfo.php?workbook=13_02.xlsx&amp;sheet=U0&amp;row=2517&amp;col=7&amp;number=0.000812&amp;sourceID=14","0.000812")</f>
        <v>0.000812</v>
      </c>
    </row>
    <row r="2518" spans="1:7">
      <c r="A2518" s="3"/>
      <c r="B2518" s="3"/>
      <c r="C2518" s="3"/>
      <c r="D2518" s="3"/>
      <c r="E2518" s="3">
        <v>15</v>
      </c>
      <c r="F2518" s="4" t="str">
        <f>HYPERLINK("http://141.218.60.56/~jnz1568/getInfo.php?workbook=13_02.xlsx&amp;sheet=U0&amp;row=2518&amp;col=6&amp;number=4.4&amp;sourceID=14","4.4")</f>
        <v>4.4</v>
      </c>
      <c r="G2518" s="4" t="str">
        <f>HYPERLINK("http://141.218.60.56/~jnz1568/getInfo.php?workbook=13_02.xlsx&amp;sheet=U0&amp;row=2518&amp;col=7&amp;number=0.000812&amp;sourceID=14","0.000812")</f>
        <v>0.000812</v>
      </c>
    </row>
    <row r="2519" spans="1:7">
      <c r="A2519" s="3"/>
      <c r="B2519" s="3"/>
      <c r="C2519" s="3"/>
      <c r="D2519" s="3"/>
      <c r="E2519" s="3">
        <v>16</v>
      </c>
      <c r="F2519" s="4" t="str">
        <f>HYPERLINK("http://141.218.60.56/~jnz1568/getInfo.php?workbook=13_02.xlsx&amp;sheet=U0&amp;row=2519&amp;col=6&amp;number=4.5&amp;sourceID=14","4.5")</f>
        <v>4.5</v>
      </c>
      <c r="G2519" s="4" t="str">
        <f>HYPERLINK("http://141.218.60.56/~jnz1568/getInfo.php?workbook=13_02.xlsx&amp;sheet=U0&amp;row=2519&amp;col=7&amp;number=0.000812&amp;sourceID=14","0.000812")</f>
        <v>0.000812</v>
      </c>
    </row>
    <row r="2520" spans="1:7">
      <c r="A2520" s="3"/>
      <c r="B2520" s="3"/>
      <c r="C2520" s="3"/>
      <c r="D2520" s="3"/>
      <c r="E2520" s="3">
        <v>17</v>
      </c>
      <c r="F2520" s="4" t="str">
        <f>HYPERLINK("http://141.218.60.56/~jnz1568/getInfo.php?workbook=13_02.xlsx&amp;sheet=U0&amp;row=2520&amp;col=6&amp;number=4.6&amp;sourceID=14","4.6")</f>
        <v>4.6</v>
      </c>
      <c r="G2520" s="4" t="str">
        <f>HYPERLINK("http://141.218.60.56/~jnz1568/getInfo.php?workbook=13_02.xlsx&amp;sheet=U0&amp;row=2520&amp;col=7&amp;number=0.000812&amp;sourceID=14","0.000812")</f>
        <v>0.000812</v>
      </c>
    </row>
    <row r="2521" spans="1:7">
      <c r="A2521" s="3"/>
      <c r="B2521" s="3"/>
      <c r="C2521" s="3"/>
      <c r="D2521" s="3"/>
      <c r="E2521" s="3">
        <v>18</v>
      </c>
      <c r="F2521" s="4" t="str">
        <f>HYPERLINK("http://141.218.60.56/~jnz1568/getInfo.php?workbook=13_02.xlsx&amp;sheet=U0&amp;row=2521&amp;col=6&amp;number=4.7&amp;sourceID=14","4.7")</f>
        <v>4.7</v>
      </c>
      <c r="G2521" s="4" t="str">
        <f>HYPERLINK("http://141.218.60.56/~jnz1568/getInfo.php?workbook=13_02.xlsx&amp;sheet=U0&amp;row=2521&amp;col=7&amp;number=0.000812&amp;sourceID=14","0.000812")</f>
        <v>0.000812</v>
      </c>
    </row>
    <row r="2522" spans="1:7">
      <c r="A2522" s="3"/>
      <c r="B2522" s="3"/>
      <c r="C2522" s="3"/>
      <c r="D2522" s="3"/>
      <c r="E2522" s="3">
        <v>19</v>
      </c>
      <c r="F2522" s="4" t="str">
        <f>HYPERLINK("http://141.218.60.56/~jnz1568/getInfo.php?workbook=13_02.xlsx&amp;sheet=U0&amp;row=2522&amp;col=6&amp;number=4.8&amp;sourceID=14","4.8")</f>
        <v>4.8</v>
      </c>
      <c r="G2522" s="4" t="str">
        <f>HYPERLINK("http://141.218.60.56/~jnz1568/getInfo.php?workbook=13_02.xlsx&amp;sheet=U0&amp;row=2522&amp;col=7&amp;number=0.000813&amp;sourceID=14","0.000813")</f>
        <v>0.000813</v>
      </c>
    </row>
    <row r="2523" spans="1:7">
      <c r="A2523" s="3"/>
      <c r="B2523" s="3"/>
      <c r="C2523" s="3"/>
      <c r="D2523" s="3"/>
      <c r="E2523" s="3">
        <v>20</v>
      </c>
      <c r="F2523" s="4" t="str">
        <f>HYPERLINK("http://141.218.60.56/~jnz1568/getInfo.php?workbook=13_02.xlsx&amp;sheet=U0&amp;row=2523&amp;col=6&amp;number=4.9&amp;sourceID=14","4.9")</f>
        <v>4.9</v>
      </c>
      <c r="G2523" s="4" t="str">
        <f>HYPERLINK("http://141.218.60.56/~jnz1568/getInfo.php?workbook=13_02.xlsx&amp;sheet=U0&amp;row=2523&amp;col=7&amp;number=0.000813&amp;sourceID=14","0.000813")</f>
        <v>0.000813</v>
      </c>
    </row>
    <row r="2524" spans="1:7">
      <c r="A2524" s="3">
        <v>13</v>
      </c>
      <c r="B2524" s="3">
        <v>2</v>
      </c>
      <c r="C2524" s="3" t="s">
        <v>91</v>
      </c>
      <c r="D2524" s="3">
        <v>4</v>
      </c>
      <c r="E2524" s="3">
        <v>1</v>
      </c>
      <c r="F2524" s="4" t="str">
        <f>HYPERLINK("http://141.218.60.56/~jnz1568/getInfo.php?workbook=13_02.xlsx&amp;sheet=U0&amp;row=2524&amp;col=6&amp;number=3&amp;sourceID=14","3")</f>
        <v>3</v>
      </c>
      <c r="G2524" s="4" t="str">
        <f>HYPERLINK("http://141.218.60.56/~jnz1568/getInfo.php?workbook=13_02.xlsx&amp;sheet=U0&amp;row=2524&amp;col=7&amp;number=0.00078&amp;sourceID=14","0.00078")</f>
        <v>0.00078</v>
      </c>
    </row>
    <row r="2525" spans="1:7">
      <c r="A2525" s="3"/>
      <c r="B2525" s="3"/>
      <c r="C2525" s="3"/>
      <c r="D2525" s="3"/>
      <c r="E2525" s="3">
        <v>2</v>
      </c>
      <c r="F2525" s="4" t="str">
        <f>HYPERLINK("http://141.218.60.56/~jnz1568/getInfo.php?workbook=13_02.xlsx&amp;sheet=U0&amp;row=2525&amp;col=6&amp;number=3.1&amp;sourceID=14","3.1")</f>
        <v>3.1</v>
      </c>
      <c r="G2525" s="4" t="str">
        <f>HYPERLINK("http://141.218.60.56/~jnz1568/getInfo.php?workbook=13_02.xlsx&amp;sheet=U0&amp;row=2525&amp;col=7&amp;number=0.00078&amp;sourceID=14","0.00078")</f>
        <v>0.00078</v>
      </c>
    </row>
    <row r="2526" spans="1:7">
      <c r="A2526" s="3"/>
      <c r="B2526" s="3"/>
      <c r="C2526" s="3"/>
      <c r="D2526" s="3"/>
      <c r="E2526" s="3">
        <v>3</v>
      </c>
      <c r="F2526" s="4" t="str">
        <f>HYPERLINK("http://141.218.60.56/~jnz1568/getInfo.php?workbook=13_02.xlsx&amp;sheet=U0&amp;row=2526&amp;col=6&amp;number=3.2&amp;sourceID=14","3.2")</f>
        <v>3.2</v>
      </c>
      <c r="G2526" s="4" t="str">
        <f>HYPERLINK("http://141.218.60.56/~jnz1568/getInfo.php?workbook=13_02.xlsx&amp;sheet=U0&amp;row=2526&amp;col=7&amp;number=0.00078&amp;sourceID=14","0.00078")</f>
        <v>0.00078</v>
      </c>
    </row>
    <row r="2527" spans="1:7">
      <c r="A2527" s="3"/>
      <c r="B2527" s="3"/>
      <c r="C2527" s="3"/>
      <c r="D2527" s="3"/>
      <c r="E2527" s="3">
        <v>4</v>
      </c>
      <c r="F2527" s="4" t="str">
        <f>HYPERLINK("http://141.218.60.56/~jnz1568/getInfo.php?workbook=13_02.xlsx&amp;sheet=U0&amp;row=2527&amp;col=6&amp;number=3.3&amp;sourceID=14","3.3")</f>
        <v>3.3</v>
      </c>
      <c r="G2527" s="4" t="str">
        <f>HYPERLINK("http://141.218.60.56/~jnz1568/getInfo.php?workbook=13_02.xlsx&amp;sheet=U0&amp;row=2527&amp;col=7&amp;number=0.00078&amp;sourceID=14","0.00078")</f>
        <v>0.00078</v>
      </c>
    </row>
    <row r="2528" spans="1:7">
      <c r="A2528" s="3"/>
      <c r="B2528" s="3"/>
      <c r="C2528" s="3"/>
      <c r="D2528" s="3"/>
      <c r="E2528" s="3">
        <v>5</v>
      </c>
      <c r="F2528" s="4" t="str">
        <f>HYPERLINK("http://141.218.60.56/~jnz1568/getInfo.php?workbook=13_02.xlsx&amp;sheet=U0&amp;row=2528&amp;col=6&amp;number=3.4&amp;sourceID=14","3.4")</f>
        <v>3.4</v>
      </c>
      <c r="G2528" s="4" t="str">
        <f>HYPERLINK("http://141.218.60.56/~jnz1568/getInfo.php?workbook=13_02.xlsx&amp;sheet=U0&amp;row=2528&amp;col=7&amp;number=0.00078&amp;sourceID=14","0.00078")</f>
        <v>0.00078</v>
      </c>
    </row>
    <row r="2529" spans="1:7">
      <c r="A2529" s="3"/>
      <c r="B2529" s="3"/>
      <c r="C2529" s="3"/>
      <c r="D2529" s="3"/>
      <c r="E2529" s="3">
        <v>6</v>
      </c>
      <c r="F2529" s="4" t="str">
        <f>HYPERLINK("http://141.218.60.56/~jnz1568/getInfo.php?workbook=13_02.xlsx&amp;sheet=U0&amp;row=2529&amp;col=6&amp;number=3.5&amp;sourceID=14","3.5")</f>
        <v>3.5</v>
      </c>
      <c r="G2529" s="4" t="str">
        <f>HYPERLINK("http://141.218.60.56/~jnz1568/getInfo.php?workbook=13_02.xlsx&amp;sheet=U0&amp;row=2529&amp;col=7&amp;number=0.00078&amp;sourceID=14","0.00078")</f>
        <v>0.00078</v>
      </c>
    </row>
    <row r="2530" spans="1:7">
      <c r="A2530" s="3"/>
      <c r="B2530" s="3"/>
      <c r="C2530" s="3"/>
      <c r="D2530" s="3"/>
      <c r="E2530" s="3">
        <v>7</v>
      </c>
      <c r="F2530" s="4" t="str">
        <f>HYPERLINK("http://141.218.60.56/~jnz1568/getInfo.php?workbook=13_02.xlsx&amp;sheet=U0&amp;row=2530&amp;col=6&amp;number=3.6&amp;sourceID=14","3.6")</f>
        <v>3.6</v>
      </c>
      <c r="G2530" s="4" t="str">
        <f>HYPERLINK("http://141.218.60.56/~jnz1568/getInfo.php?workbook=13_02.xlsx&amp;sheet=U0&amp;row=2530&amp;col=7&amp;number=0.00078&amp;sourceID=14","0.00078")</f>
        <v>0.00078</v>
      </c>
    </row>
    <row r="2531" spans="1:7">
      <c r="A2531" s="3"/>
      <c r="B2531" s="3"/>
      <c r="C2531" s="3"/>
      <c r="D2531" s="3"/>
      <c r="E2531" s="3">
        <v>8</v>
      </c>
      <c r="F2531" s="4" t="str">
        <f>HYPERLINK("http://141.218.60.56/~jnz1568/getInfo.php?workbook=13_02.xlsx&amp;sheet=U0&amp;row=2531&amp;col=6&amp;number=3.7&amp;sourceID=14","3.7")</f>
        <v>3.7</v>
      </c>
      <c r="G2531" s="4" t="str">
        <f>HYPERLINK("http://141.218.60.56/~jnz1568/getInfo.php?workbook=13_02.xlsx&amp;sheet=U0&amp;row=2531&amp;col=7&amp;number=0.00078&amp;sourceID=14","0.00078")</f>
        <v>0.00078</v>
      </c>
    </row>
    <row r="2532" spans="1:7">
      <c r="A2532" s="3"/>
      <c r="B2532" s="3"/>
      <c r="C2532" s="3"/>
      <c r="D2532" s="3"/>
      <c r="E2532" s="3">
        <v>9</v>
      </c>
      <c r="F2532" s="4" t="str">
        <f>HYPERLINK("http://141.218.60.56/~jnz1568/getInfo.php?workbook=13_02.xlsx&amp;sheet=U0&amp;row=2532&amp;col=6&amp;number=3.8&amp;sourceID=14","3.8")</f>
        <v>3.8</v>
      </c>
      <c r="G2532" s="4" t="str">
        <f>HYPERLINK("http://141.218.60.56/~jnz1568/getInfo.php?workbook=13_02.xlsx&amp;sheet=U0&amp;row=2532&amp;col=7&amp;number=0.000779&amp;sourceID=14","0.000779")</f>
        <v>0.000779</v>
      </c>
    </row>
    <row r="2533" spans="1:7">
      <c r="A2533" s="3"/>
      <c r="B2533" s="3"/>
      <c r="C2533" s="3"/>
      <c r="D2533" s="3"/>
      <c r="E2533" s="3">
        <v>10</v>
      </c>
      <c r="F2533" s="4" t="str">
        <f>HYPERLINK("http://141.218.60.56/~jnz1568/getInfo.php?workbook=13_02.xlsx&amp;sheet=U0&amp;row=2533&amp;col=6&amp;number=3.9&amp;sourceID=14","3.9")</f>
        <v>3.9</v>
      </c>
      <c r="G2533" s="4" t="str">
        <f>HYPERLINK("http://141.218.60.56/~jnz1568/getInfo.php?workbook=13_02.xlsx&amp;sheet=U0&amp;row=2533&amp;col=7&amp;number=0.000779&amp;sourceID=14","0.000779")</f>
        <v>0.000779</v>
      </c>
    </row>
    <row r="2534" spans="1:7">
      <c r="A2534" s="3"/>
      <c r="B2534" s="3"/>
      <c r="C2534" s="3"/>
      <c r="D2534" s="3"/>
      <c r="E2534" s="3">
        <v>11</v>
      </c>
      <c r="F2534" s="4" t="str">
        <f>HYPERLINK("http://141.218.60.56/~jnz1568/getInfo.php?workbook=13_02.xlsx&amp;sheet=U0&amp;row=2534&amp;col=6&amp;number=4&amp;sourceID=14","4")</f>
        <v>4</v>
      </c>
      <c r="G2534" s="4" t="str">
        <f>HYPERLINK("http://141.218.60.56/~jnz1568/getInfo.php?workbook=13_02.xlsx&amp;sheet=U0&amp;row=2534&amp;col=7&amp;number=0.000779&amp;sourceID=14","0.000779")</f>
        <v>0.000779</v>
      </c>
    </row>
    <row r="2535" spans="1:7">
      <c r="A2535" s="3"/>
      <c r="B2535" s="3"/>
      <c r="C2535" s="3"/>
      <c r="D2535" s="3"/>
      <c r="E2535" s="3">
        <v>12</v>
      </c>
      <c r="F2535" s="4" t="str">
        <f>HYPERLINK("http://141.218.60.56/~jnz1568/getInfo.php?workbook=13_02.xlsx&amp;sheet=U0&amp;row=2535&amp;col=6&amp;number=4.1&amp;sourceID=14","4.1")</f>
        <v>4.1</v>
      </c>
      <c r="G2535" s="4" t="str">
        <f>HYPERLINK("http://141.218.60.56/~jnz1568/getInfo.php?workbook=13_02.xlsx&amp;sheet=U0&amp;row=2535&amp;col=7&amp;number=0.000778&amp;sourceID=14","0.000778")</f>
        <v>0.000778</v>
      </c>
    </row>
    <row r="2536" spans="1:7">
      <c r="A2536" s="3"/>
      <c r="B2536" s="3"/>
      <c r="C2536" s="3"/>
      <c r="D2536" s="3"/>
      <c r="E2536" s="3">
        <v>13</v>
      </c>
      <c r="F2536" s="4" t="str">
        <f>HYPERLINK("http://141.218.60.56/~jnz1568/getInfo.php?workbook=13_02.xlsx&amp;sheet=U0&amp;row=2536&amp;col=6&amp;number=4.2&amp;sourceID=14","4.2")</f>
        <v>4.2</v>
      </c>
      <c r="G2536" s="4" t="str">
        <f>HYPERLINK("http://141.218.60.56/~jnz1568/getInfo.php?workbook=13_02.xlsx&amp;sheet=U0&amp;row=2536&amp;col=7&amp;number=0.000778&amp;sourceID=14","0.000778")</f>
        <v>0.000778</v>
      </c>
    </row>
    <row r="2537" spans="1:7">
      <c r="A2537" s="3"/>
      <c r="B2537" s="3"/>
      <c r="C2537" s="3"/>
      <c r="D2537" s="3"/>
      <c r="E2537" s="3">
        <v>14</v>
      </c>
      <c r="F2537" s="4" t="str">
        <f>HYPERLINK("http://141.218.60.56/~jnz1568/getInfo.php?workbook=13_02.xlsx&amp;sheet=U0&amp;row=2537&amp;col=6&amp;number=4.3&amp;sourceID=14","4.3")</f>
        <v>4.3</v>
      </c>
      <c r="G2537" s="4" t="str">
        <f>HYPERLINK("http://141.218.60.56/~jnz1568/getInfo.php?workbook=13_02.xlsx&amp;sheet=U0&amp;row=2537&amp;col=7&amp;number=0.000777&amp;sourceID=14","0.000777")</f>
        <v>0.000777</v>
      </c>
    </row>
    <row r="2538" spans="1:7">
      <c r="A2538" s="3"/>
      <c r="B2538" s="3"/>
      <c r="C2538" s="3"/>
      <c r="D2538" s="3"/>
      <c r="E2538" s="3">
        <v>15</v>
      </c>
      <c r="F2538" s="4" t="str">
        <f>HYPERLINK("http://141.218.60.56/~jnz1568/getInfo.php?workbook=13_02.xlsx&amp;sheet=U0&amp;row=2538&amp;col=6&amp;number=4.4&amp;sourceID=14","4.4")</f>
        <v>4.4</v>
      </c>
      <c r="G2538" s="4" t="str">
        <f>HYPERLINK("http://141.218.60.56/~jnz1568/getInfo.php?workbook=13_02.xlsx&amp;sheet=U0&amp;row=2538&amp;col=7&amp;number=0.000776&amp;sourceID=14","0.000776")</f>
        <v>0.000776</v>
      </c>
    </row>
    <row r="2539" spans="1:7">
      <c r="A2539" s="3"/>
      <c r="B2539" s="3"/>
      <c r="C2539" s="3"/>
      <c r="D2539" s="3"/>
      <c r="E2539" s="3">
        <v>16</v>
      </c>
      <c r="F2539" s="4" t="str">
        <f>HYPERLINK("http://141.218.60.56/~jnz1568/getInfo.php?workbook=13_02.xlsx&amp;sheet=U0&amp;row=2539&amp;col=6&amp;number=4.5&amp;sourceID=14","4.5")</f>
        <v>4.5</v>
      </c>
      <c r="G2539" s="4" t="str">
        <f>HYPERLINK("http://141.218.60.56/~jnz1568/getInfo.php?workbook=13_02.xlsx&amp;sheet=U0&amp;row=2539&amp;col=7&amp;number=0.000775&amp;sourceID=14","0.000775")</f>
        <v>0.000775</v>
      </c>
    </row>
    <row r="2540" spans="1:7">
      <c r="A2540" s="3"/>
      <c r="B2540" s="3"/>
      <c r="C2540" s="3"/>
      <c r="D2540" s="3"/>
      <c r="E2540" s="3">
        <v>17</v>
      </c>
      <c r="F2540" s="4" t="str">
        <f>HYPERLINK("http://141.218.60.56/~jnz1568/getInfo.php?workbook=13_02.xlsx&amp;sheet=U0&amp;row=2540&amp;col=6&amp;number=4.6&amp;sourceID=14","4.6")</f>
        <v>4.6</v>
      </c>
      <c r="G2540" s="4" t="str">
        <f>HYPERLINK("http://141.218.60.56/~jnz1568/getInfo.php?workbook=13_02.xlsx&amp;sheet=U0&amp;row=2540&amp;col=7&amp;number=0.000773&amp;sourceID=14","0.000773")</f>
        <v>0.000773</v>
      </c>
    </row>
    <row r="2541" spans="1:7">
      <c r="A2541" s="3"/>
      <c r="B2541" s="3"/>
      <c r="C2541" s="3"/>
      <c r="D2541" s="3"/>
      <c r="E2541" s="3">
        <v>18</v>
      </c>
      <c r="F2541" s="4" t="str">
        <f>HYPERLINK("http://141.218.60.56/~jnz1568/getInfo.php?workbook=13_02.xlsx&amp;sheet=U0&amp;row=2541&amp;col=6&amp;number=4.7&amp;sourceID=14","4.7")</f>
        <v>4.7</v>
      </c>
      <c r="G2541" s="4" t="str">
        <f>HYPERLINK("http://141.218.60.56/~jnz1568/getInfo.php?workbook=13_02.xlsx&amp;sheet=U0&amp;row=2541&amp;col=7&amp;number=0.000771&amp;sourceID=14","0.000771")</f>
        <v>0.000771</v>
      </c>
    </row>
    <row r="2542" spans="1:7">
      <c r="A2542" s="3"/>
      <c r="B2542" s="3"/>
      <c r="C2542" s="3"/>
      <c r="D2542" s="3"/>
      <c r="E2542" s="3">
        <v>19</v>
      </c>
      <c r="F2542" s="4" t="str">
        <f>HYPERLINK("http://141.218.60.56/~jnz1568/getInfo.php?workbook=13_02.xlsx&amp;sheet=U0&amp;row=2542&amp;col=6&amp;number=4.8&amp;sourceID=14","4.8")</f>
        <v>4.8</v>
      </c>
      <c r="G2542" s="4" t="str">
        <f>HYPERLINK("http://141.218.60.56/~jnz1568/getInfo.php?workbook=13_02.xlsx&amp;sheet=U0&amp;row=2542&amp;col=7&amp;number=0.000769&amp;sourceID=14","0.000769")</f>
        <v>0.000769</v>
      </c>
    </row>
    <row r="2543" spans="1:7">
      <c r="A2543" s="3"/>
      <c r="B2543" s="3"/>
      <c r="C2543" s="3"/>
      <c r="D2543" s="3"/>
      <c r="E2543" s="3">
        <v>20</v>
      </c>
      <c r="F2543" s="4" t="str">
        <f>HYPERLINK("http://141.218.60.56/~jnz1568/getInfo.php?workbook=13_02.xlsx&amp;sheet=U0&amp;row=2543&amp;col=6&amp;number=4.9&amp;sourceID=14","4.9")</f>
        <v>4.9</v>
      </c>
      <c r="G2543" s="4" t="str">
        <f>HYPERLINK("http://141.218.60.56/~jnz1568/getInfo.php?workbook=13_02.xlsx&amp;sheet=U0&amp;row=2543&amp;col=7&amp;number=0.000766&amp;sourceID=14","0.000766")</f>
        <v>0.000766</v>
      </c>
    </row>
    <row r="2544" spans="1:7">
      <c r="A2544" s="3">
        <v>13</v>
      </c>
      <c r="B2544" s="3">
        <v>2</v>
      </c>
      <c r="C2544" s="3" t="s">
        <v>91</v>
      </c>
      <c r="D2544" s="3">
        <v>5</v>
      </c>
      <c r="E2544" s="3">
        <v>1</v>
      </c>
      <c r="F2544" s="4" t="str">
        <f>HYPERLINK("http://141.218.60.56/~jnz1568/getInfo.php?workbook=13_02.xlsx&amp;sheet=U0&amp;row=2544&amp;col=6&amp;number=3&amp;sourceID=14","3")</f>
        <v>3</v>
      </c>
      <c r="G2544" s="4" t="str">
        <f>HYPERLINK("http://141.218.60.56/~jnz1568/getInfo.php?workbook=13_02.xlsx&amp;sheet=U0&amp;row=2544&amp;col=7&amp;number=0.000962&amp;sourceID=14","0.000962")</f>
        <v>0.000962</v>
      </c>
    </row>
    <row r="2545" spans="1:7">
      <c r="A2545" s="3"/>
      <c r="B2545" s="3"/>
      <c r="C2545" s="3"/>
      <c r="D2545" s="3"/>
      <c r="E2545" s="3">
        <v>2</v>
      </c>
      <c r="F2545" s="4" t="str">
        <f>HYPERLINK("http://141.218.60.56/~jnz1568/getInfo.php?workbook=13_02.xlsx&amp;sheet=U0&amp;row=2545&amp;col=6&amp;number=3.1&amp;sourceID=14","3.1")</f>
        <v>3.1</v>
      </c>
      <c r="G2545" s="4" t="str">
        <f>HYPERLINK("http://141.218.60.56/~jnz1568/getInfo.php?workbook=13_02.xlsx&amp;sheet=U0&amp;row=2545&amp;col=7&amp;number=0.000962&amp;sourceID=14","0.000962")</f>
        <v>0.000962</v>
      </c>
    </row>
    <row r="2546" spans="1:7">
      <c r="A2546" s="3"/>
      <c r="B2546" s="3"/>
      <c r="C2546" s="3"/>
      <c r="D2546" s="3"/>
      <c r="E2546" s="3">
        <v>3</v>
      </c>
      <c r="F2546" s="4" t="str">
        <f>HYPERLINK("http://141.218.60.56/~jnz1568/getInfo.php?workbook=13_02.xlsx&amp;sheet=U0&amp;row=2546&amp;col=6&amp;number=3.2&amp;sourceID=14","3.2")</f>
        <v>3.2</v>
      </c>
      <c r="G2546" s="4" t="str">
        <f>HYPERLINK("http://141.218.60.56/~jnz1568/getInfo.php?workbook=13_02.xlsx&amp;sheet=U0&amp;row=2546&amp;col=7&amp;number=0.000962&amp;sourceID=14","0.000962")</f>
        <v>0.000962</v>
      </c>
    </row>
    <row r="2547" spans="1:7">
      <c r="A2547" s="3"/>
      <c r="B2547" s="3"/>
      <c r="C2547" s="3"/>
      <c r="D2547" s="3"/>
      <c r="E2547" s="3">
        <v>4</v>
      </c>
      <c r="F2547" s="4" t="str">
        <f>HYPERLINK("http://141.218.60.56/~jnz1568/getInfo.php?workbook=13_02.xlsx&amp;sheet=U0&amp;row=2547&amp;col=6&amp;number=3.3&amp;sourceID=14","3.3")</f>
        <v>3.3</v>
      </c>
      <c r="G2547" s="4" t="str">
        <f>HYPERLINK("http://141.218.60.56/~jnz1568/getInfo.php?workbook=13_02.xlsx&amp;sheet=U0&amp;row=2547&amp;col=7&amp;number=0.000962&amp;sourceID=14","0.000962")</f>
        <v>0.000962</v>
      </c>
    </row>
    <row r="2548" spans="1:7">
      <c r="A2548" s="3"/>
      <c r="B2548" s="3"/>
      <c r="C2548" s="3"/>
      <c r="D2548" s="3"/>
      <c r="E2548" s="3">
        <v>5</v>
      </c>
      <c r="F2548" s="4" t="str">
        <f>HYPERLINK("http://141.218.60.56/~jnz1568/getInfo.php?workbook=13_02.xlsx&amp;sheet=U0&amp;row=2548&amp;col=6&amp;number=3.4&amp;sourceID=14","3.4")</f>
        <v>3.4</v>
      </c>
      <c r="G2548" s="4" t="str">
        <f>HYPERLINK("http://141.218.60.56/~jnz1568/getInfo.php?workbook=13_02.xlsx&amp;sheet=U0&amp;row=2548&amp;col=7&amp;number=0.000963&amp;sourceID=14","0.000963")</f>
        <v>0.000963</v>
      </c>
    </row>
    <row r="2549" spans="1:7">
      <c r="A2549" s="3"/>
      <c r="B2549" s="3"/>
      <c r="C2549" s="3"/>
      <c r="D2549" s="3"/>
      <c r="E2549" s="3">
        <v>6</v>
      </c>
      <c r="F2549" s="4" t="str">
        <f>HYPERLINK("http://141.218.60.56/~jnz1568/getInfo.php?workbook=13_02.xlsx&amp;sheet=U0&amp;row=2549&amp;col=6&amp;number=3.5&amp;sourceID=14","3.5")</f>
        <v>3.5</v>
      </c>
      <c r="G2549" s="4" t="str">
        <f>HYPERLINK("http://141.218.60.56/~jnz1568/getInfo.php?workbook=13_02.xlsx&amp;sheet=U0&amp;row=2549&amp;col=7&amp;number=0.000963&amp;sourceID=14","0.000963")</f>
        <v>0.000963</v>
      </c>
    </row>
    <row r="2550" spans="1:7">
      <c r="A2550" s="3"/>
      <c r="B2550" s="3"/>
      <c r="C2550" s="3"/>
      <c r="D2550" s="3"/>
      <c r="E2550" s="3">
        <v>7</v>
      </c>
      <c r="F2550" s="4" t="str">
        <f>HYPERLINK("http://141.218.60.56/~jnz1568/getInfo.php?workbook=13_02.xlsx&amp;sheet=U0&amp;row=2550&amp;col=6&amp;number=3.6&amp;sourceID=14","3.6")</f>
        <v>3.6</v>
      </c>
      <c r="G2550" s="4" t="str">
        <f>HYPERLINK("http://141.218.60.56/~jnz1568/getInfo.php?workbook=13_02.xlsx&amp;sheet=U0&amp;row=2550&amp;col=7&amp;number=0.000963&amp;sourceID=14","0.000963")</f>
        <v>0.000963</v>
      </c>
    </row>
    <row r="2551" spans="1:7">
      <c r="A2551" s="3"/>
      <c r="B2551" s="3"/>
      <c r="C2551" s="3"/>
      <c r="D2551" s="3"/>
      <c r="E2551" s="3">
        <v>8</v>
      </c>
      <c r="F2551" s="4" t="str">
        <f>HYPERLINK("http://141.218.60.56/~jnz1568/getInfo.php?workbook=13_02.xlsx&amp;sheet=U0&amp;row=2551&amp;col=6&amp;number=3.7&amp;sourceID=14","3.7")</f>
        <v>3.7</v>
      </c>
      <c r="G2551" s="4" t="str">
        <f>HYPERLINK("http://141.218.60.56/~jnz1568/getInfo.php?workbook=13_02.xlsx&amp;sheet=U0&amp;row=2551&amp;col=7&amp;number=0.000963&amp;sourceID=14","0.000963")</f>
        <v>0.000963</v>
      </c>
    </row>
    <row r="2552" spans="1:7">
      <c r="A2552" s="3"/>
      <c r="B2552" s="3"/>
      <c r="C2552" s="3"/>
      <c r="D2552" s="3"/>
      <c r="E2552" s="3">
        <v>9</v>
      </c>
      <c r="F2552" s="4" t="str">
        <f>HYPERLINK("http://141.218.60.56/~jnz1568/getInfo.php?workbook=13_02.xlsx&amp;sheet=U0&amp;row=2552&amp;col=6&amp;number=3.8&amp;sourceID=14","3.8")</f>
        <v>3.8</v>
      </c>
      <c r="G2552" s="4" t="str">
        <f>HYPERLINK("http://141.218.60.56/~jnz1568/getInfo.php?workbook=13_02.xlsx&amp;sheet=U0&amp;row=2552&amp;col=7&amp;number=0.000963&amp;sourceID=14","0.000963")</f>
        <v>0.000963</v>
      </c>
    </row>
    <row r="2553" spans="1:7">
      <c r="A2553" s="3"/>
      <c r="B2553" s="3"/>
      <c r="C2553" s="3"/>
      <c r="D2553" s="3"/>
      <c r="E2553" s="3">
        <v>10</v>
      </c>
      <c r="F2553" s="4" t="str">
        <f>HYPERLINK("http://141.218.60.56/~jnz1568/getInfo.php?workbook=13_02.xlsx&amp;sheet=U0&amp;row=2553&amp;col=6&amp;number=3.9&amp;sourceID=14","3.9")</f>
        <v>3.9</v>
      </c>
      <c r="G2553" s="4" t="str">
        <f>HYPERLINK("http://141.218.60.56/~jnz1568/getInfo.php?workbook=13_02.xlsx&amp;sheet=U0&amp;row=2553&amp;col=7&amp;number=0.000963&amp;sourceID=14","0.000963")</f>
        <v>0.000963</v>
      </c>
    </row>
    <row r="2554" spans="1:7">
      <c r="A2554" s="3"/>
      <c r="B2554" s="3"/>
      <c r="C2554" s="3"/>
      <c r="D2554" s="3"/>
      <c r="E2554" s="3">
        <v>11</v>
      </c>
      <c r="F2554" s="4" t="str">
        <f>HYPERLINK("http://141.218.60.56/~jnz1568/getInfo.php?workbook=13_02.xlsx&amp;sheet=U0&amp;row=2554&amp;col=6&amp;number=4&amp;sourceID=14","4")</f>
        <v>4</v>
      </c>
      <c r="G2554" s="4" t="str">
        <f>HYPERLINK("http://141.218.60.56/~jnz1568/getInfo.php?workbook=13_02.xlsx&amp;sheet=U0&amp;row=2554&amp;col=7&amp;number=0.000963&amp;sourceID=14","0.000963")</f>
        <v>0.000963</v>
      </c>
    </row>
    <row r="2555" spans="1:7">
      <c r="A2555" s="3"/>
      <c r="B2555" s="3"/>
      <c r="C2555" s="3"/>
      <c r="D2555" s="3"/>
      <c r="E2555" s="3">
        <v>12</v>
      </c>
      <c r="F2555" s="4" t="str">
        <f>HYPERLINK("http://141.218.60.56/~jnz1568/getInfo.php?workbook=13_02.xlsx&amp;sheet=U0&amp;row=2555&amp;col=6&amp;number=4.1&amp;sourceID=14","4.1")</f>
        <v>4.1</v>
      </c>
      <c r="G2555" s="4" t="str">
        <f>HYPERLINK("http://141.218.60.56/~jnz1568/getInfo.php?workbook=13_02.xlsx&amp;sheet=U0&amp;row=2555&amp;col=7&amp;number=0.000963&amp;sourceID=14","0.000963")</f>
        <v>0.000963</v>
      </c>
    </row>
    <row r="2556" spans="1:7">
      <c r="A2556" s="3"/>
      <c r="B2556" s="3"/>
      <c r="C2556" s="3"/>
      <c r="D2556" s="3"/>
      <c r="E2556" s="3">
        <v>13</v>
      </c>
      <c r="F2556" s="4" t="str">
        <f>HYPERLINK("http://141.218.60.56/~jnz1568/getInfo.php?workbook=13_02.xlsx&amp;sheet=U0&amp;row=2556&amp;col=6&amp;number=4.2&amp;sourceID=14","4.2")</f>
        <v>4.2</v>
      </c>
      <c r="G2556" s="4" t="str">
        <f>HYPERLINK("http://141.218.60.56/~jnz1568/getInfo.php?workbook=13_02.xlsx&amp;sheet=U0&amp;row=2556&amp;col=7&amp;number=0.000964&amp;sourceID=14","0.000964")</f>
        <v>0.000964</v>
      </c>
    </row>
    <row r="2557" spans="1:7">
      <c r="A2557" s="3"/>
      <c r="B2557" s="3"/>
      <c r="C2557" s="3"/>
      <c r="D2557" s="3"/>
      <c r="E2557" s="3">
        <v>14</v>
      </c>
      <c r="F2557" s="4" t="str">
        <f>HYPERLINK("http://141.218.60.56/~jnz1568/getInfo.php?workbook=13_02.xlsx&amp;sheet=U0&amp;row=2557&amp;col=6&amp;number=4.3&amp;sourceID=14","4.3")</f>
        <v>4.3</v>
      </c>
      <c r="G2557" s="4" t="str">
        <f>HYPERLINK("http://141.218.60.56/~jnz1568/getInfo.php?workbook=13_02.xlsx&amp;sheet=U0&amp;row=2557&amp;col=7&amp;number=0.000964&amp;sourceID=14","0.000964")</f>
        <v>0.000964</v>
      </c>
    </row>
    <row r="2558" spans="1:7">
      <c r="A2558" s="3"/>
      <c r="B2558" s="3"/>
      <c r="C2558" s="3"/>
      <c r="D2558" s="3"/>
      <c r="E2558" s="3">
        <v>15</v>
      </c>
      <c r="F2558" s="4" t="str">
        <f>HYPERLINK("http://141.218.60.56/~jnz1568/getInfo.php?workbook=13_02.xlsx&amp;sheet=U0&amp;row=2558&amp;col=6&amp;number=4.4&amp;sourceID=14","4.4")</f>
        <v>4.4</v>
      </c>
      <c r="G2558" s="4" t="str">
        <f>HYPERLINK("http://141.218.60.56/~jnz1568/getInfo.php?workbook=13_02.xlsx&amp;sheet=U0&amp;row=2558&amp;col=7&amp;number=0.000964&amp;sourceID=14","0.000964")</f>
        <v>0.000964</v>
      </c>
    </row>
    <row r="2559" spans="1:7">
      <c r="A2559" s="3"/>
      <c r="B2559" s="3"/>
      <c r="C2559" s="3"/>
      <c r="D2559" s="3"/>
      <c r="E2559" s="3">
        <v>16</v>
      </c>
      <c r="F2559" s="4" t="str">
        <f>HYPERLINK("http://141.218.60.56/~jnz1568/getInfo.php?workbook=13_02.xlsx&amp;sheet=U0&amp;row=2559&amp;col=6&amp;number=4.5&amp;sourceID=14","4.5")</f>
        <v>4.5</v>
      </c>
      <c r="G2559" s="4" t="str">
        <f>HYPERLINK("http://141.218.60.56/~jnz1568/getInfo.php?workbook=13_02.xlsx&amp;sheet=U0&amp;row=2559&amp;col=7&amp;number=0.000965&amp;sourceID=14","0.000965")</f>
        <v>0.000965</v>
      </c>
    </row>
    <row r="2560" spans="1:7">
      <c r="A2560" s="3"/>
      <c r="B2560" s="3"/>
      <c r="C2560" s="3"/>
      <c r="D2560" s="3"/>
      <c r="E2560" s="3">
        <v>17</v>
      </c>
      <c r="F2560" s="4" t="str">
        <f>HYPERLINK("http://141.218.60.56/~jnz1568/getInfo.php?workbook=13_02.xlsx&amp;sheet=U0&amp;row=2560&amp;col=6&amp;number=4.6&amp;sourceID=14","4.6")</f>
        <v>4.6</v>
      </c>
      <c r="G2560" s="4" t="str">
        <f>HYPERLINK("http://141.218.60.56/~jnz1568/getInfo.php?workbook=13_02.xlsx&amp;sheet=U0&amp;row=2560&amp;col=7&amp;number=0.000966&amp;sourceID=14","0.000966")</f>
        <v>0.000966</v>
      </c>
    </row>
    <row r="2561" spans="1:7">
      <c r="A2561" s="3"/>
      <c r="B2561" s="3"/>
      <c r="C2561" s="3"/>
      <c r="D2561" s="3"/>
      <c r="E2561" s="3">
        <v>18</v>
      </c>
      <c r="F2561" s="4" t="str">
        <f>HYPERLINK("http://141.218.60.56/~jnz1568/getInfo.php?workbook=13_02.xlsx&amp;sheet=U0&amp;row=2561&amp;col=6&amp;number=4.7&amp;sourceID=14","4.7")</f>
        <v>4.7</v>
      </c>
      <c r="G2561" s="4" t="str">
        <f>HYPERLINK("http://141.218.60.56/~jnz1568/getInfo.php?workbook=13_02.xlsx&amp;sheet=U0&amp;row=2561&amp;col=7&amp;number=0.000967&amp;sourceID=14","0.000967")</f>
        <v>0.000967</v>
      </c>
    </row>
    <row r="2562" spans="1:7">
      <c r="A2562" s="3"/>
      <c r="B2562" s="3"/>
      <c r="C2562" s="3"/>
      <c r="D2562" s="3"/>
      <c r="E2562" s="3">
        <v>19</v>
      </c>
      <c r="F2562" s="4" t="str">
        <f>HYPERLINK("http://141.218.60.56/~jnz1568/getInfo.php?workbook=13_02.xlsx&amp;sheet=U0&amp;row=2562&amp;col=6&amp;number=4.8&amp;sourceID=14","4.8")</f>
        <v>4.8</v>
      </c>
      <c r="G2562" s="4" t="str">
        <f>HYPERLINK("http://141.218.60.56/~jnz1568/getInfo.php?workbook=13_02.xlsx&amp;sheet=U0&amp;row=2562&amp;col=7&amp;number=0.000968&amp;sourceID=14","0.000968")</f>
        <v>0.000968</v>
      </c>
    </row>
    <row r="2563" spans="1:7">
      <c r="A2563" s="3"/>
      <c r="B2563" s="3"/>
      <c r="C2563" s="3"/>
      <c r="D2563" s="3"/>
      <c r="E2563" s="3">
        <v>20</v>
      </c>
      <c r="F2563" s="4" t="str">
        <f>HYPERLINK("http://141.218.60.56/~jnz1568/getInfo.php?workbook=13_02.xlsx&amp;sheet=U0&amp;row=2563&amp;col=6&amp;number=4.9&amp;sourceID=14","4.9")</f>
        <v>4.9</v>
      </c>
      <c r="G2563" s="4" t="str">
        <f>HYPERLINK("http://141.218.60.56/~jnz1568/getInfo.php?workbook=13_02.xlsx&amp;sheet=U0&amp;row=2563&amp;col=7&amp;number=0.000969&amp;sourceID=14","0.000969")</f>
        <v>0.000969</v>
      </c>
    </row>
    <row r="2564" spans="1:7">
      <c r="A2564" s="3">
        <v>13</v>
      </c>
      <c r="B2564" s="3">
        <v>2</v>
      </c>
      <c r="C2564" s="3" t="s">
        <v>91</v>
      </c>
      <c r="D2564" s="3">
        <v>6</v>
      </c>
      <c r="E2564" s="3">
        <v>1</v>
      </c>
      <c r="F2564" s="4" t="str">
        <f>HYPERLINK("http://141.218.60.56/~jnz1568/getInfo.php?workbook=13_02.xlsx&amp;sheet=U0&amp;row=2564&amp;col=6&amp;number=3&amp;sourceID=14","3")</f>
        <v>3</v>
      </c>
      <c r="G2564" s="4" t="str">
        <f>HYPERLINK("http://141.218.60.56/~jnz1568/getInfo.php?workbook=13_02.xlsx&amp;sheet=U0&amp;row=2564&amp;col=7&amp;number=9.88e-05&amp;sourceID=14","9.88e-05")</f>
        <v>9.88e-05</v>
      </c>
    </row>
    <row r="2565" spans="1:7">
      <c r="A2565" s="3"/>
      <c r="B2565" s="3"/>
      <c r="C2565" s="3"/>
      <c r="D2565" s="3"/>
      <c r="E2565" s="3">
        <v>2</v>
      </c>
      <c r="F2565" s="4" t="str">
        <f>HYPERLINK("http://141.218.60.56/~jnz1568/getInfo.php?workbook=13_02.xlsx&amp;sheet=U0&amp;row=2565&amp;col=6&amp;number=3.1&amp;sourceID=14","3.1")</f>
        <v>3.1</v>
      </c>
      <c r="G2565" s="4" t="str">
        <f>HYPERLINK("http://141.218.60.56/~jnz1568/getInfo.php?workbook=13_02.xlsx&amp;sheet=U0&amp;row=2565&amp;col=7&amp;number=9.88e-05&amp;sourceID=14","9.88e-05")</f>
        <v>9.88e-05</v>
      </c>
    </row>
    <row r="2566" spans="1:7">
      <c r="A2566" s="3"/>
      <c r="B2566" s="3"/>
      <c r="C2566" s="3"/>
      <c r="D2566" s="3"/>
      <c r="E2566" s="3">
        <v>3</v>
      </c>
      <c r="F2566" s="4" t="str">
        <f>HYPERLINK("http://141.218.60.56/~jnz1568/getInfo.php?workbook=13_02.xlsx&amp;sheet=U0&amp;row=2566&amp;col=6&amp;number=3.2&amp;sourceID=14","3.2")</f>
        <v>3.2</v>
      </c>
      <c r="G2566" s="4" t="str">
        <f>HYPERLINK("http://141.218.60.56/~jnz1568/getInfo.php?workbook=13_02.xlsx&amp;sheet=U0&amp;row=2566&amp;col=7&amp;number=9.88e-05&amp;sourceID=14","9.88e-05")</f>
        <v>9.88e-05</v>
      </c>
    </row>
    <row r="2567" spans="1:7">
      <c r="A2567" s="3"/>
      <c r="B2567" s="3"/>
      <c r="C2567" s="3"/>
      <c r="D2567" s="3"/>
      <c r="E2567" s="3">
        <v>4</v>
      </c>
      <c r="F2567" s="4" t="str">
        <f>HYPERLINK("http://141.218.60.56/~jnz1568/getInfo.php?workbook=13_02.xlsx&amp;sheet=U0&amp;row=2567&amp;col=6&amp;number=3.3&amp;sourceID=14","3.3")</f>
        <v>3.3</v>
      </c>
      <c r="G2567" s="4" t="str">
        <f>HYPERLINK("http://141.218.60.56/~jnz1568/getInfo.php?workbook=13_02.xlsx&amp;sheet=U0&amp;row=2567&amp;col=7&amp;number=9.88e-05&amp;sourceID=14","9.88e-05")</f>
        <v>9.88e-05</v>
      </c>
    </row>
    <row r="2568" spans="1:7">
      <c r="A2568" s="3"/>
      <c r="B2568" s="3"/>
      <c r="C2568" s="3"/>
      <c r="D2568" s="3"/>
      <c r="E2568" s="3">
        <v>5</v>
      </c>
      <c r="F2568" s="4" t="str">
        <f>HYPERLINK("http://141.218.60.56/~jnz1568/getInfo.php?workbook=13_02.xlsx&amp;sheet=U0&amp;row=2568&amp;col=6&amp;number=3.4&amp;sourceID=14","3.4")</f>
        <v>3.4</v>
      </c>
      <c r="G2568" s="4" t="str">
        <f>HYPERLINK("http://141.218.60.56/~jnz1568/getInfo.php?workbook=13_02.xlsx&amp;sheet=U0&amp;row=2568&amp;col=7&amp;number=9.88e-05&amp;sourceID=14","9.88e-05")</f>
        <v>9.88e-05</v>
      </c>
    </row>
    <row r="2569" spans="1:7">
      <c r="A2569" s="3"/>
      <c r="B2569" s="3"/>
      <c r="C2569" s="3"/>
      <c r="D2569" s="3"/>
      <c r="E2569" s="3">
        <v>6</v>
      </c>
      <c r="F2569" s="4" t="str">
        <f>HYPERLINK("http://141.218.60.56/~jnz1568/getInfo.php?workbook=13_02.xlsx&amp;sheet=U0&amp;row=2569&amp;col=6&amp;number=3.5&amp;sourceID=14","3.5")</f>
        <v>3.5</v>
      </c>
      <c r="G2569" s="4" t="str">
        <f>HYPERLINK("http://141.218.60.56/~jnz1568/getInfo.php?workbook=13_02.xlsx&amp;sheet=U0&amp;row=2569&amp;col=7&amp;number=9.88e-05&amp;sourceID=14","9.88e-05")</f>
        <v>9.88e-05</v>
      </c>
    </row>
    <row r="2570" spans="1:7">
      <c r="A2570" s="3"/>
      <c r="B2570" s="3"/>
      <c r="C2570" s="3"/>
      <c r="D2570" s="3"/>
      <c r="E2570" s="3">
        <v>7</v>
      </c>
      <c r="F2570" s="4" t="str">
        <f>HYPERLINK("http://141.218.60.56/~jnz1568/getInfo.php?workbook=13_02.xlsx&amp;sheet=U0&amp;row=2570&amp;col=6&amp;number=3.6&amp;sourceID=14","3.6")</f>
        <v>3.6</v>
      </c>
      <c r="G2570" s="4" t="str">
        <f>HYPERLINK("http://141.218.60.56/~jnz1568/getInfo.php?workbook=13_02.xlsx&amp;sheet=U0&amp;row=2570&amp;col=7&amp;number=9.88e-05&amp;sourceID=14","9.88e-05")</f>
        <v>9.88e-05</v>
      </c>
    </row>
    <row r="2571" spans="1:7">
      <c r="A2571" s="3"/>
      <c r="B2571" s="3"/>
      <c r="C2571" s="3"/>
      <c r="D2571" s="3"/>
      <c r="E2571" s="3">
        <v>8</v>
      </c>
      <c r="F2571" s="4" t="str">
        <f>HYPERLINK("http://141.218.60.56/~jnz1568/getInfo.php?workbook=13_02.xlsx&amp;sheet=U0&amp;row=2571&amp;col=6&amp;number=3.7&amp;sourceID=14","3.7")</f>
        <v>3.7</v>
      </c>
      <c r="G2571" s="4" t="str">
        <f>HYPERLINK("http://141.218.60.56/~jnz1568/getInfo.php?workbook=13_02.xlsx&amp;sheet=U0&amp;row=2571&amp;col=7&amp;number=9.87e-05&amp;sourceID=14","9.87e-05")</f>
        <v>9.87e-05</v>
      </c>
    </row>
    <row r="2572" spans="1:7">
      <c r="A2572" s="3"/>
      <c r="B2572" s="3"/>
      <c r="C2572" s="3"/>
      <c r="D2572" s="3"/>
      <c r="E2572" s="3">
        <v>9</v>
      </c>
      <c r="F2572" s="4" t="str">
        <f>HYPERLINK("http://141.218.60.56/~jnz1568/getInfo.php?workbook=13_02.xlsx&amp;sheet=U0&amp;row=2572&amp;col=6&amp;number=3.8&amp;sourceID=14","3.8")</f>
        <v>3.8</v>
      </c>
      <c r="G2572" s="4" t="str">
        <f>HYPERLINK("http://141.218.60.56/~jnz1568/getInfo.php?workbook=13_02.xlsx&amp;sheet=U0&amp;row=2572&amp;col=7&amp;number=9.87e-05&amp;sourceID=14","9.87e-05")</f>
        <v>9.87e-05</v>
      </c>
    </row>
    <row r="2573" spans="1:7">
      <c r="A2573" s="3"/>
      <c r="B2573" s="3"/>
      <c r="C2573" s="3"/>
      <c r="D2573" s="3"/>
      <c r="E2573" s="3">
        <v>10</v>
      </c>
      <c r="F2573" s="4" t="str">
        <f>HYPERLINK("http://141.218.60.56/~jnz1568/getInfo.php?workbook=13_02.xlsx&amp;sheet=U0&amp;row=2573&amp;col=6&amp;number=3.9&amp;sourceID=14","3.9")</f>
        <v>3.9</v>
      </c>
      <c r="G2573" s="4" t="str">
        <f>HYPERLINK("http://141.218.60.56/~jnz1568/getInfo.php?workbook=13_02.xlsx&amp;sheet=U0&amp;row=2573&amp;col=7&amp;number=9.86e-05&amp;sourceID=14","9.86e-05")</f>
        <v>9.86e-05</v>
      </c>
    </row>
    <row r="2574" spans="1:7">
      <c r="A2574" s="3"/>
      <c r="B2574" s="3"/>
      <c r="C2574" s="3"/>
      <c r="D2574" s="3"/>
      <c r="E2574" s="3">
        <v>11</v>
      </c>
      <c r="F2574" s="4" t="str">
        <f>HYPERLINK("http://141.218.60.56/~jnz1568/getInfo.php?workbook=13_02.xlsx&amp;sheet=U0&amp;row=2574&amp;col=6&amp;number=4&amp;sourceID=14","4")</f>
        <v>4</v>
      </c>
      <c r="G2574" s="4" t="str">
        <f>HYPERLINK("http://141.218.60.56/~jnz1568/getInfo.php?workbook=13_02.xlsx&amp;sheet=U0&amp;row=2574&amp;col=7&amp;number=9.86e-05&amp;sourceID=14","9.86e-05")</f>
        <v>9.86e-05</v>
      </c>
    </row>
    <row r="2575" spans="1:7">
      <c r="A2575" s="3"/>
      <c r="B2575" s="3"/>
      <c r="C2575" s="3"/>
      <c r="D2575" s="3"/>
      <c r="E2575" s="3">
        <v>12</v>
      </c>
      <c r="F2575" s="4" t="str">
        <f>HYPERLINK("http://141.218.60.56/~jnz1568/getInfo.php?workbook=13_02.xlsx&amp;sheet=U0&amp;row=2575&amp;col=6&amp;number=4.1&amp;sourceID=14","4.1")</f>
        <v>4.1</v>
      </c>
      <c r="G2575" s="4" t="str">
        <f>HYPERLINK("http://141.218.60.56/~jnz1568/getInfo.php?workbook=13_02.xlsx&amp;sheet=U0&amp;row=2575&amp;col=7&amp;number=9.85e-05&amp;sourceID=14","9.85e-05")</f>
        <v>9.85e-05</v>
      </c>
    </row>
    <row r="2576" spans="1:7">
      <c r="A2576" s="3"/>
      <c r="B2576" s="3"/>
      <c r="C2576" s="3"/>
      <c r="D2576" s="3"/>
      <c r="E2576" s="3">
        <v>13</v>
      </c>
      <c r="F2576" s="4" t="str">
        <f>HYPERLINK("http://141.218.60.56/~jnz1568/getInfo.php?workbook=13_02.xlsx&amp;sheet=U0&amp;row=2576&amp;col=6&amp;number=4.2&amp;sourceID=14","4.2")</f>
        <v>4.2</v>
      </c>
      <c r="G2576" s="4" t="str">
        <f>HYPERLINK("http://141.218.60.56/~jnz1568/getInfo.php?workbook=13_02.xlsx&amp;sheet=U0&amp;row=2576&amp;col=7&amp;number=9.84e-05&amp;sourceID=14","9.84e-05")</f>
        <v>9.84e-05</v>
      </c>
    </row>
    <row r="2577" spans="1:7">
      <c r="A2577" s="3"/>
      <c r="B2577" s="3"/>
      <c r="C2577" s="3"/>
      <c r="D2577" s="3"/>
      <c r="E2577" s="3">
        <v>14</v>
      </c>
      <c r="F2577" s="4" t="str">
        <f>HYPERLINK("http://141.218.60.56/~jnz1568/getInfo.php?workbook=13_02.xlsx&amp;sheet=U0&amp;row=2577&amp;col=6&amp;number=4.3&amp;sourceID=14","4.3")</f>
        <v>4.3</v>
      </c>
      <c r="G2577" s="4" t="str">
        <f>HYPERLINK("http://141.218.60.56/~jnz1568/getInfo.php?workbook=13_02.xlsx&amp;sheet=U0&amp;row=2577&amp;col=7&amp;number=9.83e-05&amp;sourceID=14","9.83e-05")</f>
        <v>9.83e-05</v>
      </c>
    </row>
    <row r="2578" spans="1:7">
      <c r="A2578" s="3"/>
      <c r="B2578" s="3"/>
      <c r="C2578" s="3"/>
      <c r="D2578" s="3"/>
      <c r="E2578" s="3">
        <v>15</v>
      </c>
      <c r="F2578" s="4" t="str">
        <f>HYPERLINK("http://141.218.60.56/~jnz1568/getInfo.php?workbook=13_02.xlsx&amp;sheet=U0&amp;row=2578&amp;col=6&amp;number=4.4&amp;sourceID=14","4.4")</f>
        <v>4.4</v>
      </c>
      <c r="G2578" s="4" t="str">
        <f>HYPERLINK("http://141.218.60.56/~jnz1568/getInfo.php?workbook=13_02.xlsx&amp;sheet=U0&amp;row=2578&amp;col=7&amp;number=9.82e-05&amp;sourceID=14","9.82e-05")</f>
        <v>9.82e-05</v>
      </c>
    </row>
    <row r="2579" spans="1:7">
      <c r="A2579" s="3"/>
      <c r="B2579" s="3"/>
      <c r="C2579" s="3"/>
      <c r="D2579" s="3"/>
      <c r="E2579" s="3">
        <v>16</v>
      </c>
      <c r="F2579" s="4" t="str">
        <f>HYPERLINK("http://141.218.60.56/~jnz1568/getInfo.php?workbook=13_02.xlsx&amp;sheet=U0&amp;row=2579&amp;col=6&amp;number=4.5&amp;sourceID=14","4.5")</f>
        <v>4.5</v>
      </c>
      <c r="G2579" s="4" t="str">
        <f>HYPERLINK("http://141.218.60.56/~jnz1568/getInfo.php?workbook=13_02.xlsx&amp;sheet=U0&amp;row=2579&amp;col=7&amp;number=9.8e-05&amp;sourceID=14","9.8e-05")</f>
        <v>9.8e-05</v>
      </c>
    </row>
    <row r="2580" spans="1:7">
      <c r="A2580" s="3"/>
      <c r="B2580" s="3"/>
      <c r="C2580" s="3"/>
      <c r="D2580" s="3"/>
      <c r="E2580" s="3">
        <v>17</v>
      </c>
      <c r="F2580" s="4" t="str">
        <f>HYPERLINK("http://141.218.60.56/~jnz1568/getInfo.php?workbook=13_02.xlsx&amp;sheet=U0&amp;row=2580&amp;col=6&amp;number=4.6&amp;sourceID=14","4.6")</f>
        <v>4.6</v>
      </c>
      <c r="G2580" s="4" t="str">
        <f>HYPERLINK("http://141.218.60.56/~jnz1568/getInfo.php?workbook=13_02.xlsx&amp;sheet=U0&amp;row=2580&amp;col=7&amp;number=9.77e-05&amp;sourceID=14","9.77e-05")</f>
        <v>9.77e-05</v>
      </c>
    </row>
    <row r="2581" spans="1:7">
      <c r="A2581" s="3"/>
      <c r="B2581" s="3"/>
      <c r="C2581" s="3"/>
      <c r="D2581" s="3"/>
      <c r="E2581" s="3">
        <v>18</v>
      </c>
      <c r="F2581" s="4" t="str">
        <f>HYPERLINK("http://141.218.60.56/~jnz1568/getInfo.php?workbook=13_02.xlsx&amp;sheet=U0&amp;row=2581&amp;col=6&amp;number=4.7&amp;sourceID=14","4.7")</f>
        <v>4.7</v>
      </c>
      <c r="G2581" s="4" t="str">
        <f>HYPERLINK("http://141.218.60.56/~jnz1568/getInfo.php?workbook=13_02.xlsx&amp;sheet=U0&amp;row=2581&amp;col=7&amp;number=9.74e-05&amp;sourceID=14","9.74e-05")</f>
        <v>9.74e-05</v>
      </c>
    </row>
    <row r="2582" spans="1:7">
      <c r="A2582" s="3"/>
      <c r="B2582" s="3"/>
      <c r="C2582" s="3"/>
      <c r="D2582" s="3"/>
      <c r="E2582" s="3">
        <v>19</v>
      </c>
      <c r="F2582" s="4" t="str">
        <f>HYPERLINK("http://141.218.60.56/~jnz1568/getInfo.php?workbook=13_02.xlsx&amp;sheet=U0&amp;row=2582&amp;col=6&amp;number=4.8&amp;sourceID=14","4.8")</f>
        <v>4.8</v>
      </c>
      <c r="G2582" s="4" t="str">
        <f>HYPERLINK("http://141.218.60.56/~jnz1568/getInfo.php?workbook=13_02.xlsx&amp;sheet=U0&amp;row=2582&amp;col=7&amp;number=9.71e-05&amp;sourceID=14","9.71e-05")</f>
        <v>9.71e-05</v>
      </c>
    </row>
    <row r="2583" spans="1:7">
      <c r="A2583" s="3"/>
      <c r="B2583" s="3"/>
      <c r="C2583" s="3"/>
      <c r="D2583" s="3"/>
      <c r="E2583" s="3">
        <v>20</v>
      </c>
      <c r="F2583" s="4" t="str">
        <f>HYPERLINK("http://141.218.60.56/~jnz1568/getInfo.php?workbook=13_02.xlsx&amp;sheet=U0&amp;row=2583&amp;col=6&amp;number=4.9&amp;sourceID=14","4.9")</f>
        <v>4.9</v>
      </c>
      <c r="G2583" s="4" t="str">
        <f>HYPERLINK("http://141.218.60.56/~jnz1568/getInfo.php?workbook=13_02.xlsx&amp;sheet=U0&amp;row=2583&amp;col=7&amp;number=9.66e-05&amp;sourceID=14","9.66e-05")</f>
        <v>9.66e-05</v>
      </c>
    </row>
    <row r="2584" spans="1:7">
      <c r="A2584" s="3">
        <v>13</v>
      </c>
      <c r="B2584" s="3">
        <v>2</v>
      </c>
      <c r="C2584" s="3" t="s">
        <v>91</v>
      </c>
      <c r="D2584" s="3">
        <v>7</v>
      </c>
      <c r="E2584" s="3">
        <v>1</v>
      </c>
      <c r="F2584" s="4" t="str">
        <f>HYPERLINK("http://141.218.60.56/~jnz1568/getInfo.php?workbook=13_02.xlsx&amp;sheet=U0&amp;row=2584&amp;col=6&amp;number=3&amp;sourceID=14","3")</f>
        <v>3</v>
      </c>
      <c r="G2584" s="4" t="str">
        <f>HYPERLINK("http://141.218.60.56/~jnz1568/getInfo.php?workbook=13_02.xlsx&amp;sheet=U0&amp;row=2584&amp;col=7&amp;number=9.75e-05&amp;sourceID=14","9.75e-05")</f>
        <v>9.75e-05</v>
      </c>
    </row>
    <row r="2585" spans="1:7">
      <c r="A2585" s="3"/>
      <c r="B2585" s="3"/>
      <c r="C2585" s="3"/>
      <c r="D2585" s="3"/>
      <c r="E2585" s="3">
        <v>2</v>
      </c>
      <c r="F2585" s="4" t="str">
        <f>HYPERLINK("http://141.218.60.56/~jnz1568/getInfo.php?workbook=13_02.xlsx&amp;sheet=U0&amp;row=2585&amp;col=6&amp;number=3.1&amp;sourceID=14","3.1")</f>
        <v>3.1</v>
      </c>
      <c r="G2585" s="4" t="str">
        <f>HYPERLINK("http://141.218.60.56/~jnz1568/getInfo.php?workbook=13_02.xlsx&amp;sheet=U0&amp;row=2585&amp;col=7&amp;number=9.75e-05&amp;sourceID=14","9.75e-05")</f>
        <v>9.75e-05</v>
      </c>
    </row>
    <row r="2586" spans="1:7">
      <c r="A2586" s="3"/>
      <c r="B2586" s="3"/>
      <c r="C2586" s="3"/>
      <c r="D2586" s="3"/>
      <c r="E2586" s="3">
        <v>3</v>
      </c>
      <c r="F2586" s="4" t="str">
        <f>HYPERLINK("http://141.218.60.56/~jnz1568/getInfo.php?workbook=13_02.xlsx&amp;sheet=U0&amp;row=2586&amp;col=6&amp;number=3.2&amp;sourceID=14","3.2")</f>
        <v>3.2</v>
      </c>
      <c r="G2586" s="4" t="str">
        <f>HYPERLINK("http://141.218.60.56/~jnz1568/getInfo.php?workbook=13_02.xlsx&amp;sheet=U0&amp;row=2586&amp;col=7&amp;number=9.75e-05&amp;sourceID=14","9.75e-05")</f>
        <v>9.75e-05</v>
      </c>
    </row>
    <row r="2587" spans="1:7">
      <c r="A2587" s="3"/>
      <c r="B2587" s="3"/>
      <c r="C2587" s="3"/>
      <c r="D2587" s="3"/>
      <c r="E2587" s="3">
        <v>4</v>
      </c>
      <c r="F2587" s="4" t="str">
        <f>HYPERLINK("http://141.218.60.56/~jnz1568/getInfo.php?workbook=13_02.xlsx&amp;sheet=U0&amp;row=2587&amp;col=6&amp;number=3.3&amp;sourceID=14","3.3")</f>
        <v>3.3</v>
      </c>
      <c r="G2587" s="4" t="str">
        <f>HYPERLINK("http://141.218.60.56/~jnz1568/getInfo.php?workbook=13_02.xlsx&amp;sheet=U0&amp;row=2587&amp;col=7&amp;number=9.75e-05&amp;sourceID=14","9.75e-05")</f>
        <v>9.75e-05</v>
      </c>
    </row>
    <row r="2588" spans="1:7">
      <c r="A2588" s="3"/>
      <c r="B2588" s="3"/>
      <c r="C2588" s="3"/>
      <c r="D2588" s="3"/>
      <c r="E2588" s="3">
        <v>5</v>
      </c>
      <c r="F2588" s="4" t="str">
        <f>HYPERLINK("http://141.218.60.56/~jnz1568/getInfo.php?workbook=13_02.xlsx&amp;sheet=U0&amp;row=2588&amp;col=6&amp;number=3.4&amp;sourceID=14","3.4")</f>
        <v>3.4</v>
      </c>
      <c r="G2588" s="4" t="str">
        <f>HYPERLINK("http://141.218.60.56/~jnz1568/getInfo.php?workbook=13_02.xlsx&amp;sheet=U0&amp;row=2588&amp;col=7&amp;number=9.75e-05&amp;sourceID=14","9.75e-05")</f>
        <v>9.75e-05</v>
      </c>
    </row>
    <row r="2589" spans="1:7">
      <c r="A2589" s="3"/>
      <c r="B2589" s="3"/>
      <c r="C2589" s="3"/>
      <c r="D2589" s="3"/>
      <c r="E2589" s="3">
        <v>6</v>
      </c>
      <c r="F2589" s="4" t="str">
        <f>HYPERLINK("http://141.218.60.56/~jnz1568/getInfo.php?workbook=13_02.xlsx&amp;sheet=U0&amp;row=2589&amp;col=6&amp;number=3.5&amp;sourceID=14","3.5")</f>
        <v>3.5</v>
      </c>
      <c r="G2589" s="4" t="str">
        <f>HYPERLINK("http://141.218.60.56/~jnz1568/getInfo.php?workbook=13_02.xlsx&amp;sheet=U0&amp;row=2589&amp;col=7&amp;number=9.75e-05&amp;sourceID=14","9.75e-05")</f>
        <v>9.75e-05</v>
      </c>
    </row>
    <row r="2590" spans="1:7">
      <c r="A2590" s="3"/>
      <c r="B2590" s="3"/>
      <c r="C2590" s="3"/>
      <c r="D2590" s="3"/>
      <c r="E2590" s="3">
        <v>7</v>
      </c>
      <c r="F2590" s="4" t="str">
        <f>HYPERLINK("http://141.218.60.56/~jnz1568/getInfo.php?workbook=13_02.xlsx&amp;sheet=U0&amp;row=2590&amp;col=6&amp;number=3.6&amp;sourceID=14","3.6")</f>
        <v>3.6</v>
      </c>
      <c r="G2590" s="4" t="str">
        <f>HYPERLINK("http://141.218.60.56/~jnz1568/getInfo.php?workbook=13_02.xlsx&amp;sheet=U0&amp;row=2590&amp;col=7&amp;number=9.75e-05&amp;sourceID=14","9.75e-05")</f>
        <v>9.75e-05</v>
      </c>
    </row>
    <row r="2591" spans="1:7">
      <c r="A2591" s="3"/>
      <c r="B2591" s="3"/>
      <c r="C2591" s="3"/>
      <c r="D2591" s="3"/>
      <c r="E2591" s="3">
        <v>8</v>
      </c>
      <c r="F2591" s="4" t="str">
        <f>HYPERLINK("http://141.218.60.56/~jnz1568/getInfo.php?workbook=13_02.xlsx&amp;sheet=U0&amp;row=2591&amp;col=6&amp;number=3.7&amp;sourceID=14","3.7")</f>
        <v>3.7</v>
      </c>
      <c r="G2591" s="4" t="str">
        <f>HYPERLINK("http://141.218.60.56/~jnz1568/getInfo.php?workbook=13_02.xlsx&amp;sheet=U0&amp;row=2591&amp;col=7&amp;number=9.75e-05&amp;sourceID=14","9.75e-05")</f>
        <v>9.75e-05</v>
      </c>
    </row>
    <row r="2592" spans="1:7">
      <c r="A2592" s="3"/>
      <c r="B2592" s="3"/>
      <c r="C2592" s="3"/>
      <c r="D2592" s="3"/>
      <c r="E2592" s="3">
        <v>9</v>
      </c>
      <c r="F2592" s="4" t="str">
        <f>HYPERLINK("http://141.218.60.56/~jnz1568/getInfo.php?workbook=13_02.xlsx&amp;sheet=U0&amp;row=2592&amp;col=6&amp;number=3.8&amp;sourceID=14","3.8")</f>
        <v>3.8</v>
      </c>
      <c r="G2592" s="4" t="str">
        <f>HYPERLINK("http://141.218.60.56/~jnz1568/getInfo.php?workbook=13_02.xlsx&amp;sheet=U0&amp;row=2592&amp;col=7&amp;number=9.75e-05&amp;sourceID=14","9.75e-05")</f>
        <v>9.75e-05</v>
      </c>
    </row>
    <row r="2593" spans="1:7">
      <c r="A2593" s="3"/>
      <c r="B2593" s="3"/>
      <c r="C2593" s="3"/>
      <c r="D2593" s="3"/>
      <c r="E2593" s="3">
        <v>10</v>
      </c>
      <c r="F2593" s="4" t="str">
        <f>HYPERLINK("http://141.218.60.56/~jnz1568/getInfo.php?workbook=13_02.xlsx&amp;sheet=U0&amp;row=2593&amp;col=6&amp;number=3.9&amp;sourceID=14","3.9")</f>
        <v>3.9</v>
      </c>
      <c r="G2593" s="4" t="str">
        <f>HYPERLINK("http://141.218.60.56/~jnz1568/getInfo.php?workbook=13_02.xlsx&amp;sheet=U0&amp;row=2593&amp;col=7&amp;number=9.75e-05&amp;sourceID=14","9.75e-05")</f>
        <v>9.75e-05</v>
      </c>
    </row>
    <row r="2594" spans="1:7">
      <c r="A2594" s="3"/>
      <c r="B2594" s="3"/>
      <c r="C2594" s="3"/>
      <c r="D2594" s="3"/>
      <c r="E2594" s="3">
        <v>11</v>
      </c>
      <c r="F2594" s="4" t="str">
        <f>HYPERLINK("http://141.218.60.56/~jnz1568/getInfo.php?workbook=13_02.xlsx&amp;sheet=U0&amp;row=2594&amp;col=6&amp;number=4&amp;sourceID=14","4")</f>
        <v>4</v>
      </c>
      <c r="G2594" s="4" t="str">
        <f>HYPERLINK("http://141.218.60.56/~jnz1568/getInfo.php?workbook=13_02.xlsx&amp;sheet=U0&amp;row=2594&amp;col=7&amp;number=9.75e-05&amp;sourceID=14","9.75e-05")</f>
        <v>9.75e-05</v>
      </c>
    </row>
    <row r="2595" spans="1:7">
      <c r="A2595" s="3"/>
      <c r="B2595" s="3"/>
      <c r="C2595" s="3"/>
      <c r="D2595" s="3"/>
      <c r="E2595" s="3">
        <v>12</v>
      </c>
      <c r="F2595" s="4" t="str">
        <f>HYPERLINK("http://141.218.60.56/~jnz1568/getInfo.php?workbook=13_02.xlsx&amp;sheet=U0&amp;row=2595&amp;col=6&amp;number=4.1&amp;sourceID=14","4.1")</f>
        <v>4.1</v>
      </c>
      <c r="G2595" s="4" t="str">
        <f>HYPERLINK("http://141.218.60.56/~jnz1568/getInfo.php?workbook=13_02.xlsx&amp;sheet=U0&amp;row=2595&amp;col=7&amp;number=9.75e-05&amp;sourceID=14","9.75e-05")</f>
        <v>9.75e-05</v>
      </c>
    </row>
    <row r="2596" spans="1:7">
      <c r="A2596" s="3"/>
      <c r="B2596" s="3"/>
      <c r="C2596" s="3"/>
      <c r="D2596" s="3"/>
      <c r="E2596" s="3">
        <v>13</v>
      </c>
      <c r="F2596" s="4" t="str">
        <f>HYPERLINK("http://141.218.60.56/~jnz1568/getInfo.php?workbook=13_02.xlsx&amp;sheet=U0&amp;row=2596&amp;col=6&amp;number=4.2&amp;sourceID=14","4.2")</f>
        <v>4.2</v>
      </c>
      <c r="G2596" s="4" t="str">
        <f>HYPERLINK("http://141.218.60.56/~jnz1568/getInfo.php?workbook=13_02.xlsx&amp;sheet=U0&amp;row=2596&amp;col=7&amp;number=9.75e-05&amp;sourceID=14","9.75e-05")</f>
        <v>9.75e-05</v>
      </c>
    </row>
    <row r="2597" spans="1:7">
      <c r="A2597" s="3"/>
      <c r="B2597" s="3"/>
      <c r="C2597" s="3"/>
      <c r="D2597" s="3"/>
      <c r="E2597" s="3">
        <v>14</v>
      </c>
      <c r="F2597" s="4" t="str">
        <f>HYPERLINK("http://141.218.60.56/~jnz1568/getInfo.php?workbook=13_02.xlsx&amp;sheet=U0&amp;row=2597&amp;col=6&amp;number=4.3&amp;sourceID=14","4.3")</f>
        <v>4.3</v>
      </c>
      <c r="G2597" s="4" t="str">
        <f>HYPERLINK("http://141.218.60.56/~jnz1568/getInfo.php?workbook=13_02.xlsx&amp;sheet=U0&amp;row=2597&amp;col=7&amp;number=9.75e-05&amp;sourceID=14","9.75e-05")</f>
        <v>9.75e-05</v>
      </c>
    </row>
    <row r="2598" spans="1:7">
      <c r="A2598" s="3"/>
      <c r="B2598" s="3"/>
      <c r="C2598" s="3"/>
      <c r="D2598" s="3"/>
      <c r="E2598" s="3">
        <v>15</v>
      </c>
      <c r="F2598" s="4" t="str">
        <f>HYPERLINK("http://141.218.60.56/~jnz1568/getInfo.php?workbook=13_02.xlsx&amp;sheet=U0&amp;row=2598&amp;col=6&amp;number=4.4&amp;sourceID=14","4.4")</f>
        <v>4.4</v>
      </c>
      <c r="G2598" s="4" t="str">
        <f>HYPERLINK("http://141.218.60.56/~jnz1568/getInfo.php?workbook=13_02.xlsx&amp;sheet=U0&amp;row=2598&amp;col=7&amp;number=9.75e-05&amp;sourceID=14","9.75e-05")</f>
        <v>9.75e-05</v>
      </c>
    </row>
    <row r="2599" spans="1:7">
      <c r="A2599" s="3"/>
      <c r="B2599" s="3"/>
      <c r="C2599" s="3"/>
      <c r="D2599" s="3"/>
      <c r="E2599" s="3">
        <v>16</v>
      </c>
      <c r="F2599" s="4" t="str">
        <f>HYPERLINK("http://141.218.60.56/~jnz1568/getInfo.php?workbook=13_02.xlsx&amp;sheet=U0&amp;row=2599&amp;col=6&amp;number=4.5&amp;sourceID=14","4.5")</f>
        <v>4.5</v>
      </c>
      <c r="G2599" s="4" t="str">
        <f>HYPERLINK("http://141.218.60.56/~jnz1568/getInfo.php?workbook=13_02.xlsx&amp;sheet=U0&amp;row=2599&amp;col=7&amp;number=9.75e-05&amp;sourceID=14","9.75e-05")</f>
        <v>9.75e-05</v>
      </c>
    </row>
    <row r="2600" spans="1:7">
      <c r="A2600" s="3"/>
      <c r="B2600" s="3"/>
      <c r="C2600" s="3"/>
      <c r="D2600" s="3"/>
      <c r="E2600" s="3">
        <v>17</v>
      </c>
      <c r="F2600" s="4" t="str">
        <f>HYPERLINK("http://141.218.60.56/~jnz1568/getInfo.php?workbook=13_02.xlsx&amp;sheet=U0&amp;row=2600&amp;col=6&amp;number=4.6&amp;sourceID=14","4.6")</f>
        <v>4.6</v>
      </c>
      <c r="G2600" s="4" t="str">
        <f>HYPERLINK("http://141.218.60.56/~jnz1568/getInfo.php?workbook=13_02.xlsx&amp;sheet=U0&amp;row=2600&amp;col=7&amp;number=9.74e-05&amp;sourceID=14","9.74e-05")</f>
        <v>9.74e-05</v>
      </c>
    </row>
    <row r="2601" spans="1:7">
      <c r="A2601" s="3"/>
      <c r="B2601" s="3"/>
      <c r="C2601" s="3"/>
      <c r="D2601" s="3"/>
      <c r="E2601" s="3">
        <v>18</v>
      </c>
      <c r="F2601" s="4" t="str">
        <f>HYPERLINK("http://141.218.60.56/~jnz1568/getInfo.php?workbook=13_02.xlsx&amp;sheet=U0&amp;row=2601&amp;col=6&amp;number=4.7&amp;sourceID=14","4.7")</f>
        <v>4.7</v>
      </c>
      <c r="G2601" s="4" t="str">
        <f>HYPERLINK("http://141.218.60.56/~jnz1568/getInfo.php?workbook=13_02.xlsx&amp;sheet=U0&amp;row=2601&amp;col=7&amp;number=9.74e-05&amp;sourceID=14","9.74e-05")</f>
        <v>9.74e-05</v>
      </c>
    </row>
    <row r="2602" spans="1:7">
      <c r="A2602" s="3"/>
      <c r="B2602" s="3"/>
      <c r="C2602" s="3"/>
      <c r="D2602" s="3"/>
      <c r="E2602" s="3">
        <v>19</v>
      </c>
      <c r="F2602" s="4" t="str">
        <f>HYPERLINK("http://141.218.60.56/~jnz1568/getInfo.php?workbook=13_02.xlsx&amp;sheet=U0&amp;row=2602&amp;col=6&amp;number=4.8&amp;sourceID=14","4.8")</f>
        <v>4.8</v>
      </c>
      <c r="G2602" s="4" t="str">
        <f>HYPERLINK("http://141.218.60.56/~jnz1568/getInfo.php?workbook=13_02.xlsx&amp;sheet=U0&amp;row=2602&amp;col=7&amp;number=9.74e-05&amp;sourceID=14","9.74e-05")</f>
        <v>9.74e-05</v>
      </c>
    </row>
    <row r="2603" spans="1:7">
      <c r="A2603" s="3"/>
      <c r="B2603" s="3"/>
      <c r="C2603" s="3"/>
      <c r="D2603" s="3"/>
      <c r="E2603" s="3">
        <v>20</v>
      </c>
      <c r="F2603" s="4" t="str">
        <f>HYPERLINK("http://141.218.60.56/~jnz1568/getInfo.php?workbook=13_02.xlsx&amp;sheet=U0&amp;row=2603&amp;col=6&amp;number=4.9&amp;sourceID=14","4.9")</f>
        <v>4.9</v>
      </c>
      <c r="G2603" s="4" t="str">
        <f>HYPERLINK("http://141.218.60.56/~jnz1568/getInfo.php?workbook=13_02.xlsx&amp;sheet=U0&amp;row=2603&amp;col=7&amp;number=9.73e-05&amp;sourceID=14","9.73e-05")</f>
        <v>9.73e-05</v>
      </c>
    </row>
    <row r="2604" spans="1:7">
      <c r="A2604" s="3">
        <v>13</v>
      </c>
      <c r="B2604" s="3">
        <v>2</v>
      </c>
      <c r="C2604" s="3" t="s">
        <v>91</v>
      </c>
      <c r="D2604" s="3">
        <v>8</v>
      </c>
      <c r="E2604" s="3">
        <v>1</v>
      </c>
      <c r="F2604" s="4" t="str">
        <f>HYPERLINK("http://141.218.60.56/~jnz1568/getInfo.php?workbook=13_02.xlsx&amp;sheet=U0&amp;row=2604&amp;col=6&amp;number=3&amp;sourceID=14","3")</f>
        <v>3</v>
      </c>
      <c r="G2604" s="4" t="str">
        <f>HYPERLINK("http://141.218.60.56/~jnz1568/getInfo.php?workbook=13_02.xlsx&amp;sheet=U0&amp;row=2604&amp;col=7&amp;number=0.000121&amp;sourceID=14","0.000121")</f>
        <v>0.000121</v>
      </c>
    </row>
    <row r="2605" spans="1:7">
      <c r="A2605" s="3"/>
      <c r="B2605" s="3"/>
      <c r="C2605" s="3"/>
      <c r="D2605" s="3"/>
      <c r="E2605" s="3">
        <v>2</v>
      </c>
      <c r="F2605" s="4" t="str">
        <f>HYPERLINK("http://141.218.60.56/~jnz1568/getInfo.php?workbook=13_02.xlsx&amp;sheet=U0&amp;row=2605&amp;col=6&amp;number=3.1&amp;sourceID=14","3.1")</f>
        <v>3.1</v>
      </c>
      <c r="G2605" s="4" t="str">
        <f>HYPERLINK("http://141.218.60.56/~jnz1568/getInfo.php?workbook=13_02.xlsx&amp;sheet=U0&amp;row=2605&amp;col=7&amp;number=0.000121&amp;sourceID=14","0.000121")</f>
        <v>0.000121</v>
      </c>
    </row>
    <row r="2606" spans="1:7">
      <c r="A2606" s="3"/>
      <c r="B2606" s="3"/>
      <c r="C2606" s="3"/>
      <c r="D2606" s="3"/>
      <c r="E2606" s="3">
        <v>3</v>
      </c>
      <c r="F2606" s="4" t="str">
        <f>HYPERLINK("http://141.218.60.56/~jnz1568/getInfo.php?workbook=13_02.xlsx&amp;sheet=U0&amp;row=2606&amp;col=6&amp;number=3.2&amp;sourceID=14","3.2")</f>
        <v>3.2</v>
      </c>
      <c r="G2606" s="4" t="str">
        <f>HYPERLINK("http://141.218.60.56/~jnz1568/getInfo.php?workbook=13_02.xlsx&amp;sheet=U0&amp;row=2606&amp;col=7&amp;number=0.000121&amp;sourceID=14","0.000121")</f>
        <v>0.000121</v>
      </c>
    </row>
    <row r="2607" spans="1:7">
      <c r="A2607" s="3"/>
      <c r="B2607" s="3"/>
      <c r="C2607" s="3"/>
      <c r="D2607" s="3"/>
      <c r="E2607" s="3">
        <v>4</v>
      </c>
      <c r="F2607" s="4" t="str">
        <f>HYPERLINK("http://141.218.60.56/~jnz1568/getInfo.php?workbook=13_02.xlsx&amp;sheet=U0&amp;row=2607&amp;col=6&amp;number=3.3&amp;sourceID=14","3.3")</f>
        <v>3.3</v>
      </c>
      <c r="G2607" s="4" t="str">
        <f>HYPERLINK("http://141.218.60.56/~jnz1568/getInfo.php?workbook=13_02.xlsx&amp;sheet=U0&amp;row=2607&amp;col=7&amp;number=0.000121&amp;sourceID=14","0.000121")</f>
        <v>0.000121</v>
      </c>
    </row>
    <row r="2608" spans="1:7">
      <c r="A2608" s="3"/>
      <c r="B2608" s="3"/>
      <c r="C2608" s="3"/>
      <c r="D2608" s="3"/>
      <c r="E2608" s="3">
        <v>5</v>
      </c>
      <c r="F2608" s="4" t="str">
        <f>HYPERLINK("http://141.218.60.56/~jnz1568/getInfo.php?workbook=13_02.xlsx&amp;sheet=U0&amp;row=2608&amp;col=6&amp;number=3.4&amp;sourceID=14","3.4")</f>
        <v>3.4</v>
      </c>
      <c r="G2608" s="4" t="str">
        <f>HYPERLINK("http://141.218.60.56/~jnz1568/getInfo.php?workbook=13_02.xlsx&amp;sheet=U0&amp;row=2608&amp;col=7&amp;number=0.000121&amp;sourceID=14","0.000121")</f>
        <v>0.000121</v>
      </c>
    </row>
    <row r="2609" spans="1:7">
      <c r="A2609" s="3"/>
      <c r="B2609" s="3"/>
      <c r="C2609" s="3"/>
      <c r="D2609" s="3"/>
      <c r="E2609" s="3">
        <v>6</v>
      </c>
      <c r="F2609" s="4" t="str">
        <f>HYPERLINK("http://141.218.60.56/~jnz1568/getInfo.php?workbook=13_02.xlsx&amp;sheet=U0&amp;row=2609&amp;col=6&amp;number=3.5&amp;sourceID=14","3.5")</f>
        <v>3.5</v>
      </c>
      <c r="G2609" s="4" t="str">
        <f>HYPERLINK("http://141.218.60.56/~jnz1568/getInfo.php?workbook=13_02.xlsx&amp;sheet=U0&amp;row=2609&amp;col=7&amp;number=0.000121&amp;sourceID=14","0.000121")</f>
        <v>0.000121</v>
      </c>
    </row>
    <row r="2610" spans="1:7">
      <c r="A2610" s="3"/>
      <c r="B2610" s="3"/>
      <c r="C2610" s="3"/>
      <c r="D2610" s="3"/>
      <c r="E2610" s="3">
        <v>7</v>
      </c>
      <c r="F2610" s="4" t="str">
        <f>HYPERLINK("http://141.218.60.56/~jnz1568/getInfo.php?workbook=13_02.xlsx&amp;sheet=U0&amp;row=2610&amp;col=6&amp;number=3.6&amp;sourceID=14","3.6")</f>
        <v>3.6</v>
      </c>
      <c r="G2610" s="4" t="str">
        <f>HYPERLINK("http://141.218.60.56/~jnz1568/getInfo.php?workbook=13_02.xlsx&amp;sheet=U0&amp;row=2610&amp;col=7&amp;number=0.000121&amp;sourceID=14","0.000121")</f>
        <v>0.000121</v>
      </c>
    </row>
    <row r="2611" spans="1:7">
      <c r="A2611" s="3"/>
      <c r="B2611" s="3"/>
      <c r="C2611" s="3"/>
      <c r="D2611" s="3"/>
      <c r="E2611" s="3">
        <v>8</v>
      </c>
      <c r="F2611" s="4" t="str">
        <f>HYPERLINK("http://141.218.60.56/~jnz1568/getInfo.php?workbook=13_02.xlsx&amp;sheet=U0&amp;row=2611&amp;col=6&amp;number=3.7&amp;sourceID=14","3.7")</f>
        <v>3.7</v>
      </c>
      <c r="G2611" s="4" t="str">
        <f>HYPERLINK("http://141.218.60.56/~jnz1568/getInfo.php?workbook=13_02.xlsx&amp;sheet=U0&amp;row=2611&amp;col=7&amp;number=0.000121&amp;sourceID=14","0.000121")</f>
        <v>0.000121</v>
      </c>
    </row>
    <row r="2612" spans="1:7">
      <c r="A2612" s="3"/>
      <c r="B2612" s="3"/>
      <c r="C2612" s="3"/>
      <c r="D2612" s="3"/>
      <c r="E2612" s="3">
        <v>9</v>
      </c>
      <c r="F2612" s="4" t="str">
        <f>HYPERLINK("http://141.218.60.56/~jnz1568/getInfo.php?workbook=13_02.xlsx&amp;sheet=U0&amp;row=2612&amp;col=6&amp;number=3.8&amp;sourceID=14","3.8")</f>
        <v>3.8</v>
      </c>
      <c r="G2612" s="4" t="str">
        <f>HYPERLINK("http://141.218.60.56/~jnz1568/getInfo.php?workbook=13_02.xlsx&amp;sheet=U0&amp;row=2612&amp;col=7&amp;number=0.000121&amp;sourceID=14","0.000121")</f>
        <v>0.000121</v>
      </c>
    </row>
    <row r="2613" spans="1:7">
      <c r="A2613" s="3"/>
      <c r="B2613" s="3"/>
      <c r="C2613" s="3"/>
      <c r="D2613" s="3"/>
      <c r="E2613" s="3">
        <v>10</v>
      </c>
      <c r="F2613" s="4" t="str">
        <f>HYPERLINK("http://141.218.60.56/~jnz1568/getInfo.php?workbook=13_02.xlsx&amp;sheet=U0&amp;row=2613&amp;col=6&amp;number=3.9&amp;sourceID=14","3.9")</f>
        <v>3.9</v>
      </c>
      <c r="G2613" s="4" t="str">
        <f>HYPERLINK("http://141.218.60.56/~jnz1568/getInfo.php?workbook=13_02.xlsx&amp;sheet=U0&amp;row=2613&amp;col=7&amp;number=0.000121&amp;sourceID=14","0.000121")</f>
        <v>0.000121</v>
      </c>
    </row>
    <row r="2614" spans="1:7">
      <c r="A2614" s="3"/>
      <c r="B2614" s="3"/>
      <c r="C2614" s="3"/>
      <c r="D2614" s="3"/>
      <c r="E2614" s="3">
        <v>11</v>
      </c>
      <c r="F2614" s="4" t="str">
        <f>HYPERLINK("http://141.218.60.56/~jnz1568/getInfo.php?workbook=13_02.xlsx&amp;sheet=U0&amp;row=2614&amp;col=6&amp;number=4&amp;sourceID=14","4")</f>
        <v>4</v>
      </c>
      <c r="G2614" s="4" t="str">
        <f>HYPERLINK("http://141.218.60.56/~jnz1568/getInfo.php?workbook=13_02.xlsx&amp;sheet=U0&amp;row=2614&amp;col=7&amp;number=0.000121&amp;sourceID=14","0.000121")</f>
        <v>0.000121</v>
      </c>
    </row>
    <row r="2615" spans="1:7">
      <c r="A2615" s="3"/>
      <c r="B2615" s="3"/>
      <c r="C2615" s="3"/>
      <c r="D2615" s="3"/>
      <c r="E2615" s="3">
        <v>12</v>
      </c>
      <c r="F2615" s="4" t="str">
        <f>HYPERLINK("http://141.218.60.56/~jnz1568/getInfo.php?workbook=13_02.xlsx&amp;sheet=U0&amp;row=2615&amp;col=6&amp;number=4.1&amp;sourceID=14","4.1")</f>
        <v>4.1</v>
      </c>
      <c r="G2615" s="4" t="str">
        <f>HYPERLINK("http://141.218.60.56/~jnz1568/getInfo.php?workbook=13_02.xlsx&amp;sheet=U0&amp;row=2615&amp;col=7&amp;number=0.00012&amp;sourceID=14","0.00012")</f>
        <v>0.00012</v>
      </c>
    </row>
    <row r="2616" spans="1:7">
      <c r="A2616" s="3"/>
      <c r="B2616" s="3"/>
      <c r="C2616" s="3"/>
      <c r="D2616" s="3"/>
      <c r="E2616" s="3">
        <v>13</v>
      </c>
      <c r="F2616" s="4" t="str">
        <f>HYPERLINK("http://141.218.60.56/~jnz1568/getInfo.php?workbook=13_02.xlsx&amp;sheet=U0&amp;row=2616&amp;col=6&amp;number=4.2&amp;sourceID=14","4.2")</f>
        <v>4.2</v>
      </c>
      <c r="G2616" s="4" t="str">
        <f>HYPERLINK("http://141.218.60.56/~jnz1568/getInfo.php?workbook=13_02.xlsx&amp;sheet=U0&amp;row=2616&amp;col=7&amp;number=0.00012&amp;sourceID=14","0.00012")</f>
        <v>0.00012</v>
      </c>
    </row>
    <row r="2617" spans="1:7">
      <c r="A2617" s="3"/>
      <c r="B2617" s="3"/>
      <c r="C2617" s="3"/>
      <c r="D2617" s="3"/>
      <c r="E2617" s="3">
        <v>14</v>
      </c>
      <c r="F2617" s="4" t="str">
        <f>HYPERLINK("http://141.218.60.56/~jnz1568/getInfo.php?workbook=13_02.xlsx&amp;sheet=U0&amp;row=2617&amp;col=6&amp;number=4.3&amp;sourceID=14","4.3")</f>
        <v>4.3</v>
      </c>
      <c r="G2617" s="4" t="str">
        <f>HYPERLINK("http://141.218.60.56/~jnz1568/getInfo.php?workbook=13_02.xlsx&amp;sheet=U0&amp;row=2617&amp;col=7&amp;number=0.00012&amp;sourceID=14","0.00012")</f>
        <v>0.00012</v>
      </c>
    </row>
    <row r="2618" spans="1:7">
      <c r="A2618" s="3"/>
      <c r="B2618" s="3"/>
      <c r="C2618" s="3"/>
      <c r="D2618" s="3"/>
      <c r="E2618" s="3">
        <v>15</v>
      </c>
      <c r="F2618" s="4" t="str">
        <f>HYPERLINK("http://141.218.60.56/~jnz1568/getInfo.php?workbook=13_02.xlsx&amp;sheet=U0&amp;row=2618&amp;col=6&amp;number=4.4&amp;sourceID=14","4.4")</f>
        <v>4.4</v>
      </c>
      <c r="G2618" s="4" t="str">
        <f>HYPERLINK("http://141.218.60.56/~jnz1568/getInfo.php?workbook=13_02.xlsx&amp;sheet=U0&amp;row=2618&amp;col=7&amp;number=0.00012&amp;sourceID=14","0.00012")</f>
        <v>0.00012</v>
      </c>
    </row>
    <row r="2619" spans="1:7">
      <c r="A2619" s="3"/>
      <c r="B2619" s="3"/>
      <c r="C2619" s="3"/>
      <c r="D2619" s="3"/>
      <c r="E2619" s="3">
        <v>16</v>
      </c>
      <c r="F2619" s="4" t="str">
        <f>HYPERLINK("http://141.218.60.56/~jnz1568/getInfo.php?workbook=13_02.xlsx&amp;sheet=U0&amp;row=2619&amp;col=6&amp;number=4.5&amp;sourceID=14","4.5")</f>
        <v>4.5</v>
      </c>
      <c r="G2619" s="4" t="str">
        <f>HYPERLINK("http://141.218.60.56/~jnz1568/getInfo.php?workbook=13_02.xlsx&amp;sheet=U0&amp;row=2619&amp;col=7&amp;number=0.00012&amp;sourceID=14","0.00012")</f>
        <v>0.00012</v>
      </c>
    </row>
    <row r="2620" spans="1:7">
      <c r="A2620" s="3"/>
      <c r="B2620" s="3"/>
      <c r="C2620" s="3"/>
      <c r="D2620" s="3"/>
      <c r="E2620" s="3">
        <v>17</v>
      </c>
      <c r="F2620" s="4" t="str">
        <f>HYPERLINK("http://141.218.60.56/~jnz1568/getInfo.php?workbook=13_02.xlsx&amp;sheet=U0&amp;row=2620&amp;col=6&amp;number=4.6&amp;sourceID=14","4.6")</f>
        <v>4.6</v>
      </c>
      <c r="G2620" s="4" t="str">
        <f>HYPERLINK("http://141.218.60.56/~jnz1568/getInfo.php?workbook=13_02.xlsx&amp;sheet=U0&amp;row=2620&amp;col=7&amp;number=0.00012&amp;sourceID=14","0.00012")</f>
        <v>0.00012</v>
      </c>
    </row>
    <row r="2621" spans="1:7">
      <c r="A2621" s="3"/>
      <c r="B2621" s="3"/>
      <c r="C2621" s="3"/>
      <c r="D2621" s="3"/>
      <c r="E2621" s="3">
        <v>18</v>
      </c>
      <c r="F2621" s="4" t="str">
        <f>HYPERLINK("http://141.218.60.56/~jnz1568/getInfo.php?workbook=13_02.xlsx&amp;sheet=U0&amp;row=2621&amp;col=6&amp;number=4.7&amp;sourceID=14","4.7")</f>
        <v>4.7</v>
      </c>
      <c r="G2621" s="4" t="str">
        <f>HYPERLINK("http://141.218.60.56/~jnz1568/getInfo.php?workbook=13_02.xlsx&amp;sheet=U0&amp;row=2621&amp;col=7&amp;number=0.000119&amp;sourceID=14","0.000119")</f>
        <v>0.000119</v>
      </c>
    </row>
    <row r="2622" spans="1:7">
      <c r="A2622" s="3"/>
      <c r="B2622" s="3"/>
      <c r="C2622" s="3"/>
      <c r="D2622" s="3"/>
      <c r="E2622" s="3">
        <v>19</v>
      </c>
      <c r="F2622" s="4" t="str">
        <f>HYPERLINK("http://141.218.60.56/~jnz1568/getInfo.php?workbook=13_02.xlsx&amp;sheet=U0&amp;row=2622&amp;col=6&amp;number=4.8&amp;sourceID=14","4.8")</f>
        <v>4.8</v>
      </c>
      <c r="G2622" s="4" t="str">
        <f>HYPERLINK("http://141.218.60.56/~jnz1568/getInfo.php?workbook=13_02.xlsx&amp;sheet=U0&amp;row=2622&amp;col=7&amp;number=0.000119&amp;sourceID=14","0.000119")</f>
        <v>0.000119</v>
      </c>
    </row>
    <row r="2623" spans="1:7">
      <c r="A2623" s="3"/>
      <c r="B2623" s="3"/>
      <c r="C2623" s="3"/>
      <c r="D2623" s="3"/>
      <c r="E2623" s="3">
        <v>20</v>
      </c>
      <c r="F2623" s="4" t="str">
        <f>HYPERLINK("http://141.218.60.56/~jnz1568/getInfo.php?workbook=13_02.xlsx&amp;sheet=U0&amp;row=2623&amp;col=6&amp;number=4.9&amp;sourceID=14","4.9")</f>
        <v>4.9</v>
      </c>
      <c r="G2623" s="4" t="str">
        <f>HYPERLINK("http://141.218.60.56/~jnz1568/getInfo.php?workbook=13_02.xlsx&amp;sheet=U0&amp;row=2623&amp;col=7&amp;number=0.000118&amp;sourceID=14","0.000118")</f>
        <v>0.000118</v>
      </c>
    </row>
    <row r="2624" spans="1:7">
      <c r="A2624" s="3">
        <v>13</v>
      </c>
      <c r="B2624" s="3">
        <v>2</v>
      </c>
      <c r="C2624" s="3" t="s">
        <v>91</v>
      </c>
      <c r="D2624" s="3">
        <v>9</v>
      </c>
      <c r="E2624" s="3">
        <v>1</v>
      </c>
      <c r="F2624" s="4" t="str">
        <f>HYPERLINK("http://141.218.60.56/~jnz1568/getInfo.php?workbook=13_02.xlsx&amp;sheet=U0&amp;row=2624&amp;col=6&amp;number=3&amp;sourceID=14","3")</f>
        <v>3</v>
      </c>
      <c r="G2624" s="4" t="str">
        <f>HYPERLINK("http://141.218.60.56/~jnz1568/getInfo.php?workbook=13_02.xlsx&amp;sheet=U0&amp;row=2624&amp;col=7&amp;number=0.000101&amp;sourceID=14","0.000101")</f>
        <v>0.000101</v>
      </c>
    </row>
    <row r="2625" spans="1:7">
      <c r="A2625" s="3"/>
      <c r="B2625" s="3"/>
      <c r="C2625" s="3"/>
      <c r="D2625" s="3"/>
      <c r="E2625" s="3">
        <v>2</v>
      </c>
      <c r="F2625" s="4" t="str">
        <f>HYPERLINK("http://141.218.60.56/~jnz1568/getInfo.php?workbook=13_02.xlsx&amp;sheet=U0&amp;row=2625&amp;col=6&amp;number=3.1&amp;sourceID=14","3.1")</f>
        <v>3.1</v>
      </c>
      <c r="G2625" s="4" t="str">
        <f>HYPERLINK("http://141.218.60.56/~jnz1568/getInfo.php?workbook=13_02.xlsx&amp;sheet=U0&amp;row=2625&amp;col=7&amp;number=0.000101&amp;sourceID=14","0.000101")</f>
        <v>0.000101</v>
      </c>
    </row>
    <row r="2626" spans="1:7">
      <c r="A2626" s="3"/>
      <c r="B2626" s="3"/>
      <c r="C2626" s="3"/>
      <c r="D2626" s="3"/>
      <c r="E2626" s="3">
        <v>3</v>
      </c>
      <c r="F2626" s="4" t="str">
        <f>HYPERLINK("http://141.218.60.56/~jnz1568/getInfo.php?workbook=13_02.xlsx&amp;sheet=U0&amp;row=2626&amp;col=6&amp;number=3.2&amp;sourceID=14","3.2")</f>
        <v>3.2</v>
      </c>
      <c r="G2626" s="4" t="str">
        <f>HYPERLINK("http://141.218.60.56/~jnz1568/getInfo.php?workbook=13_02.xlsx&amp;sheet=U0&amp;row=2626&amp;col=7&amp;number=0.000101&amp;sourceID=14","0.000101")</f>
        <v>0.000101</v>
      </c>
    </row>
    <row r="2627" spans="1:7">
      <c r="A2627" s="3"/>
      <c r="B2627" s="3"/>
      <c r="C2627" s="3"/>
      <c r="D2627" s="3"/>
      <c r="E2627" s="3">
        <v>4</v>
      </c>
      <c r="F2627" s="4" t="str">
        <f>HYPERLINK("http://141.218.60.56/~jnz1568/getInfo.php?workbook=13_02.xlsx&amp;sheet=U0&amp;row=2627&amp;col=6&amp;number=3.3&amp;sourceID=14","3.3")</f>
        <v>3.3</v>
      </c>
      <c r="G2627" s="4" t="str">
        <f>HYPERLINK("http://141.218.60.56/~jnz1568/getInfo.php?workbook=13_02.xlsx&amp;sheet=U0&amp;row=2627&amp;col=7&amp;number=0.000101&amp;sourceID=14","0.000101")</f>
        <v>0.000101</v>
      </c>
    </row>
    <row r="2628" spans="1:7">
      <c r="A2628" s="3"/>
      <c r="B2628" s="3"/>
      <c r="C2628" s="3"/>
      <c r="D2628" s="3"/>
      <c r="E2628" s="3">
        <v>5</v>
      </c>
      <c r="F2628" s="4" t="str">
        <f>HYPERLINK("http://141.218.60.56/~jnz1568/getInfo.php?workbook=13_02.xlsx&amp;sheet=U0&amp;row=2628&amp;col=6&amp;number=3.4&amp;sourceID=14","3.4")</f>
        <v>3.4</v>
      </c>
      <c r="G2628" s="4" t="str">
        <f>HYPERLINK("http://141.218.60.56/~jnz1568/getInfo.php?workbook=13_02.xlsx&amp;sheet=U0&amp;row=2628&amp;col=7&amp;number=0.000101&amp;sourceID=14","0.000101")</f>
        <v>0.000101</v>
      </c>
    </row>
    <row r="2629" spans="1:7">
      <c r="A2629" s="3"/>
      <c r="B2629" s="3"/>
      <c r="C2629" s="3"/>
      <c r="D2629" s="3"/>
      <c r="E2629" s="3">
        <v>6</v>
      </c>
      <c r="F2629" s="4" t="str">
        <f>HYPERLINK("http://141.218.60.56/~jnz1568/getInfo.php?workbook=13_02.xlsx&amp;sheet=U0&amp;row=2629&amp;col=6&amp;number=3.5&amp;sourceID=14","3.5")</f>
        <v>3.5</v>
      </c>
      <c r="G2629" s="4" t="str">
        <f>HYPERLINK("http://141.218.60.56/~jnz1568/getInfo.php?workbook=13_02.xlsx&amp;sheet=U0&amp;row=2629&amp;col=7&amp;number=0.000101&amp;sourceID=14","0.000101")</f>
        <v>0.000101</v>
      </c>
    </row>
    <row r="2630" spans="1:7">
      <c r="A2630" s="3"/>
      <c r="B2630" s="3"/>
      <c r="C2630" s="3"/>
      <c r="D2630" s="3"/>
      <c r="E2630" s="3">
        <v>7</v>
      </c>
      <c r="F2630" s="4" t="str">
        <f>HYPERLINK("http://141.218.60.56/~jnz1568/getInfo.php?workbook=13_02.xlsx&amp;sheet=U0&amp;row=2630&amp;col=6&amp;number=3.6&amp;sourceID=14","3.6")</f>
        <v>3.6</v>
      </c>
      <c r="G2630" s="4" t="str">
        <f>HYPERLINK("http://141.218.60.56/~jnz1568/getInfo.php?workbook=13_02.xlsx&amp;sheet=U0&amp;row=2630&amp;col=7&amp;number=0.000101&amp;sourceID=14","0.000101")</f>
        <v>0.000101</v>
      </c>
    </row>
    <row r="2631" spans="1:7">
      <c r="A2631" s="3"/>
      <c r="B2631" s="3"/>
      <c r="C2631" s="3"/>
      <c r="D2631" s="3"/>
      <c r="E2631" s="3">
        <v>8</v>
      </c>
      <c r="F2631" s="4" t="str">
        <f>HYPERLINK("http://141.218.60.56/~jnz1568/getInfo.php?workbook=13_02.xlsx&amp;sheet=U0&amp;row=2631&amp;col=6&amp;number=3.7&amp;sourceID=14","3.7")</f>
        <v>3.7</v>
      </c>
      <c r="G2631" s="4" t="str">
        <f>HYPERLINK("http://141.218.60.56/~jnz1568/getInfo.php?workbook=13_02.xlsx&amp;sheet=U0&amp;row=2631&amp;col=7&amp;number=0.000101&amp;sourceID=14","0.000101")</f>
        <v>0.000101</v>
      </c>
    </row>
    <row r="2632" spans="1:7">
      <c r="A2632" s="3"/>
      <c r="B2632" s="3"/>
      <c r="C2632" s="3"/>
      <c r="D2632" s="3"/>
      <c r="E2632" s="3">
        <v>9</v>
      </c>
      <c r="F2632" s="4" t="str">
        <f>HYPERLINK("http://141.218.60.56/~jnz1568/getInfo.php?workbook=13_02.xlsx&amp;sheet=U0&amp;row=2632&amp;col=6&amp;number=3.8&amp;sourceID=14","3.8")</f>
        <v>3.8</v>
      </c>
      <c r="G2632" s="4" t="str">
        <f>HYPERLINK("http://141.218.60.56/~jnz1568/getInfo.php?workbook=13_02.xlsx&amp;sheet=U0&amp;row=2632&amp;col=7&amp;number=0.000101&amp;sourceID=14","0.000101")</f>
        <v>0.000101</v>
      </c>
    </row>
    <row r="2633" spans="1:7">
      <c r="A2633" s="3"/>
      <c r="B2633" s="3"/>
      <c r="C2633" s="3"/>
      <c r="D2633" s="3"/>
      <c r="E2633" s="3">
        <v>10</v>
      </c>
      <c r="F2633" s="4" t="str">
        <f>HYPERLINK("http://141.218.60.56/~jnz1568/getInfo.php?workbook=13_02.xlsx&amp;sheet=U0&amp;row=2633&amp;col=6&amp;number=3.9&amp;sourceID=14","3.9")</f>
        <v>3.9</v>
      </c>
      <c r="G2633" s="4" t="str">
        <f>HYPERLINK("http://141.218.60.56/~jnz1568/getInfo.php?workbook=13_02.xlsx&amp;sheet=U0&amp;row=2633&amp;col=7&amp;number=0.000101&amp;sourceID=14","0.000101")</f>
        <v>0.000101</v>
      </c>
    </row>
    <row r="2634" spans="1:7">
      <c r="A2634" s="3"/>
      <c r="B2634" s="3"/>
      <c r="C2634" s="3"/>
      <c r="D2634" s="3"/>
      <c r="E2634" s="3">
        <v>11</v>
      </c>
      <c r="F2634" s="4" t="str">
        <f>HYPERLINK("http://141.218.60.56/~jnz1568/getInfo.php?workbook=13_02.xlsx&amp;sheet=U0&amp;row=2634&amp;col=6&amp;number=4&amp;sourceID=14","4")</f>
        <v>4</v>
      </c>
      <c r="G2634" s="4" t="str">
        <f>HYPERLINK("http://141.218.60.56/~jnz1568/getInfo.php?workbook=13_02.xlsx&amp;sheet=U0&amp;row=2634&amp;col=7&amp;number=0.000101&amp;sourceID=14","0.000101")</f>
        <v>0.000101</v>
      </c>
    </row>
    <row r="2635" spans="1:7">
      <c r="A2635" s="3"/>
      <c r="B2635" s="3"/>
      <c r="C2635" s="3"/>
      <c r="D2635" s="3"/>
      <c r="E2635" s="3">
        <v>12</v>
      </c>
      <c r="F2635" s="4" t="str">
        <f>HYPERLINK("http://141.218.60.56/~jnz1568/getInfo.php?workbook=13_02.xlsx&amp;sheet=U0&amp;row=2635&amp;col=6&amp;number=4.1&amp;sourceID=14","4.1")</f>
        <v>4.1</v>
      </c>
      <c r="G2635" s="4" t="str">
        <f>HYPERLINK("http://141.218.60.56/~jnz1568/getInfo.php?workbook=13_02.xlsx&amp;sheet=U0&amp;row=2635&amp;col=7&amp;number=0.000101&amp;sourceID=14","0.000101")</f>
        <v>0.000101</v>
      </c>
    </row>
    <row r="2636" spans="1:7">
      <c r="A2636" s="3"/>
      <c r="B2636" s="3"/>
      <c r="C2636" s="3"/>
      <c r="D2636" s="3"/>
      <c r="E2636" s="3">
        <v>13</v>
      </c>
      <c r="F2636" s="4" t="str">
        <f>HYPERLINK("http://141.218.60.56/~jnz1568/getInfo.php?workbook=13_02.xlsx&amp;sheet=U0&amp;row=2636&amp;col=6&amp;number=4.2&amp;sourceID=14","4.2")</f>
        <v>4.2</v>
      </c>
      <c r="G2636" s="4" t="str">
        <f>HYPERLINK("http://141.218.60.56/~jnz1568/getInfo.php?workbook=13_02.xlsx&amp;sheet=U0&amp;row=2636&amp;col=7&amp;number=0.000101&amp;sourceID=14","0.000101")</f>
        <v>0.000101</v>
      </c>
    </row>
    <row r="2637" spans="1:7">
      <c r="A2637" s="3"/>
      <c r="B2637" s="3"/>
      <c r="C2637" s="3"/>
      <c r="D2637" s="3"/>
      <c r="E2637" s="3">
        <v>14</v>
      </c>
      <c r="F2637" s="4" t="str">
        <f>HYPERLINK("http://141.218.60.56/~jnz1568/getInfo.php?workbook=13_02.xlsx&amp;sheet=U0&amp;row=2637&amp;col=6&amp;number=4.3&amp;sourceID=14","4.3")</f>
        <v>4.3</v>
      </c>
      <c r="G2637" s="4" t="str">
        <f>HYPERLINK("http://141.218.60.56/~jnz1568/getInfo.php?workbook=13_02.xlsx&amp;sheet=U0&amp;row=2637&amp;col=7&amp;number=0.000101&amp;sourceID=14","0.000101")</f>
        <v>0.000101</v>
      </c>
    </row>
    <row r="2638" spans="1:7">
      <c r="A2638" s="3"/>
      <c r="B2638" s="3"/>
      <c r="C2638" s="3"/>
      <c r="D2638" s="3"/>
      <c r="E2638" s="3">
        <v>15</v>
      </c>
      <c r="F2638" s="4" t="str">
        <f>HYPERLINK("http://141.218.60.56/~jnz1568/getInfo.php?workbook=13_02.xlsx&amp;sheet=U0&amp;row=2638&amp;col=6&amp;number=4.4&amp;sourceID=14","4.4")</f>
        <v>4.4</v>
      </c>
      <c r="G2638" s="4" t="str">
        <f>HYPERLINK("http://141.218.60.56/~jnz1568/getInfo.php?workbook=13_02.xlsx&amp;sheet=U0&amp;row=2638&amp;col=7&amp;number=0.000101&amp;sourceID=14","0.000101")</f>
        <v>0.000101</v>
      </c>
    </row>
    <row r="2639" spans="1:7">
      <c r="A2639" s="3"/>
      <c r="B2639" s="3"/>
      <c r="C2639" s="3"/>
      <c r="D2639" s="3"/>
      <c r="E2639" s="3">
        <v>16</v>
      </c>
      <c r="F2639" s="4" t="str">
        <f>HYPERLINK("http://141.218.60.56/~jnz1568/getInfo.php?workbook=13_02.xlsx&amp;sheet=U0&amp;row=2639&amp;col=6&amp;number=4.5&amp;sourceID=14","4.5")</f>
        <v>4.5</v>
      </c>
      <c r="G2639" s="4" t="str">
        <f>HYPERLINK("http://141.218.60.56/~jnz1568/getInfo.php?workbook=13_02.xlsx&amp;sheet=U0&amp;row=2639&amp;col=7&amp;number=0.000101&amp;sourceID=14","0.000101")</f>
        <v>0.000101</v>
      </c>
    </row>
    <row r="2640" spans="1:7">
      <c r="A2640" s="3"/>
      <c r="B2640" s="3"/>
      <c r="C2640" s="3"/>
      <c r="D2640" s="3"/>
      <c r="E2640" s="3">
        <v>17</v>
      </c>
      <c r="F2640" s="4" t="str">
        <f>HYPERLINK("http://141.218.60.56/~jnz1568/getInfo.php?workbook=13_02.xlsx&amp;sheet=U0&amp;row=2640&amp;col=6&amp;number=4.6&amp;sourceID=14","4.6")</f>
        <v>4.6</v>
      </c>
      <c r="G2640" s="4" t="str">
        <f>HYPERLINK("http://141.218.60.56/~jnz1568/getInfo.php?workbook=13_02.xlsx&amp;sheet=U0&amp;row=2640&amp;col=7&amp;number=0.000101&amp;sourceID=14","0.000101")</f>
        <v>0.000101</v>
      </c>
    </row>
    <row r="2641" spans="1:7">
      <c r="A2641" s="3"/>
      <c r="B2641" s="3"/>
      <c r="C2641" s="3"/>
      <c r="D2641" s="3"/>
      <c r="E2641" s="3">
        <v>18</v>
      </c>
      <c r="F2641" s="4" t="str">
        <f>HYPERLINK("http://141.218.60.56/~jnz1568/getInfo.php?workbook=13_02.xlsx&amp;sheet=U0&amp;row=2641&amp;col=6&amp;number=4.7&amp;sourceID=14","4.7")</f>
        <v>4.7</v>
      </c>
      <c r="G2641" s="4" t="str">
        <f>HYPERLINK("http://141.218.60.56/~jnz1568/getInfo.php?workbook=13_02.xlsx&amp;sheet=U0&amp;row=2641&amp;col=7&amp;number=0.000101&amp;sourceID=14","0.000101")</f>
        <v>0.000101</v>
      </c>
    </row>
    <row r="2642" spans="1:7">
      <c r="A2642" s="3"/>
      <c r="B2642" s="3"/>
      <c r="C2642" s="3"/>
      <c r="D2642" s="3"/>
      <c r="E2642" s="3">
        <v>19</v>
      </c>
      <c r="F2642" s="4" t="str">
        <f>HYPERLINK("http://141.218.60.56/~jnz1568/getInfo.php?workbook=13_02.xlsx&amp;sheet=U0&amp;row=2642&amp;col=6&amp;number=4.8&amp;sourceID=14","4.8")</f>
        <v>4.8</v>
      </c>
      <c r="G2642" s="4" t="str">
        <f>HYPERLINK("http://141.218.60.56/~jnz1568/getInfo.php?workbook=13_02.xlsx&amp;sheet=U0&amp;row=2642&amp;col=7&amp;number=0.000101&amp;sourceID=14","0.000101")</f>
        <v>0.000101</v>
      </c>
    </row>
    <row r="2643" spans="1:7">
      <c r="A2643" s="3"/>
      <c r="B2643" s="3"/>
      <c r="C2643" s="3"/>
      <c r="D2643" s="3"/>
      <c r="E2643" s="3">
        <v>20</v>
      </c>
      <c r="F2643" s="4" t="str">
        <f>HYPERLINK("http://141.218.60.56/~jnz1568/getInfo.php?workbook=13_02.xlsx&amp;sheet=U0&amp;row=2643&amp;col=6&amp;number=4.9&amp;sourceID=14","4.9")</f>
        <v>4.9</v>
      </c>
      <c r="G2643" s="4" t="str">
        <f>HYPERLINK("http://141.218.60.56/~jnz1568/getInfo.php?workbook=13_02.xlsx&amp;sheet=U0&amp;row=2643&amp;col=7&amp;number=0.000101&amp;sourceID=14","0.000101")</f>
        <v>0.000101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2015-04-20T06:51:08Z</dcterms:created>
  <dcterms:modified xsi:type="dcterms:W3CDTF">2015-04-20T06:51:08Z</dcterms:modified>
</cp:coreProperties>
</file>