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  <sheet name="O0" sheetId="4" r:id="rId4"/>
  </sheets>
  <calcPr calcId="124519" fullCalcOnLoad="1"/>
</workbook>
</file>

<file path=xl/sharedStrings.xml><?xml version="1.0" encoding="utf-8"?>
<sst xmlns="http://schemas.openxmlformats.org/spreadsheetml/2006/main" count="165" uniqueCount="54">
  <si>
    <t>Fine-Structure Energy Levels for O III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</si>
  <si>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</si>
  <si>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</si>
  <si>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</si>
  <si>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</si>
  <si>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</si>
  <si>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</si>
  <si>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</si>
  <si>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</si>
  <si>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</si>
  <si>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</si>
  <si>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</si>
  <si>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</si>
  <si>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</si>
  <si>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</si>
  <si>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</si>
  <si>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</si>
  <si>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</si>
  <si>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</si>
  <si>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</si>
  <si>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</si>
  <si>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</si>
  <si>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</si>
  <si>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</si>
  <si>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</si>
  <si>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</si>
  <si>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</si>
  <si>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</si>
  <si>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</si>
  <si>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</si>
  <si>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</si>
  <si>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</si>
  <si>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</si>
  <si>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</si>
  <si>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</si>
  <si>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A-values for  fine-structure transitions in O III</t>
  </si>
  <si>
    <t>S7</t>
  </si>
  <si>
    <t>S5</t>
  </si>
  <si>
    <t>S6</t>
  </si>
  <si>
    <t>k</t>
  </si>
  <si>
    <t>WL Vac (A)</t>
  </si>
  <si>
    <t>AE1 (s-1)</t>
  </si>
  <si>
    <t>AE2 (s-1)</t>
  </si>
  <si>
    <t>AM1 (s-1)</t>
  </si>
  <si>
    <t>AM2 (s-1)</t>
  </si>
  <si>
    <t>Effective Collision Strengths for O III</t>
  </si>
  <si>
    <t>S8</t>
  </si>
  <si>
    <t>S9</t>
  </si>
  <si>
    <t>S10</t>
  </si>
  <si>
    <t>np</t>
  </si>
  <si>
    <t>Log_T(K)</t>
  </si>
  <si>
    <t>EColSt</t>
  </si>
  <si>
    <t>Collision Strengths for O III</t>
  </si>
  <si>
    <t>Link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</si>
</sst>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10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4.7109375" customWidth="1"/>
    <col min="11" max="11" width="14.7109375" customWidth="1"/>
    <col min="12" max="12" width="14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3</v>
      </c>
    </row>
    <row r="3" spans="1:1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</row>
    <row r="4" spans="1:12">
      <c r="A4" s="3">
        <v>8</v>
      </c>
      <c r="B4" s="3">
        <v>6</v>
      </c>
      <c r="C4" s="3">
        <v>1</v>
      </c>
      <c r="D4" s="3" t="s">
        <v>14</v>
      </c>
      <c r="E4" s="3" t="s">
        <v>15</v>
      </c>
      <c r="F4" s="3">
        <v>3</v>
      </c>
      <c r="G4" s="3">
        <v>1</v>
      </c>
      <c r="H4" s="3">
        <v>0</v>
      </c>
      <c r="I4" s="3">
        <v>0</v>
      </c>
      <c r="J4" s="4" t="str">
        <f>HYPERLINK("http://141.218.60.56/~jnz1568/getInfo.php?workbook=08_06.xlsx&amp;sheet=E0&amp;row=4&amp;col=10&amp;number=0&amp;sourceID=2","0")</f>
        <v>0</v>
      </c>
      <c r="K4" s="4" t="str">
        <f>HYPERLINK("http://141.218.60.56/~jnz1568/getInfo.php?workbook=08_06.xlsx&amp;sheet=E0&amp;row=4&amp;col=11&amp;number=0&amp;sourceID=3","0")</f>
        <v>0</v>
      </c>
      <c r="L4" s="4" t="str">
        <f>HYPERLINK("http://141.218.60.56/~jnz1568/getInfo.php?workbook=08_06.xlsx&amp;sheet=E0&amp;row=4&amp;col=12&amp;number=0&amp;sourceID=4","0")</f>
        <v>0</v>
      </c>
    </row>
    <row r="5" spans="1:12">
      <c r="A5" s="3">
        <v>8</v>
      </c>
      <c r="B5" s="3">
        <v>6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0</v>
      </c>
      <c r="I5" s="3">
        <v>1</v>
      </c>
      <c r="J5" s="4" t="str">
        <f>HYPERLINK("http://141.218.60.56/~jnz1568/getInfo.php?workbook=08_06.xlsx&amp;sheet=E0&amp;row=5&amp;col=10&amp;number=113.177580532&amp;sourceID=2","113.177580532")</f>
        <v>113.177580532</v>
      </c>
      <c r="K5" s="4" t="str">
        <f>HYPERLINK("http://141.218.60.56/~jnz1568/getInfo.php?workbook=08_06.xlsx&amp;sheet=E0&amp;row=5&amp;col=11&amp;number=113.369995543&amp;sourceID=3","113.369995543")</f>
        <v>113.369995543</v>
      </c>
      <c r="L5" s="4" t="str">
        <f>HYPERLINK("http://141.218.60.56/~jnz1568/getInfo.php?workbook=08_06.xlsx&amp;sheet=E0&amp;row=5&amp;col=12&amp;number=0&amp;sourceID=4","0")</f>
        <v>0</v>
      </c>
    </row>
    <row r="6" spans="1:12">
      <c r="A6" s="3">
        <v>8</v>
      </c>
      <c r="B6" s="3">
        <v>6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0</v>
      </c>
      <c r="I6" s="3">
        <v>2</v>
      </c>
      <c r="J6" s="4" t="str">
        <f>HYPERLINK("http://141.218.60.56/~jnz1568/getInfo.php?workbook=08_06.xlsx&amp;sheet=E0&amp;row=6&amp;col=10&amp;number=306.173695001&amp;sourceID=2","306.173695001")</f>
        <v>306.173695001</v>
      </c>
      <c r="K6" s="4" t="str">
        <f>HYPERLINK("http://141.218.60.56/~jnz1568/getInfo.php?workbook=08_06.xlsx&amp;sheet=E0&amp;row=6&amp;col=11&amp;number=305.599987985&amp;sourceID=3","305.599987985")</f>
        <v>305.599987985</v>
      </c>
      <c r="L6" s="4" t="str">
        <f>HYPERLINK("http://141.218.60.56/~jnz1568/getInfo.php?workbook=08_06.xlsx&amp;sheet=E0&amp;row=6&amp;col=12&amp;number=0&amp;sourceID=4","0")</f>
        <v>0</v>
      </c>
    </row>
    <row r="7" spans="1:12">
      <c r="A7" s="3">
        <v>8</v>
      </c>
      <c r="B7" s="3">
        <v>6</v>
      </c>
      <c r="C7" s="3">
        <v>4</v>
      </c>
      <c r="D7" s="3" t="s">
        <v>14</v>
      </c>
      <c r="E7" s="3" t="s">
        <v>16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HYPERLINK("http://141.218.60.56/~jnz1568/getInfo.php?workbook=08_06.xlsx&amp;sheet=E0&amp;row=7&amp;col=10&amp;number=20273.2667541&amp;sourceID=2","20273.2667541")</f>
        <v>20273.2667541</v>
      </c>
      <c r="K7" s="4" t="str">
        <f>HYPERLINK("http://141.218.60.56/~jnz1568/getInfo.php?workbook=08_06.xlsx&amp;sheet=E0&amp;row=7&amp;col=11&amp;number=20369.3491991&amp;sourceID=3","20369.3491991")</f>
        <v>20369.3491991</v>
      </c>
      <c r="L7" s="4" t="str">
        <f>HYPERLINK("http://141.218.60.56/~jnz1568/getInfo.php?workbook=08_06.xlsx&amp;sheet=E0&amp;row=7&amp;col=12&amp;number=23132.6261465&amp;sourceID=4","23132.6261465")</f>
        <v>23132.6261465</v>
      </c>
    </row>
    <row r="8" spans="1:12">
      <c r="A8" s="3">
        <v>8</v>
      </c>
      <c r="B8" s="3">
        <v>6</v>
      </c>
      <c r="C8" s="3">
        <v>5</v>
      </c>
      <c r="D8" s="3" t="s">
        <v>14</v>
      </c>
      <c r="E8" s="3" t="s">
        <v>17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HYPERLINK("http://141.218.60.56/~jnz1568/getInfo.php?workbook=08_06.xlsx&amp;sheet=E0&amp;row=8&amp;col=10&amp;number=43185.7378978&amp;sourceID=2","43185.7378978")</f>
        <v>43185.7378978</v>
      </c>
      <c r="K8" s="4" t="str">
        <f>HYPERLINK("http://141.218.60.56/~jnz1568/getInfo.php?workbook=08_06.xlsx&amp;sheet=E0&amp;row=8&amp;col=11&amp;number=43278.1382984&amp;sourceID=3","43278.1382984")</f>
        <v>43278.1382984</v>
      </c>
      <c r="L8" s="4" t="str">
        <f>HYPERLINK("http://141.218.60.56/~jnz1568/getInfo.php?workbook=08_06.xlsx&amp;sheet=E0&amp;row=8&amp;col=12&amp;number=50138.9795367&amp;sourceID=4","50138.9795367")</f>
        <v>50138.9795367</v>
      </c>
    </row>
    <row r="9" spans="1:12">
      <c r="A9" s="3">
        <v>8</v>
      </c>
      <c r="B9" s="3">
        <v>6</v>
      </c>
      <c r="C9" s="3">
        <v>6</v>
      </c>
      <c r="D9" s="3" t="s">
        <v>18</v>
      </c>
      <c r="E9" s="3" t="s">
        <v>19</v>
      </c>
      <c r="F9" s="3">
        <v>5</v>
      </c>
      <c r="G9" s="3">
        <v>0</v>
      </c>
      <c r="H9" s="3">
        <v>1</v>
      </c>
      <c r="I9" s="3">
        <v>2</v>
      </c>
      <c r="J9" s="4" t="str">
        <f>HYPERLINK("http://141.218.60.56/~jnz1568/getInfo.php?workbook=08_06.xlsx&amp;sheet=E0&amp;row=9&amp;col=10&amp;number=60324.7862048&amp;sourceID=2","60324.7862048")</f>
        <v>60324.7862048</v>
      </c>
      <c r="K9" s="4" t="str">
        <f>HYPERLINK("http://141.218.60.56/~jnz1568/getInfo.php?workbook=08_06.xlsx&amp;sheet=E0&amp;row=9&amp;col=11&amp;number=60531.58762&amp;sourceID=3","60531.58762")</f>
        <v>60531.58762</v>
      </c>
      <c r="L9" s="4" t="str">
        <f>HYPERLINK("http://141.218.60.56/~jnz1568/getInfo.php?workbook=08_06.xlsx&amp;sheet=E0&amp;row=9&amp;col=12&amp;number=58522.910455&amp;sourceID=4","58522.910455")</f>
        <v>58522.910455</v>
      </c>
    </row>
    <row r="10" spans="1:12">
      <c r="A10" s="3">
        <v>8</v>
      </c>
      <c r="B10" s="3">
        <v>6</v>
      </c>
      <c r="C10" s="3">
        <v>7</v>
      </c>
      <c r="D10" s="3" t="s">
        <v>18</v>
      </c>
      <c r="E10" s="3" t="s">
        <v>20</v>
      </c>
      <c r="F10" s="3">
        <v>3</v>
      </c>
      <c r="G10" s="3">
        <v>2</v>
      </c>
      <c r="H10" s="3">
        <v>1</v>
      </c>
      <c r="I10" s="3">
        <v>3</v>
      </c>
      <c r="J10" s="4" t="str">
        <f>HYPERLINK("http://141.218.60.56/~jnz1568/getInfo.php?workbook=08_06.xlsx&amp;sheet=E0&amp;row=10&amp;col=10&amp;number=120025.189031&amp;sourceID=2","120025.189031")</f>
        <v>120025.189031</v>
      </c>
      <c r="K10" s="4" t="str">
        <f>HYPERLINK("http://141.218.60.56/~jnz1568/getInfo.php?workbook=08_06.xlsx&amp;sheet=E0&amp;row=10&amp;col=11&amp;number=120464.395264&amp;sourceID=3","120464.395264")</f>
        <v>120464.395264</v>
      </c>
      <c r="L10" s="4" t="str">
        <f>HYPERLINK("http://141.218.60.56/~jnz1568/getInfo.php?workbook=08_06.xlsx&amp;sheet=E0&amp;row=10&amp;col=12&amp;number=122708.266399&amp;sourceID=4","122708.266399")</f>
        <v>122708.266399</v>
      </c>
    </row>
    <row r="11" spans="1:12">
      <c r="A11" s="3">
        <v>8</v>
      </c>
      <c r="B11" s="3">
        <v>6</v>
      </c>
      <c r="C11" s="3">
        <v>8</v>
      </c>
      <c r="D11" s="3" t="s">
        <v>18</v>
      </c>
      <c r="E11" s="3" t="s">
        <v>20</v>
      </c>
      <c r="F11" s="3">
        <v>3</v>
      </c>
      <c r="G11" s="3">
        <v>2</v>
      </c>
      <c r="H11" s="3">
        <v>1</v>
      </c>
      <c r="I11" s="3">
        <v>2</v>
      </c>
      <c r="J11" s="4" t="str">
        <f>HYPERLINK("http://141.218.60.56/~jnz1568/getInfo.php?workbook=08_06.xlsx&amp;sheet=E0&amp;row=11&amp;col=10&amp;number=120053.391521&amp;sourceID=2","120053.391521")</f>
        <v>120053.391521</v>
      </c>
      <c r="K11" s="4" t="str">
        <f>HYPERLINK("http://141.218.60.56/~jnz1568/getInfo.php?workbook=08_06.xlsx&amp;sheet=E0&amp;row=11&amp;col=11&amp;number=120492.195263&amp;sourceID=3","120492.195263")</f>
        <v>120492.195263</v>
      </c>
      <c r="L11" s="4" t="str">
        <f>HYPERLINK("http://141.218.60.56/~jnz1568/getInfo.php?workbook=08_06.xlsx&amp;sheet=E0&amp;row=11&amp;col=12&amp;number=122708.266399&amp;sourceID=4","122708.266399")</f>
        <v>122708.266399</v>
      </c>
    </row>
    <row r="12" spans="1:12">
      <c r="A12" s="3">
        <v>8</v>
      </c>
      <c r="B12" s="3">
        <v>6</v>
      </c>
      <c r="C12" s="3">
        <v>9</v>
      </c>
      <c r="D12" s="3" t="s">
        <v>18</v>
      </c>
      <c r="E12" s="3" t="s">
        <v>20</v>
      </c>
      <c r="F12" s="3">
        <v>3</v>
      </c>
      <c r="G12" s="3">
        <v>2</v>
      </c>
      <c r="H12" s="3">
        <v>1</v>
      </c>
      <c r="I12" s="3">
        <v>1</v>
      </c>
      <c r="J12" s="4" t="str">
        <f>HYPERLINK("http://141.218.60.56/~jnz1568/getInfo.php?workbook=08_06.xlsx&amp;sheet=E0&amp;row=12&amp;col=10&amp;number=120058.219963&amp;sourceID=2","120058.219963")</f>
        <v>120058.219963</v>
      </c>
      <c r="K12" s="4" t="str">
        <f>HYPERLINK("http://141.218.60.56/~jnz1568/getInfo.php?workbook=08_06.xlsx&amp;sheet=E0&amp;row=12&amp;col=11&amp;number=120497.695262&amp;sourceID=3","120497.695262")</f>
        <v>120497.695262</v>
      </c>
      <c r="L12" s="4" t="str">
        <f>HYPERLINK("http://141.218.60.56/~jnz1568/getInfo.php?workbook=08_06.xlsx&amp;sheet=E0&amp;row=12&amp;col=12&amp;number=122708.266399&amp;sourceID=4","122708.266399")</f>
        <v>122708.266399</v>
      </c>
    </row>
    <row r="13" spans="1:12">
      <c r="A13" s="3">
        <v>8</v>
      </c>
      <c r="B13" s="3">
        <v>6</v>
      </c>
      <c r="C13" s="3">
        <v>10</v>
      </c>
      <c r="D13" s="3" t="s">
        <v>18</v>
      </c>
      <c r="E13" s="3" t="s">
        <v>21</v>
      </c>
      <c r="F13" s="3">
        <v>3</v>
      </c>
      <c r="G13" s="3">
        <v>1</v>
      </c>
      <c r="H13" s="3">
        <v>1</v>
      </c>
      <c r="I13" s="3">
        <v>2</v>
      </c>
      <c r="J13" s="4" t="str">
        <f>HYPERLINK("http://141.218.60.56/~jnz1568/getInfo.php?workbook=08_06.xlsx&amp;sheet=E0&amp;row=13&amp;col=10&amp;number=142380.98472&amp;sourceID=2","142380.98472")</f>
        <v>142380.98472</v>
      </c>
      <c r="K13" s="4" t="str">
        <f>HYPERLINK("http://141.218.60.56/~jnz1568/getInfo.php?workbook=08_06.xlsx&amp;sheet=E0&amp;row=13&amp;col=11&amp;number=142903.294381&amp;sourceID=3","142903.294381")</f>
        <v>142903.294381</v>
      </c>
      <c r="L13" s="4" t="str">
        <f>HYPERLINK("http://141.218.60.56/~jnz1568/getInfo.php?workbook=08_06.xlsx&amp;sheet=E0&amp;row=13&amp;col=12&amp;number=148694.062754&amp;sourceID=4","148694.062754")</f>
        <v>148694.062754</v>
      </c>
    </row>
    <row r="14" spans="1:12">
      <c r="A14" s="3">
        <v>8</v>
      </c>
      <c r="B14" s="3">
        <v>6</v>
      </c>
      <c r="C14" s="3">
        <v>11</v>
      </c>
      <c r="D14" s="3" t="s">
        <v>18</v>
      </c>
      <c r="E14" s="3" t="s">
        <v>21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HYPERLINK("http://141.218.60.56/~jnz1568/getInfo.php?workbook=08_06.xlsx&amp;sheet=E0&amp;row=14&amp;col=10&amp;number=142381.752881&amp;sourceID=2","142381.752881")</f>
        <v>142381.752881</v>
      </c>
      <c r="K14" s="4" t="str">
        <f>HYPERLINK("http://141.218.60.56/~jnz1568/getInfo.php?workbook=08_06.xlsx&amp;sheet=E0&amp;row=14&amp;col=11&amp;number=142905.294381&amp;sourceID=3","142905.294381")</f>
        <v>142905.294381</v>
      </c>
      <c r="L14" s="4" t="str">
        <f>HYPERLINK("http://141.218.60.56/~jnz1568/getInfo.php?workbook=08_06.xlsx&amp;sheet=E0&amp;row=14&amp;col=12&amp;number=148694.062754&amp;sourceID=4","148694.062754")</f>
        <v>148694.062754</v>
      </c>
    </row>
    <row r="15" spans="1:12">
      <c r="A15" s="3">
        <v>8</v>
      </c>
      <c r="B15" s="3">
        <v>6</v>
      </c>
      <c r="C15" s="3">
        <v>12</v>
      </c>
      <c r="D15" s="3" t="s">
        <v>18</v>
      </c>
      <c r="E15" s="3" t="s">
        <v>21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HYPERLINK("http://141.218.60.56/~jnz1568/getInfo.php?workbook=08_06.xlsx&amp;sheet=E0&amp;row=15&amp;col=10&amp;number=142393.494774&amp;sourceID=2","142393.494774")</f>
        <v>142393.494774</v>
      </c>
      <c r="K15" s="4" t="str">
        <f>HYPERLINK("http://141.218.60.56/~jnz1568/getInfo.php?workbook=08_06.xlsx&amp;sheet=E0&amp;row=15&amp;col=11&amp;number=142919.294381&amp;sourceID=3","142919.294381")</f>
        <v>142919.294381</v>
      </c>
      <c r="L15" s="4" t="str">
        <f>HYPERLINK("http://141.218.60.56/~jnz1568/getInfo.php?workbook=08_06.xlsx&amp;sheet=E0&amp;row=15&amp;col=12&amp;number=148694.062754&amp;sourceID=4","148694.062754")</f>
        <v>148694.062754</v>
      </c>
    </row>
    <row r="16" spans="1:12">
      <c r="A16" s="3">
        <v>8</v>
      </c>
      <c r="B16" s="3">
        <v>6</v>
      </c>
      <c r="C16" s="3">
        <v>13</v>
      </c>
      <c r="D16" s="3" t="s">
        <v>18</v>
      </c>
      <c r="E16" s="3" t="s">
        <v>22</v>
      </c>
      <c r="F16" s="3">
        <v>1</v>
      </c>
      <c r="G16" s="3">
        <v>2</v>
      </c>
      <c r="H16" s="3">
        <v>1</v>
      </c>
      <c r="I16" s="3">
        <v>2</v>
      </c>
      <c r="J16" s="4" t="str">
        <f>HYPERLINK("http://141.218.60.56/~jnz1568/getInfo.php?workbook=08_06.xlsx&amp;sheet=E0&amp;row=16&amp;col=10&amp;number=187053.948562&amp;sourceID=2","187053.948562")</f>
        <v>187053.948562</v>
      </c>
      <c r="K16" s="4" t="str">
        <f>HYPERLINK("http://141.218.60.56/~jnz1568/getInfo.php?workbook=08_06.xlsx&amp;sheet=E0&amp;row=16&amp;col=11&amp;number=187666.292621&amp;sourceID=3","187666.292621")</f>
        <v>187666.292621</v>
      </c>
      <c r="L16" s="4" t="str">
        <f>HYPERLINK("http://141.218.60.56/~jnz1568/getInfo.php?workbook=08_06.xlsx&amp;sheet=E0&amp;row=16&amp;col=12&amp;number=192490.225444&amp;sourceID=4","192490.225444")</f>
        <v>192490.225444</v>
      </c>
    </row>
    <row r="17" spans="1:12">
      <c r="A17" s="3">
        <v>8</v>
      </c>
      <c r="B17" s="3">
        <v>6</v>
      </c>
      <c r="C17" s="3">
        <v>14</v>
      </c>
      <c r="D17" s="3" t="s">
        <v>18</v>
      </c>
      <c r="E17" s="3" t="s">
        <v>23</v>
      </c>
      <c r="F17" s="3">
        <v>3</v>
      </c>
      <c r="G17" s="3">
        <v>0</v>
      </c>
      <c r="H17" s="3">
        <v>1</v>
      </c>
      <c r="I17" s="3">
        <v>1</v>
      </c>
      <c r="J17" s="4" t="str">
        <f>HYPERLINK("http://141.218.60.56/~jnz1568/getInfo.php?workbook=08_06.xlsx&amp;sheet=E0&amp;row=17&amp;col=10&amp;number=197087.670284&amp;sourceID=2","197087.670284")</f>
        <v>197087.670284</v>
      </c>
      <c r="K17" s="4" t="str">
        <f>HYPERLINK("http://141.218.60.56/~jnz1568/getInfo.php?workbook=08_06.xlsx&amp;sheet=E0&amp;row=17&amp;col=11&amp;number=197581.192232&amp;sourceID=3","197581.192232")</f>
        <v>197581.192232</v>
      </c>
      <c r="L17" s="4" t="str">
        <f>HYPERLINK("http://141.218.60.56/~jnz1568/getInfo.php?workbook=08_06.xlsx&amp;sheet=E0&amp;row=17&amp;col=12&amp;number=201554.527719&amp;sourceID=4","201554.527719")</f>
        <v>201554.527719</v>
      </c>
    </row>
    <row r="18" spans="1:12">
      <c r="A18" s="3">
        <v>8</v>
      </c>
      <c r="B18" s="3">
        <v>6</v>
      </c>
      <c r="C18" s="3">
        <v>15</v>
      </c>
      <c r="D18" s="3" t="s">
        <v>18</v>
      </c>
      <c r="E18" s="3" t="s">
        <v>24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HYPERLINK("http://141.218.60.56/~jnz1568/getInfo.php?workbook=08_06.xlsx&amp;sheet=E0&amp;row=18&amp;col=10&amp;number=210461.795896&amp;sourceID=2","210461.795896")</f>
        <v>210461.795896</v>
      </c>
      <c r="K18" s="4" t="str">
        <f>HYPERLINK("http://141.218.60.56/~jnz1568/getInfo.php?workbook=08_06.xlsx&amp;sheet=E0&amp;row=18&amp;col=11&amp;number=211184.391697&amp;sourceID=3","211184.391697")</f>
        <v>211184.391697</v>
      </c>
      <c r="L18" s="4" t="str">
        <f>HYPERLINK("http://141.218.60.56/~jnz1568/getInfo.php?workbook=08_06.xlsx&amp;sheet=E0&amp;row=18&amp;col=12&amp;number=220813.426622&amp;sourceID=4","220813.426622")</f>
        <v>220813.426622</v>
      </c>
    </row>
    <row r="19" spans="1:12">
      <c r="A19" s="3">
        <v>8</v>
      </c>
      <c r="B19" s="3">
        <v>6</v>
      </c>
      <c r="C19" s="3">
        <v>16</v>
      </c>
      <c r="D19" s="3" t="s">
        <v>25</v>
      </c>
      <c r="E19" s="3" t="s">
        <v>21</v>
      </c>
      <c r="F19" s="3">
        <v>3</v>
      </c>
      <c r="G19" s="3">
        <v>1</v>
      </c>
      <c r="H19" s="3">
        <v>1</v>
      </c>
      <c r="I19" s="3">
        <v>0</v>
      </c>
      <c r="J19" s="4" t="str">
        <f>HYPERLINK("http://141.218.60.56/~jnz1568/getInfo.php?workbook=08_06.xlsx&amp;sheet=E0&amp;row=19&amp;col=10&amp;number=267258.713955&amp;sourceID=2","267258.713955")</f>
        <v>267258.713955</v>
      </c>
      <c r="K19" s="4" t="str">
        <f>HYPERLINK("http://141.218.60.56/~jnz1568/getInfo.php?workbook=08_06.xlsx&amp;sheet=E0&amp;row=19&amp;col=11&amp;number=267841.989469&amp;sourceID=3","267841.989469")</f>
        <v>267841.989469</v>
      </c>
      <c r="L19" s="4" t="str">
        <f>HYPERLINK("http://141.218.60.56/~jnz1568/getInfo.php?workbook=08_06.xlsx&amp;sheet=E0&amp;row=19&amp;col=12&amp;number=273970.18234&amp;sourceID=4","273970.18234")</f>
        <v>273970.18234</v>
      </c>
    </row>
    <row r="20" spans="1:12">
      <c r="A20" s="3">
        <v>8</v>
      </c>
      <c r="B20" s="3">
        <v>6</v>
      </c>
      <c r="C20" s="3">
        <v>17</v>
      </c>
      <c r="D20" s="3" t="s">
        <v>25</v>
      </c>
      <c r="E20" s="3" t="s">
        <v>21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HYPERLINK("http://141.218.60.56/~jnz1568/getInfo.php?workbook=08_06.xlsx&amp;sheet=E0&amp;row=20&amp;col=10&amp;number=267377.109545&amp;sourceID=2","267377.109545")</f>
        <v>267377.109545</v>
      </c>
      <c r="K20" s="4" t="str">
        <f>HYPERLINK("http://141.218.60.56/~jnz1568/getInfo.php?workbook=08_06.xlsx&amp;sheet=E0&amp;row=20&amp;col=11&amp;number=267960.089464&amp;sourceID=3","267960.089464")</f>
        <v>267960.089464</v>
      </c>
      <c r="L20" s="4" t="str">
        <f>HYPERLINK("http://141.218.60.56/~jnz1568/getInfo.php?workbook=08_06.xlsx&amp;sheet=E0&amp;row=20&amp;col=12&amp;number=273970.18234&amp;sourceID=4","273970.18234")</f>
        <v>273970.18234</v>
      </c>
    </row>
    <row r="21" spans="1:12">
      <c r="A21" s="3">
        <v>8</v>
      </c>
      <c r="B21" s="3">
        <v>6</v>
      </c>
      <c r="C21" s="3">
        <v>18</v>
      </c>
      <c r="D21" s="3" t="s">
        <v>25</v>
      </c>
      <c r="E21" s="3" t="s">
        <v>21</v>
      </c>
      <c r="F21" s="3">
        <v>3</v>
      </c>
      <c r="G21" s="3">
        <v>1</v>
      </c>
      <c r="H21" s="3">
        <v>1</v>
      </c>
      <c r="I21" s="3">
        <v>2</v>
      </c>
      <c r="J21" s="4" t="str">
        <f>HYPERLINK("http://141.218.60.56/~jnz1568/getInfo.php?workbook=08_06.xlsx&amp;sheet=E0&amp;row=21&amp;col=10&amp;number=267634.004601&amp;sourceID=2","267634.004601")</f>
        <v>267634.004601</v>
      </c>
      <c r="K21" s="4" t="str">
        <f>HYPERLINK("http://141.218.60.56/~jnz1568/getInfo.php?workbook=08_06.xlsx&amp;sheet=E0&amp;row=21&amp;col=11&amp;number=268215.989454&amp;sourceID=3","268215.989454")</f>
        <v>268215.989454</v>
      </c>
      <c r="L21" s="4" t="str">
        <f>HYPERLINK("http://141.218.60.56/~jnz1568/getInfo.php?workbook=08_06.xlsx&amp;sheet=E0&amp;row=21&amp;col=12&amp;number=273970.18234&amp;sourceID=4","273970.18234")</f>
        <v>273970.18234</v>
      </c>
    </row>
    <row r="22" spans="1:12">
      <c r="A22" s="3">
        <v>8</v>
      </c>
      <c r="B22" s="3">
        <v>6</v>
      </c>
      <c r="C22" s="3">
        <v>19</v>
      </c>
      <c r="D22" s="3" t="s">
        <v>25</v>
      </c>
      <c r="E22" s="3" t="s">
        <v>24</v>
      </c>
      <c r="F22" s="3">
        <v>1</v>
      </c>
      <c r="G22" s="3">
        <v>1</v>
      </c>
      <c r="H22" s="3">
        <v>1</v>
      </c>
      <c r="I22" s="3">
        <v>1</v>
      </c>
      <c r="J22" s="4" t="str">
        <f>HYPERLINK("http://141.218.60.56/~jnz1568/getInfo.php?workbook=08_06.xlsx&amp;sheet=E0&amp;row=22&amp;col=10&amp;number=273081.332031&amp;sourceID=2","273081.332031")</f>
        <v>273081.332031</v>
      </c>
      <c r="K22" s="4" t="str">
        <f>HYPERLINK("http://141.218.60.56/~jnz1568/getInfo.php?workbook=08_06.xlsx&amp;sheet=E0&amp;row=22&amp;col=11&amp;number=273720.189238&amp;sourceID=3","273720.189238")</f>
        <v>273720.189238</v>
      </c>
      <c r="L22" s="4" t="str">
        <f>HYPERLINK("http://141.218.60.56/~jnz1568/getInfo.php?workbook=08_06.xlsx&amp;sheet=E0&amp;row=22&amp;col=12&amp;number=281651.794438&amp;sourceID=4","281651.794438")</f>
        <v>281651.794438</v>
      </c>
    </row>
    <row r="23" spans="1:12">
      <c r="A23" s="3">
        <v>8</v>
      </c>
      <c r="B23" s="3">
        <v>6</v>
      </c>
      <c r="C23" s="3">
        <v>20</v>
      </c>
      <c r="D23" s="3" t="s">
        <v>26</v>
      </c>
      <c r="E23" s="3" t="s">
        <v>15</v>
      </c>
      <c r="F23" s="3">
        <v>3</v>
      </c>
      <c r="G23" s="3">
        <v>1</v>
      </c>
      <c r="H23" s="3">
        <v>0</v>
      </c>
      <c r="I23" s="3">
        <v>2</v>
      </c>
      <c r="J23" s="4" t="str">
        <f>HYPERLINK("http://141.218.60.56/~jnz1568/getInfo.php?workbook=08_06.xlsx&amp;sheet=E0&amp;row=23&amp;col=10&amp;number=283759.69464&amp;sourceID=2","283759.69464")</f>
        <v>283759.69464</v>
      </c>
      <c r="K23" s="4" t="str">
        <f>HYPERLINK("http://141.218.60.56/~jnz1568/getInfo.php?workbook=08_06.xlsx&amp;sheet=E0&amp;row=23&amp;col=11&amp;number=284695.488806&amp;sourceID=3","284695.488806")</f>
        <v>284695.488806</v>
      </c>
      <c r="L23" s="4" t="str">
        <f>HYPERLINK("http://141.218.60.56/~jnz1568/getInfo.php?workbook=08_06.xlsx&amp;sheet=E0&amp;row=23&amp;col=12&amp;number=291264.783292&amp;sourceID=4","291264.783292")</f>
        <v>291264.783292</v>
      </c>
    </row>
    <row r="24" spans="1:12">
      <c r="A24" s="3">
        <v>8</v>
      </c>
      <c r="B24" s="3">
        <v>6</v>
      </c>
      <c r="C24" s="3">
        <v>21</v>
      </c>
      <c r="D24" s="3" t="s">
        <v>26</v>
      </c>
      <c r="E24" s="3" t="s">
        <v>15</v>
      </c>
      <c r="F24" s="3">
        <v>3</v>
      </c>
      <c r="G24" s="3">
        <v>1</v>
      </c>
      <c r="H24" s="3">
        <v>0</v>
      </c>
      <c r="I24" s="3">
        <v>1</v>
      </c>
      <c r="J24" s="4" t="str">
        <f>HYPERLINK("http://141.218.60.56/~jnz1568/getInfo.php?workbook=08_06.xlsx&amp;sheet=E0&amp;row=24&amp;col=10&amp;number=283977.402501&amp;sourceID=2","283977.402501")</f>
        <v>283977.402501</v>
      </c>
      <c r="K24" s="4" t="str">
        <f>HYPERLINK("http://141.218.60.56/~jnz1568/getInfo.php?workbook=08_06.xlsx&amp;sheet=E0&amp;row=24&amp;col=11&amp;number=284911.488798&amp;sourceID=3","284911.488798")</f>
        <v>284911.488798</v>
      </c>
      <c r="L24" s="4" t="str">
        <f>HYPERLINK("http://141.218.60.56/~jnz1568/getInfo.php?workbook=08_06.xlsx&amp;sheet=E0&amp;row=24&amp;col=12&amp;number=291264.783292&amp;sourceID=4","291264.783292")</f>
        <v>291264.783292</v>
      </c>
    </row>
    <row r="25" spans="1:12">
      <c r="A25" s="3">
        <v>8</v>
      </c>
      <c r="B25" s="3">
        <v>6</v>
      </c>
      <c r="C25" s="3">
        <v>22</v>
      </c>
      <c r="D25" s="3" t="s">
        <v>26</v>
      </c>
      <c r="E25" s="3" t="s">
        <v>15</v>
      </c>
      <c r="F25" s="3">
        <v>3</v>
      </c>
      <c r="G25" s="3">
        <v>1</v>
      </c>
      <c r="H25" s="3">
        <v>0</v>
      </c>
      <c r="I25" s="3">
        <v>0</v>
      </c>
      <c r="J25" s="4" t="str">
        <f>HYPERLINK("http://141.218.60.56/~jnz1568/getInfo.php?workbook=08_06.xlsx&amp;sheet=E0&amp;row=25&amp;col=10&amp;number=284071.897303&amp;sourceID=2","284071.897303")</f>
        <v>284071.897303</v>
      </c>
      <c r="K25" s="4" t="str">
        <f>HYPERLINK("http://141.218.60.56/~jnz1568/getInfo.php?workbook=08_06.xlsx&amp;sheet=E0&amp;row=25&amp;col=11&amp;number=285005.588794&amp;sourceID=3","285005.588794")</f>
        <v>285005.588794</v>
      </c>
      <c r="L25" s="4" t="str">
        <f>HYPERLINK("http://141.218.60.56/~jnz1568/getInfo.php?workbook=08_06.xlsx&amp;sheet=E0&amp;row=25&amp;col=12&amp;number=291264.783292&amp;sourceID=4","291264.783292")</f>
        <v>291264.783292</v>
      </c>
    </row>
    <row r="26" spans="1:12">
      <c r="A26" s="3">
        <v>8</v>
      </c>
      <c r="B26" s="3">
        <v>6</v>
      </c>
      <c r="C26" s="3">
        <v>23</v>
      </c>
      <c r="D26" s="3" t="s">
        <v>27</v>
      </c>
      <c r="E26" s="3" t="s">
        <v>28</v>
      </c>
      <c r="F26" s="3">
        <v>1</v>
      </c>
      <c r="G26" s="3">
        <v>1</v>
      </c>
      <c r="H26" s="3">
        <v>0</v>
      </c>
      <c r="I26" s="3">
        <v>1</v>
      </c>
      <c r="J26" s="4" t="str">
        <f>HYPERLINK("http://141.218.60.56/~jnz1568/getInfo.php?workbook=08_06.xlsx&amp;sheet=E0&amp;row=26&amp;col=10&amp;number=290958.254048&amp;sourceID=2","290958.254048")</f>
        <v>290958.254048</v>
      </c>
      <c r="K26" s="4" t="str">
        <f>HYPERLINK("http://141.218.60.56/~jnz1568/getInfo.php?workbook=08_06.xlsx&amp;sheet=E0&amp;row=26&amp;col=11&amp;number=291672.588532&amp;sourceID=3","291672.588532")</f>
        <v>291672.588532</v>
      </c>
      <c r="L26" s="4" t="str">
        <f>HYPERLINK("http://141.218.60.56/~jnz1568/getInfo.php?workbook=08_06.xlsx&amp;sheet=E0&amp;row=26&amp;col=12&amp;number=298090.444328&amp;sourceID=4","298090.444328")</f>
        <v>298090.444328</v>
      </c>
    </row>
    <row r="27" spans="1:12">
      <c r="A27" s="3">
        <v>8</v>
      </c>
      <c r="B27" s="3">
        <v>6</v>
      </c>
      <c r="C27" s="3">
        <v>24</v>
      </c>
      <c r="D27" s="3" t="s">
        <v>27</v>
      </c>
      <c r="E27" s="3" t="s">
        <v>29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HYPERLINK("http://141.218.60.56/~jnz1568/getInfo.php?workbook=08_06.xlsx&amp;sheet=E0&amp;row=27&amp;col=10&amp;number=293866.490441&amp;sourceID=2","293866.490441")</f>
        <v>293866.490441</v>
      </c>
      <c r="K27" s="4" t="str">
        <f>HYPERLINK("http://141.218.60.56/~jnz1568/getInfo.php?workbook=08_06.xlsx&amp;sheet=E0&amp;row=27&amp;col=11&amp;number=294577.388418&amp;sourceID=3","294577.388418")</f>
        <v>294577.388418</v>
      </c>
      <c r="L27" s="4" t="str">
        <f>HYPERLINK("http://141.218.60.56/~jnz1568/getInfo.php?workbook=08_06.xlsx&amp;sheet=E0&amp;row=27&amp;col=12&amp;number=301909.302914&amp;sourceID=4","301909.302914")</f>
        <v>301909.302914</v>
      </c>
    </row>
    <row r="28" spans="1:12">
      <c r="A28" s="3">
        <v>8</v>
      </c>
      <c r="B28" s="3">
        <v>6</v>
      </c>
      <c r="C28" s="3">
        <v>25</v>
      </c>
      <c r="D28" s="3" t="s">
        <v>27</v>
      </c>
      <c r="E28" s="3" t="s">
        <v>29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HYPERLINK("http://141.218.60.56/~jnz1568/getInfo.php?workbook=08_06.xlsx&amp;sheet=E0&amp;row=28&amp;col=10&amp;number=294002.861003&amp;sourceID=2","294002.861003")</f>
        <v>294002.861003</v>
      </c>
      <c r="K28" s="4" t="str">
        <f>HYPERLINK("http://141.218.60.56/~jnz1568/getInfo.php?workbook=08_06.xlsx&amp;sheet=E0&amp;row=28&amp;col=11&amp;number=294712.788413&amp;sourceID=3","294712.788413")</f>
        <v>294712.788413</v>
      </c>
      <c r="L28" s="4" t="str">
        <f>HYPERLINK("http://141.218.60.56/~jnz1568/getInfo.php?workbook=08_06.xlsx&amp;sheet=E0&amp;row=28&amp;col=12&amp;number=301909.302914&amp;sourceID=4","301909.302914")</f>
        <v>301909.302914</v>
      </c>
    </row>
    <row r="29" spans="1:12">
      <c r="A29" s="3">
        <v>8</v>
      </c>
      <c r="B29" s="3">
        <v>6</v>
      </c>
      <c r="C29" s="3">
        <v>26</v>
      </c>
      <c r="D29" s="3" t="s">
        <v>27</v>
      </c>
      <c r="E29" s="3" t="s">
        <v>29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HYPERLINK("http://141.218.60.56/~jnz1568/getInfo.php?workbook=08_06.xlsx&amp;sheet=E0&amp;row=29&amp;col=10&amp;number=294223.070875&amp;sourceID=2","294223.070875")</f>
        <v>294223.070875</v>
      </c>
      <c r="K29" s="4" t="str">
        <f>HYPERLINK("http://141.218.60.56/~jnz1568/getInfo.php?workbook=08_06.xlsx&amp;sheet=E0&amp;row=29&amp;col=11&amp;number=294931.588404&amp;sourceID=3","294931.588404")</f>
        <v>294931.588404</v>
      </c>
      <c r="L29" s="4" t="str">
        <f>HYPERLINK("http://141.218.60.56/~jnz1568/getInfo.php?workbook=08_06.xlsx&amp;sheet=E0&amp;row=29&amp;col=12&amp;number=301909.302914&amp;sourceID=4","301909.302914")</f>
        <v>301909.302914</v>
      </c>
    </row>
    <row r="30" spans="1:12">
      <c r="A30" s="3">
        <v>8</v>
      </c>
      <c r="B30" s="3">
        <v>6</v>
      </c>
      <c r="C30" s="3">
        <v>27</v>
      </c>
      <c r="D30" s="3" t="s">
        <v>27</v>
      </c>
      <c r="E30" s="3" t="s">
        <v>30</v>
      </c>
      <c r="F30" s="3">
        <v>3</v>
      </c>
      <c r="G30" s="3">
        <v>0</v>
      </c>
      <c r="H30" s="3">
        <v>0</v>
      </c>
      <c r="I30" s="3">
        <v>1</v>
      </c>
      <c r="J30" s="4" t="str">
        <f>HYPERLINK("http://141.218.60.56/~jnz1568/getInfo.php?workbook=08_06.xlsx&amp;sheet=E0&amp;row=30&amp;col=10&amp;number=297558.657296&amp;sourceID=2","297558.657296")</f>
        <v>297558.657296</v>
      </c>
      <c r="K30" s="4" t="str">
        <f>HYPERLINK("http://141.218.60.56/~jnz1568/getInfo.php?workbook=08_06.xlsx&amp;sheet=E0&amp;row=30&amp;col=11&amp;number=298229.388274&amp;sourceID=3","298229.388274")</f>
        <v>298229.388274</v>
      </c>
      <c r="L30" s="4" t="str">
        <f>HYPERLINK("http://141.218.60.56/~jnz1568/getInfo.php?workbook=08_06.xlsx&amp;sheet=E0&amp;row=30&amp;col=12&amp;number=304905.131632&amp;sourceID=4","304905.131632")</f>
        <v>304905.131632</v>
      </c>
    </row>
    <row r="31" spans="1:12">
      <c r="A31" s="3">
        <v>8</v>
      </c>
      <c r="B31" s="3">
        <v>6</v>
      </c>
      <c r="C31" s="3">
        <v>28</v>
      </c>
      <c r="D31" s="3" t="s">
        <v>26</v>
      </c>
      <c r="E31" s="3" t="s">
        <v>16</v>
      </c>
      <c r="F31" s="3">
        <v>1</v>
      </c>
      <c r="G31" s="3">
        <v>2</v>
      </c>
      <c r="H31" s="3">
        <v>0</v>
      </c>
      <c r="I31" s="3">
        <v>2</v>
      </c>
      <c r="J31" s="4" t="str">
        <f>HYPERLINK("http://141.218.60.56/~jnz1568/getInfo.php?workbook=08_06.xlsx&amp;sheet=E0&amp;row=31&amp;col=10&amp;number=298294.007048&amp;sourceID=2","298294.007048")</f>
        <v>298294.007048</v>
      </c>
      <c r="K31" s="4" t="str">
        <f>HYPERLINK("http://141.218.60.56/~jnz1568/getInfo.php?workbook=08_06.xlsx&amp;sheet=E0&amp;row=31&amp;col=11&amp;number=299391.588229&amp;sourceID=3","299391.588229")</f>
        <v>299391.588229</v>
      </c>
      <c r="L31" s="4" t="str">
        <f>HYPERLINK("http://141.218.60.56/~jnz1568/getInfo.php?workbook=08_06.xlsx&amp;sheet=E0&amp;row=31&amp;col=12&amp;number=306496.322709&amp;sourceID=4","306496.322709")</f>
        <v>306496.322709</v>
      </c>
    </row>
    <row r="32" spans="1:12">
      <c r="A32" s="3">
        <v>8</v>
      </c>
      <c r="B32" s="3">
        <v>6</v>
      </c>
      <c r="C32" s="3">
        <v>29</v>
      </c>
      <c r="D32" s="3" t="s">
        <v>27</v>
      </c>
      <c r="E32" s="3" t="s">
        <v>15</v>
      </c>
      <c r="F32" s="3">
        <v>3</v>
      </c>
      <c r="G32" s="3">
        <v>1</v>
      </c>
      <c r="H32" s="3">
        <v>0</v>
      </c>
      <c r="I32" s="3">
        <v>0</v>
      </c>
      <c r="J32" s="4" t="str">
        <f>HYPERLINK("http://141.218.60.56/~jnz1568/getInfo.php?workbook=08_06.xlsx&amp;sheet=E0&amp;row=32&amp;col=10&amp;number=300229.926929&amp;sourceID=2","300229.926929")</f>
        <v>300229.926929</v>
      </c>
      <c r="K32" s="4" t="str">
        <f>HYPERLINK("http://141.218.60.56/~jnz1568/getInfo.php?workbook=08_06.xlsx&amp;sheet=E0&amp;row=32&amp;col=11&amp;number=300907.188169&amp;sourceID=3","300907.188169")</f>
        <v>300907.188169</v>
      </c>
      <c r="L32" s="4" t="str">
        <f>HYPERLINK("http://141.218.60.56/~jnz1568/getInfo.php?workbook=08_06.xlsx&amp;sheet=E0&amp;row=32&amp;col=12&amp;number=308910.543654&amp;sourceID=4","308910.543654")</f>
        <v>308910.543654</v>
      </c>
    </row>
    <row r="33" spans="1:12">
      <c r="A33" s="3">
        <v>8</v>
      </c>
      <c r="B33" s="3">
        <v>6</v>
      </c>
      <c r="C33" s="3">
        <v>30</v>
      </c>
      <c r="D33" s="3" t="s">
        <v>27</v>
      </c>
      <c r="E33" s="3" t="s">
        <v>15</v>
      </c>
      <c r="F33" s="3">
        <v>3</v>
      </c>
      <c r="G33" s="3">
        <v>1</v>
      </c>
      <c r="H33" s="3">
        <v>0</v>
      </c>
      <c r="I33" s="3">
        <v>1</v>
      </c>
      <c r="J33" s="4" t="str">
        <f>HYPERLINK("http://141.218.60.56/~jnz1568/getInfo.php?workbook=08_06.xlsx&amp;sheet=E0&amp;row=33&amp;col=10&amp;number=300311.955573&amp;sourceID=2","300311.955573")</f>
        <v>300311.955573</v>
      </c>
      <c r="K33" s="4" t="str">
        <f>HYPERLINK("http://141.218.60.56/~jnz1568/getInfo.php?workbook=08_06.xlsx&amp;sheet=E0&amp;row=33&amp;col=11&amp;number=300988.688166&amp;sourceID=3","300988.688166")</f>
        <v>300988.688166</v>
      </c>
      <c r="L33" s="4" t="str">
        <f>HYPERLINK("http://141.218.60.56/~jnz1568/getInfo.php?workbook=08_06.xlsx&amp;sheet=E0&amp;row=33&amp;col=12&amp;number=308910.543654&amp;sourceID=4","308910.543654")</f>
        <v>308910.543654</v>
      </c>
    </row>
    <row r="34" spans="1:12">
      <c r="A34" s="3">
        <v>8</v>
      </c>
      <c r="B34" s="3">
        <v>6</v>
      </c>
      <c r="C34" s="3">
        <v>31</v>
      </c>
      <c r="D34" s="3" t="s">
        <v>27</v>
      </c>
      <c r="E34" s="3" t="s">
        <v>15</v>
      </c>
      <c r="F34" s="3">
        <v>3</v>
      </c>
      <c r="G34" s="3">
        <v>1</v>
      </c>
      <c r="H34" s="3">
        <v>0</v>
      </c>
      <c r="I34" s="3">
        <v>2</v>
      </c>
      <c r="J34" s="4" t="str">
        <f>HYPERLINK("http://141.218.60.56/~jnz1568/getInfo.php?workbook=08_06.xlsx&amp;sheet=E0&amp;row=34&amp;col=10&amp;number=300442.553952&amp;sourceID=2","300442.553952")</f>
        <v>300442.553952</v>
      </c>
      <c r="K34" s="4" t="str">
        <f>HYPERLINK("http://141.218.60.56/~jnz1568/getInfo.php?workbook=08_06.xlsx&amp;sheet=E0&amp;row=34&amp;col=11&amp;number=301118.088161&amp;sourceID=3","301118.088161")</f>
        <v>301118.088161</v>
      </c>
      <c r="L34" s="4" t="str">
        <f>HYPERLINK("http://141.218.60.56/~jnz1568/getInfo.php?workbook=08_06.xlsx&amp;sheet=E0&amp;row=34&amp;col=12&amp;number=308910.543654&amp;sourceID=4","308910.543654")</f>
        <v>308910.543654</v>
      </c>
    </row>
    <row r="35" spans="1:12">
      <c r="A35" s="3">
        <v>8</v>
      </c>
      <c r="B35" s="3">
        <v>6</v>
      </c>
      <c r="C35" s="3">
        <v>32</v>
      </c>
      <c r="D35" s="3" t="s">
        <v>27</v>
      </c>
      <c r="E35" s="3" t="s">
        <v>16</v>
      </c>
      <c r="F35" s="3">
        <v>1</v>
      </c>
      <c r="G35" s="3">
        <v>2</v>
      </c>
      <c r="H35" s="3">
        <v>0</v>
      </c>
      <c r="I35" s="3">
        <v>2</v>
      </c>
      <c r="J35" s="4" t="str">
        <f>HYPERLINK("http://141.218.60.56/~jnz1568/getInfo.php?workbook=08_06.xlsx&amp;sheet=E0&amp;row=35&amp;col=10&amp;number=306586.07686&amp;sourceID=2","306586.07686")</f>
        <v>306586.07686</v>
      </c>
      <c r="K35" s="4" t="str">
        <f>HYPERLINK("http://141.218.60.56/~jnz1568/getInfo.php?workbook=08_06.xlsx&amp;sheet=E0&amp;row=35&amp;col=11&amp;number=307321.987917&amp;sourceID=3","307321.987917")</f>
        <v>307321.987917</v>
      </c>
      <c r="L35" s="4" t="str">
        <f>HYPERLINK("http://141.218.60.56/~jnz1568/getInfo.php?workbook=08_06.xlsx&amp;sheet=E0&amp;row=35&amp;col=12&amp;number=316734.814263&amp;sourceID=4","316734.814263")</f>
        <v>316734.814263</v>
      </c>
    </row>
    <row r="36" spans="1:12">
      <c r="A36" s="3">
        <v>8</v>
      </c>
      <c r="B36" s="3">
        <v>6</v>
      </c>
      <c r="C36" s="3">
        <v>33</v>
      </c>
      <c r="D36" s="3" t="s">
        <v>27</v>
      </c>
      <c r="E36" s="3" t="s">
        <v>17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HYPERLINK("http://141.218.60.56/~jnz1568/getInfo.php?workbook=08_06.xlsx&amp;sheet=E0&amp;row=36&amp;col=10&amp;number=313802.764872&amp;sourceID=2","313802.764872")</f>
        <v>313802.764872</v>
      </c>
      <c r="K36" s="4" t="str">
        <f>HYPERLINK("http://141.218.60.56/~jnz1568/getInfo.php?workbook=08_06.xlsx&amp;sheet=E0&amp;row=36&amp;col=11&amp;number=314671.387628&amp;sourceID=3","314671.387628")</f>
        <v>314671.387628</v>
      </c>
      <c r="L36" s="4" t="str">
        <f>HYPERLINK("http://141.218.60.56/~jnz1568/getInfo.php?workbook=08_06.xlsx&amp;sheet=E0&amp;row=36&amp;col=12&amp;number=324361.557703&amp;sourceID=4","324361.557703")</f>
        <v>324361.557703</v>
      </c>
    </row>
    <row r="37" spans="1:12">
      <c r="A37" s="3">
        <v>8</v>
      </c>
      <c r="B37" s="3">
        <v>6</v>
      </c>
      <c r="C37" s="3">
        <v>34</v>
      </c>
      <c r="D37" s="3" t="s">
        <v>31</v>
      </c>
      <c r="E37" s="3" t="s">
        <v>32</v>
      </c>
      <c r="F37" s="3">
        <v>3</v>
      </c>
      <c r="G37" s="3">
        <v>3</v>
      </c>
      <c r="H37" s="3">
        <v>1</v>
      </c>
      <c r="I37" s="3">
        <v>2</v>
      </c>
      <c r="J37" s="4" t="str">
        <f>HYPERLINK("http://141.218.60.56/~jnz1568/getInfo.php?workbook=08_06.xlsx&amp;sheet=E0&amp;row=37&amp;col=10&amp;number=324464.875386&amp;sourceID=2","324464.875386")</f>
        <v>324464.875386</v>
      </c>
      <c r="K37" s="4" t="str">
        <f>HYPERLINK("http://141.218.60.56/~jnz1568/getInfo.php?workbook=08_06.xlsx&amp;sheet=E0&amp;row=37&amp;col=11&amp;number=325112.587217&amp;sourceID=3","325112.587217")</f>
        <v>325112.587217</v>
      </c>
      <c r="L37" s="4" t="str">
        <f>HYPERLINK("http://141.218.60.56/~jnz1568/getInfo.php?workbook=08_06.xlsx&amp;sheet=E0&amp;row=37&amp;col=12&amp;number=329420.447956&amp;sourceID=4","329420.447956")</f>
        <v>329420.447956</v>
      </c>
    </row>
    <row r="38" spans="1:12">
      <c r="A38" s="3">
        <v>8</v>
      </c>
      <c r="B38" s="3">
        <v>6</v>
      </c>
      <c r="C38" s="3">
        <v>35</v>
      </c>
      <c r="D38" s="3" t="s">
        <v>31</v>
      </c>
      <c r="E38" s="3" t="s">
        <v>32</v>
      </c>
      <c r="F38" s="3">
        <v>3</v>
      </c>
      <c r="G38" s="3">
        <v>3</v>
      </c>
      <c r="H38" s="3">
        <v>1</v>
      </c>
      <c r="I38" s="3">
        <v>3</v>
      </c>
      <c r="J38" s="4" t="str">
        <f>HYPERLINK("http://141.218.60.56/~jnz1568/getInfo.php?workbook=08_06.xlsx&amp;sheet=E0&amp;row=38&amp;col=10&amp;number=324660.800389&amp;sourceID=2","324660.800389")</f>
        <v>324660.800389</v>
      </c>
      <c r="K38" s="4" t="str">
        <f>HYPERLINK("http://141.218.60.56/~jnz1568/getInfo.php?workbook=08_06.xlsx&amp;sheet=E0&amp;row=38&amp;col=11&amp;number=325312.787209&amp;sourceID=3","325312.787209")</f>
        <v>325312.787209</v>
      </c>
      <c r="L38" s="4" t="str">
        <f>HYPERLINK("http://141.218.60.56/~jnz1568/getInfo.php?workbook=08_06.xlsx&amp;sheet=E0&amp;row=38&amp;col=12&amp;number=329420.447956&amp;sourceID=4","329420.447956")</f>
        <v>329420.447956</v>
      </c>
    </row>
    <row r="39" spans="1:12">
      <c r="A39" s="3">
        <v>8</v>
      </c>
      <c r="B39" s="3">
        <v>6</v>
      </c>
      <c r="C39" s="3">
        <v>36</v>
      </c>
      <c r="D39" s="3" t="s">
        <v>31</v>
      </c>
      <c r="E39" s="3" t="s">
        <v>32</v>
      </c>
      <c r="F39" s="3">
        <v>3</v>
      </c>
      <c r="G39" s="3">
        <v>3</v>
      </c>
      <c r="H39" s="3">
        <v>1</v>
      </c>
      <c r="I39" s="3">
        <v>4</v>
      </c>
      <c r="J39" s="4" t="str">
        <f>HYPERLINK("http://141.218.60.56/~jnz1568/getInfo.php?workbook=08_06.xlsx&amp;sheet=E0&amp;row=39&amp;col=10&amp;number=324839.024763&amp;sourceID=2","324839.024763")</f>
        <v>324839.024763</v>
      </c>
      <c r="K39" s="4" t="str">
        <f>HYPERLINK("http://141.218.60.56/~jnz1568/getInfo.php?workbook=08_06.xlsx&amp;sheet=E0&amp;row=39&amp;col=11&amp;number=325490.687202&amp;sourceID=3","325490.687202")</f>
        <v>325490.687202</v>
      </c>
      <c r="L39" s="4" t="str">
        <f>HYPERLINK("http://141.218.60.56/~jnz1568/getInfo.php?workbook=08_06.xlsx&amp;sheet=E0&amp;row=39&amp;col=12&amp;number=329420.447956&amp;sourceID=4","329420.447956")</f>
        <v>329420.447956</v>
      </c>
    </row>
    <row r="40" spans="1:12">
      <c r="A40" s="3">
        <v>8</v>
      </c>
      <c r="B40" s="3">
        <v>6</v>
      </c>
      <c r="C40" s="3">
        <v>37</v>
      </c>
      <c r="D40" s="3" t="s">
        <v>31</v>
      </c>
      <c r="E40" s="3" t="s">
        <v>22</v>
      </c>
      <c r="F40" s="3">
        <v>1</v>
      </c>
      <c r="G40" s="3">
        <v>2</v>
      </c>
      <c r="H40" s="3">
        <v>1</v>
      </c>
      <c r="I40" s="3">
        <v>2</v>
      </c>
      <c r="J40" s="4" t="str">
        <f>HYPERLINK("http://141.218.60.56/~jnz1568/getInfo.php?workbook=08_06.xlsx&amp;sheet=E0&amp;row=40&amp;col=10&amp;number=324735.652212&amp;sourceID=2","324735.652212")</f>
        <v>324735.652212</v>
      </c>
      <c r="K40" s="4" t="str">
        <f>HYPERLINK("http://141.218.60.56/~jnz1568/getInfo.php?workbook=08_06.xlsx&amp;sheet=E0&amp;row=40&amp;col=11&amp;number=325374.587207&amp;sourceID=3","325374.587207")</f>
        <v>325374.587207</v>
      </c>
      <c r="L40" s="4" t="str">
        <f>HYPERLINK("http://141.218.60.56/~jnz1568/getInfo.php?workbook=08_06.xlsx&amp;sheet=E0&amp;row=40&amp;col=12&amp;number=329596.027661&amp;sourceID=4","329596.027661")</f>
        <v>329596.027661</v>
      </c>
    </row>
    <row r="41" spans="1:12">
      <c r="A41" s="3">
        <v>8</v>
      </c>
      <c r="B41" s="3">
        <v>6</v>
      </c>
      <c r="C41" s="3">
        <v>38</v>
      </c>
      <c r="D41" s="3" t="s">
        <v>31</v>
      </c>
      <c r="E41" s="3" t="s">
        <v>20</v>
      </c>
      <c r="F41" s="3">
        <v>3</v>
      </c>
      <c r="G41" s="3">
        <v>2</v>
      </c>
      <c r="H41" s="3">
        <v>1</v>
      </c>
      <c r="I41" s="3">
        <v>1</v>
      </c>
      <c r="J41" s="4" t="str">
        <f>HYPERLINK("http://141.218.60.56/~jnz1568/getInfo.php?workbook=08_06.xlsx&amp;sheet=E0&amp;row=41&amp;col=10&amp;number=327229.246158&amp;sourceID=2","327229.246158")</f>
        <v>327229.246158</v>
      </c>
      <c r="K41" s="4" t="str">
        <f>HYPERLINK("http://141.218.60.56/~jnz1568/getInfo.php?workbook=08_06.xlsx&amp;sheet=E0&amp;row=41&amp;col=11&amp;number=327828.087111&amp;sourceID=3","327828.087111")</f>
        <v>327828.087111</v>
      </c>
      <c r="L41" s="4" t="str">
        <f>HYPERLINK("http://141.218.60.56/~jnz1568/getInfo.php?workbook=08_06.xlsx&amp;sheet=E0&amp;row=41&amp;col=12&amp;number=332910.094595&amp;sourceID=4","332910.094595")</f>
        <v>332910.094595</v>
      </c>
    </row>
    <row r="42" spans="1:12">
      <c r="A42" s="3">
        <v>8</v>
      </c>
      <c r="B42" s="3">
        <v>6</v>
      </c>
      <c r="C42" s="3">
        <v>39</v>
      </c>
      <c r="D42" s="3" t="s">
        <v>31</v>
      </c>
      <c r="E42" s="3" t="s">
        <v>20</v>
      </c>
      <c r="F42" s="3">
        <v>3</v>
      </c>
      <c r="G42" s="3">
        <v>2</v>
      </c>
      <c r="H42" s="3">
        <v>1</v>
      </c>
      <c r="I42" s="3">
        <v>2</v>
      </c>
      <c r="J42" s="4" t="str">
        <f>HYPERLINK("http://141.218.60.56/~jnz1568/getInfo.php?workbook=08_06.xlsx&amp;sheet=E0&amp;row=42&amp;col=10&amp;number=327278.298738&amp;sourceID=2","327278.298738")</f>
        <v>327278.298738</v>
      </c>
      <c r="K42" s="4" t="str">
        <f>HYPERLINK("http://141.218.60.56/~jnz1568/getInfo.php?workbook=08_06.xlsx&amp;sheet=E0&amp;row=42&amp;col=11&amp;number=327876.987109&amp;sourceID=3","327876.987109")</f>
        <v>327876.987109</v>
      </c>
      <c r="L42" s="4" t="str">
        <f>HYPERLINK("http://141.218.60.56/~jnz1568/getInfo.php?workbook=08_06.xlsx&amp;sheet=E0&amp;row=42&amp;col=12&amp;number=332910.094595&amp;sourceID=4","332910.094595")</f>
        <v>332910.094595</v>
      </c>
    </row>
    <row r="43" spans="1:12">
      <c r="A43" s="3">
        <v>8</v>
      </c>
      <c r="B43" s="3">
        <v>6</v>
      </c>
      <c r="C43" s="3">
        <v>40</v>
      </c>
      <c r="D43" s="3" t="s">
        <v>31</v>
      </c>
      <c r="E43" s="3" t="s">
        <v>20</v>
      </c>
      <c r="F43" s="3">
        <v>3</v>
      </c>
      <c r="G43" s="3">
        <v>2</v>
      </c>
      <c r="H43" s="3">
        <v>1</v>
      </c>
      <c r="I43" s="3">
        <v>3</v>
      </c>
      <c r="J43" s="4" t="str">
        <f>HYPERLINK("http://141.218.60.56/~jnz1568/getInfo.php?workbook=08_06.xlsx&amp;sheet=E0&amp;row=43&amp;col=10&amp;number=327352.173899&amp;sourceID=2","327352.173899")</f>
        <v>327352.173899</v>
      </c>
      <c r="K43" s="4" t="str">
        <f>HYPERLINK("http://141.218.60.56/~jnz1568/getInfo.php?workbook=08_06.xlsx&amp;sheet=E0&amp;row=43&amp;col=11&amp;number=327950.387106&amp;sourceID=3","327950.387106")</f>
        <v>327950.387106</v>
      </c>
      <c r="L43" s="4" t="str">
        <f>HYPERLINK("http://141.218.60.56/~jnz1568/getInfo.php?workbook=08_06.xlsx&amp;sheet=E0&amp;row=43&amp;col=12&amp;number=332910.094595&amp;sourceID=4","332910.094595")</f>
        <v>332910.094595</v>
      </c>
    </row>
    <row r="44" spans="1:12">
      <c r="A44" s="3">
        <v>8</v>
      </c>
      <c r="B44" s="3">
        <v>6</v>
      </c>
      <c r="C44" s="3">
        <v>41</v>
      </c>
      <c r="D44" s="3" t="s">
        <v>31</v>
      </c>
      <c r="E44" s="3" t="s">
        <v>21</v>
      </c>
      <c r="F44" s="3">
        <v>3</v>
      </c>
      <c r="G44" s="3">
        <v>1</v>
      </c>
      <c r="H44" s="3">
        <v>1</v>
      </c>
      <c r="I44" s="3">
        <v>2</v>
      </c>
      <c r="J44" s="4" t="str">
        <f>HYPERLINK("http://141.218.60.56/~jnz1568/getInfo.php?workbook=08_06.xlsx&amp;sheet=E0&amp;row=44&amp;col=10&amp;number=329469.796827&amp;sourceID=2","329469.796827")</f>
        <v>329469.796827</v>
      </c>
      <c r="K44" s="4" t="str">
        <f>HYPERLINK("http://141.218.60.56/~jnz1568/getInfo.php?workbook=08_06.xlsx&amp;sheet=E0&amp;row=44&amp;col=11&amp;number=330077.887022&amp;sourceID=3","330077.887022")</f>
        <v>330077.887022</v>
      </c>
      <c r="L44" s="4" t="str">
        <f>HYPERLINK("http://141.218.60.56/~jnz1568/getInfo.php?workbook=08_06.xlsx&amp;sheet=E0&amp;row=44&amp;col=12&amp;number=335807.159729&amp;sourceID=4","335807.159729")</f>
        <v>335807.159729</v>
      </c>
    </row>
    <row r="45" spans="1:12">
      <c r="A45" s="3">
        <v>8</v>
      </c>
      <c r="B45" s="3">
        <v>6</v>
      </c>
      <c r="C45" s="3">
        <v>42</v>
      </c>
      <c r="D45" s="3" t="s">
        <v>31</v>
      </c>
      <c r="E45" s="3" t="s">
        <v>21</v>
      </c>
      <c r="F45" s="3">
        <v>3</v>
      </c>
      <c r="G45" s="3">
        <v>1</v>
      </c>
      <c r="H45" s="3">
        <v>1</v>
      </c>
      <c r="I45" s="3">
        <v>1</v>
      </c>
      <c r="J45" s="4" t="str">
        <f>HYPERLINK("http://141.218.60.56/~jnz1568/getInfo.php?workbook=08_06.xlsx&amp;sheet=E0&amp;row=45&amp;col=10&amp;number=329583.890714&amp;sourceID=2","329583.890714")</f>
        <v>329583.890714</v>
      </c>
      <c r="K45" s="4" t="str">
        <f>HYPERLINK("http://141.218.60.56/~jnz1568/getInfo.php?workbook=08_06.xlsx&amp;sheet=E0&amp;row=45&amp;col=11&amp;number=330192.187018&amp;sourceID=3","330192.187018")</f>
        <v>330192.187018</v>
      </c>
      <c r="L45" s="4" t="str">
        <f>HYPERLINK("http://141.218.60.56/~jnz1568/getInfo.php?workbook=08_06.xlsx&amp;sheet=E0&amp;row=45&amp;col=12&amp;number=335807.159729&amp;sourceID=4","335807.159729")</f>
        <v>335807.159729</v>
      </c>
    </row>
    <row r="46" spans="1:12">
      <c r="A46" s="3">
        <v>8</v>
      </c>
      <c r="B46" s="3">
        <v>6</v>
      </c>
      <c r="C46" s="3">
        <v>43</v>
      </c>
      <c r="D46" s="3" t="s">
        <v>31</v>
      </c>
      <c r="E46" s="3" t="s">
        <v>21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HYPERLINK("http://141.218.60.56/~jnz1568/getInfo.php?workbook=08_06.xlsx&amp;sheet=E0&amp;row=46&amp;col=10&amp;number=329645.13511&amp;sourceID=2","329645.13511")</f>
        <v>329645.13511</v>
      </c>
      <c r="K46" s="4" t="str">
        <f>HYPERLINK("http://141.218.60.56/~jnz1568/getInfo.php?workbook=08_06.xlsx&amp;sheet=E0&amp;row=46&amp;col=11&amp;number=330253.787015&amp;sourceID=3","330253.787015")</f>
        <v>330253.787015</v>
      </c>
      <c r="L46" s="4" t="str">
        <f>HYPERLINK("http://141.218.60.56/~jnz1568/getInfo.php?workbook=08_06.xlsx&amp;sheet=E0&amp;row=46&amp;col=12&amp;number=335807.159729&amp;sourceID=4","335807.159729")</f>
        <v>335807.159729</v>
      </c>
    </row>
    <row r="47" spans="1:12">
      <c r="A47" s="3">
        <v>8</v>
      </c>
      <c r="B47" s="3">
        <v>6</v>
      </c>
      <c r="C47" s="3">
        <v>44</v>
      </c>
      <c r="D47" s="3" t="s">
        <v>31</v>
      </c>
      <c r="E47" s="3" t="s">
        <v>33</v>
      </c>
      <c r="F47" s="3">
        <v>1</v>
      </c>
      <c r="G47" s="3">
        <v>3</v>
      </c>
      <c r="H47" s="3">
        <v>1</v>
      </c>
      <c r="I47" s="3">
        <v>3</v>
      </c>
      <c r="J47" s="4" t="str">
        <f>HYPERLINK("http://141.218.60.56/~jnz1568/getInfo.php?workbook=08_06.xlsx&amp;sheet=E0&amp;row=47&amp;col=10&amp;number=331821.434581&amp;sourceID=2","331821.434581")</f>
        <v>331821.434581</v>
      </c>
      <c r="K47" s="4" t="str">
        <f>HYPERLINK("http://141.218.60.56/~jnz1568/getInfo.php?workbook=08_06.xlsx&amp;sheet=E0&amp;row=47&amp;col=11&amp;number=332452.586929&amp;sourceID=3","332452.586929")</f>
        <v>332452.586929</v>
      </c>
      <c r="L47" s="4" t="str">
        <f>HYPERLINK("http://141.218.60.56/~jnz1568/getInfo.php?workbook=08_06.xlsx&amp;sheet=E0&amp;row=47&amp;col=12&amp;number=339823.545483&amp;sourceID=4","339823.545483")</f>
        <v>339823.545483</v>
      </c>
    </row>
    <row r="48" spans="1:12">
      <c r="A48" s="3">
        <v>8</v>
      </c>
      <c r="B48" s="3">
        <v>6</v>
      </c>
      <c r="C48" s="3">
        <v>45</v>
      </c>
      <c r="D48" s="3" t="s">
        <v>31</v>
      </c>
      <c r="E48" s="3" t="s">
        <v>24</v>
      </c>
      <c r="F48" s="3">
        <v>1</v>
      </c>
      <c r="G48" s="3">
        <v>1</v>
      </c>
      <c r="H48" s="3">
        <v>1</v>
      </c>
      <c r="I48" s="3">
        <v>1</v>
      </c>
      <c r="J48" s="4" t="str">
        <f>HYPERLINK("http://141.218.60.56/~jnz1568/getInfo.php?workbook=08_06.xlsx&amp;sheet=E0&amp;row=48&amp;col=10&amp;number=332778.936555&amp;sourceID=2","332778.936555")</f>
        <v>332778.936555</v>
      </c>
      <c r="K48" s="4" t="str">
        <f>HYPERLINK("http://141.218.60.56/~jnz1568/getInfo.php?workbook=08_06.xlsx&amp;sheet=E0&amp;row=48&amp;col=11&amp;number=333420.686891&amp;sourceID=3","333420.686891")</f>
        <v>333420.686891</v>
      </c>
      <c r="L48" s="4" t="str">
        <f>HYPERLINK("http://141.218.60.56/~jnz1568/getInfo.php?workbook=08_06.xlsx&amp;sheet=E0&amp;row=48&amp;col=12&amp;number=341272.07805&amp;sourceID=4","341272.07805")</f>
        <v>341272.07805</v>
      </c>
    </row>
    <row r="49" spans="1:12">
      <c r="A49" s="3">
        <v>8</v>
      </c>
      <c r="B49" s="3">
        <v>6</v>
      </c>
      <c r="C49" s="3">
        <v>46</v>
      </c>
      <c r="D49" s="3" t="s">
        <v>26</v>
      </c>
      <c r="E49" s="3" t="s">
        <v>34</v>
      </c>
      <c r="F49" s="3">
        <v>1</v>
      </c>
      <c r="G49" s="3">
        <v>0</v>
      </c>
      <c r="H49" s="3">
        <v>0</v>
      </c>
      <c r="I49" s="3">
        <v>0</v>
      </c>
      <c r="J49" s="4" t="str">
        <f>HYPERLINK("http://141.218.60.56/~jnz1568/getInfo.php?workbook=08_06.xlsx&amp;sheet=E0&amp;row=49&amp;col=10&amp;number=343306.278671&amp;sourceID=2","343306.278671")</f>
        <v>343306.278671</v>
      </c>
      <c r="K49" s="4" t="str">
        <f>HYPERLINK("http://141.218.60.56/~jnz1568/getInfo.php?workbook=08_06.xlsx&amp;sheet=E0&amp;row=49&amp;col=11&amp;number=344761.686445&amp;sourceID=3","344761.686445")</f>
        <v>344761.686445</v>
      </c>
      <c r="L49" s="4" t="str">
        <f>HYPERLINK("http://141.218.60.56/~jnz1568/getInfo.php?workbook=08_06.xlsx&amp;sheet=E0&amp;row=49&amp;col=12&amp;number=358566.679002&amp;sourceID=4","358566.679002")</f>
        <v>358566.679002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5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2.7109375" customWidth="1"/>
    <col min="7" max="7" width="11.7109375" customWidth="1"/>
    <col min="8" max="8" width="11.7109375" customWidth="1"/>
    <col min="9" max="9" width="11.7109375" customWidth="1"/>
    <col min="10" max="10" width="12.7109375" customWidth="1"/>
    <col min="11" max="11" width="11.7109375" customWidth="1"/>
    <col min="12" max="12" width="11.7109375" customWidth="1"/>
    <col min="13" max="13" width="11.7109375" customWidth="1"/>
    <col min="14" max="14" width="12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2"/>
      <c r="C2" s="2"/>
      <c r="D2" s="2"/>
      <c r="E2" s="2"/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36</v>
      </c>
      <c r="O2" s="2" t="s">
        <v>37</v>
      </c>
      <c r="P2" s="2" t="s">
        <v>37</v>
      </c>
      <c r="Q2" s="2" t="s">
        <v>38</v>
      </c>
    </row>
    <row r="3" spans="1:17">
      <c r="A3" s="2" t="s">
        <v>4</v>
      </c>
      <c r="B3" s="2" t="s">
        <v>5</v>
      </c>
      <c r="C3" s="2" t="s">
        <v>39</v>
      </c>
      <c r="D3" s="2" t="s">
        <v>6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41</v>
      </c>
      <c r="K3" s="2" t="s">
        <v>42</v>
      </c>
      <c r="L3" s="2" t="s">
        <v>43</v>
      </c>
      <c r="M3" s="2" t="s">
        <v>44</v>
      </c>
      <c r="N3" s="2" t="s">
        <v>41</v>
      </c>
      <c r="O3" s="2" t="s">
        <v>42</v>
      </c>
      <c r="P3" s="2" t="s">
        <v>43</v>
      </c>
      <c r="Q3" s="2" t="s">
        <v>43</v>
      </c>
    </row>
    <row r="4" spans="1:17">
      <c r="A4" s="3">
        <v>8</v>
      </c>
      <c r="B4" s="3">
        <v>6</v>
      </c>
      <c r="C4" s="3">
        <v>2</v>
      </c>
      <c r="D4" s="3">
        <v>1</v>
      </c>
      <c r="E4" s="3">
        <f>((1/(INDEX(E0!J$4:J$49,C4,1)-INDEX(E0!J$4:J$49,D4,1))))*100000000</f>
        <v>0</v>
      </c>
      <c r="F4" s="4" t="str">
        <f>HYPERLINK("http://141.218.60.56/~jnz1568/getInfo.php?workbook=08_06.xlsx&amp;sheet=A0&amp;row=4&amp;col=6&amp;number=&amp;sourceID=3","")</f>
        <v/>
      </c>
      <c r="G4" s="4" t="str">
        <f>HYPERLINK("http://141.218.60.56/~jnz1568/getInfo.php?workbook=08_06.xlsx&amp;sheet=A0&amp;row=4&amp;col=7&amp;number=&amp;sourceID=3","")</f>
        <v/>
      </c>
      <c r="H4" s="4" t="str">
        <f>HYPERLINK("http://141.218.60.56/~jnz1568/getInfo.php?workbook=08_06.xlsx&amp;sheet=A0&amp;row=4&amp;col=8&amp;number=2.5965e-05&amp;sourceID=3","2.5965e-05")</f>
        <v>2.5965e-05</v>
      </c>
      <c r="I4" s="4" t="str">
        <f>HYPERLINK("http://141.218.60.56/~jnz1568/getInfo.php?workbook=08_06.xlsx&amp;sheet=A0&amp;row=4&amp;col=9&amp;number=&amp;sourceID=3","")</f>
        <v/>
      </c>
      <c r="J4" s="4" t="str">
        <f>HYPERLINK("http://141.218.60.56/~jnz1568/getInfo.php?workbook=08_06.xlsx&amp;sheet=A0&amp;row=4&amp;col=10&amp;number=&amp;sourceID=3","")</f>
        <v/>
      </c>
      <c r="K4" s="4" t="str">
        <f>HYPERLINK("http://141.218.60.56/~jnz1568/getInfo.php?workbook=08_06.xlsx&amp;sheet=A0&amp;row=4&amp;col=11&amp;number=&amp;sourceID=3","")</f>
        <v/>
      </c>
      <c r="L4" s="4" t="str">
        <f>HYPERLINK("http://141.218.60.56/~jnz1568/getInfo.php?workbook=08_06.xlsx&amp;sheet=A0&amp;row=4&amp;col=12&amp;number=2.6204e-05&amp;sourceID=3","2.6204e-05")</f>
        <v>2.6204e-05</v>
      </c>
      <c r="M4" s="4" t="str">
        <f>HYPERLINK("http://141.218.60.56/~jnz1568/getInfo.php?workbook=08_06.xlsx&amp;sheet=A0&amp;row=4&amp;col=13&amp;number=&amp;sourceID=3","")</f>
        <v/>
      </c>
      <c r="N4" s="4" t="str">
        <f>HYPERLINK("http://141.218.60.56/~jnz1568/getInfo.php?workbook=08_06.xlsx&amp;sheet=A0&amp;row=4&amp;col=14&amp;number=&amp;sourceID=7","")</f>
        <v/>
      </c>
      <c r="O4" s="4" t="str">
        <f>HYPERLINK("http://141.218.60.56/~jnz1568/getInfo.php?workbook=08_06.xlsx&amp;sheet=A0&amp;row=4&amp;col=15&amp;number=0&amp;sourceID=5","0")</f>
        <v>0</v>
      </c>
      <c r="P4" s="4" t="str">
        <f>HYPERLINK("http://141.218.60.56/~jnz1568/getInfo.php?workbook=08_06.xlsx&amp;sheet=A0&amp;row=4&amp;col=16&amp;number=2.66e-05&amp;sourceID=5","2.66e-05")</f>
        <v>2.66e-05</v>
      </c>
      <c r="Q4" s="4" t="str">
        <f>HYPERLINK("http://141.218.60.56/~jnz1568/getInfo.php?workbook=08_06.xlsx&amp;sheet=A0&amp;row=4&amp;col=17&amp;number=&amp;sourceID=6","")</f>
        <v/>
      </c>
    </row>
    <row r="5" spans="1:17">
      <c r="A5" s="3">
        <v>8</v>
      </c>
      <c r="B5" s="3">
        <v>6</v>
      </c>
      <c r="C5" s="3">
        <v>3</v>
      </c>
      <c r="D5" s="3">
        <v>1</v>
      </c>
      <c r="E5" s="3">
        <f>((1/(INDEX(E0!J$4:J$49,C5,1)-INDEX(E0!J$4:J$49,D5,1))))*100000000</f>
        <v>0</v>
      </c>
      <c r="F5" s="4" t="str">
        <f>HYPERLINK("http://141.218.60.56/~jnz1568/getInfo.php?workbook=08_06.xlsx&amp;sheet=A0&amp;row=5&amp;col=6&amp;number=&amp;sourceID=3","")</f>
        <v/>
      </c>
      <c r="G5" s="4" t="str">
        <f>HYPERLINK("http://141.218.60.56/~jnz1568/getInfo.php?workbook=08_06.xlsx&amp;sheet=A0&amp;row=5&amp;col=7&amp;number=3.0315e-11&amp;sourceID=3","3.0315e-11")</f>
        <v>3.0315e-11</v>
      </c>
      <c r="H5" s="4" t="str">
        <f>HYPERLINK("http://141.218.60.56/~jnz1568/getInfo.php?workbook=08_06.xlsx&amp;sheet=A0&amp;row=5&amp;col=8&amp;number=&amp;sourceID=3","")</f>
        <v/>
      </c>
      <c r="I5" s="4" t="str">
        <f>HYPERLINK("http://141.218.60.56/~jnz1568/getInfo.php?workbook=08_06.xlsx&amp;sheet=A0&amp;row=5&amp;col=9&amp;number=&amp;sourceID=3","")</f>
        <v/>
      </c>
      <c r="J5" s="4" t="str">
        <f>HYPERLINK("http://141.218.60.56/~jnz1568/getInfo.php?workbook=08_06.xlsx&amp;sheet=A0&amp;row=5&amp;col=10&amp;number=&amp;sourceID=3","")</f>
        <v/>
      </c>
      <c r="K5" s="4" t="str">
        <f>HYPERLINK("http://141.218.60.56/~jnz1568/getInfo.php?workbook=08_06.xlsx&amp;sheet=A0&amp;row=5&amp;col=11&amp;number=3.0304e-11&amp;sourceID=3","3.0304e-11")</f>
        <v>3.0304e-11</v>
      </c>
      <c r="L5" s="4" t="str">
        <f>HYPERLINK("http://141.218.60.56/~jnz1568/getInfo.php?workbook=08_06.xlsx&amp;sheet=A0&amp;row=5&amp;col=12&amp;number=&amp;sourceID=3","")</f>
        <v/>
      </c>
      <c r="M5" s="4" t="str">
        <f>HYPERLINK("http://141.218.60.56/~jnz1568/getInfo.php?workbook=08_06.xlsx&amp;sheet=A0&amp;row=5&amp;col=13&amp;number=&amp;sourceID=3","")</f>
        <v/>
      </c>
      <c r="N5" s="4" t="str">
        <f>HYPERLINK("http://141.218.60.56/~jnz1568/getInfo.php?workbook=08_06.xlsx&amp;sheet=A0&amp;row=5&amp;col=14&amp;number=&amp;sourceID=7","")</f>
        <v/>
      </c>
      <c r="O5" s="4" t="str">
        <f>HYPERLINK("http://141.218.60.56/~jnz1568/getInfo.php?workbook=08_06.xlsx&amp;sheet=A0&amp;row=5&amp;col=15&amp;number=3.09e-11&amp;sourceID=5","3.09e-11")</f>
        <v>3.09e-11</v>
      </c>
      <c r="P5" s="4" t="str">
        <f>HYPERLINK("http://141.218.60.56/~jnz1568/getInfo.php?workbook=08_06.xlsx&amp;sheet=A0&amp;row=5&amp;col=16&amp;number=0&amp;sourceID=5","0")</f>
        <v>0</v>
      </c>
      <c r="Q5" s="4" t="str">
        <f>HYPERLINK("http://141.218.60.56/~jnz1568/getInfo.php?workbook=08_06.xlsx&amp;sheet=A0&amp;row=5&amp;col=17&amp;number=&amp;sourceID=6","")</f>
        <v/>
      </c>
    </row>
    <row r="6" spans="1:17">
      <c r="A6" s="3">
        <v>8</v>
      </c>
      <c r="B6" s="3">
        <v>6</v>
      </c>
      <c r="C6" s="3">
        <v>3</v>
      </c>
      <c r="D6" s="3">
        <v>2</v>
      </c>
      <c r="E6" s="3">
        <f>((1/(INDEX(E0!J$4:J$49,C6,1)-INDEX(E0!J$4:J$49,D6,1))))*100000000</f>
        <v>0</v>
      </c>
      <c r="F6" s="4" t="str">
        <f>HYPERLINK("http://141.218.60.56/~jnz1568/getInfo.php?workbook=08_06.xlsx&amp;sheet=A0&amp;row=6&amp;col=6&amp;number=&amp;sourceID=3","")</f>
        <v/>
      </c>
      <c r="G6" s="4" t="str">
        <f>HYPERLINK("http://141.218.60.56/~jnz1568/getInfo.php?workbook=08_06.xlsx&amp;sheet=A0&amp;row=6&amp;col=7&amp;number=6.772e-12&amp;sourceID=3","6.772e-12")</f>
        <v>6.772e-12</v>
      </c>
      <c r="H6" s="4" t="str">
        <f>HYPERLINK("http://141.218.60.56/~jnz1568/getInfo.php?workbook=08_06.xlsx&amp;sheet=A0&amp;row=6&amp;col=8&amp;number=9.6318e-05&amp;sourceID=3","9.6318e-05")</f>
        <v>9.6318e-05</v>
      </c>
      <c r="I6" s="4" t="str">
        <f>HYPERLINK("http://141.218.60.56/~jnz1568/getInfo.php?workbook=08_06.xlsx&amp;sheet=A0&amp;row=6&amp;col=9&amp;number=&amp;sourceID=3","")</f>
        <v/>
      </c>
      <c r="J6" s="4" t="str">
        <f>HYPERLINK("http://141.218.60.56/~jnz1568/getInfo.php?workbook=08_06.xlsx&amp;sheet=A0&amp;row=6&amp;col=10&amp;number=&amp;sourceID=3","")</f>
        <v/>
      </c>
      <c r="K6" s="4" t="str">
        <f>HYPERLINK("http://141.218.60.56/~jnz1568/getInfo.php?workbook=08_06.xlsx&amp;sheet=A0&amp;row=6&amp;col=11&amp;number=6.714e-12&amp;sourceID=3","6.714e-12")</f>
        <v>6.714e-12</v>
      </c>
      <c r="L6" s="4" t="str">
        <f>HYPERLINK("http://141.218.60.56/~jnz1568/getInfo.php?workbook=08_06.xlsx&amp;sheet=A0&amp;row=6&amp;col=12&amp;number=9.5795e-05&amp;sourceID=3","9.5795e-05")</f>
        <v>9.5795e-05</v>
      </c>
      <c r="M6" s="4" t="str">
        <f>HYPERLINK("http://141.218.60.56/~jnz1568/getInfo.php?workbook=08_06.xlsx&amp;sheet=A0&amp;row=6&amp;col=13&amp;number=&amp;sourceID=3","")</f>
        <v/>
      </c>
      <c r="N6" s="4" t="str">
        <f>HYPERLINK("http://141.218.60.56/~jnz1568/getInfo.php?workbook=08_06.xlsx&amp;sheet=A0&amp;row=6&amp;col=14&amp;number=&amp;sourceID=7","")</f>
        <v/>
      </c>
      <c r="O6" s="4" t="str">
        <f>HYPERLINK("http://141.218.60.56/~jnz1568/getInfo.php?workbook=08_06.xlsx&amp;sheet=A0&amp;row=6&amp;col=15&amp;number=6.84e-12&amp;sourceID=5","6.84e-12")</f>
        <v>6.84e-12</v>
      </c>
      <c r="P6" s="4" t="str">
        <f>HYPERLINK("http://141.218.60.56/~jnz1568/getInfo.php?workbook=08_06.xlsx&amp;sheet=A0&amp;row=6&amp;col=16&amp;number=9.7e-05&amp;sourceID=5","9.7e-05")</f>
        <v>9.7e-05</v>
      </c>
      <c r="Q6" s="4" t="str">
        <f>HYPERLINK("http://141.218.60.56/~jnz1568/getInfo.php?workbook=08_06.xlsx&amp;sheet=A0&amp;row=6&amp;col=17&amp;number=&amp;sourceID=6","")</f>
        <v/>
      </c>
    </row>
    <row r="7" spans="1:17">
      <c r="A7" s="3">
        <v>8</v>
      </c>
      <c r="B7" s="3">
        <v>6</v>
      </c>
      <c r="C7" s="3">
        <v>4</v>
      </c>
      <c r="D7" s="3">
        <v>1</v>
      </c>
      <c r="E7" s="3">
        <f>((1/(INDEX(E0!J$4:J$49,C7,1)-INDEX(E0!J$4:J$49,D7,1))))*100000000</f>
        <v>0</v>
      </c>
      <c r="F7" s="4" t="str">
        <f>HYPERLINK("http://141.218.60.56/~jnz1568/getInfo.php?workbook=08_06.xlsx&amp;sheet=A0&amp;row=7&amp;col=6&amp;number=&amp;sourceID=3","")</f>
        <v/>
      </c>
      <c r="G7" s="4" t="str">
        <f>HYPERLINK("http://141.218.60.56/~jnz1568/getInfo.php?workbook=08_06.xlsx&amp;sheet=A0&amp;row=7&amp;col=7&amp;number=2.3225e-06&amp;sourceID=3","2.3225e-06")</f>
        <v>2.3225e-06</v>
      </c>
      <c r="H7" s="4" t="str">
        <f>HYPERLINK("http://141.218.60.56/~jnz1568/getInfo.php?workbook=08_06.xlsx&amp;sheet=A0&amp;row=7&amp;col=8&amp;number=&amp;sourceID=3","")</f>
        <v/>
      </c>
      <c r="I7" s="4" t="str">
        <f>HYPERLINK("http://141.218.60.56/~jnz1568/getInfo.php?workbook=08_06.xlsx&amp;sheet=A0&amp;row=7&amp;col=9&amp;number=&amp;sourceID=3","")</f>
        <v/>
      </c>
      <c r="J7" s="4" t="str">
        <f>HYPERLINK("http://141.218.60.56/~jnz1568/getInfo.php?workbook=08_06.xlsx&amp;sheet=A0&amp;row=7&amp;col=10&amp;number=&amp;sourceID=3","")</f>
        <v/>
      </c>
      <c r="K7" s="4" t="str">
        <f>HYPERLINK("http://141.218.60.56/~jnz1568/getInfo.php?workbook=08_06.xlsx&amp;sheet=A0&amp;row=7&amp;col=11&amp;number=2.0168e-06&amp;sourceID=3","2.0168e-06")</f>
        <v>2.0168e-06</v>
      </c>
      <c r="L7" s="4" t="str">
        <f>HYPERLINK("http://141.218.60.56/~jnz1568/getInfo.php?workbook=08_06.xlsx&amp;sheet=A0&amp;row=7&amp;col=12&amp;number=&amp;sourceID=3","")</f>
        <v/>
      </c>
      <c r="M7" s="4" t="str">
        <f>HYPERLINK("http://141.218.60.56/~jnz1568/getInfo.php?workbook=08_06.xlsx&amp;sheet=A0&amp;row=7&amp;col=13&amp;number=&amp;sourceID=3","")</f>
        <v/>
      </c>
      <c r="N7" s="4" t="str">
        <f>HYPERLINK("http://141.218.60.56/~jnz1568/getInfo.php?workbook=08_06.xlsx&amp;sheet=A0&amp;row=7&amp;col=14&amp;number=&amp;sourceID=7","")</f>
        <v/>
      </c>
      <c r="O7" s="4" t="str">
        <f>HYPERLINK("http://141.218.60.56/~jnz1568/getInfo.php?workbook=08_06.xlsx&amp;sheet=A0&amp;row=7&amp;col=15&amp;number=1.69e-06&amp;sourceID=5","1.69e-06")</f>
        <v>1.69e-06</v>
      </c>
      <c r="P7" s="4" t="str">
        <f>HYPERLINK("http://141.218.60.56/~jnz1568/getInfo.php?workbook=08_06.xlsx&amp;sheet=A0&amp;row=7&amp;col=16&amp;number=0&amp;sourceID=5","0")</f>
        <v>0</v>
      </c>
      <c r="Q7" s="4" t="str">
        <f>HYPERLINK("http://141.218.60.56/~jnz1568/getInfo.php?workbook=08_06.xlsx&amp;sheet=A0&amp;row=7&amp;col=17&amp;number=&amp;sourceID=6","")</f>
        <v/>
      </c>
    </row>
    <row r="8" spans="1:17">
      <c r="A8" s="3">
        <v>8</v>
      </c>
      <c r="B8" s="3">
        <v>6</v>
      </c>
      <c r="C8" s="3">
        <v>4</v>
      </c>
      <c r="D8" s="3">
        <v>2</v>
      </c>
      <c r="E8" s="3">
        <f>((1/(INDEX(E0!J$4:J$49,C8,1)-INDEX(E0!J$4:J$49,D8,1))))*100000000</f>
        <v>0</v>
      </c>
      <c r="F8" s="4" t="str">
        <f>HYPERLINK("http://141.218.60.56/~jnz1568/getInfo.php?workbook=08_06.xlsx&amp;sheet=A0&amp;row=8&amp;col=6&amp;number=&amp;sourceID=3","")</f>
        <v/>
      </c>
      <c r="G8" s="4" t="str">
        <f>HYPERLINK("http://141.218.60.56/~jnz1568/getInfo.php?workbook=08_06.xlsx&amp;sheet=A0&amp;row=8&amp;col=7&amp;number=4.6752e-06&amp;sourceID=3","4.6752e-06")</f>
        <v>4.6752e-06</v>
      </c>
      <c r="H8" s="4" t="str">
        <f>HYPERLINK("http://141.218.60.56/~jnz1568/getInfo.php?workbook=08_06.xlsx&amp;sheet=A0&amp;row=8&amp;col=8&amp;number=0.006946&amp;sourceID=3","0.006946")</f>
        <v>0.006946</v>
      </c>
      <c r="I8" s="4" t="str">
        <f>HYPERLINK("http://141.218.60.56/~jnz1568/getInfo.php?workbook=08_06.xlsx&amp;sheet=A0&amp;row=8&amp;col=9&amp;number=&amp;sourceID=3","")</f>
        <v/>
      </c>
      <c r="J8" s="4" t="str">
        <f>HYPERLINK("http://141.218.60.56/~jnz1568/getInfo.php?workbook=08_06.xlsx&amp;sheet=A0&amp;row=8&amp;col=10&amp;number=&amp;sourceID=3","")</f>
        <v/>
      </c>
      <c r="K8" s="4" t="str">
        <f>HYPERLINK("http://141.218.60.56/~jnz1568/getInfo.php?workbook=08_06.xlsx&amp;sheet=A0&amp;row=8&amp;col=11&amp;number=5.5568e-06&amp;sourceID=3","5.5568e-06")</f>
        <v>5.5568e-06</v>
      </c>
      <c r="L8" s="4" t="str">
        <f>HYPERLINK("http://141.218.60.56/~jnz1568/getInfo.php?workbook=08_06.xlsx&amp;sheet=A0&amp;row=8&amp;col=12&amp;number=0.006957&amp;sourceID=3","0.006957")</f>
        <v>0.006957</v>
      </c>
      <c r="M8" s="4" t="str">
        <f>HYPERLINK("http://141.218.60.56/~jnz1568/getInfo.php?workbook=08_06.xlsx&amp;sheet=A0&amp;row=8&amp;col=13&amp;number=&amp;sourceID=3","")</f>
        <v/>
      </c>
      <c r="N8" s="4" t="str">
        <f>HYPERLINK("http://141.218.60.56/~jnz1568/getInfo.php?workbook=08_06.xlsx&amp;sheet=A0&amp;row=8&amp;col=14&amp;number=&amp;sourceID=7","")</f>
        <v/>
      </c>
      <c r="O8" s="4" t="str">
        <f>HYPERLINK("http://141.218.60.56/~jnz1568/getInfo.php?workbook=08_06.xlsx&amp;sheet=A0&amp;row=8&amp;col=15&amp;number=5.51e-06&amp;sourceID=5","5.51e-06")</f>
        <v>5.51e-06</v>
      </c>
      <c r="P8" s="4" t="str">
        <f>HYPERLINK("http://141.218.60.56/~jnz1568/getInfo.php?workbook=08_06.xlsx&amp;sheet=A0&amp;row=8&amp;col=16&amp;number=0.00699&amp;sourceID=5","0.00699")</f>
        <v>0.00699</v>
      </c>
      <c r="Q8" s="4" t="str">
        <f>HYPERLINK("http://141.218.60.56/~jnz1568/getInfo.php?workbook=08_06.xlsx&amp;sheet=A0&amp;row=8&amp;col=17&amp;number=0.006785&amp;sourceID=6","0.006785")</f>
        <v>0.006785</v>
      </c>
    </row>
    <row r="9" spans="1:17">
      <c r="A9" s="3">
        <v>8</v>
      </c>
      <c r="B9" s="3">
        <v>6</v>
      </c>
      <c r="C9" s="3">
        <v>4</v>
      </c>
      <c r="D9" s="3">
        <v>3</v>
      </c>
      <c r="E9" s="3">
        <f>((1/(INDEX(E0!J$4:J$49,C9,1)-INDEX(E0!J$4:J$49,D9,1))))*100000000</f>
        <v>0</v>
      </c>
      <c r="F9" s="4" t="str">
        <f>HYPERLINK("http://141.218.60.56/~jnz1568/getInfo.php?workbook=08_06.xlsx&amp;sheet=A0&amp;row=9&amp;col=6&amp;number=&amp;sourceID=3","")</f>
        <v/>
      </c>
      <c r="G9" s="4" t="str">
        <f>HYPERLINK("http://141.218.60.56/~jnz1568/getInfo.php?workbook=08_06.xlsx&amp;sheet=A0&amp;row=9&amp;col=7&amp;number=3.8897e-05&amp;sourceID=3","3.8897e-05")</f>
        <v>3.8897e-05</v>
      </c>
      <c r="H9" s="4" t="str">
        <f>HYPERLINK("http://141.218.60.56/~jnz1568/getInfo.php?workbook=08_06.xlsx&amp;sheet=A0&amp;row=9&amp;col=8&amp;number=0.020246&amp;sourceID=3","0.020246")</f>
        <v>0.020246</v>
      </c>
      <c r="I9" s="4" t="str">
        <f>HYPERLINK("http://141.218.60.56/~jnz1568/getInfo.php?workbook=08_06.xlsx&amp;sheet=A0&amp;row=9&amp;col=9&amp;number=&amp;sourceID=3","")</f>
        <v/>
      </c>
      <c r="J9" s="4" t="str">
        <f>HYPERLINK("http://141.218.60.56/~jnz1568/getInfo.php?workbook=08_06.xlsx&amp;sheet=A0&amp;row=9&amp;col=10&amp;number=&amp;sourceID=3","")</f>
        <v/>
      </c>
      <c r="K9" s="4" t="str">
        <f>HYPERLINK("http://141.218.60.56/~jnz1568/getInfo.php?workbook=08_06.xlsx&amp;sheet=A0&amp;row=9&amp;col=11&amp;number=3.7418e-05&amp;sourceID=3","3.7418e-05")</f>
        <v>3.7418e-05</v>
      </c>
      <c r="L9" s="4" t="str">
        <f>HYPERLINK("http://141.218.60.56/~jnz1568/getInfo.php?workbook=08_06.xlsx&amp;sheet=A0&amp;row=9&amp;col=12&amp;number=0.020282&amp;sourceID=3","0.020282")</f>
        <v>0.020282</v>
      </c>
      <c r="M9" s="4" t="str">
        <f>HYPERLINK("http://141.218.60.56/~jnz1568/getInfo.php?workbook=08_06.xlsx&amp;sheet=A0&amp;row=9&amp;col=13&amp;number=&amp;sourceID=3","")</f>
        <v/>
      </c>
      <c r="N9" s="4" t="str">
        <f>HYPERLINK("http://141.218.60.56/~jnz1568/getInfo.php?workbook=08_06.xlsx&amp;sheet=A0&amp;row=9&amp;col=14&amp;number=&amp;sourceID=7","")</f>
        <v/>
      </c>
      <c r="O9" s="4" t="str">
        <f>HYPERLINK("http://141.218.60.56/~jnz1568/getInfo.php?workbook=08_06.xlsx&amp;sheet=A0&amp;row=9&amp;col=15&amp;number=3.58e-05&amp;sourceID=5","3.58e-05")</f>
        <v>3.58e-05</v>
      </c>
      <c r="P9" s="4" t="str">
        <f>HYPERLINK("http://141.218.60.56/~jnz1568/getInfo.php?workbook=08_06.xlsx&amp;sheet=A0&amp;row=9&amp;col=16&amp;number=0.0204&amp;sourceID=5","0.0204")</f>
        <v>0.0204</v>
      </c>
      <c r="Q9" s="4" t="str">
        <f>HYPERLINK("http://141.218.60.56/~jnz1568/getInfo.php?workbook=08_06.xlsx&amp;sheet=A0&amp;row=9&amp;col=17&amp;number=0.02042&amp;sourceID=6","0.02042")</f>
        <v>0.02042</v>
      </c>
    </row>
    <row r="10" spans="1:17">
      <c r="A10" s="3">
        <v>8</v>
      </c>
      <c r="B10" s="3">
        <v>6</v>
      </c>
      <c r="C10" s="3">
        <v>5</v>
      </c>
      <c r="D10" s="3">
        <v>2</v>
      </c>
      <c r="E10" s="3">
        <f>((1/(INDEX(E0!J$4:J$49,C10,1)-INDEX(E0!J$4:J$49,D10,1))))*100000000</f>
        <v>0</v>
      </c>
      <c r="F10" s="4" t="str">
        <f>HYPERLINK("http://141.218.60.56/~jnz1568/getInfo.php?workbook=08_06.xlsx&amp;sheet=A0&amp;row=10&amp;col=6&amp;number=&amp;sourceID=3","")</f>
        <v/>
      </c>
      <c r="G10" s="4" t="str">
        <f>HYPERLINK("http://141.218.60.56/~jnz1568/getInfo.php?workbook=08_06.xlsx&amp;sheet=A0&amp;row=10&amp;col=7&amp;number=&amp;sourceID=3","")</f>
        <v/>
      </c>
      <c r="H10" s="4" t="str">
        <f>HYPERLINK("http://141.218.60.56/~jnz1568/getInfo.php?workbook=08_06.xlsx&amp;sheet=A0&amp;row=10&amp;col=8&amp;number=0.22553&amp;sourceID=3","0.22553")</f>
        <v>0.22553</v>
      </c>
      <c r="I10" s="4" t="str">
        <f>HYPERLINK("http://141.218.60.56/~jnz1568/getInfo.php?workbook=08_06.xlsx&amp;sheet=A0&amp;row=10&amp;col=9&amp;number=&amp;sourceID=3","")</f>
        <v/>
      </c>
      <c r="J10" s="4" t="str">
        <f>HYPERLINK("http://141.218.60.56/~jnz1568/getInfo.php?workbook=08_06.xlsx&amp;sheet=A0&amp;row=10&amp;col=10&amp;number=&amp;sourceID=3","")</f>
        <v/>
      </c>
      <c r="K10" s="4" t="str">
        <f>HYPERLINK("http://141.218.60.56/~jnz1568/getInfo.php?workbook=08_06.xlsx&amp;sheet=A0&amp;row=10&amp;col=11&amp;number=&amp;sourceID=3","")</f>
        <v/>
      </c>
      <c r="L10" s="4" t="str">
        <f>HYPERLINK("http://141.218.60.56/~jnz1568/getInfo.php?workbook=08_06.xlsx&amp;sheet=A0&amp;row=10&amp;col=12&amp;number=0.22579&amp;sourceID=3","0.22579")</f>
        <v>0.22579</v>
      </c>
      <c r="M10" s="4" t="str">
        <f>HYPERLINK("http://141.218.60.56/~jnz1568/getInfo.php?workbook=08_06.xlsx&amp;sheet=A0&amp;row=10&amp;col=13&amp;number=&amp;sourceID=3","")</f>
        <v/>
      </c>
      <c r="N10" s="4" t="str">
        <f>HYPERLINK("http://141.218.60.56/~jnz1568/getInfo.php?workbook=08_06.xlsx&amp;sheet=A0&amp;row=10&amp;col=14&amp;number=&amp;sourceID=7","")</f>
        <v/>
      </c>
      <c r="O10" s="4" t="str">
        <f>HYPERLINK("http://141.218.60.56/~jnz1568/getInfo.php?workbook=08_06.xlsx&amp;sheet=A0&amp;row=10&amp;col=15&amp;number=0&amp;sourceID=5","0")</f>
        <v>0</v>
      </c>
      <c r="P10" s="4" t="str">
        <f>HYPERLINK("http://141.218.60.56/~jnz1568/getInfo.php?workbook=08_06.xlsx&amp;sheet=A0&amp;row=10&amp;col=16&amp;number=0.227&amp;sourceID=5","0.227")</f>
        <v>0.227</v>
      </c>
      <c r="Q10" s="4" t="str">
        <f>HYPERLINK("http://141.218.60.56/~jnz1568/getInfo.php?workbook=08_06.xlsx&amp;sheet=A0&amp;row=10&amp;col=17&amp;number=&amp;sourceID=6","")</f>
        <v/>
      </c>
    </row>
    <row r="11" spans="1:17">
      <c r="A11" s="3">
        <v>8</v>
      </c>
      <c r="B11" s="3">
        <v>6</v>
      </c>
      <c r="C11" s="3">
        <v>5</v>
      </c>
      <c r="D11" s="3">
        <v>3</v>
      </c>
      <c r="E11" s="3">
        <f>((1/(INDEX(E0!J$4:J$49,C11,1)-INDEX(E0!J$4:J$49,D11,1))))*100000000</f>
        <v>0</v>
      </c>
      <c r="F11" s="4" t="str">
        <f>HYPERLINK("http://141.218.60.56/~jnz1568/getInfo.php?workbook=08_06.xlsx&amp;sheet=A0&amp;row=11&amp;col=6&amp;number=&amp;sourceID=3","")</f>
        <v/>
      </c>
      <c r="G11" s="4" t="str">
        <f>HYPERLINK("http://141.218.60.56/~jnz1568/getInfo.php?workbook=08_06.xlsx&amp;sheet=A0&amp;row=11&amp;col=7&amp;number=0.00069978&amp;sourceID=3","0.00069978")</f>
        <v>0.00069978</v>
      </c>
      <c r="H11" s="4" t="str">
        <f>HYPERLINK("http://141.218.60.56/~jnz1568/getInfo.php?workbook=08_06.xlsx&amp;sheet=A0&amp;row=11&amp;col=8&amp;number=&amp;sourceID=3","")</f>
        <v/>
      </c>
      <c r="I11" s="4" t="str">
        <f>HYPERLINK("http://141.218.60.56/~jnz1568/getInfo.php?workbook=08_06.xlsx&amp;sheet=A0&amp;row=11&amp;col=9&amp;number=&amp;sourceID=3","")</f>
        <v/>
      </c>
      <c r="J11" s="4" t="str">
        <f>HYPERLINK("http://141.218.60.56/~jnz1568/getInfo.php?workbook=08_06.xlsx&amp;sheet=A0&amp;row=11&amp;col=10&amp;number=&amp;sourceID=3","")</f>
        <v/>
      </c>
      <c r="K11" s="4" t="str">
        <f>HYPERLINK("http://141.218.60.56/~jnz1568/getInfo.php?workbook=08_06.xlsx&amp;sheet=A0&amp;row=11&amp;col=11&amp;number=0.0006943&amp;sourceID=3","0.0006943")</f>
        <v>0.0006943</v>
      </c>
      <c r="L11" s="4" t="str">
        <f>HYPERLINK("http://141.218.60.56/~jnz1568/getInfo.php?workbook=08_06.xlsx&amp;sheet=A0&amp;row=11&amp;col=12&amp;number=&amp;sourceID=3","")</f>
        <v/>
      </c>
      <c r="M11" s="4" t="str">
        <f>HYPERLINK("http://141.218.60.56/~jnz1568/getInfo.php?workbook=08_06.xlsx&amp;sheet=A0&amp;row=11&amp;col=13&amp;number=&amp;sourceID=3","")</f>
        <v/>
      </c>
      <c r="N11" s="4" t="str">
        <f>HYPERLINK("http://141.218.60.56/~jnz1568/getInfo.php?workbook=08_06.xlsx&amp;sheet=A0&amp;row=11&amp;col=14&amp;number=&amp;sourceID=7","")</f>
        <v/>
      </c>
      <c r="O11" s="4" t="str">
        <f>HYPERLINK("http://141.218.60.56/~jnz1568/getInfo.php?workbook=08_06.xlsx&amp;sheet=A0&amp;row=11&amp;col=15&amp;number=0.000609&amp;sourceID=5","0.000609")</f>
        <v>0.000609</v>
      </c>
      <c r="P11" s="4" t="str">
        <f>HYPERLINK("http://141.218.60.56/~jnz1568/getInfo.php?workbook=08_06.xlsx&amp;sheet=A0&amp;row=11&amp;col=16&amp;number=0&amp;sourceID=5","0")</f>
        <v>0</v>
      </c>
      <c r="Q11" s="4" t="str">
        <f>HYPERLINK("http://141.218.60.56/~jnz1568/getInfo.php?workbook=08_06.xlsx&amp;sheet=A0&amp;row=11&amp;col=17&amp;number=&amp;sourceID=6","")</f>
        <v/>
      </c>
    </row>
    <row r="12" spans="1:17">
      <c r="A12" s="3">
        <v>8</v>
      </c>
      <c r="B12" s="3">
        <v>6</v>
      </c>
      <c r="C12" s="3">
        <v>5</v>
      </c>
      <c r="D12" s="3">
        <v>4</v>
      </c>
      <c r="E12" s="3">
        <f>((1/(INDEX(E0!J$4:J$49,C12,1)-INDEX(E0!J$4:J$49,D12,1))))*100000000</f>
        <v>0</v>
      </c>
      <c r="F12" s="4" t="str">
        <f>HYPERLINK("http://141.218.60.56/~jnz1568/getInfo.php?workbook=08_06.xlsx&amp;sheet=A0&amp;row=12&amp;col=6&amp;number=&amp;sourceID=3","")</f>
        <v/>
      </c>
      <c r="G12" s="4" t="str">
        <f>HYPERLINK("http://141.218.60.56/~jnz1568/getInfo.php?workbook=08_06.xlsx&amp;sheet=A0&amp;row=12&amp;col=7&amp;number=1.6854&amp;sourceID=3","1.6854")</f>
        <v>1.6854</v>
      </c>
      <c r="H12" s="4" t="str">
        <f>HYPERLINK("http://141.218.60.56/~jnz1568/getInfo.php?workbook=08_06.xlsx&amp;sheet=A0&amp;row=12&amp;col=8&amp;number=&amp;sourceID=3","")</f>
        <v/>
      </c>
      <c r="I12" s="4" t="str">
        <f>HYPERLINK("http://141.218.60.56/~jnz1568/getInfo.php?workbook=08_06.xlsx&amp;sheet=A0&amp;row=12&amp;col=9&amp;number=&amp;sourceID=3","")</f>
        <v/>
      </c>
      <c r="J12" s="4" t="str">
        <f>HYPERLINK("http://141.218.60.56/~jnz1568/getInfo.php?workbook=08_06.xlsx&amp;sheet=A0&amp;row=12&amp;col=10&amp;number=&amp;sourceID=3","")</f>
        <v/>
      </c>
      <c r="K12" s="4" t="str">
        <f>HYPERLINK("http://141.218.60.56/~jnz1568/getInfo.php?workbook=08_06.xlsx&amp;sheet=A0&amp;row=12&amp;col=11&amp;number=1.6842&amp;sourceID=3","1.6842")</f>
        <v>1.6842</v>
      </c>
      <c r="L12" s="4" t="str">
        <f>HYPERLINK("http://141.218.60.56/~jnz1568/getInfo.php?workbook=08_06.xlsx&amp;sheet=A0&amp;row=12&amp;col=12&amp;number=&amp;sourceID=3","")</f>
        <v/>
      </c>
      <c r="M12" s="4" t="str">
        <f>HYPERLINK("http://141.218.60.56/~jnz1568/getInfo.php?workbook=08_06.xlsx&amp;sheet=A0&amp;row=12&amp;col=13&amp;number=&amp;sourceID=3","")</f>
        <v/>
      </c>
      <c r="N12" s="4" t="str">
        <f>HYPERLINK("http://141.218.60.56/~jnz1568/getInfo.php?workbook=08_06.xlsx&amp;sheet=A0&amp;row=12&amp;col=14&amp;number=&amp;sourceID=7","")</f>
        <v/>
      </c>
      <c r="O12" s="4" t="str">
        <f>HYPERLINK("http://141.218.60.56/~jnz1568/getInfo.php?workbook=08_06.xlsx&amp;sheet=A0&amp;row=12&amp;col=15&amp;number=1.56&amp;sourceID=5","1.56")</f>
        <v>1.56</v>
      </c>
      <c r="P12" s="4" t="str">
        <f>HYPERLINK("http://141.218.60.56/~jnz1568/getInfo.php?workbook=08_06.xlsx&amp;sheet=A0&amp;row=12&amp;col=16&amp;number=0&amp;sourceID=5","0")</f>
        <v>0</v>
      </c>
      <c r="Q12" s="4" t="str">
        <f>HYPERLINK("http://141.218.60.56/~jnz1568/getInfo.php?workbook=08_06.xlsx&amp;sheet=A0&amp;row=12&amp;col=17&amp;number=&amp;sourceID=6","")</f>
        <v/>
      </c>
    </row>
    <row r="13" spans="1:17">
      <c r="A13" s="3">
        <v>8</v>
      </c>
      <c r="B13" s="3">
        <v>6</v>
      </c>
      <c r="C13" s="3">
        <v>6</v>
      </c>
      <c r="D13" s="3">
        <v>1</v>
      </c>
      <c r="E13" s="3">
        <f>((1/(INDEX(E0!J$4:J$49,C13,1)-INDEX(E0!J$4:J$49,D13,1))))*100000000</f>
        <v>0</v>
      </c>
      <c r="F13" s="4" t="str">
        <f>HYPERLINK("http://141.218.60.56/~jnz1568/getInfo.php?workbook=08_06.xlsx&amp;sheet=A0&amp;row=13&amp;col=6&amp;number=&amp;sourceID=3","")</f>
        <v/>
      </c>
      <c r="G13" s="4" t="str">
        <f>HYPERLINK("http://141.218.60.56/~jnz1568/getInfo.php?workbook=08_06.xlsx&amp;sheet=A0&amp;row=13&amp;col=7&amp;number=&amp;sourceID=3","")</f>
        <v/>
      </c>
      <c r="H13" s="4" t="str">
        <f>HYPERLINK("http://141.218.60.56/~jnz1568/getInfo.php?workbook=08_06.xlsx&amp;sheet=A0&amp;row=13&amp;col=8&amp;number=&amp;sourceID=3","")</f>
        <v/>
      </c>
      <c r="I13" s="4" t="str">
        <f>HYPERLINK("http://141.218.60.56/~jnz1568/getInfo.php?workbook=08_06.xlsx&amp;sheet=A0&amp;row=13&amp;col=9&amp;number=0.0021905&amp;sourceID=3","0.0021905")</f>
        <v>0.0021905</v>
      </c>
      <c r="J13" s="4" t="str">
        <f>HYPERLINK("http://141.218.60.56/~jnz1568/getInfo.php?workbook=08_06.xlsx&amp;sheet=A0&amp;row=13&amp;col=10&amp;number=&amp;sourceID=3","")</f>
        <v/>
      </c>
      <c r="K13" s="4" t="str">
        <f>HYPERLINK("http://141.218.60.56/~jnz1568/getInfo.php?workbook=08_06.xlsx&amp;sheet=A0&amp;row=13&amp;col=11&amp;number=&amp;sourceID=3","")</f>
        <v/>
      </c>
      <c r="L13" s="4" t="str">
        <f>HYPERLINK("http://141.218.60.56/~jnz1568/getInfo.php?workbook=08_06.xlsx&amp;sheet=A0&amp;row=13&amp;col=12&amp;number=&amp;sourceID=3","")</f>
        <v/>
      </c>
      <c r="M13" s="4" t="str">
        <f>HYPERLINK("http://141.218.60.56/~jnz1568/getInfo.php?workbook=08_06.xlsx&amp;sheet=A0&amp;row=13&amp;col=13&amp;number=0.0022284&amp;sourceID=3","0.0022284")</f>
        <v>0.0022284</v>
      </c>
      <c r="N13" s="4" t="str">
        <f>HYPERLINK("http://141.218.60.56/~jnz1568/getInfo.php?workbook=08_06.xlsx&amp;sheet=A0&amp;row=13&amp;col=14&amp;number=&amp;sourceID=7","")</f>
        <v/>
      </c>
      <c r="O13" s="4" t="str">
        <f>HYPERLINK("http://141.218.60.56/~jnz1568/getInfo.php?workbook=08_06.xlsx&amp;sheet=A0&amp;row=13&amp;col=15&amp;number=&amp;sourceID=5","")</f>
        <v/>
      </c>
      <c r="P13" s="4" t="str">
        <f>HYPERLINK("http://141.218.60.56/~jnz1568/getInfo.php?workbook=08_06.xlsx&amp;sheet=A0&amp;row=13&amp;col=16&amp;number=&amp;sourceID=5","")</f>
        <v/>
      </c>
      <c r="Q13" s="4" t="str">
        <f>HYPERLINK("http://141.218.60.56/~jnz1568/getInfo.php?workbook=08_06.xlsx&amp;sheet=A0&amp;row=13&amp;col=17&amp;number=&amp;sourceID=6","")</f>
        <v/>
      </c>
    </row>
    <row r="14" spans="1:17">
      <c r="A14" s="3">
        <v>8</v>
      </c>
      <c r="B14" s="3">
        <v>6</v>
      </c>
      <c r="C14" s="3">
        <v>6</v>
      </c>
      <c r="D14" s="3">
        <v>2</v>
      </c>
      <c r="E14" s="3">
        <f>((1/(INDEX(E0!J$4:J$49,C14,1)-INDEX(E0!J$4:J$49,D14,1))))*100000000</f>
        <v>0</v>
      </c>
      <c r="F14" s="4" t="str">
        <f>HYPERLINK("http://141.218.60.56/~jnz1568/getInfo.php?workbook=08_06.xlsx&amp;sheet=A0&amp;row=14&amp;col=6&amp;number=230.78&amp;sourceID=3","230.78")</f>
        <v>230.78</v>
      </c>
      <c r="G14" s="4" t="str">
        <f>HYPERLINK("http://141.218.60.56/~jnz1568/getInfo.php?workbook=08_06.xlsx&amp;sheet=A0&amp;row=14&amp;col=7&amp;number=&amp;sourceID=3","")</f>
        <v/>
      </c>
      <c r="H14" s="4" t="str">
        <f>HYPERLINK("http://141.218.60.56/~jnz1568/getInfo.php?workbook=08_06.xlsx&amp;sheet=A0&amp;row=14&amp;col=8&amp;number=&amp;sourceID=3","")</f>
        <v/>
      </c>
      <c r="I14" s="4" t="str">
        <f>HYPERLINK("http://141.218.60.56/~jnz1568/getInfo.php?workbook=08_06.xlsx&amp;sheet=A0&amp;row=14&amp;col=9&amp;number=0.0048712&amp;sourceID=3","0.0048712")</f>
        <v>0.0048712</v>
      </c>
      <c r="J14" s="4" t="str">
        <f>HYPERLINK("http://141.218.60.56/~jnz1568/getInfo.php?workbook=08_06.xlsx&amp;sheet=A0&amp;row=14&amp;col=10&amp;number=231.08&amp;sourceID=3","231.08")</f>
        <v>231.08</v>
      </c>
      <c r="K14" s="4" t="str">
        <f>HYPERLINK("http://141.218.60.56/~jnz1568/getInfo.php?workbook=08_06.xlsx&amp;sheet=A0&amp;row=14&amp;col=11&amp;number=&amp;sourceID=3","")</f>
        <v/>
      </c>
      <c r="L14" s="4" t="str">
        <f>HYPERLINK("http://141.218.60.56/~jnz1568/getInfo.php?workbook=08_06.xlsx&amp;sheet=A0&amp;row=14&amp;col=12&amp;number=&amp;sourceID=3","")</f>
        <v/>
      </c>
      <c r="M14" s="4" t="str">
        <f>HYPERLINK("http://141.218.60.56/~jnz1568/getInfo.php?workbook=08_06.xlsx&amp;sheet=A0&amp;row=14&amp;col=13&amp;number=0.0049554&amp;sourceID=3","0.0049554")</f>
        <v>0.0049554</v>
      </c>
      <c r="N14" s="4" t="str">
        <f>HYPERLINK("http://141.218.60.56/~jnz1568/getInfo.php?workbook=08_06.xlsx&amp;sheet=A0&amp;row=14&amp;col=14&amp;number=166.8&amp;sourceID=7","166.8")</f>
        <v>166.8</v>
      </c>
      <c r="O14" s="4" t="str">
        <f>HYPERLINK("http://141.218.60.56/~jnz1568/getInfo.php?workbook=08_06.xlsx&amp;sheet=A0&amp;row=14&amp;col=15&amp;number=&amp;sourceID=5","")</f>
        <v/>
      </c>
      <c r="P14" s="4" t="str">
        <f>HYPERLINK("http://141.218.60.56/~jnz1568/getInfo.php?workbook=08_06.xlsx&amp;sheet=A0&amp;row=14&amp;col=16&amp;number=&amp;sourceID=5","")</f>
        <v/>
      </c>
      <c r="Q14" s="4" t="str">
        <f>HYPERLINK("http://141.218.60.56/~jnz1568/getInfo.php?workbook=08_06.xlsx&amp;sheet=A0&amp;row=14&amp;col=17&amp;number=&amp;sourceID=6","")</f>
        <v/>
      </c>
    </row>
    <row r="15" spans="1:17">
      <c r="A15" s="3">
        <v>8</v>
      </c>
      <c r="B15" s="3">
        <v>6</v>
      </c>
      <c r="C15" s="3">
        <v>6</v>
      </c>
      <c r="D15" s="3">
        <v>3</v>
      </c>
      <c r="E15" s="3">
        <f>((1/(INDEX(E0!J$4:J$49,C15,1)-INDEX(E0!J$4:J$49,D15,1))))*100000000</f>
        <v>0</v>
      </c>
      <c r="F15" s="4" t="str">
        <f>HYPERLINK("http://141.218.60.56/~jnz1568/getInfo.php?workbook=08_06.xlsx&amp;sheet=A0&amp;row=15&amp;col=6&amp;number=576.46&amp;sourceID=3","576.46")</f>
        <v>576.46</v>
      </c>
      <c r="G15" s="4" t="str">
        <f>HYPERLINK("http://141.218.60.56/~jnz1568/getInfo.php?workbook=08_06.xlsx&amp;sheet=A0&amp;row=15&amp;col=7&amp;number=&amp;sourceID=3","")</f>
        <v/>
      </c>
      <c r="H15" s="4" t="str">
        <f>HYPERLINK("http://141.218.60.56/~jnz1568/getInfo.php?workbook=08_06.xlsx&amp;sheet=A0&amp;row=15&amp;col=8&amp;number=&amp;sourceID=3","")</f>
        <v/>
      </c>
      <c r="I15" s="4" t="str">
        <f>HYPERLINK("http://141.218.60.56/~jnz1568/getInfo.php?workbook=08_06.xlsx&amp;sheet=A0&amp;row=15&amp;col=9&amp;number=0.0037148&amp;sourceID=3","0.0037148")</f>
        <v>0.0037148</v>
      </c>
      <c r="J15" s="4" t="str">
        <f>HYPERLINK("http://141.218.60.56/~jnz1568/getInfo.php?workbook=08_06.xlsx&amp;sheet=A0&amp;row=15&amp;col=10&amp;number=577.14&amp;sourceID=3","577.14")</f>
        <v>577.14</v>
      </c>
      <c r="K15" s="4" t="str">
        <f>HYPERLINK("http://141.218.60.56/~jnz1568/getInfo.php?workbook=08_06.xlsx&amp;sheet=A0&amp;row=15&amp;col=11&amp;number=&amp;sourceID=3","")</f>
        <v/>
      </c>
      <c r="L15" s="4" t="str">
        <f>HYPERLINK("http://141.218.60.56/~jnz1568/getInfo.php?workbook=08_06.xlsx&amp;sheet=A0&amp;row=15&amp;col=12&amp;number=&amp;sourceID=3","")</f>
        <v/>
      </c>
      <c r="M15" s="4" t="str">
        <f>HYPERLINK("http://141.218.60.56/~jnz1568/getInfo.php?workbook=08_06.xlsx&amp;sheet=A0&amp;row=15&amp;col=13&amp;number=0.0037794&amp;sourceID=3","0.0037794")</f>
        <v>0.0037794</v>
      </c>
      <c r="N15" s="4" t="str">
        <f>HYPERLINK("http://141.218.60.56/~jnz1568/getInfo.php?workbook=08_06.xlsx&amp;sheet=A0&amp;row=15&amp;col=14&amp;number=414.8&amp;sourceID=7","414.8")</f>
        <v>414.8</v>
      </c>
      <c r="O15" s="4" t="str">
        <f>HYPERLINK("http://141.218.60.56/~jnz1568/getInfo.php?workbook=08_06.xlsx&amp;sheet=A0&amp;row=15&amp;col=15&amp;number=&amp;sourceID=5","")</f>
        <v/>
      </c>
      <c r="P15" s="4" t="str">
        <f>HYPERLINK("http://141.218.60.56/~jnz1568/getInfo.php?workbook=08_06.xlsx&amp;sheet=A0&amp;row=15&amp;col=16&amp;number=&amp;sourceID=5","")</f>
        <v/>
      </c>
      <c r="Q15" s="4" t="str">
        <f>HYPERLINK("http://141.218.60.56/~jnz1568/getInfo.php?workbook=08_06.xlsx&amp;sheet=A0&amp;row=15&amp;col=17&amp;number=&amp;sourceID=6","")</f>
        <v/>
      </c>
    </row>
    <row r="16" spans="1:17">
      <c r="A16" s="3">
        <v>8</v>
      </c>
      <c r="B16" s="3">
        <v>6</v>
      </c>
      <c r="C16" s="3">
        <v>6</v>
      </c>
      <c r="D16" s="3">
        <v>4</v>
      </c>
      <c r="E16" s="3">
        <f>((1/(INDEX(E0!J$4:J$49,C16,1)-INDEX(E0!J$4:J$49,D16,1))))*100000000</f>
        <v>0</v>
      </c>
      <c r="F16" s="4" t="str">
        <f>HYPERLINK("http://141.218.60.56/~jnz1568/getInfo.php?workbook=08_06.xlsx&amp;sheet=A0&amp;row=16&amp;col=6&amp;number=0.0057774&amp;sourceID=3","0.0057774")</f>
        <v>0.0057774</v>
      </c>
      <c r="G16" s="4" t="str">
        <f>HYPERLINK("http://141.218.60.56/~jnz1568/getInfo.php?workbook=08_06.xlsx&amp;sheet=A0&amp;row=16&amp;col=7&amp;number=&amp;sourceID=3","")</f>
        <v/>
      </c>
      <c r="H16" s="4" t="str">
        <f>HYPERLINK("http://141.218.60.56/~jnz1568/getInfo.php?workbook=08_06.xlsx&amp;sheet=A0&amp;row=16&amp;col=8&amp;number=&amp;sourceID=3","")</f>
        <v/>
      </c>
      <c r="I16" s="4" t="str">
        <f>HYPERLINK("http://141.218.60.56/~jnz1568/getInfo.php?workbook=08_06.xlsx&amp;sheet=A0&amp;row=16&amp;col=9&amp;number=2.3165e-08&amp;sourceID=3","2.3165e-08")</f>
        <v>2.3165e-08</v>
      </c>
      <c r="J16" s="4" t="str">
        <f>HYPERLINK("http://141.218.60.56/~jnz1568/getInfo.php?workbook=08_06.xlsx&amp;sheet=A0&amp;row=16&amp;col=10&amp;number=0.0056004&amp;sourceID=3","0.0056004")</f>
        <v>0.0056004</v>
      </c>
      <c r="K16" s="4" t="str">
        <f>HYPERLINK("http://141.218.60.56/~jnz1568/getInfo.php?workbook=08_06.xlsx&amp;sheet=A0&amp;row=16&amp;col=11&amp;number=&amp;sourceID=3","")</f>
        <v/>
      </c>
      <c r="L16" s="4" t="str">
        <f>HYPERLINK("http://141.218.60.56/~jnz1568/getInfo.php?workbook=08_06.xlsx&amp;sheet=A0&amp;row=16&amp;col=12&amp;number=&amp;sourceID=3","")</f>
        <v/>
      </c>
      <c r="M16" s="4" t="str">
        <f>HYPERLINK("http://141.218.60.56/~jnz1568/getInfo.php?workbook=08_06.xlsx&amp;sheet=A0&amp;row=16&amp;col=13&amp;number=2.3177e-08&amp;sourceID=3","2.3177e-08")</f>
        <v>2.3177e-08</v>
      </c>
      <c r="N16" s="4" t="str">
        <f>HYPERLINK("http://141.218.60.56/~jnz1568/getInfo.php?workbook=08_06.xlsx&amp;sheet=A0&amp;row=16&amp;col=14&amp;number=0.0009213&amp;sourceID=7","0.0009213")</f>
        <v>0.0009213</v>
      </c>
      <c r="O16" s="4" t="str">
        <f>HYPERLINK("http://141.218.60.56/~jnz1568/getInfo.php?workbook=08_06.xlsx&amp;sheet=A0&amp;row=16&amp;col=15&amp;number=&amp;sourceID=5","")</f>
        <v/>
      </c>
      <c r="P16" s="4" t="str">
        <f>HYPERLINK("http://141.218.60.56/~jnz1568/getInfo.php?workbook=08_06.xlsx&amp;sheet=A0&amp;row=16&amp;col=16&amp;number=&amp;sourceID=5","")</f>
        <v/>
      </c>
      <c r="Q16" s="4" t="str">
        <f>HYPERLINK("http://141.218.60.56/~jnz1568/getInfo.php?workbook=08_06.xlsx&amp;sheet=A0&amp;row=16&amp;col=17&amp;number=&amp;sourceID=6","")</f>
        <v/>
      </c>
    </row>
    <row r="17" spans="1:17">
      <c r="A17" s="3">
        <v>8</v>
      </c>
      <c r="B17" s="3">
        <v>6</v>
      </c>
      <c r="C17" s="3">
        <v>6</v>
      </c>
      <c r="D17" s="3">
        <v>5</v>
      </c>
      <c r="E17" s="3">
        <f>((1/(INDEX(E0!J$4:J$49,C17,1)-INDEX(E0!J$4:J$49,D17,1))))*100000000</f>
        <v>0</v>
      </c>
      <c r="F17" s="4" t="str">
        <f>HYPERLINK("http://141.218.60.56/~jnz1568/getInfo.php?workbook=08_06.xlsx&amp;sheet=A0&amp;row=17&amp;col=6&amp;number=&amp;sourceID=3","")</f>
        <v/>
      </c>
      <c r="G17" s="4" t="str">
        <f>HYPERLINK("http://141.218.60.56/~jnz1568/getInfo.php?workbook=08_06.xlsx&amp;sheet=A0&amp;row=17&amp;col=7&amp;number=&amp;sourceID=3","")</f>
        <v/>
      </c>
      <c r="H17" s="4" t="str">
        <f>HYPERLINK("http://141.218.60.56/~jnz1568/getInfo.php?workbook=08_06.xlsx&amp;sheet=A0&amp;row=17&amp;col=8&amp;number=&amp;sourceID=3","")</f>
        <v/>
      </c>
      <c r="I17" s="4" t="str">
        <f>HYPERLINK("http://141.218.60.56/~jnz1568/getInfo.php?workbook=08_06.xlsx&amp;sheet=A0&amp;row=17&amp;col=9&amp;number=3.763e-11&amp;sourceID=3","3.763e-11")</f>
        <v>3.763e-11</v>
      </c>
      <c r="J17" s="4" t="str">
        <f>HYPERLINK("http://141.218.60.56/~jnz1568/getInfo.php?workbook=08_06.xlsx&amp;sheet=A0&amp;row=17&amp;col=10&amp;number=&amp;sourceID=3","")</f>
        <v/>
      </c>
      <c r="K17" s="4" t="str">
        <f>HYPERLINK("http://141.218.60.56/~jnz1568/getInfo.php?workbook=08_06.xlsx&amp;sheet=A0&amp;row=17&amp;col=11&amp;number=&amp;sourceID=3","")</f>
        <v/>
      </c>
      <c r="L17" s="4" t="str">
        <f>HYPERLINK("http://141.218.60.56/~jnz1568/getInfo.php?workbook=08_06.xlsx&amp;sheet=A0&amp;row=17&amp;col=12&amp;number=&amp;sourceID=3","")</f>
        <v/>
      </c>
      <c r="M17" s="4" t="str">
        <f>HYPERLINK("http://141.218.60.56/~jnz1568/getInfo.php?workbook=08_06.xlsx&amp;sheet=A0&amp;row=17&amp;col=13&amp;number=3.8902e-11&amp;sourceID=3","3.8902e-11")</f>
        <v>3.8902e-11</v>
      </c>
      <c r="N17" s="4" t="str">
        <f>HYPERLINK("http://141.218.60.56/~jnz1568/getInfo.php?workbook=08_06.xlsx&amp;sheet=A0&amp;row=17&amp;col=14&amp;number=&amp;sourceID=7","")</f>
        <v/>
      </c>
      <c r="O17" s="4" t="str">
        <f>HYPERLINK("http://141.218.60.56/~jnz1568/getInfo.php?workbook=08_06.xlsx&amp;sheet=A0&amp;row=17&amp;col=15&amp;number=&amp;sourceID=5","")</f>
        <v/>
      </c>
      <c r="P17" s="4" t="str">
        <f>HYPERLINK("http://141.218.60.56/~jnz1568/getInfo.php?workbook=08_06.xlsx&amp;sheet=A0&amp;row=17&amp;col=16&amp;number=&amp;sourceID=5","")</f>
        <v/>
      </c>
      <c r="Q17" s="4" t="str">
        <f>HYPERLINK("http://141.218.60.56/~jnz1568/getInfo.php?workbook=08_06.xlsx&amp;sheet=A0&amp;row=17&amp;col=17&amp;number=&amp;sourceID=6","")</f>
        <v/>
      </c>
    </row>
    <row r="18" spans="1:17">
      <c r="A18" s="3">
        <v>8</v>
      </c>
      <c r="B18" s="3">
        <v>6</v>
      </c>
      <c r="C18" s="3">
        <v>7</v>
      </c>
      <c r="D18" s="3">
        <v>2</v>
      </c>
      <c r="E18" s="3">
        <f>((1/(INDEX(E0!J$4:J$49,C18,1)-INDEX(E0!J$4:J$49,D18,1))))*100000000</f>
        <v>0</v>
      </c>
      <c r="F18" s="4" t="str">
        <f>HYPERLINK("http://141.218.60.56/~jnz1568/getInfo.php?workbook=08_06.xlsx&amp;sheet=A0&amp;row=18&amp;col=6&amp;number=&amp;sourceID=3","")</f>
        <v/>
      </c>
      <c r="G18" s="4" t="str">
        <f>HYPERLINK("http://141.218.60.56/~jnz1568/getInfo.php?workbook=08_06.xlsx&amp;sheet=A0&amp;row=18&amp;col=7&amp;number=&amp;sourceID=3","")</f>
        <v/>
      </c>
      <c r="H18" s="4" t="str">
        <f>HYPERLINK("http://141.218.60.56/~jnz1568/getInfo.php?workbook=08_06.xlsx&amp;sheet=A0&amp;row=18&amp;col=8&amp;number=&amp;sourceID=3","")</f>
        <v/>
      </c>
      <c r="I18" s="4" t="str">
        <f>HYPERLINK("http://141.218.60.56/~jnz1568/getInfo.php?workbook=08_06.xlsx&amp;sheet=A0&amp;row=18&amp;col=9&amp;number=0.058321&amp;sourceID=3","0.058321")</f>
        <v>0.058321</v>
      </c>
      <c r="J18" s="4" t="str">
        <f>HYPERLINK("http://141.218.60.56/~jnz1568/getInfo.php?workbook=08_06.xlsx&amp;sheet=A0&amp;row=18&amp;col=10&amp;number=&amp;sourceID=3","")</f>
        <v/>
      </c>
      <c r="K18" s="4" t="str">
        <f>HYPERLINK("http://141.218.60.56/~jnz1568/getInfo.php?workbook=08_06.xlsx&amp;sheet=A0&amp;row=18&amp;col=11&amp;number=&amp;sourceID=3","")</f>
        <v/>
      </c>
      <c r="L18" s="4" t="str">
        <f>HYPERLINK("http://141.218.60.56/~jnz1568/getInfo.php?workbook=08_06.xlsx&amp;sheet=A0&amp;row=18&amp;col=12&amp;number=&amp;sourceID=3","")</f>
        <v/>
      </c>
      <c r="M18" s="4" t="str">
        <f>HYPERLINK("http://141.218.60.56/~jnz1568/getInfo.php?workbook=08_06.xlsx&amp;sheet=A0&amp;row=18&amp;col=13&amp;number=0.059398&amp;sourceID=3","0.059398")</f>
        <v>0.059398</v>
      </c>
      <c r="N18" s="4" t="str">
        <f>HYPERLINK("http://141.218.60.56/~jnz1568/getInfo.php?workbook=08_06.xlsx&amp;sheet=A0&amp;row=18&amp;col=14&amp;number=&amp;sourceID=7","")</f>
        <v/>
      </c>
      <c r="O18" s="4" t="str">
        <f>HYPERLINK("http://141.218.60.56/~jnz1568/getInfo.php?workbook=08_06.xlsx&amp;sheet=A0&amp;row=18&amp;col=15&amp;number=&amp;sourceID=5","")</f>
        <v/>
      </c>
      <c r="P18" s="4" t="str">
        <f>HYPERLINK("http://141.218.60.56/~jnz1568/getInfo.php?workbook=08_06.xlsx&amp;sheet=A0&amp;row=18&amp;col=16&amp;number=&amp;sourceID=5","")</f>
        <v/>
      </c>
      <c r="Q18" s="4" t="str">
        <f>HYPERLINK("http://141.218.60.56/~jnz1568/getInfo.php?workbook=08_06.xlsx&amp;sheet=A0&amp;row=18&amp;col=17&amp;number=&amp;sourceID=6","")</f>
        <v/>
      </c>
    </row>
    <row r="19" spans="1:17">
      <c r="A19" s="3">
        <v>8</v>
      </c>
      <c r="B19" s="3">
        <v>6</v>
      </c>
      <c r="C19" s="3">
        <v>7</v>
      </c>
      <c r="D19" s="3">
        <v>3</v>
      </c>
      <c r="E19" s="3">
        <f>((1/(INDEX(E0!J$4:J$49,C19,1)-INDEX(E0!J$4:J$49,D19,1))))*100000000</f>
        <v>0</v>
      </c>
      <c r="F19" s="4" t="str">
        <f>HYPERLINK("http://141.218.60.56/~jnz1568/getInfo.php?workbook=08_06.xlsx&amp;sheet=A0&amp;row=19&amp;col=6&amp;number=613750000&amp;sourceID=3","613750000")</f>
        <v>613750000</v>
      </c>
      <c r="G19" s="4" t="str">
        <f>HYPERLINK("http://141.218.60.56/~jnz1568/getInfo.php?workbook=08_06.xlsx&amp;sheet=A0&amp;row=19&amp;col=7&amp;number=&amp;sourceID=3","")</f>
        <v/>
      </c>
      <c r="H19" s="4" t="str">
        <f>HYPERLINK("http://141.218.60.56/~jnz1568/getInfo.php?workbook=08_06.xlsx&amp;sheet=A0&amp;row=19&amp;col=8&amp;number=&amp;sourceID=3","")</f>
        <v/>
      </c>
      <c r="I19" s="4" t="str">
        <f>HYPERLINK("http://141.218.60.56/~jnz1568/getInfo.php?workbook=08_06.xlsx&amp;sheet=A0&amp;row=19&amp;col=9&amp;number=0.13887&amp;sourceID=3","0.13887")</f>
        <v>0.13887</v>
      </c>
      <c r="J19" s="4" t="str">
        <f>HYPERLINK("http://141.218.60.56/~jnz1568/getInfo.php?workbook=08_06.xlsx&amp;sheet=A0&amp;row=19&amp;col=10&amp;number=620560000&amp;sourceID=3","620560000")</f>
        <v>620560000</v>
      </c>
      <c r="K19" s="4" t="str">
        <f>HYPERLINK("http://141.218.60.56/~jnz1568/getInfo.php?workbook=08_06.xlsx&amp;sheet=A0&amp;row=19&amp;col=11&amp;number=&amp;sourceID=3","")</f>
        <v/>
      </c>
      <c r="L19" s="4" t="str">
        <f>HYPERLINK("http://141.218.60.56/~jnz1568/getInfo.php?workbook=08_06.xlsx&amp;sheet=A0&amp;row=19&amp;col=12&amp;number=&amp;sourceID=3","")</f>
        <v/>
      </c>
      <c r="M19" s="4" t="str">
        <f>HYPERLINK("http://141.218.60.56/~jnz1568/getInfo.php?workbook=08_06.xlsx&amp;sheet=A0&amp;row=19&amp;col=13&amp;number=0.14143&amp;sourceID=3","0.14143")</f>
        <v>0.14143</v>
      </c>
      <c r="N19" s="4" t="str">
        <f>HYPERLINK("http://141.218.60.56/~jnz1568/getInfo.php?workbook=08_06.xlsx&amp;sheet=A0&amp;row=19&amp;col=14&amp;number=618200000&amp;sourceID=7","618200000")</f>
        <v>618200000</v>
      </c>
      <c r="O19" s="4" t="str">
        <f>HYPERLINK("http://141.218.60.56/~jnz1568/getInfo.php?workbook=08_06.xlsx&amp;sheet=A0&amp;row=19&amp;col=15&amp;number=&amp;sourceID=5","")</f>
        <v/>
      </c>
      <c r="P19" s="4" t="str">
        <f>HYPERLINK("http://141.218.60.56/~jnz1568/getInfo.php?workbook=08_06.xlsx&amp;sheet=A0&amp;row=19&amp;col=16&amp;number=&amp;sourceID=5","")</f>
        <v/>
      </c>
      <c r="Q19" s="4" t="str">
        <f>HYPERLINK("http://141.218.60.56/~jnz1568/getInfo.php?workbook=08_06.xlsx&amp;sheet=A0&amp;row=19&amp;col=17&amp;number=&amp;sourceID=6","")</f>
        <v/>
      </c>
    </row>
    <row r="20" spans="1:17">
      <c r="A20" s="3">
        <v>8</v>
      </c>
      <c r="B20" s="3">
        <v>6</v>
      </c>
      <c r="C20" s="3">
        <v>7</v>
      </c>
      <c r="D20" s="3">
        <v>4</v>
      </c>
      <c r="E20" s="3">
        <f>((1/(INDEX(E0!J$4:J$49,C20,1)-INDEX(E0!J$4:J$49,D20,1))))*100000000</f>
        <v>0</v>
      </c>
      <c r="F20" s="4" t="str">
        <f>HYPERLINK("http://141.218.60.56/~jnz1568/getInfo.php?workbook=08_06.xlsx&amp;sheet=A0&amp;row=20&amp;col=6&amp;number=21080&amp;sourceID=3","21080")</f>
        <v>21080</v>
      </c>
      <c r="G20" s="4" t="str">
        <f>HYPERLINK("http://141.218.60.56/~jnz1568/getInfo.php?workbook=08_06.xlsx&amp;sheet=A0&amp;row=20&amp;col=7&amp;number=&amp;sourceID=3","")</f>
        <v/>
      </c>
      <c r="H20" s="4" t="str">
        <f>HYPERLINK("http://141.218.60.56/~jnz1568/getInfo.php?workbook=08_06.xlsx&amp;sheet=A0&amp;row=20&amp;col=8&amp;number=&amp;sourceID=3","")</f>
        <v/>
      </c>
      <c r="I20" s="4" t="str">
        <f>HYPERLINK("http://141.218.60.56/~jnz1568/getInfo.php?workbook=08_06.xlsx&amp;sheet=A0&amp;row=20&amp;col=9&amp;number=0.080834&amp;sourceID=3","0.080834")</f>
        <v>0.080834</v>
      </c>
      <c r="J20" s="4" t="str">
        <f>HYPERLINK("http://141.218.60.56/~jnz1568/getInfo.php?workbook=08_06.xlsx&amp;sheet=A0&amp;row=20&amp;col=10&amp;number=20926&amp;sourceID=3","20926")</f>
        <v>20926</v>
      </c>
      <c r="K20" s="4" t="str">
        <f>HYPERLINK("http://141.218.60.56/~jnz1568/getInfo.php?workbook=08_06.xlsx&amp;sheet=A0&amp;row=20&amp;col=11&amp;number=&amp;sourceID=3","")</f>
        <v/>
      </c>
      <c r="L20" s="4" t="str">
        <f>HYPERLINK("http://141.218.60.56/~jnz1568/getInfo.php?workbook=08_06.xlsx&amp;sheet=A0&amp;row=20&amp;col=12&amp;number=&amp;sourceID=3","")</f>
        <v/>
      </c>
      <c r="M20" s="4" t="str">
        <f>HYPERLINK("http://141.218.60.56/~jnz1568/getInfo.php?workbook=08_06.xlsx&amp;sheet=A0&amp;row=20&amp;col=13&amp;number=0.082241&amp;sourceID=3","0.082241")</f>
        <v>0.082241</v>
      </c>
      <c r="N20" s="4" t="str">
        <f>HYPERLINK("http://141.218.60.56/~jnz1568/getInfo.php?workbook=08_06.xlsx&amp;sheet=A0&amp;row=20&amp;col=14&amp;number=13290&amp;sourceID=7","13290")</f>
        <v>13290</v>
      </c>
      <c r="O20" s="4" t="str">
        <f>HYPERLINK("http://141.218.60.56/~jnz1568/getInfo.php?workbook=08_06.xlsx&amp;sheet=A0&amp;row=20&amp;col=15&amp;number=&amp;sourceID=5","")</f>
        <v/>
      </c>
      <c r="P20" s="4" t="str">
        <f>HYPERLINK("http://141.218.60.56/~jnz1568/getInfo.php?workbook=08_06.xlsx&amp;sheet=A0&amp;row=20&amp;col=16&amp;number=&amp;sourceID=5","")</f>
        <v/>
      </c>
      <c r="Q20" s="4" t="str">
        <f>HYPERLINK("http://141.218.60.56/~jnz1568/getInfo.php?workbook=08_06.xlsx&amp;sheet=A0&amp;row=20&amp;col=17&amp;number=&amp;sourceID=6","")</f>
        <v/>
      </c>
    </row>
    <row r="21" spans="1:17">
      <c r="A21" s="3">
        <v>8</v>
      </c>
      <c r="B21" s="3">
        <v>6</v>
      </c>
      <c r="C21" s="3">
        <v>7</v>
      </c>
      <c r="D21" s="3">
        <v>6</v>
      </c>
      <c r="E21" s="3">
        <f>((1/(INDEX(E0!J$4:J$49,C21,1)-INDEX(E0!J$4:J$49,D21,1))))*100000000</f>
        <v>0</v>
      </c>
      <c r="F21" s="4" t="str">
        <f>HYPERLINK("http://141.218.60.56/~jnz1568/getInfo.php?workbook=08_06.xlsx&amp;sheet=A0&amp;row=21&amp;col=6&amp;number=&amp;sourceID=3","")</f>
        <v/>
      </c>
      <c r="G21" s="4" t="str">
        <f>HYPERLINK("http://141.218.60.56/~jnz1568/getInfo.php?workbook=08_06.xlsx&amp;sheet=A0&amp;row=21&amp;col=7&amp;number=0.00036425&amp;sourceID=3","0.00036425")</f>
        <v>0.00036425</v>
      </c>
      <c r="H21" s="4" t="str">
        <f>HYPERLINK("http://141.218.60.56/~jnz1568/getInfo.php?workbook=08_06.xlsx&amp;sheet=A0&amp;row=21&amp;col=8&amp;number=6.8405e-05&amp;sourceID=3","6.8405e-05")</f>
        <v>6.8405e-05</v>
      </c>
      <c r="I21" s="4" t="str">
        <f>HYPERLINK("http://141.218.60.56/~jnz1568/getInfo.php?workbook=08_06.xlsx&amp;sheet=A0&amp;row=21&amp;col=9&amp;number=&amp;sourceID=3","")</f>
        <v/>
      </c>
      <c r="J21" s="4" t="str">
        <f>HYPERLINK("http://141.218.60.56/~jnz1568/getInfo.php?workbook=08_06.xlsx&amp;sheet=A0&amp;row=21&amp;col=10&amp;number=&amp;sourceID=3","")</f>
        <v/>
      </c>
      <c r="K21" s="4" t="str">
        <f>HYPERLINK("http://141.218.60.56/~jnz1568/getInfo.php?workbook=08_06.xlsx&amp;sheet=A0&amp;row=21&amp;col=11&amp;number=&amp;sourceID=3","")</f>
        <v/>
      </c>
      <c r="L21" s="4" t="str">
        <f>HYPERLINK("http://141.218.60.56/~jnz1568/getInfo.php?workbook=08_06.xlsx&amp;sheet=A0&amp;row=21&amp;col=12&amp;number=&amp;sourceID=3","")</f>
        <v/>
      </c>
      <c r="M21" s="4" t="str">
        <f>HYPERLINK("http://141.218.60.56/~jnz1568/getInfo.php?workbook=08_06.xlsx&amp;sheet=A0&amp;row=21&amp;col=13&amp;number=&amp;sourceID=3","")</f>
        <v/>
      </c>
      <c r="N21" s="4" t="str">
        <f>HYPERLINK("http://141.218.60.56/~jnz1568/getInfo.php?workbook=08_06.xlsx&amp;sheet=A0&amp;row=21&amp;col=14&amp;number=&amp;sourceID=7","")</f>
        <v/>
      </c>
      <c r="O21" s="4" t="str">
        <f>HYPERLINK("http://141.218.60.56/~jnz1568/getInfo.php?workbook=08_06.xlsx&amp;sheet=A0&amp;row=21&amp;col=15&amp;number=&amp;sourceID=5","")</f>
        <v/>
      </c>
      <c r="P21" s="4" t="str">
        <f>HYPERLINK("http://141.218.60.56/~jnz1568/getInfo.php?workbook=08_06.xlsx&amp;sheet=A0&amp;row=21&amp;col=16&amp;number=&amp;sourceID=5","")</f>
        <v/>
      </c>
      <c r="Q21" s="4" t="str">
        <f>HYPERLINK("http://141.218.60.56/~jnz1568/getInfo.php?workbook=08_06.xlsx&amp;sheet=A0&amp;row=21&amp;col=17&amp;number=&amp;sourceID=6","")</f>
        <v/>
      </c>
    </row>
    <row r="22" spans="1:17">
      <c r="A22" s="3">
        <v>8</v>
      </c>
      <c r="B22" s="3">
        <v>6</v>
      </c>
      <c r="C22" s="3">
        <v>8</v>
      </c>
      <c r="D22" s="3">
        <v>1</v>
      </c>
      <c r="E22" s="3">
        <f>((1/(INDEX(E0!J$4:J$49,C22,1)-INDEX(E0!J$4:J$49,D22,1))))*100000000</f>
        <v>0</v>
      </c>
      <c r="F22" s="4" t="str">
        <f>HYPERLINK("http://141.218.60.56/~jnz1568/getInfo.php?workbook=08_06.xlsx&amp;sheet=A0&amp;row=22&amp;col=6&amp;number=&amp;sourceID=3","")</f>
        <v/>
      </c>
      <c r="G22" s="4" t="str">
        <f>HYPERLINK("http://141.218.60.56/~jnz1568/getInfo.php?workbook=08_06.xlsx&amp;sheet=A0&amp;row=22&amp;col=7&amp;number=&amp;sourceID=3","")</f>
        <v/>
      </c>
      <c r="H22" s="4" t="str">
        <f>HYPERLINK("http://141.218.60.56/~jnz1568/getInfo.php?workbook=08_06.xlsx&amp;sheet=A0&amp;row=22&amp;col=8&amp;number=&amp;sourceID=3","")</f>
        <v/>
      </c>
      <c r="I22" s="4" t="str">
        <f>HYPERLINK("http://141.218.60.56/~jnz1568/getInfo.php?workbook=08_06.xlsx&amp;sheet=A0&amp;row=22&amp;col=9&amp;number=0.059021&amp;sourceID=3","0.059021")</f>
        <v>0.059021</v>
      </c>
      <c r="J22" s="4" t="str">
        <f>HYPERLINK("http://141.218.60.56/~jnz1568/getInfo.php?workbook=08_06.xlsx&amp;sheet=A0&amp;row=22&amp;col=10&amp;number=&amp;sourceID=3","")</f>
        <v/>
      </c>
      <c r="K22" s="4" t="str">
        <f>HYPERLINK("http://141.218.60.56/~jnz1568/getInfo.php?workbook=08_06.xlsx&amp;sheet=A0&amp;row=22&amp;col=11&amp;number=&amp;sourceID=3","")</f>
        <v/>
      </c>
      <c r="L22" s="4" t="str">
        <f>HYPERLINK("http://141.218.60.56/~jnz1568/getInfo.php?workbook=08_06.xlsx&amp;sheet=A0&amp;row=22&amp;col=12&amp;number=&amp;sourceID=3","")</f>
        <v/>
      </c>
      <c r="M22" s="4" t="str">
        <f>HYPERLINK("http://141.218.60.56/~jnz1568/getInfo.php?workbook=08_06.xlsx&amp;sheet=A0&amp;row=22&amp;col=13&amp;number=0.06011&amp;sourceID=3","0.06011")</f>
        <v>0.06011</v>
      </c>
      <c r="N22" s="4" t="str">
        <f>HYPERLINK("http://141.218.60.56/~jnz1568/getInfo.php?workbook=08_06.xlsx&amp;sheet=A0&amp;row=22&amp;col=14&amp;number=&amp;sourceID=7","")</f>
        <v/>
      </c>
      <c r="O22" s="4" t="str">
        <f>HYPERLINK("http://141.218.60.56/~jnz1568/getInfo.php?workbook=08_06.xlsx&amp;sheet=A0&amp;row=22&amp;col=15&amp;number=&amp;sourceID=5","")</f>
        <v/>
      </c>
      <c r="P22" s="4" t="str">
        <f>HYPERLINK("http://141.218.60.56/~jnz1568/getInfo.php?workbook=08_06.xlsx&amp;sheet=A0&amp;row=22&amp;col=16&amp;number=&amp;sourceID=5","")</f>
        <v/>
      </c>
      <c r="Q22" s="4" t="str">
        <f>HYPERLINK("http://141.218.60.56/~jnz1568/getInfo.php?workbook=08_06.xlsx&amp;sheet=A0&amp;row=22&amp;col=17&amp;number=&amp;sourceID=6","")</f>
        <v/>
      </c>
    </row>
    <row r="23" spans="1:17">
      <c r="A23" s="3">
        <v>8</v>
      </c>
      <c r="B23" s="3">
        <v>6</v>
      </c>
      <c r="C23" s="3">
        <v>8</v>
      </c>
      <c r="D23" s="3">
        <v>2</v>
      </c>
      <c r="E23" s="3">
        <f>((1/(INDEX(E0!J$4:J$49,C23,1)-INDEX(E0!J$4:J$49,D23,1))))*100000000</f>
        <v>0</v>
      </c>
      <c r="F23" s="4" t="str">
        <f>HYPERLINK("http://141.218.60.56/~jnz1568/getInfo.php?workbook=08_06.xlsx&amp;sheet=A0&amp;row=23&amp;col=6&amp;number=469270000&amp;sourceID=3","469270000")</f>
        <v>469270000</v>
      </c>
      <c r="G23" s="4" t="str">
        <f>HYPERLINK("http://141.218.60.56/~jnz1568/getInfo.php?workbook=08_06.xlsx&amp;sheet=A0&amp;row=23&amp;col=7&amp;number=&amp;sourceID=3","")</f>
        <v/>
      </c>
      <c r="H23" s="4" t="str">
        <f>HYPERLINK("http://141.218.60.56/~jnz1568/getInfo.php?workbook=08_06.xlsx&amp;sheet=A0&amp;row=23&amp;col=8&amp;number=&amp;sourceID=3","")</f>
        <v/>
      </c>
      <c r="I23" s="4" t="str">
        <f>HYPERLINK("http://141.218.60.56/~jnz1568/getInfo.php?workbook=08_06.xlsx&amp;sheet=A0&amp;row=23&amp;col=9&amp;number=0.066221&amp;sourceID=3","0.066221")</f>
        <v>0.066221</v>
      </c>
      <c r="J23" s="4" t="str">
        <f>HYPERLINK("http://141.218.60.56/~jnz1568/getInfo.php?workbook=08_06.xlsx&amp;sheet=A0&amp;row=23&amp;col=10&amp;number=474430000&amp;sourceID=3","474430000")</f>
        <v>474430000</v>
      </c>
      <c r="K23" s="4" t="str">
        <f>HYPERLINK("http://141.218.60.56/~jnz1568/getInfo.php?workbook=08_06.xlsx&amp;sheet=A0&amp;row=23&amp;col=11&amp;number=&amp;sourceID=3","")</f>
        <v/>
      </c>
      <c r="L23" s="4" t="str">
        <f>HYPERLINK("http://141.218.60.56/~jnz1568/getInfo.php?workbook=08_06.xlsx&amp;sheet=A0&amp;row=23&amp;col=12&amp;number=&amp;sourceID=3","")</f>
        <v/>
      </c>
      <c r="M23" s="4" t="str">
        <f>HYPERLINK("http://141.218.60.56/~jnz1568/getInfo.php?workbook=08_06.xlsx&amp;sheet=A0&amp;row=23&amp;col=13&amp;number=0.067438&amp;sourceID=3","0.067438")</f>
        <v>0.067438</v>
      </c>
      <c r="N23" s="4" t="str">
        <f>HYPERLINK("http://141.218.60.56/~jnz1568/getInfo.php?workbook=08_06.xlsx&amp;sheet=A0&amp;row=23&amp;col=14&amp;number=471600000&amp;sourceID=7","471600000")</f>
        <v>471600000</v>
      </c>
      <c r="O23" s="4" t="str">
        <f>HYPERLINK("http://141.218.60.56/~jnz1568/getInfo.php?workbook=08_06.xlsx&amp;sheet=A0&amp;row=23&amp;col=15&amp;number=&amp;sourceID=5","")</f>
        <v/>
      </c>
      <c r="P23" s="4" t="str">
        <f>HYPERLINK("http://141.218.60.56/~jnz1568/getInfo.php?workbook=08_06.xlsx&amp;sheet=A0&amp;row=23&amp;col=16&amp;number=&amp;sourceID=5","")</f>
        <v/>
      </c>
      <c r="Q23" s="4" t="str">
        <f>HYPERLINK("http://141.218.60.56/~jnz1568/getInfo.php?workbook=08_06.xlsx&amp;sheet=A0&amp;row=23&amp;col=17&amp;number=&amp;sourceID=6","")</f>
        <v/>
      </c>
    </row>
    <row r="24" spans="1:17">
      <c r="A24" s="3">
        <v>8</v>
      </c>
      <c r="B24" s="3">
        <v>6</v>
      </c>
      <c r="C24" s="3">
        <v>8</v>
      </c>
      <c r="D24" s="3">
        <v>3</v>
      </c>
      <c r="E24" s="3">
        <f>((1/(INDEX(E0!J$4:J$49,C24,1)-INDEX(E0!J$4:J$49,D24,1))))*100000000</f>
        <v>0</v>
      </c>
      <c r="F24" s="4" t="str">
        <f>HYPERLINK("http://141.218.60.56/~jnz1568/getInfo.php?workbook=08_06.xlsx&amp;sheet=A0&amp;row=24&amp;col=6&amp;number=147820000&amp;sourceID=3","147820000")</f>
        <v>147820000</v>
      </c>
      <c r="G24" s="4" t="str">
        <f>HYPERLINK("http://141.218.60.56/~jnz1568/getInfo.php?workbook=08_06.xlsx&amp;sheet=A0&amp;row=24&amp;col=7&amp;number=&amp;sourceID=3","")</f>
        <v/>
      </c>
      <c r="H24" s="4" t="str">
        <f>HYPERLINK("http://141.218.60.56/~jnz1568/getInfo.php?workbook=08_06.xlsx&amp;sheet=A0&amp;row=24&amp;col=8&amp;number=&amp;sourceID=3","")</f>
        <v/>
      </c>
      <c r="I24" s="4" t="str">
        <f>HYPERLINK("http://141.218.60.56/~jnz1568/getInfo.php?workbook=08_06.xlsx&amp;sheet=A0&amp;row=24&amp;col=9&amp;number=5.7093e-05&amp;sourceID=3","5.7093e-05")</f>
        <v>5.7093e-05</v>
      </c>
      <c r="J24" s="4" t="str">
        <f>HYPERLINK("http://141.218.60.56/~jnz1568/getInfo.php?workbook=08_06.xlsx&amp;sheet=A0&amp;row=24&amp;col=10&amp;number=149450000&amp;sourceID=3","149450000")</f>
        <v>149450000</v>
      </c>
      <c r="K24" s="4" t="str">
        <f>HYPERLINK("http://141.218.60.56/~jnz1568/getInfo.php?workbook=08_06.xlsx&amp;sheet=A0&amp;row=24&amp;col=11&amp;number=&amp;sourceID=3","")</f>
        <v/>
      </c>
      <c r="L24" s="4" t="str">
        <f>HYPERLINK("http://141.218.60.56/~jnz1568/getInfo.php?workbook=08_06.xlsx&amp;sheet=A0&amp;row=24&amp;col=12&amp;number=&amp;sourceID=3","")</f>
        <v/>
      </c>
      <c r="M24" s="4" t="str">
        <f>HYPERLINK("http://141.218.60.56/~jnz1568/getInfo.php?workbook=08_06.xlsx&amp;sheet=A0&amp;row=24&amp;col=13&amp;number=5.8843e-05&amp;sourceID=3","5.8843e-05")</f>
        <v>5.8843e-05</v>
      </c>
      <c r="N24" s="4" t="str">
        <f>HYPERLINK("http://141.218.60.56/~jnz1568/getInfo.php?workbook=08_06.xlsx&amp;sheet=A0&amp;row=24&amp;col=14&amp;number=149700000&amp;sourceID=7","149700000")</f>
        <v>149700000</v>
      </c>
      <c r="O24" s="4" t="str">
        <f>HYPERLINK("http://141.218.60.56/~jnz1568/getInfo.php?workbook=08_06.xlsx&amp;sheet=A0&amp;row=24&amp;col=15&amp;number=&amp;sourceID=5","")</f>
        <v/>
      </c>
      <c r="P24" s="4" t="str">
        <f>HYPERLINK("http://141.218.60.56/~jnz1568/getInfo.php?workbook=08_06.xlsx&amp;sheet=A0&amp;row=24&amp;col=16&amp;number=&amp;sourceID=5","")</f>
        <v/>
      </c>
      <c r="Q24" s="4" t="str">
        <f>HYPERLINK("http://141.218.60.56/~jnz1568/getInfo.php?workbook=08_06.xlsx&amp;sheet=A0&amp;row=24&amp;col=17&amp;number=&amp;sourceID=6","")</f>
        <v/>
      </c>
    </row>
    <row r="25" spans="1:17">
      <c r="A25" s="3">
        <v>8</v>
      </c>
      <c r="B25" s="3">
        <v>6</v>
      </c>
      <c r="C25" s="3">
        <v>8</v>
      </c>
      <c r="D25" s="3">
        <v>4</v>
      </c>
      <c r="E25" s="3">
        <f>((1/(INDEX(E0!J$4:J$49,C25,1)-INDEX(E0!J$4:J$49,D25,1))))*100000000</f>
        <v>0</v>
      </c>
      <c r="F25" s="4" t="str">
        <f>HYPERLINK("http://141.218.60.56/~jnz1568/getInfo.php?workbook=08_06.xlsx&amp;sheet=A0&amp;row=25&amp;col=6&amp;number=4092.8&amp;sourceID=3","4092.8")</f>
        <v>4092.8</v>
      </c>
      <c r="G25" s="4" t="str">
        <f>HYPERLINK("http://141.218.60.56/~jnz1568/getInfo.php?workbook=08_06.xlsx&amp;sheet=A0&amp;row=25&amp;col=7&amp;number=&amp;sourceID=3","")</f>
        <v/>
      </c>
      <c r="H25" s="4" t="str">
        <f>HYPERLINK("http://141.218.60.56/~jnz1568/getInfo.php?workbook=08_06.xlsx&amp;sheet=A0&amp;row=25&amp;col=8&amp;number=&amp;sourceID=3","")</f>
        <v/>
      </c>
      <c r="I25" s="4" t="str">
        <f>HYPERLINK("http://141.218.60.56/~jnz1568/getInfo.php?workbook=08_06.xlsx&amp;sheet=A0&amp;row=25&amp;col=9&amp;number=0.071317&amp;sourceID=3","0.071317")</f>
        <v>0.071317</v>
      </c>
      <c r="J25" s="4" t="str">
        <f>HYPERLINK("http://141.218.60.56/~jnz1568/getInfo.php?workbook=08_06.xlsx&amp;sheet=A0&amp;row=25&amp;col=10&amp;number=4186.4&amp;sourceID=3","4186.4")</f>
        <v>4186.4</v>
      </c>
      <c r="K25" s="4" t="str">
        <f>HYPERLINK("http://141.218.60.56/~jnz1568/getInfo.php?workbook=08_06.xlsx&amp;sheet=A0&amp;row=25&amp;col=11&amp;number=&amp;sourceID=3","")</f>
        <v/>
      </c>
      <c r="L25" s="4" t="str">
        <f>HYPERLINK("http://141.218.60.56/~jnz1568/getInfo.php?workbook=08_06.xlsx&amp;sheet=A0&amp;row=25&amp;col=12&amp;number=&amp;sourceID=3","")</f>
        <v/>
      </c>
      <c r="M25" s="4" t="str">
        <f>HYPERLINK("http://141.218.60.56/~jnz1568/getInfo.php?workbook=08_06.xlsx&amp;sheet=A0&amp;row=25&amp;col=13&amp;number=0.072551&amp;sourceID=3","0.072551")</f>
        <v>0.072551</v>
      </c>
      <c r="N25" s="4" t="str">
        <f>HYPERLINK("http://141.218.60.56/~jnz1568/getInfo.php?workbook=08_06.xlsx&amp;sheet=A0&amp;row=25&amp;col=14&amp;number=2425&amp;sourceID=7","2425")</f>
        <v>2425</v>
      </c>
      <c r="O25" s="4" t="str">
        <f>HYPERLINK("http://141.218.60.56/~jnz1568/getInfo.php?workbook=08_06.xlsx&amp;sheet=A0&amp;row=25&amp;col=15&amp;number=&amp;sourceID=5","")</f>
        <v/>
      </c>
      <c r="P25" s="4" t="str">
        <f>HYPERLINK("http://141.218.60.56/~jnz1568/getInfo.php?workbook=08_06.xlsx&amp;sheet=A0&amp;row=25&amp;col=16&amp;number=&amp;sourceID=5","")</f>
        <v/>
      </c>
      <c r="Q25" s="4" t="str">
        <f>HYPERLINK("http://141.218.60.56/~jnz1568/getInfo.php?workbook=08_06.xlsx&amp;sheet=A0&amp;row=25&amp;col=17&amp;number=&amp;sourceID=6","")</f>
        <v/>
      </c>
    </row>
    <row r="26" spans="1:17">
      <c r="A26" s="3">
        <v>8</v>
      </c>
      <c r="B26" s="3">
        <v>6</v>
      </c>
      <c r="C26" s="3">
        <v>8</v>
      </c>
      <c r="D26" s="3">
        <v>5</v>
      </c>
      <c r="E26" s="3">
        <f>((1/(INDEX(E0!J$4:J$49,C26,1)-INDEX(E0!J$4:J$49,D26,1))))*100000000</f>
        <v>0</v>
      </c>
      <c r="F26" s="4" t="str">
        <f>HYPERLINK("http://141.218.60.56/~jnz1568/getInfo.php?workbook=08_06.xlsx&amp;sheet=A0&amp;row=26&amp;col=6&amp;number=&amp;sourceID=3","")</f>
        <v/>
      </c>
      <c r="G26" s="4" t="str">
        <f>HYPERLINK("http://141.218.60.56/~jnz1568/getInfo.php?workbook=08_06.xlsx&amp;sheet=A0&amp;row=26&amp;col=7&amp;number=&amp;sourceID=3","")</f>
        <v/>
      </c>
      <c r="H26" s="4" t="str">
        <f>HYPERLINK("http://141.218.60.56/~jnz1568/getInfo.php?workbook=08_06.xlsx&amp;sheet=A0&amp;row=26&amp;col=8&amp;number=&amp;sourceID=3","")</f>
        <v/>
      </c>
      <c r="I26" s="4" t="str">
        <f>HYPERLINK("http://141.218.60.56/~jnz1568/getInfo.php?workbook=08_06.xlsx&amp;sheet=A0&amp;row=26&amp;col=9&amp;number=3.3573e-07&amp;sourceID=3","3.3573e-07")</f>
        <v>3.3573e-07</v>
      </c>
      <c r="J26" s="4" t="str">
        <f>HYPERLINK("http://141.218.60.56/~jnz1568/getInfo.php?workbook=08_06.xlsx&amp;sheet=A0&amp;row=26&amp;col=10&amp;number=&amp;sourceID=3","")</f>
        <v/>
      </c>
      <c r="K26" s="4" t="str">
        <f>HYPERLINK("http://141.218.60.56/~jnz1568/getInfo.php?workbook=08_06.xlsx&amp;sheet=A0&amp;row=26&amp;col=11&amp;number=&amp;sourceID=3","")</f>
        <v/>
      </c>
      <c r="L26" s="4" t="str">
        <f>HYPERLINK("http://141.218.60.56/~jnz1568/getInfo.php?workbook=08_06.xlsx&amp;sheet=A0&amp;row=26&amp;col=12&amp;number=&amp;sourceID=3","")</f>
        <v/>
      </c>
      <c r="M26" s="4" t="str">
        <f>HYPERLINK("http://141.218.60.56/~jnz1568/getInfo.php?workbook=08_06.xlsx&amp;sheet=A0&amp;row=26&amp;col=13&amp;number=3.3926e-07&amp;sourceID=3","3.3926e-07")</f>
        <v>3.3926e-07</v>
      </c>
      <c r="N26" s="4" t="str">
        <f>HYPERLINK("http://141.218.60.56/~jnz1568/getInfo.php?workbook=08_06.xlsx&amp;sheet=A0&amp;row=26&amp;col=14&amp;number=&amp;sourceID=7","")</f>
        <v/>
      </c>
      <c r="O26" s="4" t="str">
        <f>HYPERLINK("http://141.218.60.56/~jnz1568/getInfo.php?workbook=08_06.xlsx&amp;sheet=A0&amp;row=26&amp;col=15&amp;number=&amp;sourceID=5","")</f>
        <v/>
      </c>
      <c r="P26" s="4" t="str">
        <f>HYPERLINK("http://141.218.60.56/~jnz1568/getInfo.php?workbook=08_06.xlsx&amp;sheet=A0&amp;row=26&amp;col=16&amp;number=&amp;sourceID=5","")</f>
        <v/>
      </c>
      <c r="Q26" s="4" t="str">
        <f>HYPERLINK("http://141.218.60.56/~jnz1568/getInfo.php?workbook=08_06.xlsx&amp;sheet=A0&amp;row=26&amp;col=17&amp;number=&amp;sourceID=6","")</f>
        <v/>
      </c>
    </row>
    <row r="27" spans="1:17">
      <c r="A27" s="3">
        <v>8</v>
      </c>
      <c r="B27" s="3">
        <v>6</v>
      </c>
      <c r="C27" s="3">
        <v>8</v>
      </c>
      <c r="D27" s="3">
        <v>6</v>
      </c>
      <c r="E27" s="3">
        <f>((1/(INDEX(E0!J$4:J$49,C27,1)-INDEX(E0!J$4:J$49,D27,1))))*100000000</f>
        <v>0</v>
      </c>
      <c r="F27" s="4" t="str">
        <f>HYPERLINK("http://141.218.60.56/~jnz1568/getInfo.php?workbook=08_06.xlsx&amp;sheet=A0&amp;row=27&amp;col=6&amp;number=&amp;sourceID=3","")</f>
        <v/>
      </c>
      <c r="G27" s="4" t="str">
        <f>HYPERLINK("http://141.218.60.56/~jnz1568/getInfo.php?workbook=08_06.xlsx&amp;sheet=A0&amp;row=27&amp;col=7&amp;number=0.00032055&amp;sourceID=3","0.00032055")</f>
        <v>0.00032055</v>
      </c>
      <c r="H27" s="4" t="str">
        <f>HYPERLINK("http://141.218.60.56/~jnz1568/getInfo.php?workbook=08_06.xlsx&amp;sheet=A0&amp;row=27&amp;col=8&amp;number=0.00051536&amp;sourceID=3","0.00051536")</f>
        <v>0.00051536</v>
      </c>
      <c r="I27" s="4" t="str">
        <f>HYPERLINK("http://141.218.60.56/~jnz1568/getInfo.php?workbook=08_06.xlsx&amp;sheet=A0&amp;row=27&amp;col=9&amp;number=&amp;sourceID=3","")</f>
        <v/>
      </c>
      <c r="J27" s="4" t="str">
        <f>HYPERLINK("http://141.218.60.56/~jnz1568/getInfo.php?workbook=08_06.xlsx&amp;sheet=A0&amp;row=27&amp;col=10&amp;number=&amp;sourceID=3","")</f>
        <v/>
      </c>
      <c r="K27" s="4" t="str">
        <f>HYPERLINK("http://141.218.60.56/~jnz1568/getInfo.php?workbook=08_06.xlsx&amp;sheet=A0&amp;row=27&amp;col=11&amp;number=&amp;sourceID=3","")</f>
        <v/>
      </c>
      <c r="L27" s="4" t="str">
        <f>HYPERLINK("http://141.218.60.56/~jnz1568/getInfo.php?workbook=08_06.xlsx&amp;sheet=A0&amp;row=27&amp;col=12&amp;number=&amp;sourceID=3","")</f>
        <v/>
      </c>
      <c r="M27" s="4" t="str">
        <f>HYPERLINK("http://141.218.60.56/~jnz1568/getInfo.php?workbook=08_06.xlsx&amp;sheet=A0&amp;row=27&amp;col=13&amp;number=&amp;sourceID=3","")</f>
        <v/>
      </c>
      <c r="N27" s="4" t="str">
        <f>HYPERLINK("http://141.218.60.56/~jnz1568/getInfo.php?workbook=08_06.xlsx&amp;sheet=A0&amp;row=27&amp;col=14&amp;number=&amp;sourceID=7","")</f>
        <v/>
      </c>
      <c r="O27" s="4" t="str">
        <f>HYPERLINK("http://141.218.60.56/~jnz1568/getInfo.php?workbook=08_06.xlsx&amp;sheet=A0&amp;row=27&amp;col=15&amp;number=&amp;sourceID=5","")</f>
        <v/>
      </c>
      <c r="P27" s="4" t="str">
        <f>HYPERLINK("http://141.218.60.56/~jnz1568/getInfo.php?workbook=08_06.xlsx&amp;sheet=A0&amp;row=27&amp;col=16&amp;number=&amp;sourceID=5","")</f>
        <v/>
      </c>
      <c r="Q27" s="4" t="str">
        <f>HYPERLINK("http://141.218.60.56/~jnz1568/getInfo.php?workbook=08_06.xlsx&amp;sheet=A0&amp;row=27&amp;col=17&amp;number=&amp;sourceID=6","")</f>
        <v/>
      </c>
    </row>
    <row r="28" spans="1:17">
      <c r="A28" s="3">
        <v>8</v>
      </c>
      <c r="B28" s="3">
        <v>6</v>
      </c>
      <c r="C28" s="3">
        <v>8</v>
      </c>
      <c r="D28" s="3">
        <v>7</v>
      </c>
      <c r="E28" s="3">
        <f>((1/(INDEX(E0!J$4:J$49,C28,1)-INDEX(E0!J$4:J$49,D28,1))))*100000000</f>
        <v>0</v>
      </c>
      <c r="F28" s="4" t="str">
        <f>HYPERLINK("http://141.218.60.56/~jnz1568/getInfo.php?workbook=08_06.xlsx&amp;sheet=A0&amp;row=28&amp;col=6&amp;number=&amp;sourceID=3","")</f>
        <v/>
      </c>
      <c r="G28" s="4" t="str">
        <f>HYPERLINK("http://141.218.60.56/~jnz1568/getInfo.php?workbook=08_06.xlsx&amp;sheet=A0&amp;row=28&amp;col=7&amp;number=0&amp;sourceID=3","0")</f>
        <v>0</v>
      </c>
      <c r="H28" s="4" t="str">
        <f>HYPERLINK("http://141.218.60.56/~jnz1568/getInfo.php?workbook=08_06.xlsx&amp;sheet=A0&amp;row=28&amp;col=8&amp;number=5.3963e-07&amp;sourceID=3","5.3963e-07")</f>
        <v>5.3963e-07</v>
      </c>
      <c r="I28" s="4" t="str">
        <f>HYPERLINK("http://141.218.60.56/~jnz1568/getInfo.php?workbook=08_06.xlsx&amp;sheet=A0&amp;row=28&amp;col=9&amp;number=&amp;sourceID=3","")</f>
        <v/>
      </c>
      <c r="J28" s="4" t="str">
        <f>HYPERLINK("http://141.218.60.56/~jnz1568/getInfo.php?workbook=08_06.xlsx&amp;sheet=A0&amp;row=28&amp;col=10&amp;number=&amp;sourceID=3","")</f>
        <v/>
      </c>
      <c r="K28" s="4" t="str">
        <f>HYPERLINK("http://141.218.60.56/~jnz1568/getInfo.php?workbook=08_06.xlsx&amp;sheet=A0&amp;row=28&amp;col=11&amp;number=&amp;sourceID=3","")</f>
        <v/>
      </c>
      <c r="L28" s="4" t="str">
        <f>HYPERLINK("http://141.218.60.56/~jnz1568/getInfo.php?workbook=08_06.xlsx&amp;sheet=A0&amp;row=28&amp;col=12&amp;number=&amp;sourceID=3","")</f>
        <v/>
      </c>
      <c r="M28" s="4" t="str">
        <f>HYPERLINK("http://141.218.60.56/~jnz1568/getInfo.php?workbook=08_06.xlsx&amp;sheet=A0&amp;row=28&amp;col=13&amp;number=&amp;sourceID=3","")</f>
        <v/>
      </c>
      <c r="N28" s="4" t="str">
        <f>HYPERLINK("http://141.218.60.56/~jnz1568/getInfo.php?workbook=08_06.xlsx&amp;sheet=A0&amp;row=28&amp;col=14&amp;number=&amp;sourceID=7","")</f>
        <v/>
      </c>
      <c r="O28" s="4" t="str">
        <f>HYPERLINK("http://141.218.60.56/~jnz1568/getInfo.php?workbook=08_06.xlsx&amp;sheet=A0&amp;row=28&amp;col=15&amp;number=&amp;sourceID=5","")</f>
        <v/>
      </c>
      <c r="P28" s="4" t="str">
        <f>HYPERLINK("http://141.218.60.56/~jnz1568/getInfo.php?workbook=08_06.xlsx&amp;sheet=A0&amp;row=28&amp;col=16&amp;number=&amp;sourceID=5","")</f>
        <v/>
      </c>
      <c r="Q28" s="4" t="str">
        <f>HYPERLINK("http://141.218.60.56/~jnz1568/getInfo.php?workbook=08_06.xlsx&amp;sheet=A0&amp;row=28&amp;col=17&amp;number=&amp;sourceID=6","")</f>
        <v/>
      </c>
    </row>
    <row r="29" spans="1:17">
      <c r="A29" s="3">
        <v>8</v>
      </c>
      <c r="B29" s="3">
        <v>6</v>
      </c>
      <c r="C29" s="3">
        <v>9</v>
      </c>
      <c r="D29" s="3">
        <v>1</v>
      </c>
      <c r="E29" s="3">
        <f>((1/(INDEX(E0!J$4:J$49,C29,1)-INDEX(E0!J$4:J$49,D29,1))))*100000000</f>
        <v>0</v>
      </c>
      <c r="F29" s="4" t="str">
        <f>HYPERLINK("http://141.218.60.56/~jnz1568/getInfo.php?workbook=08_06.xlsx&amp;sheet=A0&amp;row=29&amp;col=6&amp;number=348910000&amp;sourceID=3","348910000")</f>
        <v>348910000</v>
      </c>
      <c r="G29" s="4" t="str">
        <f>HYPERLINK("http://141.218.60.56/~jnz1568/getInfo.php?workbook=08_06.xlsx&amp;sheet=A0&amp;row=29&amp;col=7&amp;number=&amp;sourceID=3","")</f>
        <v/>
      </c>
      <c r="H29" s="4" t="str">
        <f>HYPERLINK("http://141.218.60.56/~jnz1568/getInfo.php?workbook=08_06.xlsx&amp;sheet=A0&amp;row=29&amp;col=8&amp;number=&amp;sourceID=3","")</f>
        <v/>
      </c>
      <c r="I29" s="4" t="str">
        <f>HYPERLINK("http://141.218.60.56/~jnz1568/getInfo.php?workbook=08_06.xlsx&amp;sheet=A0&amp;row=29&amp;col=9&amp;number=&amp;sourceID=3","")</f>
        <v/>
      </c>
      <c r="J29" s="4" t="str">
        <f>HYPERLINK("http://141.218.60.56/~jnz1568/getInfo.php?workbook=08_06.xlsx&amp;sheet=A0&amp;row=29&amp;col=10&amp;number=352730000&amp;sourceID=3","352730000")</f>
        <v>352730000</v>
      </c>
      <c r="K29" s="4" t="str">
        <f>HYPERLINK("http://141.218.60.56/~jnz1568/getInfo.php?workbook=08_06.xlsx&amp;sheet=A0&amp;row=29&amp;col=11&amp;number=&amp;sourceID=3","")</f>
        <v/>
      </c>
      <c r="L29" s="4" t="str">
        <f>HYPERLINK("http://141.218.60.56/~jnz1568/getInfo.php?workbook=08_06.xlsx&amp;sheet=A0&amp;row=29&amp;col=12&amp;number=&amp;sourceID=3","")</f>
        <v/>
      </c>
      <c r="M29" s="4" t="str">
        <f>HYPERLINK("http://141.218.60.56/~jnz1568/getInfo.php?workbook=08_06.xlsx&amp;sheet=A0&amp;row=29&amp;col=13&amp;number=&amp;sourceID=3","")</f>
        <v/>
      </c>
      <c r="N29" s="4" t="str">
        <f>HYPERLINK("http://141.218.60.56/~jnz1568/getInfo.php?workbook=08_06.xlsx&amp;sheet=A0&amp;row=29&amp;col=14&amp;number=350500000&amp;sourceID=7","350500000")</f>
        <v>350500000</v>
      </c>
      <c r="O29" s="4" t="str">
        <f>HYPERLINK("http://141.218.60.56/~jnz1568/getInfo.php?workbook=08_06.xlsx&amp;sheet=A0&amp;row=29&amp;col=15&amp;number=&amp;sourceID=5","")</f>
        <v/>
      </c>
      <c r="P29" s="4" t="str">
        <f>HYPERLINK("http://141.218.60.56/~jnz1568/getInfo.php?workbook=08_06.xlsx&amp;sheet=A0&amp;row=29&amp;col=16&amp;number=&amp;sourceID=5","")</f>
        <v/>
      </c>
      <c r="Q29" s="4" t="str">
        <f>HYPERLINK("http://141.218.60.56/~jnz1568/getInfo.php?workbook=08_06.xlsx&amp;sheet=A0&amp;row=29&amp;col=17&amp;number=&amp;sourceID=6","")</f>
        <v/>
      </c>
    </row>
    <row r="30" spans="1:17">
      <c r="A30" s="3">
        <v>8</v>
      </c>
      <c r="B30" s="3">
        <v>6</v>
      </c>
      <c r="C30" s="3">
        <v>9</v>
      </c>
      <c r="D30" s="3">
        <v>2</v>
      </c>
      <c r="E30" s="3">
        <f>((1/(INDEX(E0!J$4:J$49,C30,1)-INDEX(E0!J$4:J$49,D30,1))))*100000000</f>
        <v>0</v>
      </c>
      <c r="F30" s="4" t="str">
        <f>HYPERLINK("http://141.218.60.56/~jnz1568/getInfo.php?workbook=08_06.xlsx&amp;sheet=A0&amp;row=30&amp;col=6&amp;number=254240000&amp;sourceID=3","254240000")</f>
        <v>254240000</v>
      </c>
      <c r="G30" s="4" t="str">
        <f>HYPERLINK("http://141.218.60.56/~jnz1568/getInfo.php?workbook=08_06.xlsx&amp;sheet=A0&amp;row=30&amp;col=7&amp;number=&amp;sourceID=3","")</f>
        <v/>
      </c>
      <c r="H30" s="4" t="str">
        <f>HYPERLINK("http://141.218.60.56/~jnz1568/getInfo.php?workbook=08_06.xlsx&amp;sheet=A0&amp;row=30&amp;col=8&amp;number=&amp;sourceID=3","")</f>
        <v/>
      </c>
      <c r="I30" s="4" t="str">
        <f>HYPERLINK("http://141.218.60.56/~jnz1568/getInfo.php?workbook=08_06.xlsx&amp;sheet=A0&amp;row=30&amp;col=9&amp;number=0.0236&amp;sourceID=3","0.0236")</f>
        <v>0.0236</v>
      </c>
      <c r="J30" s="4" t="str">
        <f>HYPERLINK("http://141.218.60.56/~jnz1568/getInfo.php?workbook=08_06.xlsx&amp;sheet=A0&amp;row=30&amp;col=10&amp;number=257030000&amp;sourceID=3","257030000")</f>
        <v>257030000</v>
      </c>
      <c r="K30" s="4" t="str">
        <f>HYPERLINK("http://141.218.60.56/~jnz1568/getInfo.php?workbook=08_06.xlsx&amp;sheet=A0&amp;row=30&amp;col=11&amp;number=&amp;sourceID=3","")</f>
        <v/>
      </c>
      <c r="L30" s="4" t="str">
        <f>HYPERLINK("http://141.218.60.56/~jnz1568/getInfo.php?workbook=08_06.xlsx&amp;sheet=A0&amp;row=30&amp;col=12&amp;number=&amp;sourceID=3","")</f>
        <v/>
      </c>
      <c r="M30" s="4" t="str">
        <f>HYPERLINK("http://141.218.60.56/~jnz1568/getInfo.php?workbook=08_06.xlsx&amp;sheet=A0&amp;row=30&amp;col=13&amp;number=0.024035&amp;sourceID=3","0.024035")</f>
        <v>0.024035</v>
      </c>
      <c r="N30" s="4" t="str">
        <f>HYPERLINK("http://141.218.60.56/~jnz1568/getInfo.php?workbook=08_06.xlsx&amp;sheet=A0&amp;row=30&amp;col=14&amp;number=256400000&amp;sourceID=7","256400000")</f>
        <v>256400000</v>
      </c>
      <c r="O30" s="4" t="str">
        <f>HYPERLINK("http://141.218.60.56/~jnz1568/getInfo.php?workbook=08_06.xlsx&amp;sheet=A0&amp;row=30&amp;col=15&amp;number=&amp;sourceID=5","")</f>
        <v/>
      </c>
      <c r="P30" s="4" t="str">
        <f>HYPERLINK("http://141.218.60.56/~jnz1568/getInfo.php?workbook=08_06.xlsx&amp;sheet=A0&amp;row=30&amp;col=16&amp;number=&amp;sourceID=5","")</f>
        <v/>
      </c>
      <c r="Q30" s="4" t="str">
        <f>HYPERLINK("http://141.218.60.56/~jnz1568/getInfo.php?workbook=08_06.xlsx&amp;sheet=A0&amp;row=30&amp;col=17&amp;number=&amp;sourceID=6","")</f>
        <v/>
      </c>
    </row>
    <row r="31" spans="1:17">
      <c r="A31" s="3">
        <v>8</v>
      </c>
      <c r="B31" s="3">
        <v>6</v>
      </c>
      <c r="C31" s="3">
        <v>9</v>
      </c>
      <c r="D31" s="3">
        <v>3</v>
      </c>
      <c r="E31" s="3">
        <f>((1/(INDEX(E0!J$4:J$49,C31,1)-INDEX(E0!J$4:J$49,D31,1))))*100000000</f>
        <v>0</v>
      </c>
      <c r="F31" s="4" t="str">
        <f>HYPERLINK("http://141.218.60.56/~jnz1568/getInfo.php?workbook=08_06.xlsx&amp;sheet=A0&amp;row=31&amp;col=6&amp;number=16034000&amp;sourceID=3","16034000")</f>
        <v>16034000</v>
      </c>
      <c r="G31" s="4" t="str">
        <f>HYPERLINK("http://141.218.60.56/~jnz1568/getInfo.php?workbook=08_06.xlsx&amp;sheet=A0&amp;row=31&amp;col=7&amp;number=&amp;sourceID=3","")</f>
        <v/>
      </c>
      <c r="H31" s="4" t="str">
        <f>HYPERLINK("http://141.218.60.56/~jnz1568/getInfo.php?workbook=08_06.xlsx&amp;sheet=A0&amp;row=31&amp;col=8&amp;number=&amp;sourceID=3","")</f>
        <v/>
      </c>
      <c r="I31" s="4" t="str">
        <f>HYPERLINK("http://141.218.60.56/~jnz1568/getInfo.php?workbook=08_06.xlsx&amp;sheet=A0&amp;row=31&amp;col=9&amp;number=0.017831&amp;sourceID=3","0.017831")</f>
        <v>0.017831</v>
      </c>
      <c r="J31" s="4" t="str">
        <f>HYPERLINK("http://141.218.60.56/~jnz1568/getInfo.php?workbook=08_06.xlsx&amp;sheet=A0&amp;row=31&amp;col=10&amp;number=16211000&amp;sourceID=3","16211000")</f>
        <v>16211000</v>
      </c>
      <c r="K31" s="4" t="str">
        <f>HYPERLINK("http://141.218.60.56/~jnz1568/getInfo.php?workbook=08_06.xlsx&amp;sheet=A0&amp;row=31&amp;col=11&amp;number=&amp;sourceID=3","")</f>
        <v/>
      </c>
      <c r="L31" s="4" t="str">
        <f>HYPERLINK("http://141.218.60.56/~jnz1568/getInfo.php?workbook=08_06.xlsx&amp;sheet=A0&amp;row=31&amp;col=12&amp;number=&amp;sourceID=3","")</f>
        <v/>
      </c>
      <c r="M31" s="4" t="str">
        <f>HYPERLINK("http://141.218.60.56/~jnz1568/getInfo.php?workbook=08_06.xlsx&amp;sheet=A0&amp;row=31&amp;col=13&amp;number=0.018163&amp;sourceID=3","0.018163")</f>
        <v>0.018163</v>
      </c>
      <c r="N31" s="4" t="str">
        <f>HYPERLINK("http://141.218.60.56/~jnz1568/getInfo.php?workbook=08_06.xlsx&amp;sheet=A0&amp;row=31&amp;col=14&amp;number=16290000&amp;sourceID=7","16290000")</f>
        <v>16290000</v>
      </c>
      <c r="O31" s="4" t="str">
        <f>HYPERLINK("http://141.218.60.56/~jnz1568/getInfo.php?workbook=08_06.xlsx&amp;sheet=A0&amp;row=31&amp;col=15&amp;number=&amp;sourceID=5","")</f>
        <v/>
      </c>
      <c r="P31" s="4" t="str">
        <f>HYPERLINK("http://141.218.60.56/~jnz1568/getInfo.php?workbook=08_06.xlsx&amp;sheet=A0&amp;row=31&amp;col=16&amp;number=&amp;sourceID=5","")</f>
        <v/>
      </c>
      <c r="Q31" s="4" t="str">
        <f>HYPERLINK("http://141.218.60.56/~jnz1568/getInfo.php?workbook=08_06.xlsx&amp;sheet=A0&amp;row=31&amp;col=17&amp;number=&amp;sourceID=6","")</f>
        <v/>
      </c>
    </row>
    <row r="32" spans="1:17">
      <c r="A32" s="3">
        <v>8</v>
      </c>
      <c r="B32" s="3">
        <v>6</v>
      </c>
      <c r="C32" s="3">
        <v>9</v>
      </c>
      <c r="D32" s="3">
        <v>4</v>
      </c>
      <c r="E32" s="3">
        <f>((1/(INDEX(E0!J$4:J$49,C32,1)-INDEX(E0!J$4:J$49,D32,1))))*100000000</f>
        <v>0</v>
      </c>
      <c r="F32" s="4" t="str">
        <f>HYPERLINK("http://141.218.60.56/~jnz1568/getInfo.php?workbook=08_06.xlsx&amp;sheet=A0&amp;row=32&amp;col=6&amp;number=2357.8&amp;sourceID=3","2357.8")</f>
        <v>2357.8</v>
      </c>
      <c r="G32" s="4" t="str">
        <f>HYPERLINK("http://141.218.60.56/~jnz1568/getInfo.php?workbook=08_06.xlsx&amp;sheet=A0&amp;row=32&amp;col=7&amp;number=&amp;sourceID=3","")</f>
        <v/>
      </c>
      <c r="H32" s="4" t="str">
        <f>HYPERLINK("http://141.218.60.56/~jnz1568/getInfo.php?workbook=08_06.xlsx&amp;sheet=A0&amp;row=32&amp;col=8&amp;number=&amp;sourceID=3","")</f>
        <v/>
      </c>
      <c r="I32" s="4" t="str">
        <f>HYPERLINK("http://141.218.60.56/~jnz1568/getInfo.php?workbook=08_06.xlsx&amp;sheet=A0&amp;row=32&amp;col=9&amp;number=0.030664&amp;sourceID=3","0.030664")</f>
        <v>0.030664</v>
      </c>
      <c r="J32" s="4" t="str">
        <f>HYPERLINK("http://141.218.60.56/~jnz1568/getInfo.php?workbook=08_06.xlsx&amp;sheet=A0&amp;row=32&amp;col=10&amp;number=2322.3&amp;sourceID=3","2322.3")</f>
        <v>2322.3</v>
      </c>
      <c r="K32" s="4" t="str">
        <f>HYPERLINK("http://141.218.60.56/~jnz1568/getInfo.php?workbook=08_06.xlsx&amp;sheet=A0&amp;row=32&amp;col=11&amp;number=&amp;sourceID=3","")</f>
        <v/>
      </c>
      <c r="L32" s="4" t="str">
        <f>HYPERLINK("http://141.218.60.56/~jnz1568/getInfo.php?workbook=08_06.xlsx&amp;sheet=A0&amp;row=32&amp;col=12&amp;number=&amp;sourceID=3","")</f>
        <v/>
      </c>
      <c r="M32" s="4" t="str">
        <f>HYPERLINK("http://141.218.60.56/~jnz1568/getInfo.php?workbook=08_06.xlsx&amp;sheet=A0&amp;row=32&amp;col=13&amp;number=0.031195&amp;sourceID=3","0.031195")</f>
        <v>0.031195</v>
      </c>
      <c r="N32" s="4" t="str">
        <f>HYPERLINK("http://141.218.60.56/~jnz1568/getInfo.php?workbook=08_06.xlsx&amp;sheet=A0&amp;row=32&amp;col=14&amp;number=2239&amp;sourceID=7","2239")</f>
        <v>2239</v>
      </c>
      <c r="O32" s="4" t="str">
        <f>HYPERLINK("http://141.218.60.56/~jnz1568/getInfo.php?workbook=08_06.xlsx&amp;sheet=A0&amp;row=32&amp;col=15&amp;number=&amp;sourceID=5","")</f>
        <v/>
      </c>
      <c r="P32" s="4" t="str">
        <f>HYPERLINK("http://141.218.60.56/~jnz1568/getInfo.php?workbook=08_06.xlsx&amp;sheet=A0&amp;row=32&amp;col=16&amp;number=&amp;sourceID=5","")</f>
        <v/>
      </c>
      <c r="Q32" s="4" t="str">
        <f>HYPERLINK("http://141.218.60.56/~jnz1568/getInfo.php?workbook=08_06.xlsx&amp;sheet=A0&amp;row=32&amp;col=17&amp;number=&amp;sourceID=6","")</f>
        <v/>
      </c>
    </row>
    <row r="33" spans="1:17">
      <c r="A33" s="3">
        <v>8</v>
      </c>
      <c r="B33" s="3">
        <v>6</v>
      </c>
      <c r="C33" s="3">
        <v>9</v>
      </c>
      <c r="D33" s="3">
        <v>5</v>
      </c>
      <c r="E33" s="3">
        <f>((1/(INDEX(E0!J$4:J$49,C33,1)-INDEX(E0!J$4:J$49,D33,1))))*100000000</f>
        <v>0</v>
      </c>
      <c r="F33" s="4" t="str">
        <f>HYPERLINK("http://141.218.60.56/~jnz1568/getInfo.php?workbook=08_06.xlsx&amp;sheet=A0&amp;row=33&amp;col=6&amp;number=1699.2&amp;sourceID=3","1699.2")</f>
        <v>1699.2</v>
      </c>
      <c r="G33" s="4" t="str">
        <f>HYPERLINK("http://141.218.60.56/~jnz1568/getInfo.php?workbook=08_06.xlsx&amp;sheet=A0&amp;row=33&amp;col=7&amp;number=&amp;sourceID=3","")</f>
        <v/>
      </c>
      <c r="H33" s="4" t="str">
        <f>HYPERLINK("http://141.218.60.56/~jnz1568/getInfo.php?workbook=08_06.xlsx&amp;sheet=A0&amp;row=33&amp;col=8&amp;number=&amp;sourceID=3","")</f>
        <v/>
      </c>
      <c r="I33" s="4" t="str">
        <f>HYPERLINK("http://141.218.60.56/~jnz1568/getInfo.php?workbook=08_06.xlsx&amp;sheet=A0&amp;row=33&amp;col=9&amp;number=&amp;sourceID=3","")</f>
        <v/>
      </c>
      <c r="J33" s="4" t="str">
        <f>HYPERLINK("http://141.218.60.56/~jnz1568/getInfo.php?workbook=08_06.xlsx&amp;sheet=A0&amp;row=33&amp;col=10&amp;number=1715.5&amp;sourceID=3","1715.5")</f>
        <v>1715.5</v>
      </c>
      <c r="K33" s="4" t="str">
        <f>HYPERLINK("http://141.218.60.56/~jnz1568/getInfo.php?workbook=08_06.xlsx&amp;sheet=A0&amp;row=33&amp;col=11&amp;number=&amp;sourceID=3","")</f>
        <v/>
      </c>
      <c r="L33" s="4" t="str">
        <f>HYPERLINK("http://141.218.60.56/~jnz1568/getInfo.php?workbook=08_06.xlsx&amp;sheet=A0&amp;row=33&amp;col=12&amp;number=&amp;sourceID=3","")</f>
        <v/>
      </c>
      <c r="M33" s="4" t="str">
        <f>HYPERLINK("http://141.218.60.56/~jnz1568/getInfo.php?workbook=08_06.xlsx&amp;sheet=A0&amp;row=33&amp;col=13&amp;number=&amp;sourceID=3","")</f>
        <v/>
      </c>
      <c r="N33" s="4" t="str">
        <f>HYPERLINK("http://141.218.60.56/~jnz1568/getInfo.php?workbook=08_06.xlsx&amp;sheet=A0&amp;row=33&amp;col=14&amp;number=830.7&amp;sourceID=7","830.7")</f>
        <v>830.7</v>
      </c>
      <c r="O33" s="4" t="str">
        <f>HYPERLINK("http://141.218.60.56/~jnz1568/getInfo.php?workbook=08_06.xlsx&amp;sheet=A0&amp;row=33&amp;col=15&amp;number=&amp;sourceID=5","")</f>
        <v/>
      </c>
      <c r="P33" s="4" t="str">
        <f>HYPERLINK("http://141.218.60.56/~jnz1568/getInfo.php?workbook=08_06.xlsx&amp;sheet=A0&amp;row=33&amp;col=16&amp;number=&amp;sourceID=5","")</f>
        <v/>
      </c>
      <c r="Q33" s="4" t="str">
        <f>HYPERLINK("http://141.218.60.56/~jnz1568/getInfo.php?workbook=08_06.xlsx&amp;sheet=A0&amp;row=33&amp;col=17&amp;number=&amp;sourceID=6","")</f>
        <v/>
      </c>
    </row>
    <row r="34" spans="1:17">
      <c r="A34" s="3">
        <v>8</v>
      </c>
      <c r="B34" s="3">
        <v>6</v>
      </c>
      <c r="C34" s="3">
        <v>9</v>
      </c>
      <c r="D34" s="3">
        <v>6</v>
      </c>
      <c r="E34" s="3">
        <f>((1/(INDEX(E0!J$4:J$49,C34,1)-INDEX(E0!J$4:J$49,D34,1))))*100000000</f>
        <v>0</v>
      </c>
      <c r="F34" s="4" t="str">
        <f>HYPERLINK("http://141.218.60.56/~jnz1568/getInfo.php?workbook=08_06.xlsx&amp;sheet=A0&amp;row=34&amp;col=6&amp;number=&amp;sourceID=3","")</f>
        <v/>
      </c>
      <c r="G34" s="4" t="str">
        <f>HYPERLINK("http://141.218.60.56/~jnz1568/getInfo.php?workbook=08_06.xlsx&amp;sheet=A0&amp;row=34&amp;col=7&amp;number=0.0001375&amp;sourceID=3","0.0001375")</f>
        <v>0.0001375</v>
      </c>
      <c r="H34" s="4" t="str">
        <f>HYPERLINK("http://141.218.60.56/~jnz1568/getInfo.php?workbook=08_06.xlsx&amp;sheet=A0&amp;row=34&amp;col=8&amp;number=0.00018308&amp;sourceID=3","0.00018308")</f>
        <v>0.00018308</v>
      </c>
      <c r="I34" s="4" t="str">
        <f>HYPERLINK("http://141.218.60.56/~jnz1568/getInfo.php?workbook=08_06.xlsx&amp;sheet=A0&amp;row=34&amp;col=9&amp;number=&amp;sourceID=3","")</f>
        <v/>
      </c>
      <c r="J34" s="4" t="str">
        <f>HYPERLINK("http://141.218.60.56/~jnz1568/getInfo.php?workbook=08_06.xlsx&amp;sheet=A0&amp;row=34&amp;col=10&amp;number=&amp;sourceID=3","")</f>
        <v/>
      </c>
      <c r="K34" s="4" t="str">
        <f>HYPERLINK("http://141.218.60.56/~jnz1568/getInfo.php?workbook=08_06.xlsx&amp;sheet=A0&amp;row=34&amp;col=11&amp;number=&amp;sourceID=3","")</f>
        <v/>
      </c>
      <c r="L34" s="4" t="str">
        <f>HYPERLINK("http://141.218.60.56/~jnz1568/getInfo.php?workbook=08_06.xlsx&amp;sheet=A0&amp;row=34&amp;col=12&amp;number=&amp;sourceID=3","")</f>
        <v/>
      </c>
      <c r="M34" s="4" t="str">
        <f>HYPERLINK("http://141.218.60.56/~jnz1568/getInfo.php?workbook=08_06.xlsx&amp;sheet=A0&amp;row=34&amp;col=13&amp;number=&amp;sourceID=3","")</f>
        <v/>
      </c>
      <c r="N34" s="4" t="str">
        <f>HYPERLINK("http://141.218.60.56/~jnz1568/getInfo.php?workbook=08_06.xlsx&amp;sheet=A0&amp;row=34&amp;col=14&amp;number=&amp;sourceID=7","")</f>
        <v/>
      </c>
      <c r="O34" s="4" t="str">
        <f>HYPERLINK("http://141.218.60.56/~jnz1568/getInfo.php?workbook=08_06.xlsx&amp;sheet=A0&amp;row=34&amp;col=15&amp;number=&amp;sourceID=5","")</f>
        <v/>
      </c>
      <c r="P34" s="4" t="str">
        <f>HYPERLINK("http://141.218.60.56/~jnz1568/getInfo.php?workbook=08_06.xlsx&amp;sheet=A0&amp;row=34&amp;col=16&amp;number=&amp;sourceID=5","")</f>
        <v/>
      </c>
      <c r="Q34" s="4" t="str">
        <f>HYPERLINK("http://141.218.60.56/~jnz1568/getInfo.php?workbook=08_06.xlsx&amp;sheet=A0&amp;row=34&amp;col=17&amp;number=&amp;sourceID=6","")</f>
        <v/>
      </c>
    </row>
    <row r="35" spans="1:17">
      <c r="A35" s="3">
        <v>8</v>
      </c>
      <c r="B35" s="3">
        <v>6</v>
      </c>
      <c r="C35" s="3">
        <v>9</v>
      </c>
      <c r="D35" s="3">
        <v>7</v>
      </c>
      <c r="E35" s="3">
        <f>((1/(INDEX(E0!J$4:J$49,C35,1)-INDEX(E0!J$4:J$49,D35,1))))*100000000</f>
        <v>0</v>
      </c>
      <c r="F35" s="4" t="str">
        <f>HYPERLINK("http://141.218.60.56/~jnz1568/getInfo.php?workbook=08_06.xlsx&amp;sheet=A0&amp;row=35&amp;col=6&amp;number=&amp;sourceID=3","")</f>
        <v/>
      </c>
      <c r="G35" s="4" t="str">
        <f>HYPERLINK("http://141.218.60.56/~jnz1568/getInfo.php?workbook=08_06.xlsx&amp;sheet=A0&amp;row=35&amp;col=7&amp;number=0&amp;sourceID=3","0")</f>
        <v>0</v>
      </c>
      <c r="H35" s="4" t="str">
        <f>HYPERLINK("http://141.218.60.56/~jnz1568/getInfo.php?workbook=08_06.xlsx&amp;sheet=A0&amp;row=35&amp;col=8&amp;number=&amp;sourceID=3","")</f>
        <v/>
      </c>
      <c r="I35" s="4" t="str">
        <f>HYPERLINK("http://141.218.60.56/~jnz1568/getInfo.php?workbook=08_06.xlsx&amp;sheet=A0&amp;row=35&amp;col=9&amp;number=&amp;sourceID=3","")</f>
        <v/>
      </c>
      <c r="J35" s="4" t="str">
        <f>HYPERLINK("http://141.218.60.56/~jnz1568/getInfo.php?workbook=08_06.xlsx&amp;sheet=A0&amp;row=35&amp;col=10&amp;number=&amp;sourceID=3","")</f>
        <v/>
      </c>
      <c r="K35" s="4" t="str">
        <f>HYPERLINK("http://141.218.60.56/~jnz1568/getInfo.php?workbook=08_06.xlsx&amp;sheet=A0&amp;row=35&amp;col=11&amp;number=&amp;sourceID=3","")</f>
        <v/>
      </c>
      <c r="L35" s="4" t="str">
        <f>HYPERLINK("http://141.218.60.56/~jnz1568/getInfo.php?workbook=08_06.xlsx&amp;sheet=A0&amp;row=35&amp;col=12&amp;number=&amp;sourceID=3","")</f>
        <v/>
      </c>
      <c r="M35" s="4" t="str">
        <f>HYPERLINK("http://141.218.60.56/~jnz1568/getInfo.php?workbook=08_06.xlsx&amp;sheet=A0&amp;row=35&amp;col=13&amp;number=&amp;sourceID=3","")</f>
        <v/>
      </c>
      <c r="N35" s="4" t="str">
        <f>HYPERLINK("http://141.218.60.56/~jnz1568/getInfo.php?workbook=08_06.xlsx&amp;sheet=A0&amp;row=35&amp;col=14&amp;number=&amp;sourceID=7","")</f>
        <v/>
      </c>
      <c r="O35" s="4" t="str">
        <f>HYPERLINK("http://141.218.60.56/~jnz1568/getInfo.php?workbook=08_06.xlsx&amp;sheet=A0&amp;row=35&amp;col=15&amp;number=&amp;sourceID=5","")</f>
        <v/>
      </c>
      <c r="P35" s="4" t="str">
        <f>HYPERLINK("http://141.218.60.56/~jnz1568/getInfo.php?workbook=08_06.xlsx&amp;sheet=A0&amp;row=35&amp;col=16&amp;number=&amp;sourceID=5","")</f>
        <v/>
      </c>
      <c r="Q35" s="4" t="str">
        <f>HYPERLINK("http://141.218.60.56/~jnz1568/getInfo.php?workbook=08_06.xlsx&amp;sheet=A0&amp;row=35&amp;col=17&amp;number=&amp;sourceID=6","")</f>
        <v/>
      </c>
    </row>
    <row r="36" spans="1:17">
      <c r="A36" s="3">
        <v>8</v>
      </c>
      <c r="B36" s="3">
        <v>6</v>
      </c>
      <c r="C36" s="3">
        <v>9</v>
      </c>
      <c r="D36" s="3">
        <v>8</v>
      </c>
      <c r="E36" s="3">
        <f>((1/(INDEX(E0!J$4:J$49,C36,1)-INDEX(E0!J$4:J$49,D36,1))))*100000000</f>
        <v>0</v>
      </c>
      <c r="F36" s="4" t="str">
        <f>HYPERLINK("http://141.218.60.56/~jnz1568/getInfo.php?workbook=08_06.xlsx&amp;sheet=A0&amp;row=36&amp;col=6&amp;number=&amp;sourceID=3","")</f>
        <v/>
      </c>
      <c r="G36" s="4" t="str">
        <f>HYPERLINK("http://141.218.60.56/~jnz1568/getInfo.php?workbook=08_06.xlsx&amp;sheet=A0&amp;row=36&amp;col=7&amp;number=0&amp;sourceID=3","0")</f>
        <v>0</v>
      </c>
      <c r="H36" s="4" t="str">
        <f>HYPERLINK("http://141.218.60.56/~jnz1568/getInfo.php?workbook=08_06.xlsx&amp;sheet=A0&amp;row=36&amp;col=8&amp;number=6.7324e-09&amp;sourceID=3","6.7324e-09")</f>
        <v>6.7324e-09</v>
      </c>
      <c r="I36" s="4" t="str">
        <f>HYPERLINK("http://141.218.60.56/~jnz1568/getInfo.php?workbook=08_06.xlsx&amp;sheet=A0&amp;row=36&amp;col=9&amp;number=&amp;sourceID=3","")</f>
        <v/>
      </c>
      <c r="J36" s="4" t="str">
        <f>HYPERLINK("http://141.218.60.56/~jnz1568/getInfo.php?workbook=08_06.xlsx&amp;sheet=A0&amp;row=36&amp;col=10&amp;number=&amp;sourceID=3","")</f>
        <v/>
      </c>
      <c r="K36" s="4" t="str">
        <f>HYPERLINK("http://141.218.60.56/~jnz1568/getInfo.php?workbook=08_06.xlsx&amp;sheet=A0&amp;row=36&amp;col=11&amp;number=&amp;sourceID=3","")</f>
        <v/>
      </c>
      <c r="L36" s="4" t="str">
        <f>HYPERLINK("http://141.218.60.56/~jnz1568/getInfo.php?workbook=08_06.xlsx&amp;sheet=A0&amp;row=36&amp;col=12&amp;number=&amp;sourceID=3","")</f>
        <v/>
      </c>
      <c r="M36" s="4" t="str">
        <f>HYPERLINK("http://141.218.60.56/~jnz1568/getInfo.php?workbook=08_06.xlsx&amp;sheet=A0&amp;row=36&amp;col=13&amp;number=&amp;sourceID=3","")</f>
        <v/>
      </c>
      <c r="N36" s="4" t="str">
        <f>HYPERLINK("http://141.218.60.56/~jnz1568/getInfo.php?workbook=08_06.xlsx&amp;sheet=A0&amp;row=36&amp;col=14&amp;number=&amp;sourceID=7","")</f>
        <v/>
      </c>
      <c r="O36" s="4" t="str">
        <f>HYPERLINK("http://141.218.60.56/~jnz1568/getInfo.php?workbook=08_06.xlsx&amp;sheet=A0&amp;row=36&amp;col=15&amp;number=&amp;sourceID=5","")</f>
        <v/>
      </c>
      <c r="P36" s="4" t="str">
        <f>HYPERLINK("http://141.218.60.56/~jnz1568/getInfo.php?workbook=08_06.xlsx&amp;sheet=A0&amp;row=36&amp;col=16&amp;number=&amp;sourceID=5","")</f>
        <v/>
      </c>
      <c r="Q36" s="4" t="str">
        <f>HYPERLINK("http://141.218.60.56/~jnz1568/getInfo.php?workbook=08_06.xlsx&amp;sheet=A0&amp;row=36&amp;col=17&amp;number=&amp;sourceID=6","")</f>
        <v/>
      </c>
    </row>
    <row r="37" spans="1:17">
      <c r="A37" s="3">
        <v>8</v>
      </c>
      <c r="B37" s="3">
        <v>6</v>
      </c>
      <c r="C37" s="3">
        <v>10</v>
      </c>
      <c r="D37" s="3">
        <v>1</v>
      </c>
      <c r="E37" s="3">
        <f>((1/(INDEX(E0!J$4:J$49,C37,1)-INDEX(E0!J$4:J$49,D37,1))))*100000000</f>
        <v>0</v>
      </c>
      <c r="F37" s="4" t="str">
        <f>HYPERLINK("http://141.218.60.56/~jnz1568/getInfo.php?workbook=08_06.xlsx&amp;sheet=A0&amp;row=37&amp;col=6&amp;number=&amp;sourceID=3","")</f>
        <v/>
      </c>
      <c r="G37" s="4" t="str">
        <f>HYPERLINK("http://141.218.60.56/~jnz1568/getInfo.php?workbook=08_06.xlsx&amp;sheet=A0&amp;row=37&amp;col=7&amp;number=&amp;sourceID=3","")</f>
        <v/>
      </c>
      <c r="H37" s="4" t="str">
        <f>HYPERLINK("http://141.218.60.56/~jnz1568/getInfo.php?workbook=08_06.xlsx&amp;sheet=A0&amp;row=37&amp;col=8&amp;number=&amp;sourceID=3","")</f>
        <v/>
      </c>
      <c r="I37" s="4" t="str">
        <f>HYPERLINK("http://141.218.60.56/~jnz1568/getInfo.php?workbook=08_06.xlsx&amp;sheet=A0&amp;row=37&amp;col=9&amp;number=0.020658&amp;sourceID=3","0.020658")</f>
        <v>0.020658</v>
      </c>
      <c r="J37" s="4" t="str">
        <f>HYPERLINK("http://141.218.60.56/~jnz1568/getInfo.php?workbook=08_06.xlsx&amp;sheet=A0&amp;row=37&amp;col=10&amp;number=&amp;sourceID=3","")</f>
        <v/>
      </c>
      <c r="K37" s="4" t="str">
        <f>HYPERLINK("http://141.218.60.56/~jnz1568/getInfo.php?workbook=08_06.xlsx&amp;sheet=A0&amp;row=37&amp;col=11&amp;number=&amp;sourceID=3","")</f>
        <v/>
      </c>
      <c r="L37" s="4" t="str">
        <f>HYPERLINK("http://141.218.60.56/~jnz1568/getInfo.php?workbook=08_06.xlsx&amp;sheet=A0&amp;row=37&amp;col=12&amp;number=&amp;sourceID=3","")</f>
        <v/>
      </c>
      <c r="M37" s="4" t="str">
        <f>HYPERLINK("http://141.218.60.56/~jnz1568/getInfo.php?workbook=08_06.xlsx&amp;sheet=A0&amp;row=37&amp;col=13&amp;number=0.021045&amp;sourceID=3","0.021045")</f>
        <v>0.021045</v>
      </c>
      <c r="N37" s="4" t="str">
        <f>HYPERLINK("http://141.218.60.56/~jnz1568/getInfo.php?workbook=08_06.xlsx&amp;sheet=A0&amp;row=37&amp;col=14&amp;number=&amp;sourceID=7","")</f>
        <v/>
      </c>
      <c r="O37" s="4" t="str">
        <f>HYPERLINK("http://141.218.60.56/~jnz1568/getInfo.php?workbook=08_06.xlsx&amp;sheet=A0&amp;row=37&amp;col=15&amp;number=&amp;sourceID=5","")</f>
        <v/>
      </c>
      <c r="P37" s="4" t="str">
        <f>HYPERLINK("http://141.218.60.56/~jnz1568/getInfo.php?workbook=08_06.xlsx&amp;sheet=A0&amp;row=37&amp;col=16&amp;number=&amp;sourceID=5","")</f>
        <v/>
      </c>
      <c r="Q37" s="4" t="str">
        <f>HYPERLINK("http://141.218.60.56/~jnz1568/getInfo.php?workbook=08_06.xlsx&amp;sheet=A0&amp;row=37&amp;col=17&amp;number=&amp;sourceID=6","")</f>
        <v/>
      </c>
    </row>
    <row r="38" spans="1:17">
      <c r="A38" s="3">
        <v>8</v>
      </c>
      <c r="B38" s="3">
        <v>6</v>
      </c>
      <c r="C38" s="3">
        <v>10</v>
      </c>
      <c r="D38" s="3">
        <v>2</v>
      </c>
      <c r="E38" s="3">
        <f>((1/(INDEX(E0!J$4:J$49,C38,1)-INDEX(E0!J$4:J$49,D38,1))))*100000000</f>
        <v>0</v>
      </c>
      <c r="F38" s="4" t="str">
        <f>HYPERLINK("http://141.218.60.56/~jnz1568/getInfo.php?workbook=08_06.xlsx&amp;sheet=A0&amp;row=38&amp;col=6&amp;number=450610000&amp;sourceID=3","450610000")</f>
        <v>450610000</v>
      </c>
      <c r="G38" s="4" t="str">
        <f>HYPERLINK("http://141.218.60.56/~jnz1568/getInfo.php?workbook=08_06.xlsx&amp;sheet=A0&amp;row=38&amp;col=7&amp;number=&amp;sourceID=3","")</f>
        <v/>
      </c>
      <c r="H38" s="4" t="str">
        <f>HYPERLINK("http://141.218.60.56/~jnz1568/getInfo.php?workbook=08_06.xlsx&amp;sheet=A0&amp;row=38&amp;col=8&amp;number=&amp;sourceID=3","")</f>
        <v/>
      </c>
      <c r="I38" s="4" t="str">
        <f>HYPERLINK("http://141.218.60.56/~jnz1568/getInfo.php?workbook=08_06.xlsx&amp;sheet=A0&amp;row=38&amp;col=9&amp;number=0.001538&amp;sourceID=3","0.001538")</f>
        <v>0.001538</v>
      </c>
      <c r="J38" s="4" t="str">
        <f>HYPERLINK("http://141.218.60.56/~jnz1568/getInfo.php?workbook=08_06.xlsx&amp;sheet=A0&amp;row=38&amp;col=10&amp;number=455780000&amp;sourceID=3","455780000")</f>
        <v>455780000</v>
      </c>
      <c r="K38" s="4" t="str">
        <f>HYPERLINK("http://141.218.60.56/~jnz1568/getInfo.php?workbook=08_06.xlsx&amp;sheet=A0&amp;row=38&amp;col=11&amp;number=&amp;sourceID=3","")</f>
        <v/>
      </c>
      <c r="L38" s="4" t="str">
        <f>HYPERLINK("http://141.218.60.56/~jnz1568/getInfo.php?workbook=08_06.xlsx&amp;sheet=A0&amp;row=38&amp;col=12&amp;number=&amp;sourceID=3","")</f>
        <v/>
      </c>
      <c r="M38" s="4" t="str">
        <f>HYPERLINK("http://141.218.60.56/~jnz1568/getInfo.php?workbook=08_06.xlsx&amp;sheet=A0&amp;row=38&amp;col=13&amp;number=0.0015651&amp;sourceID=3","0.0015651")</f>
        <v>0.0015651</v>
      </c>
      <c r="N38" s="4" t="str">
        <f>HYPERLINK("http://141.218.60.56/~jnz1568/getInfo.php?workbook=08_06.xlsx&amp;sheet=A0&amp;row=38&amp;col=14&amp;number=487100000&amp;sourceID=7","487100000")</f>
        <v>487100000</v>
      </c>
      <c r="O38" s="4" t="str">
        <f>HYPERLINK("http://141.218.60.56/~jnz1568/getInfo.php?workbook=08_06.xlsx&amp;sheet=A0&amp;row=38&amp;col=15&amp;number=&amp;sourceID=5","")</f>
        <v/>
      </c>
      <c r="P38" s="4" t="str">
        <f>HYPERLINK("http://141.218.60.56/~jnz1568/getInfo.php?workbook=08_06.xlsx&amp;sheet=A0&amp;row=38&amp;col=16&amp;number=&amp;sourceID=5","")</f>
        <v/>
      </c>
      <c r="Q38" s="4" t="str">
        <f>HYPERLINK("http://141.218.60.56/~jnz1568/getInfo.php?workbook=08_06.xlsx&amp;sheet=A0&amp;row=38&amp;col=17&amp;number=&amp;sourceID=6","")</f>
        <v/>
      </c>
    </row>
    <row r="39" spans="1:17">
      <c r="A39" s="3">
        <v>8</v>
      </c>
      <c r="B39" s="3">
        <v>6</v>
      </c>
      <c r="C39" s="3">
        <v>10</v>
      </c>
      <c r="D39" s="3">
        <v>3</v>
      </c>
      <c r="E39" s="3">
        <f>((1/(INDEX(E0!J$4:J$49,C39,1)-INDEX(E0!J$4:J$49,D39,1))))*100000000</f>
        <v>0</v>
      </c>
      <c r="F39" s="4" t="str">
        <f>HYPERLINK("http://141.218.60.56/~jnz1568/getInfo.php?workbook=08_06.xlsx&amp;sheet=A0&amp;row=39&amp;col=6&amp;number=1387000000&amp;sourceID=3","1387000000")</f>
        <v>1387000000</v>
      </c>
      <c r="G39" s="4" t="str">
        <f>HYPERLINK("http://141.218.60.56/~jnz1568/getInfo.php?workbook=08_06.xlsx&amp;sheet=A0&amp;row=39&amp;col=7&amp;number=&amp;sourceID=3","")</f>
        <v/>
      </c>
      <c r="H39" s="4" t="str">
        <f>HYPERLINK("http://141.218.60.56/~jnz1568/getInfo.php?workbook=08_06.xlsx&amp;sheet=A0&amp;row=39&amp;col=8&amp;number=&amp;sourceID=3","")</f>
        <v/>
      </c>
      <c r="I39" s="4" t="str">
        <f>HYPERLINK("http://141.218.60.56/~jnz1568/getInfo.php?workbook=08_06.xlsx&amp;sheet=A0&amp;row=39&amp;col=9&amp;number=0.22671&amp;sourceID=3","0.22671")</f>
        <v>0.22671</v>
      </c>
      <c r="J39" s="4" t="str">
        <f>HYPERLINK("http://141.218.60.56/~jnz1568/getInfo.php?workbook=08_06.xlsx&amp;sheet=A0&amp;row=39&amp;col=10&amp;number=1402400000&amp;sourceID=3","1402400000")</f>
        <v>1402400000</v>
      </c>
      <c r="K39" s="4" t="str">
        <f>HYPERLINK("http://141.218.60.56/~jnz1568/getInfo.php?workbook=08_06.xlsx&amp;sheet=A0&amp;row=39&amp;col=11&amp;number=&amp;sourceID=3","")</f>
        <v/>
      </c>
      <c r="L39" s="4" t="str">
        <f>HYPERLINK("http://141.218.60.56/~jnz1568/getInfo.php?workbook=08_06.xlsx&amp;sheet=A0&amp;row=39&amp;col=12&amp;number=&amp;sourceID=3","")</f>
        <v/>
      </c>
      <c r="M39" s="4" t="str">
        <f>HYPERLINK("http://141.218.60.56/~jnz1568/getInfo.php?workbook=08_06.xlsx&amp;sheet=A0&amp;row=39&amp;col=13&amp;number=0.23097&amp;sourceID=3","0.23097")</f>
        <v>0.23097</v>
      </c>
      <c r="N39" s="4" t="str">
        <f>HYPERLINK("http://141.218.60.56/~jnz1568/getInfo.php?workbook=08_06.xlsx&amp;sheet=A0&amp;row=39&amp;col=14&amp;number=1493000000&amp;sourceID=7","1493000000")</f>
        <v>1493000000</v>
      </c>
      <c r="O39" s="4" t="str">
        <f>HYPERLINK("http://141.218.60.56/~jnz1568/getInfo.php?workbook=08_06.xlsx&amp;sheet=A0&amp;row=39&amp;col=15&amp;number=&amp;sourceID=5","")</f>
        <v/>
      </c>
      <c r="P39" s="4" t="str">
        <f>HYPERLINK("http://141.218.60.56/~jnz1568/getInfo.php?workbook=08_06.xlsx&amp;sheet=A0&amp;row=39&amp;col=16&amp;number=&amp;sourceID=5","")</f>
        <v/>
      </c>
      <c r="Q39" s="4" t="str">
        <f>HYPERLINK("http://141.218.60.56/~jnz1568/getInfo.php?workbook=08_06.xlsx&amp;sheet=A0&amp;row=39&amp;col=17&amp;number=&amp;sourceID=6","")</f>
        <v/>
      </c>
    </row>
    <row r="40" spans="1:17">
      <c r="A40" s="3">
        <v>8</v>
      </c>
      <c r="B40" s="3">
        <v>6</v>
      </c>
      <c r="C40" s="3">
        <v>10</v>
      </c>
      <c r="D40" s="3">
        <v>4</v>
      </c>
      <c r="E40" s="3">
        <f>((1/(INDEX(E0!J$4:J$49,C40,1)-INDEX(E0!J$4:J$49,D40,1))))*100000000</f>
        <v>0</v>
      </c>
      <c r="F40" s="4" t="str">
        <f>HYPERLINK("http://141.218.60.56/~jnz1568/getInfo.php?workbook=08_06.xlsx&amp;sheet=A0&amp;row=40&amp;col=6&amp;number=7087.9&amp;sourceID=3","7087.9")</f>
        <v>7087.9</v>
      </c>
      <c r="G40" s="4" t="str">
        <f>HYPERLINK("http://141.218.60.56/~jnz1568/getInfo.php?workbook=08_06.xlsx&amp;sheet=A0&amp;row=40&amp;col=7&amp;number=&amp;sourceID=3","")</f>
        <v/>
      </c>
      <c r="H40" s="4" t="str">
        <f>HYPERLINK("http://141.218.60.56/~jnz1568/getInfo.php?workbook=08_06.xlsx&amp;sheet=A0&amp;row=40&amp;col=8&amp;number=&amp;sourceID=3","")</f>
        <v/>
      </c>
      <c r="I40" s="4" t="str">
        <f>HYPERLINK("http://141.218.60.56/~jnz1568/getInfo.php?workbook=08_06.xlsx&amp;sheet=A0&amp;row=40&amp;col=9&amp;number=0.034214&amp;sourceID=3","0.034214")</f>
        <v>0.034214</v>
      </c>
      <c r="J40" s="4" t="str">
        <f>HYPERLINK("http://141.218.60.56/~jnz1568/getInfo.php?workbook=08_06.xlsx&amp;sheet=A0&amp;row=40&amp;col=10&amp;number=6744.6&amp;sourceID=3","6744.6")</f>
        <v>6744.6</v>
      </c>
      <c r="K40" s="4" t="str">
        <f>HYPERLINK("http://141.218.60.56/~jnz1568/getInfo.php?workbook=08_06.xlsx&amp;sheet=A0&amp;row=40&amp;col=11&amp;number=&amp;sourceID=3","")</f>
        <v/>
      </c>
      <c r="L40" s="4" t="str">
        <f>HYPERLINK("http://141.218.60.56/~jnz1568/getInfo.php?workbook=08_06.xlsx&amp;sheet=A0&amp;row=40&amp;col=12&amp;number=&amp;sourceID=3","")</f>
        <v/>
      </c>
      <c r="M40" s="4" t="str">
        <f>HYPERLINK("http://141.218.60.56/~jnz1568/getInfo.php?workbook=08_06.xlsx&amp;sheet=A0&amp;row=40&amp;col=13&amp;number=0.034814&amp;sourceID=3","0.034814")</f>
        <v>0.034814</v>
      </c>
      <c r="N40" s="4" t="str">
        <f>HYPERLINK("http://141.218.60.56/~jnz1568/getInfo.php?workbook=08_06.xlsx&amp;sheet=A0&amp;row=40&amp;col=14&amp;number=2524&amp;sourceID=7","2524")</f>
        <v>2524</v>
      </c>
      <c r="O40" s="4" t="str">
        <f>HYPERLINK("http://141.218.60.56/~jnz1568/getInfo.php?workbook=08_06.xlsx&amp;sheet=A0&amp;row=40&amp;col=15&amp;number=&amp;sourceID=5","")</f>
        <v/>
      </c>
      <c r="P40" s="4" t="str">
        <f>HYPERLINK("http://141.218.60.56/~jnz1568/getInfo.php?workbook=08_06.xlsx&amp;sheet=A0&amp;row=40&amp;col=16&amp;number=&amp;sourceID=5","")</f>
        <v/>
      </c>
      <c r="Q40" s="4" t="str">
        <f>HYPERLINK("http://141.218.60.56/~jnz1568/getInfo.php?workbook=08_06.xlsx&amp;sheet=A0&amp;row=40&amp;col=17&amp;number=&amp;sourceID=6","")</f>
        <v/>
      </c>
    </row>
    <row r="41" spans="1:17">
      <c r="A41" s="3">
        <v>8</v>
      </c>
      <c r="B41" s="3">
        <v>6</v>
      </c>
      <c r="C41" s="3">
        <v>10</v>
      </c>
      <c r="D41" s="3">
        <v>5</v>
      </c>
      <c r="E41" s="3">
        <f>((1/(INDEX(E0!J$4:J$49,C41,1)-INDEX(E0!J$4:J$49,D41,1))))*100000000</f>
        <v>0</v>
      </c>
      <c r="F41" s="4" t="str">
        <f>HYPERLINK("http://141.218.60.56/~jnz1568/getInfo.php?workbook=08_06.xlsx&amp;sheet=A0&amp;row=41&amp;col=6&amp;number=&amp;sourceID=3","")</f>
        <v/>
      </c>
      <c r="G41" s="4" t="str">
        <f>HYPERLINK("http://141.218.60.56/~jnz1568/getInfo.php?workbook=08_06.xlsx&amp;sheet=A0&amp;row=41&amp;col=7&amp;number=&amp;sourceID=3","")</f>
        <v/>
      </c>
      <c r="H41" s="4" t="str">
        <f>HYPERLINK("http://141.218.60.56/~jnz1568/getInfo.php?workbook=08_06.xlsx&amp;sheet=A0&amp;row=41&amp;col=8&amp;number=&amp;sourceID=3","")</f>
        <v/>
      </c>
      <c r="I41" s="4" t="str">
        <f>HYPERLINK("http://141.218.60.56/~jnz1568/getInfo.php?workbook=08_06.xlsx&amp;sheet=A0&amp;row=41&amp;col=9&amp;number=0.06772&amp;sourceID=3","0.06772")</f>
        <v>0.06772</v>
      </c>
      <c r="J41" s="4" t="str">
        <f>HYPERLINK("http://141.218.60.56/~jnz1568/getInfo.php?workbook=08_06.xlsx&amp;sheet=A0&amp;row=41&amp;col=10&amp;number=&amp;sourceID=3","")</f>
        <v/>
      </c>
      <c r="K41" s="4" t="str">
        <f>HYPERLINK("http://141.218.60.56/~jnz1568/getInfo.php?workbook=08_06.xlsx&amp;sheet=A0&amp;row=41&amp;col=11&amp;number=&amp;sourceID=3","")</f>
        <v/>
      </c>
      <c r="L41" s="4" t="str">
        <f>HYPERLINK("http://141.218.60.56/~jnz1568/getInfo.php?workbook=08_06.xlsx&amp;sheet=A0&amp;row=41&amp;col=12&amp;number=&amp;sourceID=3","")</f>
        <v/>
      </c>
      <c r="M41" s="4" t="str">
        <f>HYPERLINK("http://141.218.60.56/~jnz1568/getInfo.php?workbook=08_06.xlsx&amp;sheet=A0&amp;row=41&amp;col=13&amp;number=0.069214&amp;sourceID=3","0.069214")</f>
        <v>0.069214</v>
      </c>
      <c r="N41" s="4" t="str">
        <f>HYPERLINK("http://141.218.60.56/~jnz1568/getInfo.php?workbook=08_06.xlsx&amp;sheet=A0&amp;row=41&amp;col=14&amp;number=&amp;sourceID=7","")</f>
        <v/>
      </c>
      <c r="O41" s="4" t="str">
        <f>HYPERLINK("http://141.218.60.56/~jnz1568/getInfo.php?workbook=08_06.xlsx&amp;sheet=A0&amp;row=41&amp;col=15&amp;number=&amp;sourceID=5","")</f>
        <v/>
      </c>
      <c r="P41" s="4" t="str">
        <f>HYPERLINK("http://141.218.60.56/~jnz1568/getInfo.php?workbook=08_06.xlsx&amp;sheet=A0&amp;row=41&amp;col=16&amp;number=&amp;sourceID=5","")</f>
        <v/>
      </c>
      <c r="Q41" s="4" t="str">
        <f>HYPERLINK("http://141.218.60.56/~jnz1568/getInfo.php?workbook=08_06.xlsx&amp;sheet=A0&amp;row=41&amp;col=17&amp;number=&amp;sourceID=6","")</f>
        <v/>
      </c>
    </row>
    <row r="42" spans="1:17">
      <c r="A42" s="3">
        <v>8</v>
      </c>
      <c r="B42" s="3">
        <v>6</v>
      </c>
      <c r="C42" s="3">
        <v>10</v>
      </c>
      <c r="D42" s="3">
        <v>6</v>
      </c>
      <c r="E42" s="3">
        <f>((1/(INDEX(E0!J$4:J$49,C42,1)-INDEX(E0!J$4:J$49,D42,1))))*100000000</f>
        <v>0</v>
      </c>
      <c r="F42" s="4" t="str">
        <f>HYPERLINK("http://141.218.60.56/~jnz1568/getInfo.php?workbook=08_06.xlsx&amp;sheet=A0&amp;row=42&amp;col=6&amp;number=&amp;sourceID=3","")</f>
        <v/>
      </c>
      <c r="G42" s="4" t="str">
        <f>HYPERLINK("http://141.218.60.56/~jnz1568/getInfo.php?workbook=08_06.xlsx&amp;sheet=A0&amp;row=42&amp;col=7&amp;number=1.9424e-05&amp;sourceID=3","1.9424e-05")</f>
        <v>1.9424e-05</v>
      </c>
      <c r="H42" s="4" t="str">
        <f>HYPERLINK("http://141.218.60.56/~jnz1568/getInfo.php?workbook=08_06.xlsx&amp;sheet=A0&amp;row=42&amp;col=8&amp;number=0.14971&amp;sourceID=3","0.14971")</f>
        <v>0.14971</v>
      </c>
      <c r="I42" s="4" t="str">
        <f>HYPERLINK("http://141.218.60.56/~jnz1568/getInfo.php?workbook=08_06.xlsx&amp;sheet=A0&amp;row=42&amp;col=9&amp;number=&amp;sourceID=3","")</f>
        <v/>
      </c>
      <c r="J42" s="4" t="str">
        <f>HYPERLINK("http://141.218.60.56/~jnz1568/getInfo.php?workbook=08_06.xlsx&amp;sheet=A0&amp;row=42&amp;col=10&amp;number=&amp;sourceID=3","")</f>
        <v/>
      </c>
      <c r="K42" s="4" t="str">
        <f>HYPERLINK("http://141.218.60.56/~jnz1568/getInfo.php?workbook=08_06.xlsx&amp;sheet=A0&amp;row=42&amp;col=11&amp;number=&amp;sourceID=3","")</f>
        <v/>
      </c>
      <c r="L42" s="4" t="str">
        <f>HYPERLINK("http://141.218.60.56/~jnz1568/getInfo.php?workbook=08_06.xlsx&amp;sheet=A0&amp;row=42&amp;col=12&amp;number=&amp;sourceID=3","")</f>
        <v/>
      </c>
      <c r="M42" s="4" t="str">
        <f>HYPERLINK("http://141.218.60.56/~jnz1568/getInfo.php?workbook=08_06.xlsx&amp;sheet=A0&amp;row=42&amp;col=13&amp;number=&amp;sourceID=3","")</f>
        <v/>
      </c>
      <c r="N42" s="4" t="str">
        <f>HYPERLINK("http://141.218.60.56/~jnz1568/getInfo.php?workbook=08_06.xlsx&amp;sheet=A0&amp;row=42&amp;col=14&amp;number=&amp;sourceID=7","")</f>
        <v/>
      </c>
      <c r="O42" s="4" t="str">
        <f>HYPERLINK("http://141.218.60.56/~jnz1568/getInfo.php?workbook=08_06.xlsx&amp;sheet=A0&amp;row=42&amp;col=15&amp;number=&amp;sourceID=5","")</f>
        <v/>
      </c>
      <c r="P42" s="4" t="str">
        <f>HYPERLINK("http://141.218.60.56/~jnz1568/getInfo.php?workbook=08_06.xlsx&amp;sheet=A0&amp;row=42&amp;col=16&amp;number=&amp;sourceID=5","")</f>
        <v/>
      </c>
      <c r="Q42" s="4" t="str">
        <f>HYPERLINK("http://141.218.60.56/~jnz1568/getInfo.php?workbook=08_06.xlsx&amp;sheet=A0&amp;row=42&amp;col=17&amp;number=&amp;sourceID=6","")</f>
        <v/>
      </c>
    </row>
    <row r="43" spans="1:17">
      <c r="A43" s="3">
        <v>8</v>
      </c>
      <c r="B43" s="3">
        <v>6</v>
      </c>
      <c r="C43" s="3">
        <v>10</v>
      </c>
      <c r="D43" s="3">
        <v>7</v>
      </c>
      <c r="E43" s="3">
        <f>((1/(INDEX(E0!J$4:J$49,C43,1)-INDEX(E0!J$4:J$49,D43,1))))*100000000</f>
        <v>0</v>
      </c>
      <c r="F43" s="4" t="str">
        <f>HYPERLINK("http://141.218.60.56/~jnz1568/getInfo.php?workbook=08_06.xlsx&amp;sheet=A0&amp;row=43&amp;col=6&amp;number=&amp;sourceID=3","")</f>
        <v/>
      </c>
      <c r="G43" s="4" t="str">
        <f>HYPERLINK("http://141.218.60.56/~jnz1568/getInfo.php?workbook=08_06.xlsx&amp;sheet=A0&amp;row=43&amp;col=7&amp;number=0.65252&amp;sourceID=3","0.65252")</f>
        <v>0.65252</v>
      </c>
      <c r="H43" s="4" t="str">
        <f>HYPERLINK("http://141.218.60.56/~jnz1568/getInfo.php?workbook=08_06.xlsx&amp;sheet=A0&amp;row=43&amp;col=8&amp;number=0.01959&amp;sourceID=3","0.01959")</f>
        <v>0.01959</v>
      </c>
      <c r="I43" s="4" t="str">
        <f>HYPERLINK("http://141.218.60.56/~jnz1568/getInfo.php?workbook=08_06.xlsx&amp;sheet=A0&amp;row=43&amp;col=9&amp;number=&amp;sourceID=3","")</f>
        <v/>
      </c>
      <c r="J43" s="4" t="str">
        <f>HYPERLINK("http://141.218.60.56/~jnz1568/getInfo.php?workbook=08_06.xlsx&amp;sheet=A0&amp;row=43&amp;col=10&amp;number=&amp;sourceID=3","")</f>
        <v/>
      </c>
      <c r="K43" s="4" t="str">
        <f>HYPERLINK("http://141.218.60.56/~jnz1568/getInfo.php?workbook=08_06.xlsx&amp;sheet=A0&amp;row=43&amp;col=11&amp;number=&amp;sourceID=3","")</f>
        <v/>
      </c>
      <c r="L43" s="4" t="str">
        <f>HYPERLINK("http://141.218.60.56/~jnz1568/getInfo.php?workbook=08_06.xlsx&amp;sheet=A0&amp;row=43&amp;col=12&amp;number=&amp;sourceID=3","")</f>
        <v/>
      </c>
      <c r="M43" s="4" t="str">
        <f>HYPERLINK("http://141.218.60.56/~jnz1568/getInfo.php?workbook=08_06.xlsx&amp;sheet=A0&amp;row=43&amp;col=13&amp;number=&amp;sourceID=3","")</f>
        <v/>
      </c>
      <c r="N43" s="4" t="str">
        <f>HYPERLINK("http://141.218.60.56/~jnz1568/getInfo.php?workbook=08_06.xlsx&amp;sheet=A0&amp;row=43&amp;col=14&amp;number=&amp;sourceID=7","")</f>
        <v/>
      </c>
      <c r="O43" s="4" t="str">
        <f>HYPERLINK("http://141.218.60.56/~jnz1568/getInfo.php?workbook=08_06.xlsx&amp;sheet=A0&amp;row=43&amp;col=15&amp;number=&amp;sourceID=5","")</f>
        <v/>
      </c>
      <c r="P43" s="4" t="str">
        <f>HYPERLINK("http://141.218.60.56/~jnz1568/getInfo.php?workbook=08_06.xlsx&amp;sheet=A0&amp;row=43&amp;col=16&amp;number=&amp;sourceID=5","")</f>
        <v/>
      </c>
      <c r="Q43" s="4" t="str">
        <f>HYPERLINK("http://141.218.60.56/~jnz1568/getInfo.php?workbook=08_06.xlsx&amp;sheet=A0&amp;row=43&amp;col=17&amp;number=&amp;sourceID=6","")</f>
        <v/>
      </c>
    </row>
    <row r="44" spans="1:17">
      <c r="A44" s="3">
        <v>8</v>
      </c>
      <c r="B44" s="3">
        <v>6</v>
      </c>
      <c r="C44" s="3">
        <v>10</v>
      </c>
      <c r="D44" s="3">
        <v>8</v>
      </c>
      <c r="E44" s="3">
        <f>((1/(INDEX(E0!J$4:J$49,C44,1)-INDEX(E0!J$4:J$49,D44,1))))*100000000</f>
        <v>0</v>
      </c>
      <c r="F44" s="4" t="str">
        <f>HYPERLINK("http://141.218.60.56/~jnz1568/getInfo.php?workbook=08_06.xlsx&amp;sheet=A0&amp;row=44&amp;col=6&amp;number=&amp;sourceID=3","")</f>
        <v/>
      </c>
      <c r="G44" s="4" t="str">
        <f>HYPERLINK("http://141.218.60.56/~jnz1568/getInfo.php?workbook=08_06.xlsx&amp;sheet=A0&amp;row=44&amp;col=7&amp;number=0.40542&amp;sourceID=3","0.40542")</f>
        <v>0.40542</v>
      </c>
      <c r="H44" s="4" t="str">
        <f>HYPERLINK("http://141.218.60.56/~jnz1568/getInfo.php?workbook=08_06.xlsx&amp;sheet=A0&amp;row=44&amp;col=8&amp;number=0.013943&amp;sourceID=3","0.013943")</f>
        <v>0.013943</v>
      </c>
      <c r="I44" s="4" t="str">
        <f>HYPERLINK("http://141.218.60.56/~jnz1568/getInfo.php?workbook=08_06.xlsx&amp;sheet=A0&amp;row=44&amp;col=9&amp;number=&amp;sourceID=3","")</f>
        <v/>
      </c>
      <c r="J44" s="4" t="str">
        <f>HYPERLINK("http://141.218.60.56/~jnz1568/getInfo.php?workbook=08_06.xlsx&amp;sheet=A0&amp;row=44&amp;col=10&amp;number=&amp;sourceID=3","")</f>
        <v/>
      </c>
      <c r="K44" s="4" t="str">
        <f>HYPERLINK("http://141.218.60.56/~jnz1568/getInfo.php?workbook=08_06.xlsx&amp;sheet=A0&amp;row=44&amp;col=11&amp;number=&amp;sourceID=3","")</f>
        <v/>
      </c>
      <c r="L44" s="4" t="str">
        <f>HYPERLINK("http://141.218.60.56/~jnz1568/getInfo.php?workbook=08_06.xlsx&amp;sheet=A0&amp;row=44&amp;col=12&amp;number=&amp;sourceID=3","")</f>
        <v/>
      </c>
      <c r="M44" s="4" t="str">
        <f>HYPERLINK("http://141.218.60.56/~jnz1568/getInfo.php?workbook=08_06.xlsx&amp;sheet=A0&amp;row=44&amp;col=13&amp;number=&amp;sourceID=3","")</f>
        <v/>
      </c>
      <c r="N44" s="4" t="str">
        <f>HYPERLINK("http://141.218.60.56/~jnz1568/getInfo.php?workbook=08_06.xlsx&amp;sheet=A0&amp;row=44&amp;col=14&amp;number=&amp;sourceID=7","")</f>
        <v/>
      </c>
      <c r="O44" s="4" t="str">
        <f>HYPERLINK("http://141.218.60.56/~jnz1568/getInfo.php?workbook=08_06.xlsx&amp;sheet=A0&amp;row=44&amp;col=15&amp;number=&amp;sourceID=5","")</f>
        <v/>
      </c>
      <c r="P44" s="4" t="str">
        <f>HYPERLINK("http://141.218.60.56/~jnz1568/getInfo.php?workbook=08_06.xlsx&amp;sheet=A0&amp;row=44&amp;col=16&amp;number=&amp;sourceID=5","")</f>
        <v/>
      </c>
      <c r="Q44" s="4" t="str">
        <f>HYPERLINK("http://141.218.60.56/~jnz1568/getInfo.php?workbook=08_06.xlsx&amp;sheet=A0&amp;row=44&amp;col=17&amp;number=&amp;sourceID=6","")</f>
        <v/>
      </c>
    </row>
    <row r="45" spans="1:17">
      <c r="A45" s="3">
        <v>8</v>
      </c>
      <c r="B45" s="3">
        <v>6</v>
      </c>
      <c r="C45" s="3">
        <v>10</v>
      </c>
      <c r="D45" s="3">
        <v>9</v>
      </c>
      <c r="E45" s="3">
        <f>((1/(INDEX(E0!J$4:J$49,C45,1)-INDEX(E0!J$4:J$49,D45,1))))*100000000</f>
        <v>0</v>
      </c>
      <c r="F45" s="4" t="str">
        <f>HYPERLINK("http://141.218.60.56/~jnz1568/getInfo.php?workbook=08_06.xlsx&amp;sheet=A0&amp;row=45&amp;col=6&amp;number=&amp;sourceID=3","")</f>
        <v/>
      </c>
      <c r="G45" s="4" t="str">
        <f>HYPERLINK("http://141.218.60.56/~jnz1568/getInfo.php?workbook=08_06.xlsx&amp;sheet=A0&amp;row=45&amp;col=7&amp;number=0.10418&amp;sourceID=3","0.10418")</f>
        <v>0.10418</v>
      </c>
      <c r="H45" s="4" t="str">
        <f>HYPERLINK("http://141.218.60.56/~jnz1568/getInfo.php?workbook=08_06.xlsx&amp;sheet=A0&amp;row=45&amp;col=8&amp;number=0.003735&amp;sourceID=3","0.003735")</f>
        <v>0.003735</v>
      </c>
      <c r="I45" s="4" t="str">
        <f>HYPERLINK("http://141.218.60.56/~jnz1568/getInfo.php?workbook=08_06.xlsx&amp;sheet=A0&amp;row=45&amp;col=9&amp;number=&amp;sourceID=3","")</f>
        <v/>
      </c>
      <c r="J45" s="4" t="str">
        <f>HYPERLINK("http://141.218.60.56/~jnz1568/getInfo.php?workbook=08_06.xlsx&amp;sheet=A0&amp;row=45&amp;col=10&amp;number=&amp;sourceID=3","")</f>
        <v/>
      </c>
      <c r="K45" s="4" t="str">
        <f>HYPERLINK("http://141.218.60.56/~jnz1568/getInfo.php?workbook=08_06.xlsx&amp;sheet=A0&amp;row=45&amp;col=11&amp;number=&amp;sourceID=3","")</f>
        <v/>
      </c>
      <c r="L45" s="4" t="str">
        <f>HYPERLINK("http://141.218.60.56/~jnz1568/getInfo.php?workbook=08_06.xlsx&amp;sheet=A0&amp;row=45&amp;col=12&amp;number=&amp;sourceID=3","")</f>
        <v/>
      </c>
      <c r="M45" s="4" t="str">
        <f>HYPERLINK("http://141.218.60.56/~jnz1568/getInfo.php?workbook=08_06.xlsx&amp;sheet=A0&amp;row=45&amp;col=13&amp;number=&amp;sourceID=3","")</f>
        <v/>
      </c>
      <c r="N45" s="4" t="str">
        <f>HYPERLINK("http://141.218.60.56/~jnz1568/getInfo.php?workbook=08_06.xlsx&amp;sheet=A0&amp;row=45&amp;col=14&amp;number=&amp;sourceID=7","")</f>
        <v/>
      </c>
      <c r="O45" s="4" t="str">
        <f>HYPERLINK("http://141.218.60.56/~jnz1568/getInfo.php?workbook=08_06.xlsx&amp;sheet=A0&amp;row=45&amp;col=15&amp;number=&amp;sourceID=5","")</f>
        <v/>
      </c>
      <c r="P45" s="4" t="str">
        <f>HYPERLINK("http://141.218.60.56/~jnz1568/getInfo.php?workbook=08_06.xlsx&amp;sheet=A0&amp;row=45&amp;col=16&amp;number=&amp;sourceID=5","")</f>
        <v/>
      </c>
      <c r="Q45" s="4" t="str">
        <f>HYPERLINK("http://141.218.60.56/~jnz1568/getInfo.php?workbook=08_06.xlsx&amp;sheet=A0&amp;row=45&amp;col=17&amp;number=&amp;sourceID=6","")</f>
        <v/>
      </c>
    </row>
    <row r="46" spans="1:17">
      <c r="A46" s="3">
        <v>8</v>
      </c>
      <c r="B46" s="3">
        <v>6</v>
      </c>
      <c r="C46" s="3">
        <v>11</v>
      </c>
      <c r="D46" s="3">
        <v>1</v>
      </c>
      <c r="E46" s="3">
        <f>((1/(INDEX(E0!J$4:J$49,C46,1)-INDEX(E0!J$4:J$49,D46,1))))*100000000</f>
        <v>0</v>
      </c>
      <c r="F46" s="4" t="str">
        <f>HYPERLINK("http://141.218.60.56/~jnz1568/getInfo.php?workbook=08_06.xlsx&amp;sheet=A0&amp;row=46&amp;col=6&amp;number=611220000&amp;sourceID=3","611220000")</f>
        <v>611220000</v>
      </c>
      <c r="G46" s="4" t="str">
        <f>HYPERLINK("http://141.218.60.56/~jnz1568/getInfo.php?workbook=08_06.xlsx&amp;sheet=A0&amp;row=46&amp;col=7&amp;number=&amp;sourceID=3","")</f>
        <v/>
      </c>
      <c r="H46" s="4" t="str">
        <f>HYPERLINK("http://141.218.60.56/~jnz1568/getInfo.php?workbook=08_06.xlsx&amp;sheet=A0&amp;row=46&amp;col=8&amp;number=&amp;sourceID=3","")</f>
        <v/>
      </c>
      <c r="I46" s="4" t="str">
        <f>HYPERLINK("http://141.218.60.56/~jnz1568/getInfo.php?workbook=08_06.xlsx&amp;sheet=A0&amp;row=46&amp;col=9&amp;number=&amp;sourceID=3","")</f>
        <v/>
      </c>
      <c r="J46" s="4" t="str">
        <f>HYPERLINK("http://141.218.60.56/~jnz1568/getInfo.php?workbook=08_06.xlsx&amp;sheet=A0&amp;row=46&amp;col=10&amp;number=618020000&amp;sourceID=3","618020000")</f>
        <v>618020000</v>
      </c>
      <c r="K46" s="4" t="str">
        <f>HYPERLINK("http://141.218.60.56/~jnz1568/getInfo.php?workbook=08_06.xlsx&amp;sheet=A0&amp;row=46&amp;col=11&amp;number=&amp;sourceID=3","")</f>
        <v/>
      </c>
      <c r="L46" s="4" t="str">
        <f>HYPERLINK("http://141.218.60.56/~jnz1568/getInfo.php?workbook=08_06.xlsx&amp;sheet=A0&amp;row=46&amp;col=12&amp;number=&amp;sourceID=3","")</f>
        <v/>
      </c>
      <c r="M46" s="4" t="str">
        <f>HYPERLINK("http://141.218.60.56/~jnz1568/getInfo.php?workbook=08_06.xlsx&amp;sheet=A0&amp;row=46&amp;col=13&amp;number=&amp;sourceID=3","")</f>
        <v/>
      </c>
      <c r="N46" s="4" t="str">
        <f>HYPERLINK("http://141.218.60.56/~jnz1568/getInfo.php?workbook=08_06.xlsx&amp;sheet=A0&amp;row=46&amp;col=14&amp;number=659500000&amp;sourceID=7","659500000")</f>
        <v>659500000</v>
      </c>
      <c r="O46" s="4" t="str">
        <f>HYPERLINK("http://141.218.60.56/~jnz1568/getInfo.php?workbook=08_06.xlsx&amp;sheet=A0&amp;row=46&amp;col=15&amp;number=&amp;sourceID=5","")</f>
        <v/>
      </c>
      <c r="P46" s="4" t="str">
        <f>HYPERLINK("http://141.218.60.56/~jnz1568/getInfo.php?workbook=08_06.xlsx&amp;sheet=A0&amp;row=46&amp;col=16&amp;number=&amp;sourceID=5","")</f>
        <v/>
      </c>
      <c r="Q46" s="4" t="str">
        <f>HYPERLINK("http://141.218.60.56/~jnz1568/getInfo.php?workbook=08_06.xlsx&amp;sheet=A0&amp;row=46&amp;col=17&amp;number=&amp;sourceID=6","")</f>
        <v/>
      </c>
    </row>
    <row r="47" spans="1:17">
      <c r="A47" s="3">
        <v>8</v>
      </c>
      <c r="B47" s="3">
        <v>6</v>
      </c>
      <c r="C47" s="3">
        <v>11</v>
      </c>
      <c r="D47" s="3">
        <v>2</v>
      </c>
      <c r="E47" s="3">
        <f>((1/(INDEX(E0!J$4:J$49,C47,1)-INDEX(E0!J$4:J$49,D47,1))))*100000000</f>
        <v>0</v>
      </c>
      <c r="F47" s="4" t="str">
        <f>HYPERLINK("http://141.218.60.56/~jnz1568/getInfo.php?workbook=08_06.xlsx&amp;sheet=A0&amp;row=47&amp;col=6&amp;number=470630000&amp;sourceID=3","470630000")</f>
        <v>470630000</v>
      </c>
      <c r="G47" s="4" t="str">
        <f>HYPERLINK("http://141.218.60.56/~jnz1568/getInfo.php?workbook=08_06.xlsx&amp;sheet=A0&amp;row=47&amp;col=7&amp;number=&amp;sourceID=3","")</f>
        <v/>
      </c>
      <c r="H47" s="4" t="str">
        <f>HYPERLINK("http://141.218.60.56/~jnz1568/getInfo.php?workbook=08_06.xlsx&amp;sheet=A0&amp;row=47&amp;col=8&amp;number=&amp;sourceID=3","")</f>
        <v/>
      </c>
      <c r="I47" s="4" t="str">
        <f>HYPERLINK("http://141.218.60.56/~jnz1568/getInfo.php?workbook=08_06.xlsx&amp;sheet=A0&amp;row=47&amp;col=9&amp;number=0.11892&amp;sourceID=3","0.11892")</f>
        <v>0.11892</v>
      </c>
      <c r="J47" s="4" t="str">
        <f>HYPERLINK("http://141.218.60.56/~jnz1568/getInfo.php?workbook=08_06.xlsx&amp;sheet=A0&amp;row=47&amp;col=10&amp;number=475740000&amp;sourceID=3","475740000")</f>
        <v>475740000</v>
      </c>
      <c r="K47" s="4" t="str">
        <f>HYPERLINK("http://141.218.60.56/~jnz1568/getInfo.php?workbook=08_06.xlsx&amp;sheet=A0&amp;row=47&amp;col=11&amp;number=&amp;sourceID=3","")</f>
        <v/>
      </c>
      <c r="L47" s="4" t="str">
        <f>HYPERLINK("http://141.218.60.56/~jnz1568/getInfo.php?workbook=08_06.xlsx&amp;sheet=A0&amp;row=47&amp;col=12&amp;number=&amp;sourceID=3","")</f>
        <v/>
      </c>
      <c r="M47" s="4" t="str">
        <f>HYPERLINK("http://141.218.60.56/~jnz1568/getInfo.php?workbook=08_06.xlsx&amp;sheet=A0&amp;row=47&amp;col=13&amp;number=0.12117&amp;sourceID=3","0.12117")</f>
        <v>0.12117</v>
      </c>
      <c r="N47" s="4" t="str">
        <f>HYPERLINK("http://141.218.60.56/~jnz1568/getInfo.php?workbook=08_06.xlsx&amp;sheet=A0&amp;row=47&amp;col=14&amp;number=506000000&amp;sourceID=7","506000000")</f>
        <v>506000000</v>
      </c>
      <c r="O47" s="4" t="str">
        <f>HYPERLINK("http://141.218.60.56/~jnz1568/getInfo.php?workbook=08_06.xlsx&amp;sheet=A0&amp;row=47&amp;col=15&amp;number=&amp;sourceID=5","")</f>
        <v/>
      </c>
      <c r="P47" s="4" t="str">
        <f>HYPERLINK("http://141.218.60.56/~jnz1568/getInfo.php?workbook=08_06.xlsx&amp;sheet=A0&amp;row=47&amp;col=16&amp;number=&amp;sourceID=5","")</f>
        <v/>
      </c>
      <c r="Q47" s="4" t="str">
        <f>HYPERLINK("http://141.218.60.56/~jnz1568/getInfo.php?workbook=08_06.xlsx&amp;sheet=A0&amp;row=47&amp;col=17&amp;number=&amp;sourceID=6","")</f>
        <v/>
      </c>
    </row>
    <row r="48" spans="1:17">
      <c r="A48" s="3">
        <v>8</v>
      </c>
      <c r="B48" s="3">
        <v>6</v>
      </c>
      <c r="C48" s="3">
        <v>11</v>
      </c>
      <c r="D48" s="3">
        <v>3</v>
      </c>
      <c r="E48" s="3">
        <f>((1/(INDEX(E0!J$4:J$49,C48,1)-INDEX(E0!J$4:J$49,D48,1))))*100000000</f>
        <v>0</v>
      </c>
      <c r="F48" s="4" t="str">
        <f>HYPERLINK("http://141.218.60.56/~jnz1568/getInfo.php?workbook=08_06.xlsx&amp;sheet=A0&amp;row=48&amp;col=6&amp;number=760800000&amp;sourceID=3","760800000")</f>
        <v>760800000</v>
      </c>
      <c r="G48" s="4" t="str">
        <f>HYPERLINK("http://141.218.60.56/~jnz1568/getInfo.php?workbook=08_06.xlsx&amp;sheet=A0&amp;row=48&amp;col=7&amp;number=&amp;sourceID=3","")</f>
        <v/>
      </c>
      <c r="H48" s="4" t="str">
        <f>HYPERLINK("http://141.218.60.56/~jnz1568/getInfo.php?workbook=08_06.xlsx&amp;sheet=A0&amp;row=48&amp;col=8&amp;number=&amp;sourceID=3","")</f>
        <v/>
      </c>
      <c r="I48" s="4" t="str">
        <f>HYPERLINK("http://141.218.60.56/~jnz1568/getInfo.php?workbook=08_06.xlsx&amp;sheet=A0&amp;row=48&amp;col=9&amp;number=0.0028408&amp;sourceID=3","0.0028408")</f>
        <v>0.0028408</v>
      </c>
      <c r="J48" s="4" t="str">
        <f>HYPERLINK("http://141.218.60.56/~jnz1568/getInfo.php?workbook=08_06.xlsx&amp;sheet=A0&amp;row=48&amp;col=10&amp;number=769080000&amp;sourceID=3","769080000")</f>
        <v>769080000</v>
      </c>
      <c r="K48" s="4" t="str">
        <f>HYPERLINK("http://141.218.60.56/~jnz1568/getInfo.php?workbook=08_06.xlsx&amp;sheet=A0&amp;row=48&amp;col=11&amp;number=&amp;sourceID=3","")</f>
        <v/>
      </c>
      <c r="L48" s="4" t="str">
        <f>HYPERLINK("http://141.218.60.56/~jnz1568/getInfo.php?workbook=08_06.xlsx&amp;sheet=A0&amp;row=48&amp;col=12&amp;number=&amp;sourceID=3","")</f>
        <v/>
      </c>
      <c r="M48" s="4" t="str">
        <f>HYPERLINK("http://141.218.60.56/~jnz1568/getInfo.php?workbook=08_06.xlsx&amp;sheet=A0&amp;row=48&amp;col=13&amp;number=0.0028961&amp;sourceID=3","0.0028961")</f>
        <v>0.0028961</v>
      </c>
      <c r="N48" s="4" t="str">
        <f>HYPERLINK("http://141.218.60.56/~jnz1568/getInfo.php?workbook=08_06.xlsx&amp;sheet=A0&amp;row=48&amp;col=14&amp;number=819200000&amp;sourceID=7","819200000")</f>
        <v>819200000</v>
      </c>
      <c r="O48" s="4" t="str">
        <f>HYPERLINK("http://141.218.60.56/~jnz1568/getInfo.php?workbook=08_06.xlsx&amp;sheet=A0&amp;row=48&amp;col=15&amp;number=&amp;sourceID=5","")</f>
        <v/>
      </c>
      <c r="P48" s="4" t="str">
        <f>HYPERLINK("http://141.218.60.56/~jnz1568/getInfo.php?workbook=08_06.xlsx&amp;sheet=A0&amp;row=48&amp;col=16&amp;number=&amp;sourceID=5","")</f>
        <v/>
      </c>
      <c r="Q48" s="4" t="str">
        <f>HYPERLINK("http://141.218.60.56/~jnz1568/getInfo.php?workbook=08_06.xlsx&amp;sheet=A0&amp;row=48&amp;col=17&amp;number=&amp;sourceID=6","")</f>
        <v/>
      </c>
    </row>
    <row r="49" spans="1:17">
      <c r="A49" s="3">
        <v>8</v>
      </c>
      <c r="B49" s="3">
        <v>6</v>
      </c>
      <c r="C49" s="3">
        <v>11</v>
      </c>
      <c r="D49" s="3">
        <v>4</v>
      </c>
      <c r="E49" s="3">
        <f>((1/(INDEX(E0!J$4:J$49,C49,1)-INDEX(E0!J$4:J$49,D49,1))))*100000000</f>
        <v>0</v>
      </c>
      <c r="F49" s="4" t="str">
        <f>HYPERLINK("http://141.218.60.56/~jnz1568/getInfo.php?workbook=08_06.xlsx&amp;sheet=A0&amp;row=49&amp;col=6&amp;number=27461&amp;sourceID=3","27461")</f>
        <v>27461</v>
      </c>
      <c r="G49" s="4" t="str">
        <f>HYPERLINK("http://141.218.60.56/~jnz1568/getInfo.php?workbook=08_06.xlsx&amp;sheet=A0&amp;row=49&amp;col=7&amp;number=&amp;sourceID=3","")</f>
        <v/>
      </c>
      <c r="H49" s="4" t="str">
        <f>HYPERLINK("http://141.218.60.56/~jnz1568/getInfo.php?workbook=08_06.xlsx&amp;sheet=A0&amp;row=49&amp;col=8&amp;number=&amp;sourceID=3","")</f>
        <v/>
      </c>
      <c r="I49" s="4" t="str">
        <f>HYPERLINK("http://141.218.60.56/~jnz1568/getInfo.php?workbook=08_06.xlsx&amp;sheet=A0&amp;row=49&amp;col=9&amp;number=0.069408&amp;sourceID=3","0.069408")</f>
        <v>0.069408</v>
      </c>
      <c r="J49" s="4" t="str">
        <f>HYPERLINK("http://141.218.60.56/~jnz1568/getInfo.php?workbook=08_06.xlsx&amp;sheet=A0&amp;row=49&amp;col=10&amp;number=28442&amp;sourceID=3","28442")</f>
        <v>28442</v>
      </c>
      <c r="K49" s="4" t="str">
        <f>HYPERLINK("http://141.218.60.56/~jnz1568/getInfo.php?workbook=08_06.xlsx&amp;sheet=A0&amp;row=49&amp;col=11&amp;number=&amp;sourceID=3","")</f>
        <v/>
      </c>
      <c r="L49" s="4" t="str">
        <f>HYPERLINK("http://141.218.60.56/~jnz1568/getInfo.php?workbook=08_06.xlsx&amp;sheet=A0&amp;row=49&amp;col=12&amp;number=&amp;sourceID=3","")</f>
        <v/>
      </c>
      <c r="M49" s="4" t="str">
        <f>HYPERLINK("http://141.218.60.56/~jnz1568/getInfo.php?workbook=08_06.xlsx&amp;sheet=A0&amp;row=49&amp;col=13&amp;number=0.070657&amp;sourceID=3","0.070657")</f>
        <v>0.070657</v>
      </c>
      <c r="N49" s="4" t="str">
        <f>HYPERLINK("http://141.218.60.56/~jnz1568/getInfo.php?workbook=08_06.xlsx&amp;sheet=A0&amp;row=49&amp;col=14&amp;number=20240&amp;sourceID=7","20240")</f>
        <v>20240</v>
      </c>
      <c r="O49" s="4" t="str">
        <f>HYPERLINK("http://141.218.60.56/~jnz1568/getInfo.php?workbook=08_06.xlsx&amp;sheet=A0&amp;row=49&amp;col=15&amp;number=&amp;sourceID=5","")</f>
        <v/>
      </c>
      <c r="P49" s="4" t="str">
        <f>HYPERLINK("http://141.218.60.56/~jnz1568/getInfo.php?workbook=08_06.xlsx&amp;sheet=A0&amp;row=49&amp;col=16&amp;number=&amp;sourceID=5","")</f>
        <v/>
      </c>
      <c r="Q49" s="4" t="str">
        <f>HYPERLINK("http://141.218.60.56/~jnz1568/getInfo.php?workbook=08_06.xlsx&amp;sheet=A0&amp;row=49&amp;col=17&amp;number=&amp;sourceID=6","")</f>
        <v/>
      </c>
    </row>
    <row r="50" spans="1:17">
      <c r="A50" s="3">
        <v>8</v>
      </c>
      <c r="B50" s="3">
        <v>6</v>
      </c>
      <c r="C50" s="3">
        <v>11</v>
      </c>
      <c r="D50" s="3">
        <v>5</v>
      </c>
      <c r="E50" s="3">
        <f>((1/(INDEX(E0!J$4:J$49,C50,1)-INDEX(E0!J$4:J$49,D50,1))))*100000000</f>
        <v>0</v>
      </c>
      <c r="F50" s="4" t="str">
        <f>HYPERLINK("http://141.218.60.56/~jnz1568/getInfo.php?workbook=08_06.xlsx&amp;sheet=A0&amp;row=50&amp;col=6&amp;number=9578.2&amp;sourceID=3","9578.2")</f>
        <v>9578.2</v>
      </c>
      <c r="G50" s="4" t="str">
        <f>HYPERLINK("http://141.218.60.56/~jnz1568/getInfo.php?workbook=08_06.xlsx&amp;sheet=A0&amp;row=50&amp;col=7&amp;number=&amp;sourceID=3","")</f>
        <v/>
      </c>
      <c r="H50" s="4" t="str">
        <f>HYPERLINK("http://141.218.60.56/~jnz1568/getInfo.php?workbook=08_06.xlsx&amp;sheet=A0&amp;row=50&amp;col=8&amp;number=&amp;sourceID=3","")</f>
        <v/>
      </c>
      <c r="I50" s="4" t="str">
        <f>HYPERLINK("http://141.218.60.56/~jnz1568/getInfo.php?workbook=08_06.xlsx&amp;sheet=A0&amp;row=50&amp;col=9&amp;number=&amp;sourceID=3","")</f>
        <v/>
      </c>
      <c r="J50" s="4" t="str">
        <f>HYPERLINK("http://141.218.60.56/~jnz1568/getInfo.php?workbook=08_06.xlsx&amp;sheet=A0&amp;row=50&amp;col=10&amp;number=9650.5&amp;sourceID=3","9650.5")</f>
        <v>9650.5</v>
      </c>
      <c r="K50" s="4" t="str">
        <f>HYPERLINK("http://141.218.60.56/~jnz1568/getInfo.php?workbook=08_06.xlsx&amp;sheet=A0&amp;row=50&amp;col=11&amp;number=&amp;sourceID=3","")</f>
        <v/>
      </c>
      <c r="L50" s="4" t="str">
        <f>HYPERLINK("http://141.218.60.56/~jnz1568/getInfo.php?workbook=08_06.xlsx&amp;sheet=A0&amp;row=50&amp;col=12&amp;number=&amp;sourceID=3","")</f>
        <v/>
      </c>
      <c r="M50" s="4" t="str">
        <f>HYPERLINK("http://141.218.60.56/~jnz1568/getInfo.php?workbook=08_06.xlsx&amp;sheet=A0&amp;row=50&amp;col=13&amp;number=&amp;sourceID=3","")</f>
        <v/>
      </c>
      <c r="N50" s="4" t="str">
        <f>HYPERLINK("http://141.218.60.56/~jnz1568/getInfo.php?workbook=08_06.xlsx&amp;sheet=A0&amp;row=50&amp;col=14&amp;number=6108&amp;sourceID=7","6108")</f>
        <v>6108</v>
      </c>
      <c r="O50" s="4" t="str">
        <f>HYPERLINK("http://141.218.60.56/~jnz1568/getInfo.php?workbook=08_06.xlsx&amp;sheet=A0&amp;row=50&amp;col=15&amp;number=&amp;sourceID=5","")</f>
        <v/>
      </c>
      <c r="P50" s="4" t="str">
        <f>HYPERLINK("http://141.218.60.56/~jnz1568/getInfo.php?workbook=08_06.xlsx&amp;sheet=A0&amp;row=50&amp;col=16&amp;number=&amp;sourceID=5","")</f>
        <v/>
      </c>
      <c r="Q50" s="4" t="str">
        <f>HYPERLINK("http://141.218.60.56/~jnz1568/getInfo.php?workbook=08_06.xlsx&amp;sheet=A0&amp;row=50&amp;col=17&amp;number=&amp;sourceID=6","")</f>
        <v/>
      </c>
    </row>
    <row r="51" spans="1:17">
      <c r="A51" s="3">
        <v>8</v>
      </c>
      <c r="B51" s="3">
        <v>6</v>
      </c>
      <c r="C51" s="3">
        <v>11</v>
      </c>
      <c r="D51" s="3">
        <v>6</v>
      </c>
      <c r="E51" s="3">
        <f>((1/(INDEX(E0!J$4:J$49,C51,1)-INDEX(E0!J$4:J$49,D51,1))))*100000000</f>
        <v>0</v>
      </c>
      <c r="F51" s="4" t="str">
        <f>HYPERLINK("http://141.218.60.56/~jnz1568/getInfo.php?workbook=08_06.xlsx&amp;sheet=A0&amp;row=51&amp;col=6&amp;number=&amp;sourceID=3","")</f>
        <v/>
      </c>
      <c r="G51" s="4" t="str">
        <f>HYPERLINK("http://141.218.60.56/~jnz1568/getInfo.php?workbook=08_06.xlsx&amp;sheet=A0&amp;row=51&amp;col=7&amp;number=7.1559e-06&amp;sourceID=3","7.1559e-06")</f>
        <v>7.1559e-06</v>
      </c>
      <c r="H51" s="4" t="str">
        <f>HYPERLINK("http://141.218.60.56/~jnz1568/getInfo.php?workbook=08_06.xlsx&amp;sheet=A0&amp;row=51&amp;col=8&amp;number=0.08322&amp;sourceID=3","0.08322")</f>
        <v>0.08322</v>
      </c>
      <c r="I51" s="4" t="str">
        <f>HYPERLINK("http://141.218.60.56/~jnz1568/getInfo.php?workbook=08_06.xlsx&amp;sheet=A0&amp;row=51&amp;col=9&amp;number=&amp;sourceID=3","")</f>
        <v/>
      </c>
      <c r="J51" s="4" t="str">
        <f>HYPERLINK("http://141.218.60.56/~jnz1568/getInfo.php?workbook=08_06.xlsx&amp;sheet=A0&amp;row=51&amp;col=10&amp;number=&amp;sourceID=3","")</f>
        <v/>
      </c>
      <c r="K51" s="4" t="str">
        <f>HYPERLINK("http://141.218.60.56/~jnz1568/getInfo.php?workbook=08_06.xlsx&amp;sheet=A0&amp;row=51&amp;col=11&amp;number=&amp;sourceID=3","")</f>
        <v/>
      </c>
      <c r="L51" s="4" t="str">
        <f>HYPERLINK("http://141.218.60.56/~jnz1568/getInfo.php?workbook=08_06.xlsx&amp;sheet=A0&amp;row=51&amp;col=12&amp;number=&amp;sourceID=3","")</f>
        <v/>
      </c>
      <c r="M51" s="4" t="str">
        <f>HYPERLINK("http://141.218.60.56/~jnz1568/getInfo.php?workbook=08_06.xlsx&amp;sheet=A0&amp;row=51&amp;col=13&amp;number=&amp;sourceID=3","")</f>
        <v/>
      </c>
      <c r="N51" s="4" t="str">
        <f>HYPERLINK("http://141.218.60.56/~jnz1568/getInfo.php?workbook=08_06.xlsx&amp;sheet=A0&amp;row=51&amp;col=14&amp;number=&amp;sourceID=7","")</f>
        <v/>
      </c>
      <c r="O51" s="4" t="str">
        <f>HYPERLINK("http://141.218.60.56/~jnz1568/getInfo.php?workbook=08_06.xlsx&amp;sheet=A0&amp;row=51&amp;col=15&amp;number=&amp;sourceID=5","")</f>
        <v/>
      </c>
      <c r="P51" s="4" t="str">
        <f>HYPERLINK("http://141.218.60.56/~jnz1568/getInfo.php?workbook=08_06.xlsx&amp;sheet=A0&amp;row=51&amp;col=16&amp;number=&amp;sourceID=5","")</f>
        <v/>
      </c>
      <c r="Q51" s="4" t="str">
        <f>HYPERLINK("http://141.218.60.56/~jnz1568/getInfo.php?workbook=08_06.xlsx&amp;sheet=A0&amp;row=51&amp;col=17&amp;number=&amp;sourceID=6","")</f>
        <v/>
      </c>
    </row>
    <row r="52" spans="1:17">
      <c r="A52" s="3">
        <v>8</v>
      </c>
      <c r="B52" s="3">
        <v>6</v>
      </c>
      <c r="C52" s="3">
        <v>11</v>
      </c>
      <c r="D52" s="3">
        <v>7</v>
      </c>
      <c r="E52" s="3">
        <f>((1/(INDEX(E0!J$4:J$49,C52,1)-INDEX(E0!J$4:J$49,D52,1))))*100000000</f>
        <v>0</v>
      </c>
      <c r="F52" s="4" t="str">
        <f>HYPERLINK("http://141.218.60.56/~jnz1568/getInfo.php?workbook=08_06.xlsx&amp;sheet=A0&amp;row=52&amp;col=6&amp;number=&amp;sourceID=3","")</f>
        <v/>
      </c>
      <c r="G52" s="4" t="str">
        <f>HYPERLINK("http://141.218.60.56/~jnz1568/getInfo.php?workbook=08_06.xlsx&amp;sheet=A0&amp;row=52&amp;col=7&amp;number=0.54443&amp;sourceID=3","0.54443")</f>
        <v>0.54443</v>
      </c>
      <c r="H52" s="4" t="str">
        <f>HYPERLINK("http://141.218.60.56/~jnz1568/getInfo.php?workbook=08_06.xlsx&amp;sheet=A0&amp;row=52&amp;col=8&amp;number=&amp;sourceID=3","")</f>
        <v/>
      </c>
      <c r="I52" s="4" t="str">
        <f>HYPERLINK("http://141.218.60.56/~jnz1568/getInfo.php?workbook=08_06.xlsx&amp;sheet=A0&amp;row=52&amp;col=9&amp;number=&amp;sourceID=3","")</f>
        <v/>
      </c>
      <c r="J52" s="4" t="str">
        <f>HYPERLINK("http://141.218.60.56/~jnz1568/getInfo.php?workbook=08_06.xlsx&amp;sheet=A0&amp;row=52&amp;col=10&amp;number=&amp;sourceID=3","")</f>
        <v/>
      </c>
      <c r="K52" s="4" t="str">
        <f>HYPERLINK("http://141.218.60.56/~jnz1568/getInfo.php?workbook=08_06.xlsx&amp;sheet=A0&amp;row=52&amp;col=11&amp;number=&amp;sourceID=3","")</f>
        <v/>
      </c>
      <c r="L52" s="4" t="str">
        <f>HYPERLINK("http://141.218.60.56/~jnz1568/getInfo.php?workbook=08_06.xlsx&amp;sheet=A0&amp;row=52&amp;col=12&amp;number=&amp;sourceID=3","")</f>
        <v/>
      </c>
      <c r="M52" s="4" t="str">
        <f>HYPERLINK("http://141.218.60.56/~jnz1568/getInfo.php?workbook=08_06.xlsx&amp;sheet=A0&amp;row=52&amp;col=13&amp;number=&amp;sourceID=3","")</f>
        <v/>
      </c>
      <c r="N52" s="4" t="str">
        <f>HYPERLINK("http://141.218.60.56/~jnz1568/getInfo.php?workbook=08_06.xlsx&amp;sheet=A0&amp;row=52&amp;col=14&amp;number=&amp;sourceID=7","")</f>
        <v/>
      </c>
      <c r="O52" s="4" t="str">
        <f>HYPERLINK("http://141.218.60.56/~jnz1568/getInfo.php?workbook=08_06.xlsx&amp;sheet=A0&amp;row=52&amp;col=15&amp;number=&amp;sourceID=5","")</f>
        <v/>
      </c>
      <c r="P52" s="4" t="str">
        <f>HYPERLINK("http://141.218.60.56/~jnz1568/getInfo.php?workbook=08_06.xlsx&amp;sheet=A0&amp;row=52&amp;col=16&amp;number=&amp;sourceID=5","")</f>
        <v/>
      </c>
      <c r="Q52" s="4" t="str">
        <f>HYPERLINK("http://141.218.60.56/~jnz1568/getInfo.php?workbook=08_06.xlsx&amp;sheet=A0&amp;row=52&amp;col=17&amp;number=&amp;sourceID=6","")</f>
        <v/>
      </c>
    </row>
    <row r="53" spans="1:17">
      <c r="A53" s="3">
        <v>8</v>
      </c>
      <c r="B53" s="3">
        <v>6</v>
      </c>
      <c r="C53" s="3">
        <v>11</v>
      </c>
      <c r="D53" s="3">
        <v>8</v>
      </c>
      <c r="E53" s="3">
        <f>((1/(INDEX(E0!J$4:J$49,C53,1)-INDEX(E0!J$4:J$49,D53,1))))*100000000</f>
        <v>0</v>
      </c>
      <c r="F53" s="4" t="str">
        <f>HYPERLINK("http://141.218.60.56/~jnz1568/getInfo.php?workbook=08_06.xlsx&amp;sheet=A0&amp;row=53&amp;col=6&amp;number=&amp;sourceID=3","")</f>
        <v/>
      </c>
      <c r="G53" s="4" t="str">
        <f>HYPERLINK("http://141.218.60.56/~jnz1568/getInfo.php?workbook=08_06.xlsx&amp;sheet=A0&amp;row=53&amp;col=7&amp;number=0.096426&amp;sourceID=3","0.096426")</f>
        <v>0.096426</v>
      </c>
      <c r="H53" s="4" t="str">
        <f>HYPERLINK("http://141.218.60.56/~jnz1568/getInfo.php?workbook=08_06.xlsx&amp;sheet=A0&amp;row=53&amp;col=8&amp;number=8.1768e-08&amp;sourceID=3","8.1768e-08")</f>
        <v>8.1768e-08</v>
      </c>
      <c r="I53" s="4" t="str">
        <f>HYPERLINK("http://141.218.60.56/~jnz1568/getInfo.php?workbook=08_06.xlsx&amp;sheet=A0&amp;row=53&amp;col=9&amp;number=&amp;sourceID=3","")</f>
        <v/>
      </c>
      <c r="J53" s="4" t="str">
        <f>HYPERLINK("http://141.218.60.56/~jnz1568/getInfo.php?workbook=08_06.xlsx&amp;sheet=A0&amp;row=53&amp;col=10&amp;number=&amp;sourceID=3","")</f>
        <v/>
      </c>
      <c r="K53" s="4" t="str">
        <f>HYPERLINK("http://141.218.60.56/~jnz1568/getInfo.php?workbook=08_06.xlsx&amp;sheet=A0&amp;row=53&amp;col=11&amp;number=&amp;sourceID=3","")</f>
        <v/>
      </c>
      <c r="L53" s="4" t="str">
        <f>HYPERLINK("http://141.218.60.56/~jnz1568/getInfo.php?workbook=08_06.xlsx&amp;sheet=A0&amp;row=53&amp;col=12&amp;number=&amp;sourceID=3","")</f>
        <v/>
      </c>
      <c r="M53" s="4" t="str">
        <f>HYPERLINK("http://141.218.60.56/~jnz1568/getInfo.php?workbook=08_06.xlsx&amp;sheet=A0&amp;row=53&amp;col=13&amp;number=&amp;sourceID=3","")</f>
        <v/>
      </c>
      <c r="N53" s="4" t="str">
        <f>HYPERLINK("http://141.218.60.56/~jnz1568/getInfo.php?workbook=08_06.xlsx&amp;sheet=A0&amp;row=53&amp;col=14&amp;number=&amp;sourceID=7","")</f>
        <v/>
      </c>
      <c r="O53" s="4" t="str">
        <f>HYPERLINK("http://141.218.60.56/~jnz1568/getInfo.php?workbook=08_06.xlsx&amp;sheet=A0&amp;row=53&amp;col=15&amp;number=&amp;sourceID=5","")</f>
        <v/>
      </c>
      <c r="P53" s="4" t="str">
        <f>HYPERLINK("http://141.218.60.56/~jnz1568/getInfo.php?workbook=08_06.xlsx&amp;sheet=A0&amp;row=53&amp;col=16&amp;number=&amp;sourceID=5","")</f>
        <v/>
      </c>
      <c r="Q53" s="4" t="str">
        <f>HYPERLINK("http://141.218.60.56/~jnz1568/getInfo.php?workbook=08_06.xlsx&amp;sheet=A0&amp;row=53&amp;col=17&amp;number=&amp;sourceID=6","")</f>
        <v/>
      </c>
    </row>
    <row r="54" spans="1:17">
      <c r="A54" s="3">
        <v>8</v>
      </c>
      <c r="B54" s="3">
        <v>6</v>
      </c>
      <c r="C54" s="3">
        <v>11</v>
      </c>
      <c r="D54" s="3">
        <v>9</v>
      </c>
      <c r="E54" s="3">
        <f>((1/(INDEX(E0!J$4:J$49,C54,1)-INDEX(E0!J$4:J$49,D54,1))))*100000000</f>
        <v>0</v>
      </c>
      <c r="F54" s="4" t="str">
        <f>HYPERLINK("http://141.218.60.56/~jnz1568/getInfo.php?workbook=08_06.xlsx&amp;sheet=A0&amp;row=54&amp;col=6&amp;number=&amp;sourceID=3","")</f>
        <v/>
      </c>
      <c r="G54" s="4" t="str">
        <f>HYPERLINK("http://141.218.60.56/~jnz1568/getInfo.php?workbook=08_06.xlsx&amp;sheet=A0&amp;row=54&amp;col=7&amp;number=0.52073&amp;sourceID=3","0.52073")</f>
        <v>0.52073</v>
      </c>
      <c r="H54" s="4" t="str">
        <f>HYPERLINK("http://141.218.60.56/~jnz1568/getInfo.php?workbook=08_06.xlsx&amp;sheet=A0&amp;row=54&amp;col=8&amp;number=0.023122&amp;sourceID=3","0.023122")</f>
        <v>0.023122</v>
      </c>
      <c r="I54" s="4" t="str">
        <f>HYPERLINK("http://141.218.60.56/~jnz1568/getInfo.php?workbook=08_06.xlsx&amp;sheet=A0&amp;row=54&amp;col=9&amp;number=&amp;sourceID=3","")</f>
        <v/>
      </c>
      <c r="J54" s="4" t="str">
        <f>HYPERLINK("http://141.218.60.56/~jnz1568/getInfo.php?workbook=08_06.xlsx&amp;sheet=A0&amp;row=54&amp;col=10&amp;number=&amp;sourceID=3","")</f>
        <v/>
      </c>
      <c r="K54" s="4" t="str">
        <f>HYPERLINK("http://141.218.60.56/~jnz1568/getInfo.php?workbook=08_06.xlsx&amp;sheet=A0&amp;row=54&amp;col=11&amp;number=&amp;sourceID=3","")</f>
        <v/>
      </c>
      <c r="L54" s="4" t="str">
        <f>HYPERLINK("http://141.218.60.56/~jnz1568/getInfo.php?workbook=08_06.xlsx&amp;sheet=A0&amp;row=54&amp;col=12&amp;number=&amp;sourceID=3","")</f>
        <v/>
      </c>
      <c r="M54" s="4" t="str">
        <f>HYPERLINK("http://141.218.60.56/~jnz1568/getInfo.php?workbook=08_06.xlsx&amp;sheet=A0&amp;row=54&amp;col=13&amp;number=&amp;sourceID=3","")</f>
        <v/>
      </c>
      <c r="N54" s="4" t="str">
        <f>HYPERLINK("http://141.218.60.56/~jnz1568/getInfo.php?workbook=08_06.xlsx&amp;sheet=A0&amp;row=54&amp;col=14&amp;number=&amp;sourceID=7","")</f>
        <v/>
      </c>
      <c r="O54" s="4" t="str">
        <f>HYPERLINK("http://141.218.60.56/~jnz1568/getInfo.php?workbook=08_06.xlsx&amp;sheet=A0&amp;row=54&amp;col=15&amp;number=&amp;sourceID=5","")</f>
        <v/>
      </c>
      <c r="P54" s="4" t="str">
        <f>HYPERLINK("http://141.218.60.56/~jnz1568/getInfo.php?workbook=08_06.xlsx&amp;sheet=A0&amp;row=54&amp;col=16&amp;number=&amp;sourceID=5","")</f>
        <v/>
      </c>
      <c r="Q54" s="4" t="str">
        <f>HYPERLINK("http://141.218.60.56/~jnz1568/getInfo.php?workbook=08_06.xlsx&amp;sheet=A0&amp;row=54&amp;col=17&amp;number=&amp;sourceID=6","")</f>
        <v/>
      </c>
    </row>
    <row r="55" spans="1:17">
      <c r="A55" s="3">
        <v>8</v>
      </c>
      <c r="B55" s="3">
        <v>6</v>
      </c>
      <c r="C55" s="3">
        <v>11</v>
      </c>
      <c r="D55" s="3">
        <v>10</v>
      </c>
      <c r="E55" s="3">
        <f>((1/(INDEX(E0!J$4:J$49,C55,1)-INDEX(E0!J$4:J$49,D55,1))))*100000000</f>
        <v>0</v>
      </c>
      <c r="F55" s="4" t="str">
        <f>HYPERLINK("http://141.218.60.56/~jnz1568/getInfo.php?workbook=08_06.xlsx&amp;sheet=A0&amp;row=55&amp;col=6&amp;number=&amp;sourceID=3","")</f>
        <v/>
      </c>
      <c r="G55" s="4" t="str">
        <f>HYPERLINK("http://141.218.60.56/~jnz1568/getInfo.php?workbook=08_06.xlsx&amp;sheet=A0&amp;row=55&amp;col=7&amp;number=0&amp;sourceID=3","0")</f>
        <v>0</v>
      </c>
      <c r="H55" s="4" t="str">
        <f>HYPERLINK("http://141.218.60.56/~jnz1568/getInfo.php?workbook=08_06.xlsx&amp;sheet=A0&amp;row=55&amp;col=8&amp;number=1.6543e-10&amp;sourceID=3","1.6543e-10")</f>
        <v>1.6543e-10</v>
      </c>
      <c r="I55" s="4" t="str">
        <f>HYPERLINK("http://141.218.60.56/~jnz1568/getInfo.php?workbook=08_06.xlsx&amp;sheet=A0&amp;row=55&amp;col=9&amp;number=&amp;sourceID=3","")</f>
        <v/>
      </c>
      <c r="J55" s="4" t="str">
        <f>HYPERLINK("http://141.218.60.56/~jnz1568/getInfo.php?workbook=08_06.xlsx&amp;sheet=A0&amp;row=55&amp;col=10&amp;number=&amp;sourceID=3","")</f>
        <v/>
      </c>
      <c r="K55" s="4" t="str">
        <f>HYPERLINK("http://141.218.60.56/~jnz1568/getInfo.php?workbook=08_06.xlsx&amp;sheet=A0&amp;row=55&amp;col=11&amp;number=&amp;sourceID=3","")</f>
        <v/>
      </c>
      <c r="L55" s="4" t="str">
        <f>HYPERLINK("http://141.218.60.56/~jnz1568/getInfo.php?workbook=08_06.xlsx&amp;sheet=A0&amp;row=55&amp;col=12&amp;number=&amp;sourceID=3","")</f>
        <v/>
      </c>
      <c r="M55" s="4" t="str">
        <f>HYPERLINK("http://141.218.60.56/~jnz1568/getInfo.php?workbook=08_06.xlsx&amp;sheet=A0&amp;row=55&amp;col=13&amp;number=&amp;sourceID=3","")</f>
        <v/>
      </c>
      <c r="N55" s="4" t="str">
        <f>HYPERLINK("http://141.218.60.56/~jnz1568/getInfo.php?workbook=08_06.xlsx&amp;sheet=A0&amp;row=55&amp;col=14&amp;number=&amp;sourceID=7","")</f>
        <v/>
      </c>
      <c r="O55" s="4" t="str">
        <f>HYPERLINK("http://141.218.60.56/~jnz1568/getInfo.php?workbook=08_06.xlsx&amp;sheet=A0&amp;row=55&amp;col=15&amp;number=&amp;sourceID=5","")</f>
        <v/>
      </c>
      <c r="P55" s="4" t="str">
        <f>HYPERLINK("http://141.218.60.56/~jnz1568/getInfo.php?workbook=08_06.xlsx&amp;sheet=A0&amp;row=55&amp;col=16&amp;number=&amp;sourceID=5","")</f>
        <v/>
      </c>
      <c r="Q55" s="4" t="str">
        <f>HYPERLINK("http://141.218.60.56/~jnz1568/getInfo.php?workbook=08_06.xlsx&amp;sheet=A0&amp;row=55&amp;col=17&amp;number=&amp;sourceID=6","")</f>
        <v/>
      </c>
    </row>
    <row r="56" spans="1:17">
      <c r="A56" s="3">
        <v>8</v>
      </c>
      <c r="B56" s="3">
        <v>6</v>
      </c>
      <c r="C56" s="3">
        <v>12</v>
      </c>
      <c r="D56" s="3">
        <v>2</v>
      </c>
      <c r="E56" s="3">
        <f>((1/(INDEX(E0!J$4:J$49,C56,1)-INDEX(E0!J$4:J$49,D56,1))))*100000000</f>
        <v>0</v>
      </c>
      <c r="F56" s="4" t="str">
        <f>HYPERLINK("http://141.218.60.56/~jnz1568/getInfo.php?workbook=08_06.xlsx&amp;sheet=A0&amp;row=56&amp;col=6&amp;number=1845500000&amp;sourceID=3","1845500000")</f>
        <v>1845500000</v>
      </c>
      <c r="G56" s="4" t="str">
        <f>HYPERLINK("http://141.218.60.56/~jnz1568/getInfo.php?workbook=08_06.xlsx&amp;sheet=A0&amp;row=56&amp;col=7&amp;number=&amp;sourceID=3","")</f>
        <v/>
      </c>
      <c r="H56" s="4" t="str">
        <f>HYPERLINK("http://141.218.60.56/~jnz1568/getInfo.php?workbook=08_06.xlsx&amp;sheet=A0&amp;row=56&amp;col=8&amp;number=&amp;sourceID=3","")</f>
        <v/>
      </c>
      <c r="I56" s="4" t="str">
        <f>HYPERLINK("http://141.218.60.56/~jnz1568/getInfo.php?workbook=08_06.xlsx&amp;sheet=A0&amp;row=56&amp;col=9&amp;number=&amp;sourceID=3","")</f>
        <v/>
      </c>
      <c r="J56" s="4" t="str">
        <f>HYPERLINK("http://141.218.60.56/~jnz1568/getInfo.php?workbook=08_06.xlsx&amp;sheet=A0&amp;row=56&amp;col=10&amp;number=1865400000&amp;sourceID=3","1865400000")</f>
        <v>1865400000</v>
      </c>
      <c r="K56" s="4" t="str">
        <f>HYPERLINK("http://141.218.60.56/~jnz1568/getInfo.php?workbook=08_06.xlsx&amp;sheet=A0&amp;row=56&amp;col=11&amp;number=&amp;sourceID=3","")</f>
        <v/>
      </c>
      <c r="L56" s="4" t="str">
        <f>HYPERLINK("http://141.218.60.56/~jnz1568/getInfo.php?workbook=08_06.xlsx&amp;sheet=A0&amp;row=56&amp;col=12&amp;number=&amp;sourceID=3","")</f>
        <v/>
      </c>
      <c r="M56" s="4" t="str">
        <f>HYPERLINK("http://141.218.60.56/~jnz1568/getInfo.php?workbook=08_06.xlsx&amp;sheet=A0&amp;row=56&amp;col=13&amp;number=&amp;sourceID=3","")</f>
        <v/>
      </c>
      <c r="N56" s="4" t="str">
        <f>HYPERLINK("http://141.218.60.56/~jnz1568/getInfo.php?workbook=08_06.xlsx&amp;sheet=A0&amp;row=56&amp;col=14&amp;number=1987000000&amp;sourceID=7","1987000000")</f>
        <v>1987000000</v>
      </c>
      <c r="O56" s="4" t="str">
        <f>HYPERLINK("http://141.218.60.56/~jnz1568/getInfo.php?workbook=08_06.xlsx&amp;sheet=A0&amp;row=56&amp;col=15&amp;number=&amp;sourceID=5","")</f>
        <v/>
      </c>
      <c r="P56" s="4" t="str">
        <f>HYPERLINK("http://141.218.60.56/~jnz1568/getInfo.php?workbook=08_06.xlsx&amp;sheet=A0&amp;row=56&amp;col=16&amp;number=&amp;sourceID=5","")</f>
        <v/>
      </c>
      <c r="Q56" s="4" t="str">
        <f>HYPERLINK("http://141.218.60.56/~jnz1568/getInfo.php?workbook=08_06.xlsx&amp;sheet=A0&amp;row=56&amp;col=17&amp;number=&amp;sourceID=6","")</f>
        <v/>
      </c>
    </row>
    <row r="57" spans="1:17">
      <c r="A57" s="3">
        <v>8</v>
      </c>
      <c r="B57" s="3">
        <v>6</v>
      </c>
      <c r="C57" s="3">
        <v>12</v>
      </c>
      <c r="D57" s="3">
        <v>3</v>
      </c>
      <c r="E57" s="3">
        <f>((1/(INDEX(E0!J$4:J$49,C57,1)-INDEX(E0!J$4:J$49,D57,1))))*100000000</f>
        <v>0</v>
      </c>
      <c r="F57" s="4" t="str">
        <f>HYPERLINK("http://141.218.60.56/~jnz1568/getInfo.php?workbook=08_06.xlsx&amp;sheet=A0&amp;row=57&amp;col=6&amp;number=&amp;sourceID=3","")</f>
        <v/>
      </c>
      <c r="G57" s="4" t="str">
        <f>HYPERLINK("http://141.218.60.56/~jnz1568/getInfo.php?workbook=08_06.xlsx&amp;sheet=A0&amp;row=57&amp;col=7&amp;number=&amp;sourceID=3","")</f>
        <v/>
      </c>
      <c r="H57" s="4" t="str">
        <f>HYPERLINK("http://141.218.60.56/~jnz1568/getInfo.php?workbook=08_06.xlsx&amp;sheet=A0&amp;row=57&amp;col=8&amp;number=&amp;sourceID=3","")</f>
        <v/>
      </c>
      <c r="I57" s="4" t="str">
        <f>HYPERLINK("http://141.218.60.56/~jnz1568/getInfo.php?workbook=08_06.xlsx&amp;sheet=A0&amp;row=57&amp;col=9&amp;number=0.10237&amp;sourceID=3","0.10237")</f>
        <v>0.10237</v>
      </c>
      <c r="J57" s="4" t="str">
        <f>HYPERLINK("http://141.218.60.56/~jnz1568/getInfo.php?workbook=08_06.xlsx&amp;sheet=A0&amp;row=57&amp;col=10&amp;number=&amp;sourceID=3","")</f>
        <v/>
      </c>
      <c r="K57" s="4" t="str">
        <f>HYPERLINK("http://141.218.60.56/~jnz1568/getInfo.php?workbook=08_06.xlsx&amp;sheet=A0&amp;row=57&amp;col=11&amp;number=&amp;sourceID=3","")</f>
        <v/>
      </c>
      <c r="L57" s="4" t="str">
        <f>HYPERLINK("http://141.218.60.56/~jnz1568/getInfo.php?workbook=08_06.xlsx&amp;sheet=A0&amp;row=57&amp;col=12&amp;number=&amp;sourceID=3","")</f>
        <v/>
      </c>
      <c r="M57" s="4" t="str">
        <f>HYPERLINK("http://141.218.60.56/~jnz1568/getInfo.php?workbook=08_06.xlsx&amp;sheet=A0&amp;row=57&amp;col=13&amp;number=0.1043&amp;sourceID=3","0.1043")</f>
        <v>0.1043</v>
      </c>
      <c r="N57" s="4" t="str">
        <f>HYPERLINK("http://141.218.60.56/~jnz1568/getInfo.php?workbook=08_06.xlsx&amp;sheet=A0&amp;row=57&amp;col=14&amp;number=&amp;sourceID=7","")</f>
        <v/>
      </c>
      <c r="O57" s="4" t="str">
        <f>HYPERLINK("http://141.218.60.56/~jnz1568/getInfo.php?workbook=08_06.xlsx&amp;sheet=A0&amp;row=57&amp;col=15&amp;number=&amp;sourceID=5","")</f>
        <v/>
      </c>
      <c r="P57" s="4" t="str">
        <f>HYPERLINK("http://141.218.60.56/~jnz1568/getInfo.php?workbook=08_06.xlsx&amp;sheet=A0&amp;row=57&amp;col=16&amp;number=&amp;sourceID=5","")</f>
        <v/>
      </c>
      <c r="Q57" s="4" t="str">
        <f>HYPERLINK("http://141.218.60.56/~jnz1568/getInfo.php?workbook=08_06.xlsx&amp;sheet=A0&amp;row=57&amp;col=17&amp;number=&amp;sourceID=6","")</f>
        <v/>
      </c>
    </row>
    <row r="58" spans="1:17">
      <c r="A58" s="3">
        <v>8</v>
      </c>
      <c r="B58" s="3">
        <v>6</v>
      </c>
      <c r="C58" s="3">
        <v>12</v>
      </c>
      <c r="D58" s="3">
        <v>4</v>
      </c>
      <c r="E58" s="3">
        <f>((1/(INDEX(E0!J$4:J$49,C58,1)-INDEX(E0!J$4:J$49,D58,1))))*100000000</f>
        <v>0</v>
      </c>
      <c r="F58" s="4" t="str">
        <f>HYPERLINK("http://141.218.60.56/~jnz1568/getInfo.php?workbook=08_06.xlsx&amp;sheet=A0&amp;row=58&amp;col=6&amp;number=&amp;sourceID=3","")</f>
        <v/>
      </c>
      <c r="G58" s="4" t="str">
        <f>HYPERLINK("http://141.218.60.56/~jnz1568/getInfo.php?workbook=08_06.xlsx&amp;sheet=A0&amp;row=58&amp;col=7&amp;number=&amp;sourceID=3","")</f>
        <v/>
      </c>
      <c r="H58" s="4" t="str">
        <f>HYPERLINK("http://141.218.60.56/~jnz1568/getInfo.php?workbook=08_06.xlsx&amp;sheet=A0&amp;row=58&amp;col=8&amp;number=&amp;sourceID=3","")</f>
        <v/>
      </c>
      <c r="I58" s="4" t="str">
        <f>HYPERLINK("http://141.218.60.56/~jnz1568/getInfo.php?workbook=08_06.xlsx&amp;sheet=A0&amp;row=58&amp;col=9&amp;number=0.090528&amp;sourceID=3","0.090528")</f>
        <v>0.090528</v>
      </c>
      <c r="J58" s="4" t="str">
        <f>HYPERLINK("http://141.218.60.56/~jnz1568/getInfo.php?workbook=08_06.xlsx&amp;sheet=A0&amp;row=58&amp;col=10&amp;number=&amp;sourceID=3","")</f>
        <v/>
      </c>
      <c r="K58" s="4" t="str">
        <f>HYPERLINK("http://141.218.60.56/~jnz1568/getInfo.php?workbook=08_06.xlsx&amp;sheet=A0&amp;row=58&amp;col=11&amp;number=&amp;sourceID=3","")</f>
        <v/>
      </c>
      <c r="L58" s="4" t="str">
        <f>HYPERLINK("http://141.218.60.56/~jnz1568/getInfo.php?workbook=08_06.xlsx&amp;sheet=A0&amp;row=58&amp;col=12&amp;number=&amp;sourceID=3","")</f>
        <v/>
      </c>
      <c r="M58" s="4" t="str">
        <f>HYPERLINK("http://141.218.60.56/~jnz1568/getInfo.php?workbook=08_06.xlsx&amp;sheet=A0&amp;row=58&amp;col=13&amp;number=0.092166&amp;sourceID=3","0.092166")</f>
        <v>0.092166</v>
      </c>
      <c r="N58" s="4" t="str">
        <f>HYPERLINK("http://141.218.60.56/~jnz1568/getInfo.php?workbook=08_06.xlsx&amp;sheet=A0&amp;row=58&amp;col=14&amp;number=&amp;sourceID=7","")</f>
        <v/>
      </c>
      <c r="O58" s="4" t="str">
        <f>HYPERLINK("http://141.218.60.56/~jnz1568/getInfo.php?workbook=08_06.xlsx&amp;sheet=A0&amp;row=58&amp;col=15&amp;number=&amp;sourceID=5","")</f>
        <v/>
      </c>
      <c r="P58" s="4" t="str">
        <f>HYPERLINK("http://141.218.60.56/~jnz1568/getInfo.php?workbook=08_06.xlsx&amp;sheet=A0&amp;row=58&amp;col=16&amp;number=&amp;sourceID=5","")</f>
        <v/>
      </c>
      <c r="Q58" s="4" t="str">
        <f>HYPERLINK("http://141.218.60.56/~jnz1568/getInfo.php?workbook=08_06.xlsx&amp;sheet=A0&amp;row=58&amp;col=17&amp;number=&amp;sourceID=6","")</f>
        <v/>
      </c>
    </row>
    <row r="59" spans="1:17">
      <c r="A59" s="3">
        <v>8</v>
      </c>
      <c r="B59" s="3">
        <v>6</v>
      </c>
      <c r="C59" s="3">
        <v>12</v>
      </c>
      <c r="D59" s="3">
        <v>6</v>
      </c>
      <c r="E59" s="3">
        <f>((1/(INDEX(E0!J$4:J$49,C59,1)-INDEX(E0!J$4:J$49,D59,1))))*100000000</f>
        <v>0</v>
      </c>
      <c r="F59" s="4" t="str">
        <f>HYPERLINK("http://141.218.60.56/~jnz1568/getInfo.php?workbook=08_06.xlsx&amp;sheet=A0&amp;row=59&amp;col=6&amp;number=&amp;sourceID=3","")</f>
        <v/>
      </c>
      <c r="G59" s="4" t="str">
        <f>HYPERLINK("http://141.218.60.56/~jnz1568/getInfo.php?workbook=08_06.xlsx&amp;sheet=A0&amp;row=59&amp;col=7&amp;number=8.2254e-07&amp;sourceID=3","8.2254e-07")</f>
        <v>8.2254e-07</v>
      </c>
      <c r="H59" s="4" t="str">
        <f>HYPERLINK("http://141.218.60.56/~jnz1568/getInfo.php?workbook=08_06.xlsx&amp;sheet=A0&amp;row=59&amp;col=8&amp;number=&amp;sourceID=3","")</f>
        <v/>
      </c>
      <c r="I59" s="4" t="str">
        <f>HYPERLINK("http://141.218.60.56/~jnz1568/getInfo.php?workbook=08_06.xlsx&amp;sheet=A0&amp;row=59&amp;col=9&amp;number=&amp;sourceID=3","")</f>
        <v/>
      </c>
      <c r="J59" s="4" t="str">
        <f>HYPERLINK("http://141.218.60.56/~jnz1568/getInfo.php?workbook=08_06.xlsx&amp;sheet=A0&amp;row=59&amp;col=10&amp;number=&amp;sourceID=3","")</f>
        <v/>
      </c>
      <c r="K59" s="4" t="str">
        <f>HYPERLINK("http://141.218.60.56/~jnz1568/getInfo.php?workbook=08_06.xlsx&amp;sheet=A0&amp;row=59&amp;col=11&amp;number=&amp;sourceID=3","")</f>
        <v/>
      </c>
      <c r="L59" s="4" t="str">
        <f>HYPERLINK("http://141.218.60.56/~jnz1568/getInfo.php?workbook=08_06.xlsx&amp;sheet=A0&amp;row=59&amp;col=12&amp;number=&amp;sourceID=3","")</f>
        <v/>
      </c>
      <c r="M59" s="4" t="str">
        <f>HYPERLINK("http://141.218.60.56/~jnz1568/getInfo.php?workbook=08_06.xlsx&amp;sheet=A0&amp;row=59&amp;col=13&amp;number=&amp;sourceID=3","")</f>
        <v/>
      </c>
      <c r="N59" s="4" t="str">
        <f>HYPERLINK("http://141.218.60.56/~jnz1568/getInfo.php?workbook=08_06.xlsx&amp;sheet=A0&amp;row=59&amp;col=14&amp;number=&amp;sourceID=7","")</f>
        <v/>
      </c>
      <c r="O59" s="4" t="str">
        <f>HYPERLINK("http://141.218.60.56/~jnz1568/getInfo.php?workbook=08_06.xlsx&amp;sheet=A0&amp;row=59&amp;col=15&amp;number=&amp;sourceID=5","")</f>
        <v/>
      </c>
      <c r="P59" s="4" t="str">
        <f>HYPERLINK("http://141.218.60.56/~jnz1568/getInfo.php?workbook=08_06.xlsx&amp;sheet=A0&amp;row=59&amp;col=16&amp;number=&amp;sourceID=5","")</f>
        <v/>
      </c>
      <c r="Q59" s="4" t="str">
        <f>HYPERLINK("http://141.218.60.56/~jnz1568/getInfo.php?workbook=08_06.xlsx&amp;sheet=A0&amp;row=59&amp;col=17&amp;number=&amp;sourceID=6","")</f>
        <v/>
      </c>
    </row>
    <row r="60" spans="1:17">
      <c r="A60" s="3">
        <v>8</v>
      </c>
      <c r="B60" s="3">
        <v>6</v>
      </c>
      <c r="C60" s="3">
        <v>12</v>
      </c>
      <c r="D60" s="3">
        <v>8</v>
      </c>
      <c r="E60" s="3">
        <f>((1/(INDEX(E0!J$4:J$49,C60,1)-INDEX(E0!J$4:J$49,D60,1))))*100000000</f>
        <v>0</v>
      </c>
      <c r="F60" s="4" t="str">
        <f>HYPERLINK("http://141.218.60.56/~jnz1568/getInfo.php?workbook=08_06.xlsx&amp;sheet=A0&amp;row=60&amp;col=6&amp;number=&amp;sourceID=3","")</f>
        <v/>
      </c>
      <c r="G60" s="4" t="str">
        <f>HYPERLINK("http://141.218.60.56/~jnz1568/getInfo.php?workbook=08_06.xlsx&amp;sheet=A0&amp;row=60&amp;col=7&amp;number=1.1625&amp;sourceID=3","1.1625")</f>
        <v>1.1625</v>
      </c>
      <c r="H60" s="4" t="str">
        <f>HYPERLINK("http://141.218.60.56/~jnz1568/getInfo.php?workbook=08_06.xlsx&amp;sheet=A0&amp;row=60&amp;col=8&amp;number=&amp;sourceID=3","")</f>
        <v/>
      </c>
      <c r="I60" s="4" t="str">
        <f>HYPERLINK("http://141.218.60.56/~jnz1568/getInfo.php?workbook=08_06.xlsx&amp;sheet=A0&amp;row=60&amp;col=9&amp;number=&amp;sourceID=3","")</f>
        <v/>
      </c>
      <c r="J60" s="4" t="str">
        <f>HYPERLINK("http://141.218.60.56/~jnz1568/getInfo.php?workbook=08_06.xlsx&amp;sheet=A0&amp;row=60&amp;col=10&amp;number=&amp;sourceID=3","")</f>
        <v/>
      </c>
      <c r="K60" s="4" t="str">
        <f>HYPERLINK("http://141.218.60.56/~jnz1568/getInfo.php?workbook=08_06.xlsx&amp;sheet=A0&amp;row=60&amp;col=11&amp;number=&amp;sourceID=3","")</f>
        <v/>
      </c>
      <c r="L60" s="4" t="str">
        <f>HYPERLINK("http://141.218.60.56/~jnz1568/getInfo.php?workbook=08_06.xlsx&amp;sheet=A0&amp;row=60&amp;col=12&amp;number=&amp;sourceID=3","")</f>
        <v/>
      </c>
      <c r="M60" s="4" t="str">
        <f>HYPERLINK("http://141.218.60.56/~jnz1568/getInfo.php?workbook=08_06.xlsx&amp;sheet=A0&amp;row=60&amp;col=13&amp;number=&amp;sourceID=3","")</f>
        <v/>
      </c>
      <c r="N60" s="4" t="str">
        <f>HYPERLINK("http://141.218.60.56/~jnz1568/getInfo.php?workbook=08_06.xlsx&amp;sheet=A0&amp;row=60&amp;col=14&amp;number=&amp;sourceID=7","")</f>
        <v/>
      </c>
      <c r="O60" s="4" t="str">
        <f>HYPERLINK("http://141.218.60.56/~jnz1568/getInfo.php?workbook=08_06.xlsx&amp;sheet=A0&amp;row=60&amp;col=15&amp;number=&amp;sourceID=5","")</f>
        <v/>
      </c>
      <c r="P60" s="4" t="str">
        <f>HYPERLINK("http://141.218.60.56/~jnz1568/getInfo.php?workbook=08_06.xlsx&amp;sheet=A0&amp;row=60&amp;col=16&amp;number=&amp;sourceID=5","")</f>
        <v/>
      </c>
      <c r="Q60" s="4" t="str">
        <f>HYPERLINK("http://141.218.60.56/~jnz1568/getInfo.php?workbook=08_06.xlsx&amp;sheet=A0&amp;row=60&amp;col=17&amp;number=&amp;sourceID=6","")</f>
        <v/>
      </c>
    </row>
    <row r="61" spans="1:17">
      <c r="A61" s="3">
        <v>8</v>
      </c>
      <c r="B61" s="3">
        <v>6</v>
      </c>
      <c r="C61" s="3">
        <v>12</v>
      </c>
      <c r="D61" s="3">
        <v>9</v>
      </c>
      <c r="E61" s="3">
        <f>((1/(INDEX(E0!J$4:J$49,C61,1)-INDEX(E0!J$4:J$49,D61,1))))*100000000</f>
        <v>0</v>
      </c>
      <c r="F61" s="4" t="str">
        <f>HYPERLINK("http://141.218.60.56/~jnz1568/getInfo.php?workbook=08_06.xlsx&amp;sheet=A0&amp;row=61&amp;col=6&amp;number=&amp;sourceID=3","")</f>
        <v/>
      </c>
      <c r="G61" s="4" t="str">
        <f>HYPERLINK("http://141.218.60.56/~jnz1568/getInfo.php?workbook=08_06.xlsx&amp;sheet=A0&amp;row=61&amp;col=7&amp;number=&amp;sourceID=3","")</f>
        <v/>
      </c>
      <c r="H61" s="4" t="str">
        <f>HYPERLINK("http://141.218.60.56/~jnz1568/getInfo.php?workbook=08_06.xlsx&amp;sheet=A0&amp;row=61&amp;col=8&amp;number=0.023165&amp;sourceID=3","0.023165")</f>
        <v>0.023165</v>
      </c>
      <c r="I61" s="4" t="str">
        <f>HYPERLINK("http://141.218.60.56/~jnz1568/getInfo.php?workbook=08_06.xlsx&amp;sheet=A0&amp;row=61&amp;col=9&amp;number=&amp;sourceID=3","")</f>
        <v/>
      </c>
      <c r="J61" s="4" t="str">
        <f>HYPERLINK("http://141.218.60.56/~jnz1568/getInfo.php?workbook=08_06.xlsx&amp;sheet=A0&amp;row=61&amp;col=10&amp;number=&amp;sourceID=3","")</f>
        <v/>
      </c>
      <c r="K61" s="4" t="str">
        <f>HYPERLINK("http://141.218.60.56/~jnz1568/getInfo.php?workbook=08_06.xlsx&amp;sheet=A0&amp;row=61&amp;col=11&amp;number=&amp;sourceID=3","")</f>
        <v/>
      </c>
      <c r="L61" s="4" t="str">
        <f>HYPERLINK("http://141.218.60.56/~jnz1568/getInfo.php?workbook=08_06.xlsx&amp;sheet=A0&amp;row=61&amp;col=12&amp;number=&amp;sourceID=3","")</f>
        <v/>
      </c>
      <c r="M61" s="4" t="str">
        <f>HYPERLINK("http://141.218.60.56/~jnz1568/getInfo.php?workbook=08_06.xlsx&amp;sheet=A0&amp;row=61&amp;col=13&amp;number=&amp;sourceID=3","")</f>
        <v/>
      </c>
      <c r="N61" s="4" t="str">
        <f>HYPERLINK("http://141.218.60.56/~jnz1568/getInfo.php?workbook=08_06.xlsx&amp;sheet=A0&amp;row=61&amp;col=14&amp;number=&amp;sourceID=7","")</f>
        <v/>
      </c>
      <c r="O61" s="4" t="str">
        <f>HYPERLINK("http://141.218.60.56/~jnz1568/getInfo.php?workbook=08_06.xlsx&amp;sheet=A0&amp;row=61&amp;col=15&amp;number=&amp;sourceID=5","")</f>
        <v/>
      </c>
      <c r="P61" s="4" t="str">
        <f>HYPERLINK("http://141.218.60.56/~jnz1568/getInfo.php?workbook=08_06.xlsx&amp;sheet=A0&amp;row=61&amp;col=16&amp;number=&amp;sourceID=5","")</f>
        <v/>
      </c>
      <c r="Q61" s="4" t="str">
        <f>HYPERLINK("http://141.218.60.56/~jnz1568/getInfo.php?workbook=08_06.xlsx&amp;sheet=A0&amp;row=61&amp;col=17&amp;number=&amp;sourceID=6","")</f>
        <v/>
      </c>
    </row>
    <row r="62" spans="1:17">
      <c r="A62" s="3">
        <v>8</v>
      </c>
      <c r="B62" s="3">
        <v>6</v>
      </c>
      <c r="C62" s="3">
        <v>12</v>
      </c>
      <c r="D62" s="3">
        <v>10</v>
      </c>
      <c r="E62" s="3">
        <f>((1/(INDEX(E0!J$4:J$49,C62,1)-INDEX(E0!J$4:J$49,D62,1))))*100000000</f>
        <v>0</v>
      </c>
      <c r="F62" s="4" t="str">
        <f>HYPERLINK("http://141.218.60.56/~jnz1568/getInfo.php?workbook=08_06.xlsx&amp;sheet=A0&amp;row=62&amp;col=6&amp;number=&amp;sourceID=3","")</f>
        <v/>
      </c>
      <c r="G62" s="4" t="str">
        <f>HYPERLINK("http://141.218.60.56/~jnz1568/getInfo.php?workbook=08_06.xlsx&amp;sheet=A0&amp;row=62&amp;col=7&amp;number=0&amp;sourceID=3","0")</f>
        <v>0</v>
      </c>
      <c r="H62" s="4" t="str">
        <f>HYPERLINK("http://141.218.60.56/~jnz1568/getInfo.php?workbook=08_06.xlsx&amp;sheet=A0&amp;row=62&amp;col=8&amp;number=&amp;sourceID=3","")</f>
        <v/>
      </c>
      <c r="I62" s="4" t="str">
        <f>HYPERLINK("http://141.218.60.56/~jnz1568/getInfo.php?workbook=08_06.xlsx&amp;sheet=A0&amp;row=62&amp;col=9&amp;number=&amp;sourceID=3","")</f>
        <v/>
      </c>
      <c r="J62" s="4" t="str">
        <f>HYPERLINK("http://141.218.60.56/~jnz1568/getInfo.php?workbook=08_06.xlsx&amp;sheet=A0&amp;row=62&amp;col=10&amp;number=&amp;sourceID=3","")</f>
        <v/>
      </c>
      <c r="K62" s="4" t="str">
        <f>HYPERLINK("http://141.218.60.56/~jnz1568/getInfo.php?workbook=08_06.xlsx&amp;sheet=A0&amp;row=62&amp;col=11&amp;number=&amp;sourceID=3","")</f>
        <v/>
      </c>
      <c r="L62" s="4" t="str">
        <f>HYPERLINK("http://141.218.60.56/~jnz1568/getInfo.php?workbook=08_06.xlsx&amp;sheet=A0&amp;row=62&amp;col=12&amp;number=&amp;sourceID=3","")</f>
        <v/>
      </c>
      <c r="M62" s="4" t="str">
        <f>HYPERLINK("http://141.218.60.56/~jnz1568/getInfo.php?workbook=08_06.xlsx&amp;sheet=A0&amp;row=62&amp;col=13&amp;number=&amp;sourceID=3","")</f>
        <v/>
      </c>
      <c r="N62" s="4" t="str">
        <f>HYPERLINK("http://141.218.60.56/~jnz1568/getInfo.php?workbook=08_06.xlsx&amp;sheet=A0&amp;row=62&amp;col=14&amp;number=&amp;sourceID=7","")</f>
        <v/>
      </c>
      <c r="O62" s="4" t="str">
        <f>HYPERLINK("http://141.218.60.56/~jnz1568/getInfo.php?workbook=08_06.xlsx&amp;sheet=A0&amp;row=62&amp;col=15&amp;number=&amp;sourceID=5","")</f>
        <v/>
      </c>
      <c r="P62" s="4" t="str">
        <f>HYPERLINK("http://141.218.60.56/~jnz1568/getInfo.php?workbook=08_06.xlsx&amp;sheet=A0&amp;row=62&amp;col=16&amp;number=&amp;sourceID=5","")</f>
        <v/>
      </c>
      <c r="Q62" s="4" t="str">
        <f>HYPERLINK("http://141.218.60.56/~jnz1568/getInfo.php?workbook=08_06.xlsx&amp;sheet=A0&amp;row=62&amp;col=17&amp;number=&amp;sourceID=6","")</f>
        <v/>
      </c>
    </row>
    <row r="63" spans="1:17">
      <c r="A63" s="3">
        <v>8</v>
      </c>
      <c r="B63" s="3">
        <v>6</v>
      </c>
      <c r="C63" s="3">
        <v>12</v>
      </c>
      <c r="D63" s="3">
        <v>11</v>
      </c>
      <c r="E63" s="3">
        <f>((1/(INDEX(E0!J$4:J$49,C63,1)-INDEX(E0!J$4:J$49,D63,1))))*100000000</f>
        <v>0</v>
      </c>
      <c r="F63" s="4" t="str">
        <f>HYPERLINK("http://141.218.60.56/~jnz1568/getInfo.php?workbook=08_06.xlsx&amp;sheet=A0&amp;row=63&amp;col=6&amp;number=&amp;sourceID=3","")</f>
        <v/>
      </c>
      <c r="G63" s="4" t="str">
        <f>HYPERLINK("http://141.218.60.56/~jnz1568/getInfo.php?workbook=08_06.xlsx&amp;sheet=A0&amp;row=63&amp;col=7&amp;number=&amp;sourceID=3","")</f>
        <v/>
      </c>
      <c r="H63" s="4" t="str">
        <f>HYPERLINK("http://141.218.60.56/~jnz1568/getInfo.php?workbook=08_06.xlsx&amp;sheet=A0&amp;row=63&amp;col=8&amp;number=1.464e-07&amp;sourceID=3","1.464e-07")</f>
        <v>1.464e-07</v>
      </c>
      <c r="I63" s="4" t="str">
        <f>HYPERLINK("http://141.218.60.56/~jnz1568/getInfo.php?workbook=08_06.xlsx&amp;sheet=A0&amp;row=63&amp;col=9&amp;number=&amp;sourceID=3","")</f>
        <v/>
      </c>
      <c r="J63" s="4" t="str">
        <f>HYPERLINK("http://141.218.60.56/~jnz1568/getInfo.php?workbook=08_06.xlsx&amp;sheet=A0&amp;row=63&amp;col=10&amp;number=&amp;sourceID=3","")</f>
        <v/>
      </c>
      <c r="K63" s="4" t="str">
        <f>HYPERLINK("http://141.218.60.56/~jnz1568/getInfo.php?workbook=08_06.xlsx&amp;sheet=A0&amp;row=63&amp;col=11&amp;number=&amp;sourceID=3","")</f>
        <v/>
      </c>
      <c r="L63" s="4" t="str">
        <f>HYPERLINK("http://141.218.60.56/~jnz1568/getInfo.php?workbook=08_06.xlsx&amp;sheet=A0&amp;row=63&amp;col=12&amp;number=&amp;sourceID=3","")</f>
        <v/>
      </c>
      <c r="M63" s="4" t="str">
        <f>HYPERLINK("http://141.218.60.56/~jnz1568/getInfo.php?workbook=08_06.xlsx&amp;sheet=A0&amp;row=63&amp;col=13&amp;number=&amp;sourceID=3","")</f>
        <v/>
      </c>
      <c r="N63" s="4" t="str">
        <f>HYPERLINK("http://141.218.60.56/~jnz1568/getInfo.php?workbook=08_06.xlsx&amp;sheet=A0&amp;row=63&amp;col=14&amp;number=&amp;sourceID=7","")</f>
        <v/>
      </c>
      <c r="O63" s="4" t="str">
        <f>HYPERLINK("http://141.218.60.56/~jnz1568/getInfo.php?workbook=08_06.xlsx&amp;sheet=A0&amp;row=63&amp;col=15&amp;number=&amp;sourceID=5","")</f>
        <v/>
      </c>
      <c r="P63" s="4" t="str">
        <f>HYPERLINK("http://141.218.60.56/~jnz1568/getInfo.php?workbook=08_06.xlsx&amp;sheet=A0&amp;row=63&amp;col=16&amp;number=&amp;sourceID=5","")</f>
        <v/>
      </c>
      <c r="Q63" s="4" t="str">
        <f>HYPERLINK("http://141.218.60.56/~jnz1568/getInfo.php?workbook=08_06.xlsx&amp;sheet=A0&amp;row=63&amp;col=17&amp;number=&amp;sourceID=6","")</f>
        <v/>
      </c>
    </row>
    <row r="64" spans="1:17">
      <c r="A64" s="3">
        <v>8</v>
      </c>
      <c r="B64" s="3">
        <v>6</v>
      </c>
      <c r="C64" s="3">
        <v>13</v>
      </c>
      <c r="D64" s="3">
        <v>1</v>
      </c>
      <c r="E64" s="3">
        <f>((1/(INDEX(E0!J$4:J$49,C64,1)-INDEX(E0!J$4:J$49,D64,1))))*100000000</f>
        <v>0</v>
      </c>
      <c r="F64" s="4" t="str">
        <f>HYPERLINK("http://141.218.60.56/~jnz1568/getInfo.php?workbook=08_06.xlsx&amp;sheet=A0&amp;row=64&amp;col=6&amp;number=&amp;sourceID=3","")</f>
        <v/>
      </c>
      <c r="G64" s="4" t="str">
        <f>HYPERLINK("http://141.218.60.56/~jnz1568/getInfo.php?workbook=08_06.xlsx&amp;sheet=A0&amp;row=64&amp;col=7&amp;number=&amp;sourceID=3","")</f>
        <v/>
      </c>
      <c r="H64" s="4" t="str">
        <f>HYPERLINK("http://141.218.60.56/~jnz1568/getInfo.php?workbook=08_06.xlsx&amp;sheet=A0&amp;row=64&amp;col=8&amp;number=&amp;sourceID=3","")</f>
        <v/>
      </c>
      <c r="I64" s="4" t="str">
        <f>HYPERLINK("http://141.218.60.56/~jnz1568/getInfo.php?workbook=08_06.xlsx&amp;sheet=A0&amp;row=64&amp;col=9&amp;number=0.3657&amp;sourceID=3","0.3657")</f>
        <v>0.3657</v>
      </c>
      <c r="J64" s="4" t="str">
        <f>HYPERLINK("http://141.218.60.56/~jnz1568/getInfo.php?workbook=08_06.xlsx&amp;sheet=A0&amp;row=64&amp;col=10&amp;number=&amp;sourceID=3","")</f>
        <v/>
      </c>
      <c r="K64" s="4" t="str">
        <f>HYPERLINK("http://141.218.60.56/~jnz1568/getInfo.php?workbook=08_06.xlsx&amp;sheet=A0&amp;row=64&amp;col=11&amp;number=&amp;sourceID=3","")</f>
        <v/>
      </c>
      <c r="L64" s="4" t="str">
        <f>HYPERLINK("http://141.218.60.56/~jnz1568/getInfo.php?workbook=08_06.xlsx&amp;sheet=A0&amp;row=64&amp;col=12&amp;number=&amp;sourceID=3","")</f>
        <v/>
      </c>
      <c r="M64" s="4" t="str">
        <f>HYPERLINK("http://141.218.60.56/~jnz1568/getInfo.php?workbook=08_06.xlsx&amp;sheet=A0&amp;row=64&amp;col=13&amp;number=0.37177&amp;sourceID=3","0.37177")</f>
        <v>0.37177</v>
      </c>
      <c r="N64" s="4" t="str">
        <f>HYPERLINK("http://141.218.60.56/~jnz1568/getInfo.php?workbook=08_06.xlsx&amp;sheet=A0&amp;row=64&amp;col=14&amp;number=&amp;sourceID=7","")</f>
        <v/>
      </c>
      <c r="O64" s="4" t="str">
        <f>HYPERLINK("http://141.218.60.56/~jnz1568/getInfo.php?workbook=08_06.xlsx&amp;sheet=A0&amp;row=64&amp;col=15&amp;number=&amp;sourceID=5","")</f>
        <v/>
      </c>
      <c r="P64" s="4" t="str">
        <f>HYPERLINK("http://141.218.60.56/~jnz1568/getInfo.php?workbook=08_06.xlsx&amp;sheet=A0&amp;row=64&amp;col=16&amp;number=&amp;sourceID=5","")</f>
        <v/>
      </c>
      <c r="Q64" s="4" t="str">
        <f>HYPERLINK("http://141.218.60.56/~jnz1568/getInfo.php?workbook=08_06.xlsx&amp;sheet=A0&amp;row=64&amp;col=17&amp;number=&amp;sourceID=6","")</f>
        <v/>
      </c>
    </row>
    <row r="65" spans="1:17">
      <c r="A65" s="3">
        <v>8</v>
      </c>
      <c r="B65" s="3">
        <v>6</v>
      </c>
      <c r="C65" s="3">
        <v>13</v>
      </c>
      <c r="D65" s="3">
        <v>2</v>
      </c>
      <c r="E65" s="3">
        <f>((1/(INDEX(E0!J$4:J$49,C65,1)-INDEX(E0!J$4:J$49,D65,1))))*100000000</f>
        <v>0</v>
      </c>
      <c r="F65" s="4" t="str">
        <f>HYPERLINK("http://141.218.60.56/~jnz1568/getInfo.php?workbook=08_06.xlsx&amp;sheet=A0&amp;row=65&amp;col=6&amp;number=13246&amp;sourceID=3","13246")</f>
        <v>13246</v>
      </c>
      <c r="G65" s="4" t="str">
        <f>HYPERLINK("http://141.218.60.56/~jnz1568/getInfo.php?workbook=08_06.xlsx&amp;sheet=A0&amp;row=65&amp;col=7&amp;number=&amp;sourceID=3","")</f>
        <v/>
      </c>
      <c r="H65" s="4" t="str">
        <f>HYPERLINK("http://141.218.60.56/~jnz1568/getInfo.php?workbook=08_06.xlsx&amp;sheet=A0&amp;row=65&amp;col=8&amp;number=&amp;sourceID=3","")</f>
        <v/>
      </c>
      <c r="I65" s="4" t="str">
        <f>HYPERLINK("http://141.218.60.56/~jnz1568/getInfo.php?workbook=08_06.xlsx&amp;sheet=A0&amp;row=65&amp;col=9&amp;number=0.82476&amp;sourceID=3","0.82476")</f>
        <v>0.82476</v>
      </c>
      <c r="J65" s="4" t="str">
        <f>HYPERLINK("http://141.218.60.56/~jnz1568/getInfo.php?workbook=08_06.xlsx&amp;sheet=A0&amp;row=65&amp;col=10&amp;number=12672&amp;sourceID=3","12672")</f>
        <v>12672</v>
      </c>
      <c r="K65" s="4" t="str">
        <f>HYPERLINK("http://141.218.60.56/~jnz1568/getInfo.php?workbook=08_06.xlsx&amp;sheet=A0&amp;row=65&amp;col=11&amp;number=&amp;sourceID=3","")</f>
        <v/>
      </c>
      <c r="L65" s="4" t="str">
        <f>HYPERLINK("http://141.218.60.56/~jnz1568/getInfo.php?workbook=08_06.xlsx&amp;sheet=A0&amp;row=65&amp;col=12&amp;number=&amp;sourceID=3","")</f>
        <v/>
      </c>
      <c r="M65" s="4" t="str">
        <f>HYPERLINK("http://141.218.60.56/~jnz1568/getInfo.php?workbook=08_06.xlsx&amp;sheet=A0&amp;row=65&amp;col=13&amp;number=0.83843&amp;sourceID=3","0.83843")</f>
        <v>0.83843</v>
      </c>
      <c r="N65" s="4" t="str">
        <f>HYPERLINK("http://141.218.60.56/~jnz1568/getInfo.php?workbook=08_06.xlsx&amp;sheet=A0&amp;row=65&amp;col=14&amp;number=11750&amp;sourceID=7","11750")</f>
        <v>11750</v>
      </c>
      <c r="O65" s="4" t="str">
        <f>HYPERLINK("http://141.218.60.56/~jnz1568/getInfo.php?workbook=08_06.xlsx&amp;sheet=A0&amp;row=65&amp;col=15&amp;number=&amp;sourceID=5","")</f>
        <v/>
      </c>
      <c r="P65" s="4" t="str">
        <f>HYPERLINK("http://141.218.60.56/~jnz1568/getInfo.php?workbook=08_06.xlsx&amp;sheet=A0&amp;row=65&amp;col=16&amp;number=&amp;sourceID=5","")</f>
        <v/>
      </c>
      <c r="Q65" s="4" t="str">
        <f>HYPERLINK("http://141.218.60.56/~jnz1568/getInfo.php?workbook=08_06.xlsx&amp;sheet=A0&amp;row=65&amp;col=17&amp;number=&amp;sourceID=6","")</f>
        <v/>
      </c>
    </row>
    <row r="66" spans="1:17">
      <c r="A66" s="3">
        <v>8</v>
      </c>
      <c r="B66" s="3">
        <v>6</v>
      </c>
      <c r="C66" s="3">
        <v>13</v>
      </c>
      <c r="D66" s="3">
        <v>3</v>
      </c>
      <c r="E66" s="3">
        <f>((1/(INDEX(E0!J$4:J$49,C66,1)-INDEX(E0!J$4:J$49,D66,1))))*100000000</f>
        <v>0</v>
      </c>
      <c r="F66" s="4" t="str">
        <f>HYPERLINK("http://141.218.60.56/~jnz1568/getInfo.php?workbook=08_06.xlsx&amp;sheet=A0&amp;row=66&amp;col=6&amp;number=281050&amp;sourceID=3","281050")</f>
        <v>281050</v>
      </c>
      <c r="G66" s="4" t="str">
        <f>HYPERLINK("http://141.218.60.56/~jnz1568/getInfo.php?workbook=08_06.xlsx&amp;sheet=A0&amp;row=66&amp;col=7&amp;number=&amp;sourceID=3","")</f>
        <v/>
      </c>
      <c r="H66" s="4" t="str">
        <f>HYPERLINK("http://141.218.60.56/~jnz1568/getInfo.php?workbook=08_06.xlsx&amp;sheet=A0&amp;row=66&amp;col=8&amp;number=&amp;sourceID=3","")</f>
        <v/>
      </c>
      <c r="I66" s="4" t="str">
        <f>HYPERLINK("http://141.218.60.56/~jnz1568/getInfo.php?workbook=08_06.xlsx&amp;sheet=A0&amp;row=66&amp;col=9&amp;number=0.64114&amp;sourceID=3","0.64114")</f>
        <v>0.64114</v>
      </c>
      <c r="J66" s="4" t="str">
        <f>HYPERLINK("http://141.218.60.56/~jnz1568/getInfo.php?workbook=08_06.xlsx&amp;sheet=A0&amp;row=66&amp;col=10&amp;number=279670&amp;sourceID=3","279670")</f>
        <v>279670</v>
      </c>
      <c r="K66" s="4" t="str">
        <f>HYPERLINK("http://141.218.60.56/~jnz1568/getInfo.php?workbook=08_06.xlsx&amp;sheet=A0&amp;row=66&amp;col=11&amp;number=&amp;sourceID=3","")</f>
        <v/>
      </c>
      <c r="L66" s="4" t="str">
        <f>HYPERLINK("http://141.218.60.56/~jnz1568/getInfo.php?workbook=08_06.xlsx&amp;sheet=A0&amp;row=66&amp;col=12&amp;number=&amp;sourceID=3","")</f>
        <v/>
      </c>
      <c r="M66" s="4" t="str">
        <f>HYPERLINK("http://141.218.60.56/~jnz1568/getInfo.php?workbook=08_06.xlsx&amp;sheet=A0&amp;row=66&amp;col=13&amp;number=0.6518&amp;sourceID=3","0.6518")</f>
        <v>0.6518</v>
      </c>
      <c r="N66" s="4" t="str">
        <f>HYPERLINK("http://141.218.60.56/~jnz1568/getInfo.php?workbook=08_06.xlsx&amp;sheet=A0&amp;row=66&amp;col=14&amp;number=188500&amp;sourceID=7","188500")</f>
        <v>188500</v>
      </c>
      <c r="O66" s="4" t="str">
        <f>HYPERLINK("http://141.218.60.56/~jnz1568/getInfo.php?workbook=08_06.xlsx&amp;sheet=A0&amp;row=66&amp;col=15&amp;number=&amp;sourceID=5","")</f>
        <v/>
      </c>
      <c r="P66" s="4" t="str">
        <f>HYPERLINK("http://141.218.60.56/~jnz1568/getInfo.php?workbook=08_06.xlsx&amp;sheet=A0&amp;row=66&amp;col=16&amp;number=&amp;sourceID=5","")</f>
        <v/>
      </c>
      <c r="Q66" s="4" t="str">
        <f>HYPERLINK("http://141.218.60.56/~jnz1568/getInfo.php?workbook=08_06.xlsx&amp;sheet=A0&amp;row=66&amp;col=17&amp;number=&amp;sourceID=6","")</f>
        <v/>
      </c>
    </row>
    <row r="67" spans="1:17">
      <c r="A67" s="3">
        <v>8</v>
      </c>
      <c r="B67" s="3">
        <v>6</v>
      </c>
      <c r="C67" s="3">
        <v>13</v>
      </c>
      <c r="D67" s="3">
        <v>4</v>
      </c>
      <c r="E67" s="3">
        <f>((1/(INDEX(E0!J$4:J$49,C67,1)-INDEX(E0!J$4:J$49,D67,1))))*100000000</f>
        <v>0</v>
      </c>
      <c r="F67" s="4" t="str">
        <f>HYPERLINK("http://141.218.60.56/~jnz1568/getInfo.php?workbook=08_06.xlsx&amp;sheet=A0&amp;row=67&amp;col=6&amp;number=5462600000&amp;sourceID=3","5462600000")</f>
        <v>5462600000</v>
      </c>
      <c r="G67" s="4" t="str">
        <f>HYPERLINK("http://141.218.60.56/~jnz1568/getInfo.php?workbook=08_06.xlsx&amp;sheet=A0&amp;row=67&amp;col=7&amp;number=&amp;sourceID=3","")</f>
        <v/>
      </c>
      <c r="H67" s="4" t="str">
        <f>HYPERLINK("http://141.218.60.56/~jnz1568/getInfo.php?workbook=08_06.xlsx&amp;sheet=A0&amp;row=67&amp;col=8&amp;number=&amp;sourceID=3","")</f>
        <v/>
      </c>
      <c r="I67" s="4" t="str">
        <f>HYPERLINK("http://141.218.60.56/~jnz1568/getInfo.php?workbook=08_06.xlsx&amp;sheet=A0&amp;row=67&amp;col=9&amp;number=0.023303&amp;sourceID=3","0.023303")</f>
        <v>0.023303</v>
      </c>
      <c r="J67" s="4" t="str">
        <f>HYPERLINK("http://141.218.60.56/~jnz1568/getInfo.php?workbook=08_06.xlsx&amp;sheet=A0&amp;row=67&amp;col=10&amp;number=5514100000&amp;sourceID=3","5514100000")</f>
        <v>5514100000</v>
      </c>
      <c r="K67" s="4" t="str">
        <f>HYPERLINK("http://141.218.60.56/~jnz1568/getInfo.php?workbook=08_06.xlsx&amp;sheet=A0&amp;row=67&amp;col=11&amp;number=&amp;sourceID=3","")</f>
        <v/>
      </c>
      <c r="L67" s="4" t="str">
        <f>HYPERLINK("http://141.218.60.56/~jnz1568/getInfo.php?workbook=08_06.xlsx&amp;sheet=A0&amp;row=67&amp;col=12&amp;number=&amp;sourceID=3","")</f>
        <v/>
      </c>
      <c r="M67" s="4" t="str">
        <f>HYPERLINK("http://141.218.60.56/~jnz1568/getInfo.php?workbook=08_06.xlsx&amp;sheet=A0&amp;row=67&amp;col=13&amp;number=0.02366&amp;sourceID=3","0.02366")</f>
        <v>0.02366</v>
      </c>
      <c r="N67" s="4" t="str">
        <f>HYPERLINK("http://141.218.60.56/~jnz1568/getInfo.php?workbook=08_06.xlsx&amp;sheet=A0&amp;row=67&amp;col=14&amp;number=5561000000&amp;sourceID=7","5561000000")</f>
        <v>5561000000</v>
      </c>
      <c r="O67" s="4" t="str">
        <f>HYPERLINK("http://141.218.60.56/~jnz1568/getInfo.php?workbook=08_06.xlsx&amp;sheet=A0&amp;row=67&amp;col=15&amp;number=&amp;sourceID=5","")</f>
        <v/>
      </c>
      <c r="P67" s="4" t="str">
        <f>HYPERLINK("http://141.218.60.56/~jnz1568/getInfo.php?workbook=08_06.xlsx&amp;sheet=A0&amp;row=67&amp;col=16&amp;number=&amp;sourceID=5","")</f>
        <v/>
      </c>
      <c r="Q67" s="4" t="str">
        <f>HYPERLINK("http://141.218.60.56/~jnz1568/getInfo.php?workbook=08_06.xlsx&amp;sheet=A0&amp;row=67&amp;col=17&amp;number=&amp;sourceID=6","")</f>
        <v/>
      </c>
    </row>
    <row r="68" spans="1:17">
      <c r="A68" s="3">
        <v>8</v>
      </c>
      <c r="B68" s="3">
        <v>6</v>
      </c>
      <c r="C68" s="3">
        <v>13</v>
      </c>
      <c r="D68" s="3">
        <v>5</v>
      </c>
      <c r="E68" s="3">
        <f>((1/(INDEX(E0!J$4:J$49,C68,1)-INDEX(E0!J$4:J$49,D68,1))))*100000000</f>
        <v>0</v>
      </c>
      <c r="F68" s="4" t="str">
        <f>HYPERLINK("http://141.218.60.56/~jnz1568/getInfo.php?workbook=08_06.xlsx&amp;sheet=A0&amp;row=68&amp;col=6&amp;number=&amp;sourceID=3","")</f>
        <v/>
      </c>
      <c r="G68" s="4" t="str">
        <f>HYPERLINK("http://141.218.60.56/~jnz1568/getInfo.php?workbook=08_06.xlsx&amp;sheet=A0&amp;row=68&amp;col=7&amp;number=&amp;sourceID=3","")</f>
        <v/>
      </c>
      <c r="H68" s="4" t="str">
        <f>HYPERLINK("http://141.218.60.56/~jnz1568/getInfo.php?workbook=08_06.xlsx&amp;sheet=A0&amp;row=68&amp;col=8&amp;number=&amp;sourceID=3","")</f>
        <v/>
      </c>
      <c r="I68" s="4" t="str">
        <f>HYPERLINK("http://141.218.60.56/~jnz1568/getInfo.php?workbook=08_06.xlsx&amp;sheet=A0&amp;row=68&amp;col=9&amp;number=0.0038817&amp;sourceID=3","0.0038817")</f>
        <v>0.0038817</v>
      </c>
      <c r="J68" s="4" t="str">
        <f>HYPERLINK("http://141.218.60.56/~jnz1568/getInfo.php?workbook=08_06.xlsx&amp;sheet=A0&amp;row=68&amp;col=10&amp;number=&amp;sourceID=3","")</f>
        <v/>
      </c>
      <c r="K68" s="4" t="str">
        <f>HYPERLINK("http://141.218.60.56/~jnz1568/getInfo.php?workbook=08_06.xlsx&amp;sheet=A0&amp;row=68&amp;col=11&amp;number=&amp;sourceID=3","")</f>
        <v/>
      </c>
      <c r="L68" s="4" t="str">
        <f>HYPERLINK("http://141.218.60.56/~jnz1568/getInfo.php?workbook=08_06.xlsx&amp;sheet=A0&amp;row=68&amp;col=12&amp;number=&amp;sourceID=3","")</f>
        <v/>
      </c>
      <c r="M68" s="4" t="str">
        <f>HYPERLINK("http://141.218.60.56/~jnz1568/getInfo.php?workbook=08_06.xlsx&amp;sheet=A0&amp;row=68&amp;col=13&amp;number=0.0039532&amp;sourceID=3","0.0039532")</f>
        <v>0.0039532</v>
      </c>
      <c r="N68" s="4" t="str">
        <f>HYPERLINK("http://141.218.60.56/~jnz1568/getInfo.php?workbook=08_06.xlsx&amp;sheet=A0&amp;row=68&amp;col=14&amp;number=&amp;sourceID=7","")</f>
        <v/>
      </c>
      <c r="O68" s="4" t="str">
        <f>HYPERLINK("http://141.218.60.56/~jnz1568/getInfo.php?workbook=08_06.xlsx&amp;sheet=A0&amp;row=68&amp;col=15&amp;number=&amp;sourceID=5","")</f>
        <v/>
      </c>
      <c r="P68" s="4" t="str">
        <f>HYPERLINK("http://141.218.60.56/~jnz1568/getInfo.php?workbook=08_06.xlsx&amp;sheet=A0&amp;row=68&amp;col=16&amp;number=&amp;sourceID=5","")</f>
        <v/>
      </c>
      <c r="Q68" s="4" t="str">
        <f>HYPERLINK("http://141.218.60.56/~jnz1568/getInfo.php?workbook=08_06.xlsx&amp;sheet=A0&amp;row=68&amp;col=17&amp;number=&amp;sourceID=6","")</f>
        <v/>
      </c>
    </row>
    <row r="69" spans="1:17">
      <c r="A69" s="3">
        <v>8</v>
      </c>
      <c r="B69" s="3">
        <v>6</v>
      </c>
      <c r="C69" s="3">
        <v>13</v>
      </c>
      <c r="D69" s="3">
        <v>6</v>
      </c>
      <c r="E69" s="3">
        <f>((1/(INDEX(E0!J$4:J$49,C69,1)-INDEX(E0!J$4:J$49,D69,1))))*100000000</f>
        <v>0</v>
      </c>
      <c r="F69" s="4" t="str">
        <f>HYPERLINK("http://141.218.60.56/~jnz1568/getInfo.php?workbook=08_06.xlsx&amp;sheet=A0&amp;row=69&amp;col=6&amp;number=&amp;sourceID=3","")</f>
        <v/>
      </c>
      <c r="G69" s="4" t="str">
        <f>HYPERLINK("http://141.218.60.56/~jnz1568/getInfo.php?workbook=08_06.xlsx&amp;sheet=A0&amp;row=69&amp;col=7&amp;number=8.5099e-08&amp;sourceID=3","8.5099e-08")</f>
        <v>8.5099e-08</v>
      </c>
      <c r="H69" s="4" t="str">
        <f>HYPERLINK("http://141.218.60.56/~jnz1568/getInfo.php?workbook=08_06.xlsx&amp;sheet=A0&amp;row=69&amp;col=8&amp;number=9.148e-07&amp;sourceID=3","9.148e-07")</f>
        <v>9.148e-07</v>
      </c>
      <c r="I69" s="4" t="str">
        <f>HYPERLINK("http://141.218.60.56/~jnz1568/getInfo.php?workbook=08_06.xlsx&amp;sheet=A0&amp;row=69&amp;col=9&amp;number=&amp;sourceID=3","")</f>
        <v/>
      </c>
      <c r="J69" s="4" t="str">
        <f>HYPERLINK("http://141.218.60.56/~jnz1568/getInfo.php?workbook=08_06.xlsx&amp;sheet=A0&amp;row=69&amp;col=10&amp;number=&amp;sourceID=3","")</f>
        <v/>
      </c>
      <c r="K69" s="4" t="str">
        <f>HYPERLINK("http://141.218.60.56/~jnz1568/getInfo.php?workbook=08_06.xlsx&amp;sheet=A0&amp;row=69&amp;col=11&amp;number=&amp;sourceID=3","")</f>
        <v/>
      </c>
      <c r="L69" s="4" t="str">
        <f>HYPERLINK("http://141.218.60.56/~jnz1568/getInfo.php?workbook=08_06.xlsx&amp;sheet=A0&amp;row=69&amp;col=12&amp;number=&amp;sourceID=3","")</f>
        <v/>
      </c>
      <c r="M69" s="4" t="str">
        <f>HYPERLINK("http://141.218.60.56/~jnz1568/getInfo.php?workbook=08_06.xlsx&amp;sheet=A0&amp;row=69&amp;col=13&amp;number=&amp;sourceID=3","")</f>
        <v/>
      </c>
      <c r="N69" s="4" t="str">
        <f>HYPERLINK("http://141.218.60.56/~jnz1568/getInfo.php?workbook=08_06.xlsx&amp;sheet=A0&amp;row=69&amp;col=14&amp;number=&amp;sourceID=7","")</f>
        <v/>
      </c>
      <c r="O69" s="4" t="str">
        <f>HYPERLINK("http://141.218.60.56/~jnz1568/getInfo.php?workbook=08_06.xlsx&amp;sheet=A0&amp;row=69&amp;col=15&amp;number=&amp;sourceID=5","")</f>
        <v/>
      </c>
      <c r="P69" s="4" t="str">
        <f>HYPERLINK("http://141.218.60.56/~jnz1568/getInfo.php?workbook=08_06.xlsx&amp;sheet=A0&amp;row=69&amp;col=16&amp;number=&amp;sourceID=5","")</f>
        <v/>
      </c>
      <c r="Q69" s="4" t="str">
        <f>HYPERLINK("http://141.218.60.56/~jnz1568/getInfo.php?workbook=08_06.xlsx&amp;sheet=A0&amp;row=69&amp;col=17&amp;number=&amp;sourceID=6","")</f>
        <v/>
      </c>
    </row>
    <row r="70" spans="1:17">
      <c r="A70" s="3">
        <v>8</v>
      </c>
      <c r="B70" s="3">
        <v>6</v>
      </c>
      <c r="C70" s="3">
        <v>13</v>
      </c>
      <c r="D70" s="3">
        <v>7</v>
      </c>
      <c r="E70" s="3">
        <f>((1/(INDEX(E0!J$4:J$49,C70,1)-INDEX(E0!J$4:J$49,D70,1))))*100000000</f>
        <v>0</v>
      </c>
      <c r="F70" s="4" t="str">
        <f>HYPERLINK("http://141.218.60.56/~jnz1568/getInfo.php?workbook=08_06.xlsx&amp;sheet=A0&amp;row=70&amp;col=6&amp;number=&amp;sourceID=3","")</f>
        <v/>
      </c>
      <c r="G70" s="4" t="str">
        <f>HYPERLINK("http://141.218.60.56/~jnz1568/getInfo.php?workbook=08_06.xlsx&amp;sheet=A0&amp;row=70&amp;col=7&amp;number=0.002024&amp;sourceID=3","0.002024")</f>
        <v>0.002024</v>
      </c>
      <c r="H70" s="4" t="str">
        <f>HYPERLINK("http://141.218.60.56/~jnz1568/getInfo.php?workbook=08_06.xlsx&amp;sheet=A0&amp;row=70&amp;col=8&amp;number=0.00011331&amp;sourceID=3","0.00011331")</f>
        <v>0.00011331</v>
      </c>
      <c r="I70" s="4" t="str">
        <f>HYPERLINK("http://141.218.60.56/~jnz1568/getInfo.php?workbook=08_06.xlsx&amp;sheet=A0&amp;row=70&amp;col=9&amp;number=&amp;sourceID=3","")</f>
        <v/>
      </c>
      <c r="J70" s="4" t="str">
        <f>HYPERLINK("http://141.218.60.56/~jnz1568/getInfo.php?workbook=08_06.xlsx&amp;sheet=A0&amp;row=70&amp;col=10&amp;number=&amp;sourceID=3","")</f>
        <v/>
      </c>
      <c r="K70" s="4" t="str">
        <f>HYPERLINK("http://141.218.60.56/~jnz1568/getInfo.php?workbook=08_06.xlsx&amp;sheet=A0&amp;row=70&amp;col=11&amp;number=&amp;sourceID=3","")</f>
        <v/>
      </c>
      <c r="L70" s="4" t="str">
        <f>HYPERLINK("http://141.218.60.56/~jnz1568/getInfo.php?workbook=08_06.xlsx&amp;sheet=A0&amp;row=70&amp;col=12&amp;number=&amp;sourceID=3","")</f>
        <v/>
      </c>
      <c r="M70" s="4" t="str">
        <f>HYPERLINK("http://141.218.60.56/~jnz1568/getInfo.php?workbook=08_06.xlsx&amp;sheet=A0&amp;row=70&amp;col=13&amp;number=&amp;sourceID=3","")</f>
        <v/>
      </c>
      <c r="N70" s="4" t="str">
        <f>HYPERLINK("http://141.218.60.56/~jnz1568/getInfo.php?workbook=08_06.xlsx&amp;sheet=A0&amp;row=70&amp;col=14&amp;number=&amp;sourceID=7","")</f>
        <v/>
      </c>
      <c r="O70" s="4" t="str">
        <f>HYPERLINK("http://141.218.60.56/~jnz1568/getInfo.php?workbook=08_06.xlsx&amp;sheet=A0&amp;row=70&amp;col=15&amp;number=&amp;sourceID=5","")</f>
        <v/>
      </c>
      <c r="P70" s="4" t="str">
        <f>HYPERLINK("http://141.218.60.56/~jnz1568/getInfo.php?workbook=08_06.xlsx&amp;sheet=A0&amp;row=70&amp;col=16&amp;number=&amp;sourceID=5","")</f>
        <v/>
      </c>
      <c r="Q70" s="4" t="str">
        <f>HYPERLINK("http://141.218.60.56/~jnz1568/getInfo.php?workbook=08_06.xlsx&amp;sheet=A0&amp;row=70&amp;col=17&amp;number=&amp;sourceID=6","")</f>
        <v/>
      </c>
    </row>
    <row r="71" spans="1:17">
      <c r="A71" s="3">
        <v>8</v>
      </c>
      <c r="B71" s="3">
        <v>6</v>
      </c>
      <c r="C71" s="3">
        <v>13</v>
      </c>
      <c r="D71" s="3">
        <v>8</v>
      </c>
      <c r="E71" s="3">
        <f>((1/(INDEX(E0!J$4:J$49,C71,1)-INDEX(E0!J$4:J$49,D71,1))))*100000000</f>
        <v>0</v>
      </c>
      <c r="F71" s="4" t="str">
        <f>HYPERLINK("http://141.218.60.56/~jnz1568/getInfo.php?workbook=08_06.xlsx&amp;sheet=A0&amp;row=71&amp;col=6&amp;number=&amp;sourceID=3","")</f>
        <v/>
      </c>
      <c r="G71" s="4" t="str">
        <f>HYPERLINK("http://141.218.60.56/~jnz1568/getInfo.php?workbook=08_06.xlsx&amp;sheet=A0&amp;row=71&amp;col=7&amp;number=0.0010376&amp;sourceID=3","0.0010376")</f>
        <v>0.0010376</v>
      </c>
      <c r="H71" s="4" t="str">
        <f>HYPERLINK("http://141.218.60.56/~jnz1568/getInfo.php?workbook=08_06.xlsx&amp;sheet=A0&amp;row=71&amp;col=8&amp;number=1.8699e-06&amp;sourceID=3","1.8699e-06")</f>
        <v>1.8699e-06</v>
      </c>
      <c r="I71" s="4" t="str">
        <f>HYPERLINK("http://141.218.60.56/~jnz1568/getInfo.php?workbook=08_06.xlsx&amp;sheet=A0&amp;row=71&amp;col=9&amp;number=&amp;sourceID=3","")</f>
        <v/>
      </c>
      <c r="J71" s="4" t="str">
        <f>HYPERLINK("http://141.218.60.56/~jnz1568/getInfo.php?workbook=08_06.xlsx&amp;sheet=A0&amp;row=71&amp;col=10&amp;number=&amp;sourceID=3","")</f>
        <v/>
      </c>
      <c r="K71" s="4" t="str">
        <f>HYPERLINK("http://141.218.60.56/~jnz1568/getInfo.php?workbook=08_06.xlsx&amp;sheet=A0&amp;row=71&amp;col=11&amp;number=&amp;sourceID=3","")</f>
        <v/>
      </c>
      <c r="L71" s="4" t="str">
        <f>HYPERLINK("http://141.218.60.56/~jnz1568/getInfo.php?workbook=08_06.xlsx&amp;sheet=A0&amp;row=71&amp;col=12&amp;number=&amp;sourceID=3","")</f>
        <v/>
      </c>
      <c r="M71" s="4" t="str">
        <f>HYPERLINK("http://141.218.60.56/~jnz1568/getInfo.php?workbook=08_06.xlsx&amp;sheet=A0&amp;row=71&amp;col=13&amp;number=&amp;sourceID=3","")</f>
        <v/>
      </c>
      <c r="N71" s="4" t="str">
        <f>HYPERLINK("http://141.218.60.56/~jnz1568/getInfo.php?workbook=08_06.xlsx&amp;sheet=A0&amp;row=71&amp;col=14&amp;number=&amp;sourceID=7","")</f>
        <v/>
      </c>
      <c r="O71" s="4" t="str">
        <f>HYPERLINK("http://141.218.60.56/~jnz1568/getInfo.php?workbook=08_06.xlsx&amp;sheet=A0&amp;row=71&amp;col=15&amp;number=&amp;sourceID=5","")</f>
        <v/>
      </c>
      <c r="P71" s="4" t="str">
        <f>HYPERLINK("http://141.218.60.56/~jnz1568/getInfo.php?workbook=08_06.xlsx&amp;sheet=A0&amp;row=71&amp;col=16&amp;number=&amp;sourceID=5","")</f>
        <v/>
      </c>
      <c r="Q71" s="4" t="str">
        <f>HYPERLINK("http://141.218.60.56/~jnz1568/getInfo.php?workbook=08_06.xlsx&amp;sheet=A0&amp;row=71&amp;col=17&amp;number=&amp;sourceID=6","")</f>
        <v/>
      </c>
    </row>
    <row r="72" spans="1:17">
      <c r="A72" s="3">
        <v>8</v>
      </c>
      <c r="B72" s="3">
        <v>6</v>
      </c>
      <c r="C72" s="3">
        <v>13</v>
      </c>
      <c r="D72" s="3">
        <v>9</v>
      </c>
      <c r="E72" s="3">
        <f>((1/(INDEX(E0!J$4:J$49,C72,1)-INDEX(E0!J$4:J$49,D72,1))))*100000000</f>
        <v>0</v>
      </c>
      <c r="F72" s="4" t="str">
        <f>HYPERLINK("http://141.218.60.56/~jnz1568/getInfo.php?workbook=08_06.xlsx&amp;sheet=A0&amp;row=72&amp;col=6&amp;number=&amp;sourceID=3","")</f>
        <v/>
      </c>
      <c r="G72" s="4" t="str">
        <f>HYPERLINK("http://141.218.60.56/~jnz1568/getInfo.php?workbook=08_06.xlsx&amp;sheet=A0&amp;row=72&amp;col=7&amp;number=9.2243e-05&amp;sourceID=3","9.2243e-05")</f>
        <v>9.2243e-05</v>
      </c>
      <c r="H72" s="4" t="str">
        <f>HYPERLINK("http://141.218.60.56/~jnz1568/getInfo.php?workbook=08_06.xlsx&amp;sheet=A0&amp;row=72&amp;col=8&amp;number=8.2751e-05&amp;sourceID=3","8.2751e-05")</f>
        <v>8.2751e-05</v>
      </c>
      <c r="I72" s="4" t="str">
        <f>HYPERLINK("http://141.218.60.56/~jnz1568/getInfo.php?workbook=08_06.xlsx&amp;sheet=A0&amp;row=72&amp;col=9&amp;number=&amp;sourceID=3","")</f>
        <v/>
      </c>
      <c r="J72" s="4" t="str">
        <f>HYPERLINK("http://141.218.60.56/~jnz1568/getInfo.php?workbook=08_06.xlsx&amp;sheet=A0&amp;row=72&amp;col=10&amp;number=&amp;sourceID=3","")</f>
        <v/>
      </c>
      <c r="K72" s="4" t="str">
        <f>HYPERLINK("http://141.218.60.56/~jnz1568/getInfo.php?workbook=08_06.xlsx&amp;sheet=A0&amp;row=72&amp;col=11&amp;number=&amp;sourceID=3","")</f>
        <v/>
      </c>
      <c r="L72" s="4" t="str">
        <f>HYPERLINK("http://141.218.60.56/~jnz1568/getInfo.php?workbook=08_06.xlsx&amp;sheet=A0&amp;row=72&amp;col=12&amp;number=&amp;sourceID=3","")</f>
        <v/>
      </c>
      <c r="M72" s="4" t="str">
        <f>HYPERLINK("http://141.218.60.56/~jnz1568/getInfo.php?workbook=08_06.xlsx&amp;sheet=A0&amp;row=72&amp;col=13&amp;number=&amp;sourceID=3","")</f>
        <v/>
      </c>
      <c r="N72" s="4" t="str">
        <f>HYPERLINK("http://141.218.60.56/~jnz1568/getInfo.php?workbook=08_06.xlsx&amp;sheet=A0&amp;row=72&amp;col=14&amp;number=&amp;sourceID=7","")</f>
        <v/>
      </c>
      <c r="O72" s="4" t="str">
        <f>HYPERLINK("http://141.218.60.56/~jnz1568/getInfo.php?workbook=08_06.xlsx&amp;sheet=A0&amp;row=72&amp;col=15&amp;number=&amp;sourceID=5","")</f>
        <v/>
      </c>
      <c r="P72" s="4" t="str">
        <f>HYPERLINK("http://141.218.60.56/~jnz1568/getInfo.php?workbook=08_06.xlsx&amp;sheet=A0&amp;row=72&amp;col=16&amp;number=&amp;sourceID=5","")</f>
        <v/>
      </c>
      <c r="Q72" s="4" t="str">
        <f>HYPERLINK("http://141.218.60.56/~jnz1568/getInfo.php?workbook=08_06.xlsx&amp;sheet=A0&amp;row=72&amp;col=17&amp;number=&amp;sourceID=6","")</f>
        <v/>
      </c>
    </row>
    <row r="73" spans="1:17">
      <c r="A73" s="3">
        <v>8</v>
      </c>
      <c r="B73" s="3">
        <v>6</v>
      </c>
      <c r="C73" s="3">
        <v>13</v>
      </c>
      <c r="D73" s="3">
        <v>10</v>
      </c>
      <c r="E73" s="3">
        <f>((1/(INDEX(E0!J$4:J$49,C73,1)-INDEX(E0!J$4:J$49,D73,1))))*100000000</f>
        <v>0</v>
      </c>
      <c r="F73" s="4" t="str">
        <f>HYPERLINK("http://141.218.60.56/~jnz1568/getInfo.php?workbook=08_06.xlsx&amp;sheet=A0&amp;row=73&amp;col=6&amp;number=&amp;sourceID=3","")</f>
        <v/>
      </c>
      <c r="G73" s="4" t="str">
        <f>HYPERLINK("http://141.218.60.56/~jnz1568/getInfo.php?workbook=08_06.xlsx&amp;sheet=A0&amp;row=73&amp;col=7&amp;number=6.1128e-06&amp;sourceID=3","6.1128e-06")</f>
        <v>6.1128e-06</v>
      </c>
      <c r="H73" s="4" t="str">
        <f>HYPERLINK("http://141.218.60.56/~jnz1568/getInfo.php?workbook=08_06.xlsx&amp;sheet=A0&amp;row=73&amp;col=8&amp;number=0.041886&amp;sourceID=3","0.041886")</f>
        <v>0.041886</v>
      </c>
      <c r="I73" s="4" t="str">
        <f>HYPERLINK("http://141.218.60.56/~jnz1568/getInfo.php?workbook=08_06.xlsx&amp;sheet=A0&amp;row=73&amp;col=9&amp;number=&amp;sourceID=3","")</f>
        <v/>
      </c>
      <c r="J73" s="4" t="str">
        <f>HYPERLINK("http://141.218.60.56/~jnz1568/getInfo.php?workbook=08_06.xlsx&amp;sheet=A0&amp;row=73&amp;col=10&amp;number=&amp;sourceID=3","")</f>
        <v/>
      </c>
      <c r="K73" s="4" t="str">
        <f>HYPERLINK("http://141.218.60.56/~jnz1568/getInfo.php?workbook=08_06.xlsx&amp;sheet=A0&amp;row=73&amp;col=11&amp;number=&amp;sourceID=3","")</f>
        <v/>
      </c>
      <c r="L73" s="4" t="str">
        <f>HYPERLINK("http://141.218.60.56/~jnz1568/getInfo.php?workbook=08_06.xlsx&amp;sheet=A0&amp;row=73&amp;col=12&amp;number=&amp;sourceID=3","")</f>
        <v/>
      </c>
      <c r="M73" s="4" t="str">
        <f>HYPERLINK("http://141.218.60.56/~jnz1568/getInfo.php?workbook=08_06.xlsx&amp;sheet=A0&amp;row=73&amp;col=13&amp;number=&amp;sourceID=3","")</f>
        <v/>
      </c>
      <c r="N73" s="4" t="str">
        <f>HYPERLINK("http://141.218.60.56/~jnz1568/getInfo.php?workbook=08_06.xlsx&amp;sheet=A0&amp;row=73&amp;col=14&amp;number=&amp;sourceID=7","")</f>
        <v/>
      </c>
      <c r="O73" s="4" t="str">
        <f>HYPERLINK("http://141.218.60.56/~jnz1568/getInfo.php?workbook=08_06.xlsx&amp;sheet=A0&amp;row=73&amp;col=15&amp;number=&amp;sourceID=5","")</f>
        <v/>
      </c>
      <c r="P73" s="4" t="str">
        <f>HYPERLINK("http://141.218.60.56/~jnz1568/getInfo.php?workbook=08_06.xlsx&amp;sheet=A0&amp;row=73&amp;col=16&amp;number=&amp;sourceID=5","")</f>
        <v/>
      </c>
      <c r="Q73" s="4" t="str">
        <f>HYPERLINK("http://141.218.60.56/~jnz1568/getInfo.php?workbook=08_06.xlsx&amp;sheet=A0&amp;row=73&amp;col=17&amp;number=&amp;sourceID=6","")</f>
        <v/>
      </c>
    </row>
    <row r="74" spans="1:17">
      <c r="A74" s="3">
        <v>8</v>
      </c>
      <c r="B74" s="3">
        <v>6</v>
      </c>
      <c r="C74" s="3">
        <v>13</v>
      </c>
      <c r="D74" s="3">
        <v>11</v>
      </c>
      <c r="E74" s="3">
        <f>((1/(INDEX(E0!J$4:J$49,C74,1)-INDEX(E0!J$4:J$49,D74,1))))*100000000</f>
        <v>0</v>
      </c>
      <c r="F74" s="4" t="str">
        <f>HYPERLINK("http://141.218.60.56/~jnz1568/getInfo.php?workbook=08_06.xlsx&amp;sheet=A0&amp;row=74&amp;col=6&amp;number=&amp;sourceID=3","")</f>
        <v/>
      </c>
      <c r="G74" s="4" t="str">
        <f>HYPERLINK("http://141.218.60.56/~jnz1568/getInfo.php?workbook=08_06.xlsx&amp;sheet=A0&amp;row=74&amp;col=7&amp;number=6.1196e-07&amp;sourceID=3","6.1196e-07")</f>
        <v>6.1196e-07</v>
      </c>
      <c r="H74" s="4" t="str">
        <f>HYPERLINK("http://141.218.60.56/~jnz1568/getInfo.php?workbook=08_06.xlsx&amp;sheet=A0&amp;row=74&amp;col=8&amp;number=0.013966&amp;sourceID=3","0.013966")</f>
        <v>0.013966</v>
      </c>
      <c r="I74" s="4" t="str">
        <f>HYPERLINK("http://141.218.60.56/~jnz1568/getInfo.php?workbook=08_06.xlsx&amp;sheet=A0&amp;row=74&amp;col=9&amp;number=&amp;sourceID=3","")</f>
        <v/>
      </c>
      <c r="J74" s="4" t="str">
        <f>HYPERLINK("http://141.218.60.56/~jnz1568/getInfo.php?workbook=08_06.xlsx&amp;sheet=A0&amp;row=74&amp;col=10&amp;number=&amp;sourceID=3","")</f>
        <v/>
      </c>
      <c r="K74" s="4" t="str">
        <f>HYPERLINK("http://141.218.60.56/~jnz1568/getInfo.php?workbook=08_06.xlsx&amp;sheet=A0&amp;row=74&amp;col=11&amp;number=&amp;sourceID=3","")</f>
        <v/>
      </c>
      <c r="L74" s="4" t="str">
        <f>HYPERLINK("http://141.218.60.56/~jnz1568/getInfo.php?workbook=08_06.xlsx&amp;sheet=A0&amp;row=74&amp;col=12&amp;number=&amp;sourceID=3","")</f>
        <v/>
      </c>
      <c r="M74" s="4" t="str">
        <f>HYPERLINK("http://141.218.60.56/~jnz1568/getInfo.php?workbook=08_06.xlsx&amp;sheet=A0&amp;row=74&amp;col=13&amp;number=&amp;sourceID=3","")</f>
        <v/>
      </c>
      <c r="N74" s="4" t="str">
        <f>HYPERLINK("http://141.218.60.56/~jnz1568/getInfo.php?workbook=08_06.xlsx&amp;sheet=A0&amp;row=74&amp;col=14&amp;number=&amp;sourceID=7","")</f>
        <v/>
      </c>
      <c r="O74" s="4" t="str">
        <f>HYPERLINK("http://141.218.60.56/~jnz1568/getInfo.php?workbook=08_06.xlsx&amp;sheet=A0&amp;row=74&amp;col=15&amp;number=&amp;sourceID=5","")</f>
        <v/>
      </c>
      <c r="P74" s="4" t="str">
        <f>HYPERLINK("http://141.218.60.56/~jnz1568/getInfo.php?workbook=08_06.xlsx&amp;sheet=A0&amp;row=74&amp;col=16&amp;number=&amp;sourceID=5","")</f>
        <v/>
      </c>
      <c r="Q74" s="4" t="str">
        <f>HYPERLINK("http://141.218.60.56/~jnz1568/getInfo.php?workbook=08_06.xlsx&amp;sheet=A0&amp;row=74&amp;col=17&amp;number=&amp;sourceID=6","")</f>
        <v/>
      </c>
    </row>
    <row r="75" spans="1:17">
      <c r="A75" s="3">
        <v>8</v>
      </c>
      <c r="B75" s="3">
        <v>6</v>
      </c>
      <c r="C75" s="3">
        <v>13</v>
      </c>
      <c r="D75" s="3">
        <v>12</v>
      </c>
      <c r="E75" s="3">
        <f>((1/(INDEX(E0!J$4:J$49,C75,1)-INDEX(E0!J$4:J$49,D75,1))))*100000000</f>
        <v>0</v>
      </c>
      <c r="F75" s="4" t="str">
        <f>HYPERLINK("http://141.218.60.56/~jnz1568/getInfo.php?workbook=08_06.xlsx&amp;sheet=A0&amp;row=75&amp;col=6&amp;number=&amp;sourceID=3","")</f>
        <v/>
      </c>
      <c r="G75" s="4" t="str">
        <f>HYPERLINK("http://141.218.60.56/~jnz1568/getInfo.php?workbook=08_06.xlsx&amp;sheet=A0&amp;row=75&amp;col=7&amp;number=3.5778e-07&amp;sourceID=3","3.5778e-07")</f>
        <v>3.5778e-07</v>
      </c>
      <c r="H75" s="4" t="str">
        <f>HYPERLINK("http://141.218.60.56/~jnz1568/getInfo.php?workbook=08_06.xlsx&amp;sheet=A0&amp;row=75&amp;col=8&amp;number=&amp;sourceID=3","")</f>
        <v/>
      </c>
      <c r="I75" s="4" t="str">
        <f>HYPERLINK("http://141.218.60.56/~jnz1568/getInfo.php?workbook=08_06.xlsx&amp;sheet=A0&amp;row=75&amp;col=9&amp;number=&amp;sourceID=3","")</f>
        <v/>
      </c>
      <c r="J75" s="4" t="str">
        <f>HYPERLINK("http://141.218.60.56/~jnz1568/getInfo.php?workbook=08_06.xlsx&amp;sheet=A0&amp;row=75&amp;col=10&amp;number=&amp;sourceID=3","")</f>
        <v/>
      </c>
      <c r="K75" s="4" t="str">
        <f>HYPERLINK("http://141.218.60.56/~jnz1568/getInfo.php?workbook=08_06.xlsx&amp;sheet=A0&amp;row=75&amp;col=11&amp;number=&amp;sourceID=3","")</f>
        <v/>
      </c>
      <c r="L75" s="4" t="str">
        <f>HYPERLINK("http://141.218.60.56/~jnz1568/getInfo.php?workbook=08_06.xlsx&amp;sheet=A0&amp;row=75&amp;col=12&amp;number=&amp;sourceID=3","")</f>
        <v/>
      </c>
      <c r="M75" s="4" t="str">
        <f>HYPERLINK("http://141.218.60.56/~jnz1568/getInfo.php?workbook=08_06.xlsx&amp;sheet=A0&amp;row=75&amp;col=13&amp;number=&amp;sourceID=3","")</f>
        <v/>
      </c>
      <c r="N75" s="4" t="str">
        <f>HYPERLINK("http://141.218.60.56/~jnz1568/getInfo.php?workbook=08_06.xlsx&amp;sheet=A0&amp;row=75&amp;col=14&amp;number=&amp;sourceID=7","")</f>
        <v/>
      </c>
      <c r="O75" s="4" t="str">
        <f>HYPERLINK("http://141.218.60.56/~jnz1568/getInfo.php?workbook=08_06.xlsx&amp;sheet=A0&amp;row=75&amp;col=15&amp;number=&amp;sourceID=5","")</f>
        <v/>
      </c>
      <c r="P75" s="4" t="str">
        <f>HYPERLINK("http://141.218.60.56/~jnz1568/getInfo.php?workbook=08_06.xlsx&amp;sheet=A0&amp;row=75&amp;col=16&amp;number=&amp;sourceID=5","")</f>
        <v/>
      </c>
      <c r="Q75" s="4" t="str">
        <f>HYPERLINK("http://141.218.60.56/~jnz1568/getInfo.php?workbook=08_06.xlsx&amp;sheet=A0&amp;row=75&amp;col=17&amp;number=&amp;sourceID=6","")</f>
        <v/>
      </c>
    </row>
    <row r="76" spans="1:17">
      <c r="A76" s="3">
        <v>8</v>
      </c>
      <c r="B76" s="3">
        <v>6</v>
      </c>
      <c r="C76" s="3">
        <v>14</v>
      </c>
      <c r="D76" s="3">
        <v>1</v>
      </c>
      <c r="E76" s="3">
        <f>((1/(INDEX(E0!J$4:J$49,C76,1)-INDEX(E0!J$4:J$49,D76,1))))*100000000</f>
        <v>0</v>
      </c>
      <c r="F76" s="4" t="str">
        <f>HYPERLINK("http://141.218.60.56/~jnz1568/getInfo.php?workbook=08_06.xlsx&amp;sheet=A0&amp;row=76&amp;col=6&amp;number=1588100000&amp;sourceID=3","1588100000")</f>
        <v>1588100000</v>
      </c>
      <c r="G76" s="4" t="str">
        <f>HYPERLINK("http://141.218.60.56/~jnz1568/getInfo.php?workbook=08_06.xlsx&amp;sheet=A0&amp;row=76&amp;col=7&amp;number=&amp;sourceID=3","")</f>
        <v/>
      </c>
      <c r="H76" s="4" t="str">
        <f>HYPERLINK("http://141.218.60.56/~jnz1568/getInfo.php?workbook=08_06.xlsx&amp;sheet=A0&amp;row=76&amp;col=8&amp;number=&amp;sourceID=3","")</f>
        <v/>
      </c>
      <c r="I76" s="4" t="str">
        <f>HYPERLINK("http://141.218.60.56/~jnz1568/getInfo.php?workbook=08_06.xlsx&amp;sheet=A0&amp;row=76&amp;col=9&amp;number=&amp;sourceID=3","")</f>
        <v/>
      </c>
      <c r="J76" s="4" t="str">
        <f>HYPERLINK("http://141.218.60.56/~jnz1568/getInfo.php?workbook=08_06.xlsx&amp;sheet=A0&amp;row=76&amp;col=10&amp;number=1600400000&amp;sourceID=3","1600400000")</f>
        <v>1600400000</v>
      </c>
      <c r="K76" s="4" t="str">
        <f>HYPERLINK("http://141.218.60.56/~jnz1568/getInfo.php?workbook=08_06.xlsx&amp;sheet=A0&amp;row=76&amp;col=11&amp;number=&amp;sourceID=3","")</f>
        <v/>
      </c>
      <c r="L76" s="4" t="str">
        <f>HYPERLINK("http://141.218.60.56/~jnz1568/getInfo.php?workbook=08_06.xlsx&amp;sheet=A0&amp;row=76&amp;col=12&amp;number=&amp;sourceID=3","")</f>
        <v/>
      </c>
      <c r="M76" s="4" t="str">
        <f>HYPERLINK("http://141.218.60.56/~jnz1568/getInfo.php?workbook=08_06.xlsx&amp;sheet=A0&amp;row=76&amp;col=13&amp;number=&amp;sourceID=3","")</f>
        <v/>
      </c>
      <c r="N76" s="4" t="str">
        <f>HYPERLINK("http://141.218.60.56/~jnz1568/getInfo.php?workbook=08_06.xlsx&amp;sheet=A0&amp;row=76&amp;col=14&amp;number=1718000000&amp;sourceID=7","1718000000")</f>
        <v>1718000000</v>
      </c>
      <c r="O76" s="4" t="str">
        <f>HYPERLINK("http://141.218.60.56/~jnz1568/getInfo.php?workbook=08_06.xlsx&amp;sheet=A0&amp;row=76&amp;col=15&amp;number=&amp;sourceID=5","")</f>
        <v/>
      </c>
      <c r="P76" s="4" t="str">
        <f>HYPERLINK("http://141.218.60.56/~jnz1568/getInfo.php?workbook=08_06.xlsx&amp;sheet=A0&amp;row=76&amp;col=16&amp;number=&amp;sourceID=5","")</f>
        <v/>
      </c>
      <c r="Q76" s="4" t="str">
        <f>HYPERLINK("http://141.218.60.56/~jnz1568/getInfo.php?workbook=08_06.xlsx&amp;sheet=A0&amp;row=76&amp;col=17&amp;number=&amp;sourceID=6","")</f>
        <v/>
      </c>
    </row>
    <row r="77" spans="1:17">
      <c r="A77" s="3">
        <v>8</v>
      </c>
      <c r="B77" s="3">
        <v>6</v>
      </c>
      <c r="C77" s="3">
        <v>14</v>
      </c>
      <c r="D77" s="3">
        <v>2</v>
      </c>
      <c r="E77" s="3">
        <f>((1/(INDEX(E0!J$4:J$49,C77,1)-INDEX(E0!J$4:J$49,D77,1))))*100000000</f>
        <v>0</v>
      </c>
      <c r="F77" s="4" t="str">
        <f>HYPERLINK("http://141.218.60.56/~jnz1568/getInfo.php?workbook=08_06.xlsx&amp;sheet=A0&amp;row=77&amp;col=6&amp;number=4764600000&amp;sourceID=3","4764600000")</f>
        <v>4764600000</v>
      </c>
      <c r="G77" s="4" t="str">
        <f>HYPERLINK("http://141.218.60.56/~jnz1568/getInfo.php?workbook=08_06.xlsx&amp;sheet=A0&amp;row=77&amp;col=7&amp;number=&amp;sourceID=3","")</f>
        <v/>
      </c>
      <c r="H77" s="4" t="str">
        <f>HYPERLINK("http://141.218.60.56/~jnz1568/getInfo.php?workbook=08_06.xlsx&amp;sheet=A0&amp;row=77&amp;col=8&amp;number=&amp;sourceID=3","")</f>
        <v/>
      </c>
      <c r="I77" s="4" t="str">
        <f>HYPERLINK("http://141.218.60.56/~jnz1568/getInfo.php?workbook=08_06.xlsx&amp;sheet=A0&amp;row=77&amp;col=9&amp;number=0.23386&amp;sourceID=3","0.23386")</f>
        <v>0.23386</v>
      </c>
      <c r="J77" s="4" t="str">
        <f>HYPERLINK("http://141.218.60.56/~jnz1568/getInfo.php?workbook=08_06.xlsx&amp;sheet=A0&amp;row=77&amp;col=10&amp;number=4801400000&amp;sourceID=3","4801400000")</f>
        <v>4801400000</v>
      </c>
      <c r="K77" s="4" t="str">
        <f>HYPERLINK("http://141.218.60.56/~jnz1568/getInfo.php?workbook=08_06.xlsx&amp;sheet=A0&amp;row=77&amp;col=11&amp;number=&amp;sourceID=3","")</f>
        <v/>
      </c>
      <c r="L77" s="4" t="str">
        <f>HYPERLINK("http://141.218.60.56/~jnz1568/getInfo.php?workbook=08_06.xlsx&amp;sheet=A0&amp;row=77&amp;col=12&amp;number=&amp;sourceID=3","")</f>
        <v/>
      </c>
      <c r="M77" s="4" t="str">
        <f>HYPERLINK("http://141.218.60.56/~jnz1568/getInfo.php?workbook=08_06.xlsx&amp;sheet=A0&amp;row=77&amp;col=13&amp;number=0.23669&amp;sourceID=3","0.23669")</f>
        <v>0.23669</v>
      </c>
      <c r="N77" s="4" t="str">
        <f>HYPERLINK("http://141.218.60.56/~jnz1568/getInfo.php?workbook=08_06.xlsx&amp;sheet=A0&amp;row=77&amp;col=14&amp;number=5157000000&amp;sourceID=7","5157000000")</f>
        <v>5157000000</v>
      </c>
      <c r="O77" s="4" t="str">
        <f>HYPERLINK("http://141.218.60.56/~jnz1568/getInfo.php?workbook=08_06.xlsx&amp;sheet=A0&amp;row=77&amp;col=15&amp;number=&amp;sourceID=5","")</f>
        <v/>
      </c>
      <c r="P77" s="4" t="str">
        <f>HYPERLINK("http://141.218.60.56/~jnz1568/getInfo.php?workbook=08_06.xlsx&amp;sheet=A0&amp;row=77&amp;col=16&amp;number=&amp;sourceID=5","")</f>
        <v/>
      </c>
      <c r="Q77" s="4" t="str">
        <f>HYPERLINK("http://141.218.60.56/~jnz1568/getInfo.php?workbook=08_06.xlsx&amp;sheet=A0&amp;row=77&amp;col=17&amp;number=&amp;sourceID=6","")</f>
        <v/>
      </c>
    </row>
    <row r="78" spans="1:17">
      <c r="A78" s="3">
        <v>8</v>
      </c>
      <c r="B78" s="3">
        <v>6</v>
      </c>
      <c r="C78" s="3">
        <v>14</v>
      </c>
      <c r="D78" s="3">
        <v>3</v>
      </c>
      <c r="E78" s="3">
        <f>((1/(INDEX(E0!J$4:J$49,C78,1)-INDEX(E0!J$4:J$49,D78,1))))*100000000</f>
        <v>0</v>
      </c>
      <c r="F78" s="4" t="str">
        <f>HYPERLINK("http://141.218.60.56/~jnz1568/getInfo.php?workbook=08_06.xlsx&amp;sheet=A0&amp;row=78&amp;col=6&amp;number=7947800000&amp;sourceID=3","7947800000")</f>
        <v>7947800000</v>
      </c>
      <c r="G78" s="4" t="str">
        <f>HYPERLINK("http://141.218.60.56/~jnz1568/getInfo.php?workbook=08_06.xlsx&amp;sheet=A0&amp;row=78&amp;col=7&amp;number=&amp;sourceID=3","")</f>
        <v/>
      </c>
      <c r="H78" s="4" t="str">
        <f>HYPERLINK("http://141.218.60.56/~jnz1568/getInfo.php?workbook=08_06.xlsx&amp;sheet=A0&amp;row=78&amp;col=8&amp;number=&amp;sourceID=3","")</f>
        <v/>
      </c>
      <c r="I78" s="4" t="str">
        <f>HYPERLINK("http://141.218.60.56/~jnz1568/getInfo.php?workbook=08_06.xlsx&amp;sheet=A0&amp;row=78&amp;col=9&amp;number=0.6556&amp;sourceID=3","0.6556")</f>
        <v>0.6556</v>
      </c>
      <c r="J78" s="4" t="str">
        <f>HYPERLINK("http://141.218.60.56/~jnz1568/getInfo.php?workbook=08_06.xlsx&amp;sheet=A0&amp;row=78&amp;col=10&amp;number=8009100000&amp;sourceID=3","8009100000")</f>
        <v>8009100000</v>
      </c>
      <c r="K78" s="4" t="str">
        <f>HYPERLINK("http://141.218.60.56/~jnz1568/getInfo.php?workbook=08_06.xlsx&amp;sheet=A0&amp;row=78&amp;col=11&amp;number=&amp;sourceID=3","")</f>
        <v/>
      </c>
      <c r="L78" s="4" t="str">
        <f>HYPERLINK("http://141.218.60.56/~jnz1568/getInfo.php?workbook=08_06.xlsx&amp;sheet=A0&amp;row=78&amp;col=12&amp;number=&amp;sourceID=3","")</f>
        <v/>
      </c>
      <c r="M78" s="4" t="str">
        <f>HYPERLINK("http://141.218.60.56/~jnz1568/getInfo.php?workbook=08_06.xlsx&amp;sheet=A0&amp;row=78&amp;col=13&amp;number=0.66414&amp;sourceID=3","0.66414")</f>
        <v>0.66414</v>
      </c>
      <c r="N78" s="4" t="str">
        <f>HYPERLINK("http://141.218.60.56/~jnz1568/getInfo.php?workbook=08_06.xlsx&amp;sheet=A0&amp;row=78&amp;col=14&amp;number=8603000000&amp;sourceID=7","8603000000")</f>
        <v>8603000000</v>
      </c>
      <c r="O78" s="4" t="str">
        <f>HYPERLINK("http://141.218.60.56/~jnz1568/getInfo.php?workbook=08_06.xlsx&amp;sheet=A0&amp;row=78&amp;col=15&amp;number=&amp;sourceID=5","")</f>
        <v/>
      </c>
      <c r="P78" s="4" t="str">
        <f>HYPERLINK("http://141.218.60.56/~jnz1568/getInfo.php?workbook=08_06.xlsx&amp;sheet=A0&amp;row=78&amp;col=16&amp;number=&amp;sourceID=5","")</f>
        <v/>
      </c>
      <c r="Q78" s="4" t="str">
        <f>HYPERLINK("http://141.218.60.56/~jnz1568/getInfo.php?workbook=08_06.xlsx&amp;sheet=A0&amp;row=78&amp;col=17&amp;number=&amp;sourceID=6","")</f>
        <v/>
      </c>
    </row>
    <row r="79" spans="1:17">
      <c r="A79" s="3">
        <v>8</v>
      </c>
      <c r="B79" s="3">
        <v>6</v>
      </c>
      <c r="C79" s="3">
        <v>14</v>
      </c>
      <c r="D79" s="3">
        <v>4</v>
      </c>
      <c r="E79" s="3">
        <f>((1/(INDEX(E0!J$4:J$49,C79,1)-INDEX(E0!J$4:J$49,D79,1))))*100000000</f>
        <v>0</v>
      </c>
      <c r="F79" s="4" t="str">
        <f>HYPERLINK("http://141.218.60.56/~jnz1568/getInfo.php?workbook=08_06.xlsx&amp;sheet=A0&amp;row=79&amp;col=6&amp;number=309330&amp;sourceID=3","309330")</f>
        <v>309330</v>
      </c>
      <c r="G79" s="4" t="str">
        <f>HYPERLINK("http://141.218.60.56/~jnz1568/getInfo.php?workbook=08_06.xlsx&amp;sheet=A0&amp;row=79&amp;col=7&amp;number=&amp;sourceID=3","")</f>
        <v/>
      </c>
      <c r="H79" s="4" t="str">
        <f>HYPERLINK("http://141.218.60.56/~jnz1568/getInfo.php?workbook=08_06.xlsx&amp;sheet=A0&amp;row=79&amp;col=8&amp;number=&amp;sourceID=3","")</f>
        <v/>
      </c>
      <c r="I79" s="4" t="str">
        <f>HYPERLINK("http://141.218.60.56/~jnz1568/getInfo.php?workbook=08_06.xlsx&amp;sheet=A0&amp;row=79&amp;col=9&amp;number=4.1232e-05&amp;sourceID=3","4.1232e-05")</f>
        <v>4.1232e-05</v>
      </c>
      <c r="J79" s="4" t="str">
        <f>HYPERLINK("http://141.218.60.56/~jnz1568/getInfo.php?workbook=08_06.xlsx&amp;sheet=A0&amp;row=79&amp;col=10&amp;number=293600&amp;sourceID=3","293600")</f>
        <v>293600</v>
      </c>
      <c r="K79" s="4" t="str">
        <f>HYPERLINK("http://141.218.60.56/~jnz1568/getInfo.php?workbook=08_06.xlsx&amp;sheet=A0&amp;row=79&amp;col=11&amp;number=&amp;sourceID=3","")</f>
        <v/>
      </c>
      <c r="L79" s="4" t="str">
        <f>HYPERLINK("http://141.218.60.56/~jnz1568/getInfo.php?workbook=08_06.xlsx&amp;sheet=A0&amp;row=79&amp;col=12&amp;number=&amp;sourceID=3","")</f>
        <v/>
      </c>
      <c r="M79" s="4" t="str">
        <f>HYPERLINK("http://141.218.60.56/~jnz1568/getInfo.php?workbook=08_06.xlsx&amp;sheet=A0&amp;row=79&amp;col=13&amp;number=4.1252e-05&amp;sourceID=3","4.1252e-05")</f>
        <v>4.1252e-05</v>
      </c>
      <c r="N79" s="4" t="str">
        <f>HYPERLINK("http://141.218.60.56/~jnz1568/getInfo.php?workbook=08_06.xlsx&amp;sheet=A0&amp;row=79&amp;col=14&amp;number=103000&amp;sourceID=7","103000")</f>
        <v>103000</v>
      </c>
      <c r="O79" s="4" t="str">
        <f>HYPERLINK("http://141.218.60.56/~jnz1568/getInfo.php?workbook=08_06.xlsx&amp;sheet=A0&amp;row=79&amp;col=15&amp;number=&amp;sourceID=5","")</f>
        <v/>
      </c>
      <c r="P79" s="4" t="str">
        <f>HYPERLINK("http://141.218.60.56/~jnz1568/getInfo.php?workbook=08_06.xlsx&amp;sheet=A0&amp;row=79&amp;col=16&amp;number=&amp;sourceID=5","")</f>
        <v/>
      </c>
      <c r="Q79" s="4" t="str">
        <f>HYPERLINK("http://141.218.60.56/~jnz1568/getInfo.php?workbook=08_06.xlsx&amp;sheet=A0&amp;row=79&amp;col=17&amp;number=&amp;sourceID=6","")</f>
        <v/>
      </c>
    </row>
    <row r="80" spans="1:17">
      <c r="A80" s="3">
        <v>8</v>
      </c>
      <c r="B80" s="3">
        <v>6</v>
      </c>
      <c r="C80" s="3">
        <v>14</v>
      </c>
      <c r="D80" s="3">
        <v>5</v>
      </c>
      <c r="E80" s="3">
        <f>((1/(INDEX(E0!J$4:J$49,C80,1)-INDEX(E0!J$4:J$49,D80,1))))*100000000</f>
        <v>0</v>
      </c>
      <c r="F80" s="4" t="str">
        <f>HYPERLINK("http://141.218.60.56/~jnz1568/getInfo.php?workbook=08_06.xlsx&amp;sheet=A0&amp;row=80&amp;col=6&amp;number=69749&amp;sourceID=3","69749")</f>
        <v>69749</v>
      </c>
      <c r="G80" s="4" t="str">
        <f>HYPERLINK("http://141.218.60.56/~jnz1568/getInfo.php?workbook=08_06.xlsx&amp;sheet=A0&amp;row=80&amp;col=7&amp;number=&amp;sourceID=3","")</f>
        <v/>
      </c>
      <c r="H80" s="4" t="str">
        <f>HYPERLINK("http://141.218.60.56/~jnz1568/getInfo.php?workbook=08_06.xlsx&amp;sheet=A0&amp;row=80&amp;col=8&amp;number=&amp;sourceID=3","")</f>
        <v/>
      </c>
      <c r="I80" s="4" t="str">
        <f>HYPERLINK("http://141.218.60.56/~jnz1568/getInfo.php?workbook=08_06.xlsx&amp;sheet=A0&amp;row=80&amp;col=9&amp;number=&amp;sourceID=3","")</f>
        <v/>
      </c>
      <c r="J80" s="4" t="str">
        <f>HYPERLINK("http://141.218.60.56/~jnz1568/getInfo.php?workbook=08_06.xlsx&amp;sheet=A0&amp;row=80&amp;col=10&amp;number=66417&amp;sourceID=3","66417")</f>
        <v>66417</v>
      </c>
      <c r="K80" s="4" t="str">
        <f>HYPERLINK("http://141.218.60.56/~jnz1568/getInfo.php?workbook=08_06.xlsx&amp;sheet=A0&amp;row=80&amp;col=11&amp;number=&amp;sourceID=3","")</f>
        <v/>
      </c>
      <c r="L80" s="4" t="str">
        <f>HYPERLINK("http://141.218.60.56/~jnz1568/getInfo.php?workbook=08_06.xlsx&amp;sheet=A0&amp;row=80&amp;col=12&amp;number=&amp;sourceID=3","")</f>
        <v/>
      </c>
      <c r="M80" s="4" t="str">
        <f>HYPERLINK("http://141.218.60.56/~jnz1568/getInfo.php?workbook=08_06.xlsx&amp;sheet=A0&amp;row=80&amp;col=13&amp;number=&amp;sourceID=3","")</f>
        <v/>
      </c>
      <c r="N80" s="4" t="str">
        <f>HYPERLINK("http://141.218.60.56/~jnz1568/getInfo.php?workbook=08_06.xlsx&amp;sheet=A0&amp;row=80&amp;col=14&amp;number=21680&amp;sourceID=7","21680")</f>
        <v>21680</v>
      </c>
      <c r="O80" s="4" t="str">
        <f>HYPERLINK("http://141.218.60.56/~jnz1568/getInfo.php?workbook=08_06.xlsx&amp;sheet=A0&amp;row=80&amp;col=15&amp;number=&amp;sourceID=5","")</f>
        <v/>
      </c>
      <c r="P80" s="4" t="str">
        <f>HYPERLINK("http://141.218.60.56/~jnz1568/getInfo.php?workbook=08_06.xlsx&amp;sheet=A0&amp;row=80&amp;col=16&amp;number=&amp;sourceID=5","")</f>
        <v/>
      </c>
      <c r="Q80" s="4" t="str">
        <f>HYPERLINK("http://141.218.60.56/~jnz1568/getInfo.php?workbook=08_06.xlsx&amp;sheet=A0&amp;row=80&amp;col=17&amp;number=&amp;sourceID=6","")</f>
        <v/>
      </c>
    </row>
    <row r="81" spans="1:17">
      <c r="A81" s="3">
        <v>8</v>
      </c>
      <c r="B81" s="3">
        <v>6</v>
      </c>
      <c r="C81" s="3">
        <v>14</v>
      </c>
      <c r="D81" s="3">
        <v>6</v>
      </c>
      <c r="E81" s="3">
        <f>((1/(INDEX(E0!J$4:J$49,C81,1)-INDEX(E0!J$4:J$49,D81,1))))*100000000</f>
        <v>0</v>
      </c>
      <c r="F81" s="4" t="str">
        <f>HYPERLINK("http://141.218.60.56/~jnz1568/getInfo.php?workbook=08_06.xlsx&amp;sheet=A0&amp;row=81&amp;col=6&amp;number=&amp;sourceID=3","")</f>
        <v/>
      </c>
      <c r="G81" s="4" t="str">
        <f>HYPERLINK("http://141.218.60.56/~jnz1568/getInfo.php?workbook=08_06.xlsx&amp;sheet=A0&amp;row=81&amp;col=7&amp;number=2.0116e-07&amp;sourceID=3","2.0116e-07")</f>
        <v>2.0116e-07</v>
      </c>
      <c r="H81" s="4" t="str">
        <f>HYPERLINK("http://141.218.60.56/~jnz1568/getInfo.php?workbook=08_06.xlsx&amp;sheet=A0&amp;row=81&amp;col=8&amp;number=1.9526e-06&amp;sourceID=3","1.9526e-06")</f>
        <v>1.9526e-06</v>
      </c>
      <c r="I81" s="4" t="str">
        <f>HYPERLINK("http://141.218.60.56/~jnz1568/getInfo.php?workbook=08_06.xlsx&amp;sheet=A0&amp;row=81&amp;col=9&amp;number=&amp;sourceID=3","")</f>
        <v/>
      </c>
      <c r="J81" s="4" t="str">
        <f>HYPERLINK("http://141.218.60.56/~jnz1568/getInfo.php?workbook=08_06.xlsx&amp;sheet=A0&amp;row=81&amp;col=10&amp;number=&amp;sourceID=3","")</f>
        <v/>
      </c>
      <c r="K81" s="4" t="str">
        <f>HYPERLINK("http://141.218.60.56/~jnz1568/getInfo.php?workbook=08_06.xlsx&amp;sheet=A0&amp;row=81&amp;col=11&amp;number=&amp;sourceID=3","")</f>
        <v/>
      </c>
      <c r="L81" s="4" t="str">
        <f>HYPERLINK("http://141.218.60.56/~jnz1568/getInfo.php?workbook=08_06.xlsx&amp;sheet=A0&amp;row=81&amp;col=12&amp;number=&amp;sourceID=3","")</f>
        <v/>
      </c>
      <c r="M81" s="4" t="str">
        <f>HYPERLINK("http://141.218.60.56/~jnz1568/getInfo.php?workbook=08_06.xlsx&amp;sheet=A0&amp;row=81&amp;col=13&amp;number=&amp;sourceID=3","")</f>
        <v/>
      </c>
      <c r="N81" s="4" t="str">
        <f>HYPERLINK("http://141.218.60.56/~jnz1568/getInfo.php?workbook=08_06.xlsx&amp;sheet=A0&amp;row=81&amp;col=14&amp;number=&amp;sourceID=7","")</f>
        <v/>
      </c>
      <c r="O81" s="4" t="str">
        <f>HYPERLINK("http://141.218.60.56/~jnz1568/getInfo.php?workbook=08_06.xlsx&amp;sheet=A0&amp;row=81&amp;col=15&amp;number=&amp;sourceID=5","")</f>
        <v/>
      </c>
      <c r="P81" s="4" t="str">
        <f>HYPERLINK("http://141.218.60.56/~jnz1568/getInfo.php?workbook=08_06.xlsx&amp;sheet=A0&amp;row=81&amp;col=16&amp;number=&amp;sourceID=5","")</f>
        <v/>
      </c>
      <c r="Q81" s="4" t="str">
        <f>HYPERLINK("http://141.218.60.56/~jnz1568/getInfo.php?workbook=08_06.xlsx&amp;sheet=A0&amp;row=81&amp;col=17&amp;number=&amp;sourceID=6","")</f>
        <v/>
      </c>
    </row>
    <row r="82" spans="1:17">
      <c r="A82" s="3">
        <v>8</v>
      </c>
      <c r="B82" s="3">
        <v>6</v>
      </c>
      <c r="C82" s="3">
        <v>14</v>
      </c>
      <c r="D82" s="3">
        <v>7</v>
      </c>
      <c r="E82" s="3">
        <f>((1/(INDEX(E0!J$4:J$49,C82,1)-INDEX(E0!J$4:J$49,D82,1))))*100000000</f>
        <v>0</v>
      </c>
      <c r="F82" s="4" t="str">
        <f>HYPERLINK("http://141.218.60.56/~jnz1568/getInfo.php?workbook=08_06.xlsx&amp;sheet=A0&amp;row=82&amp;col=6&amp;number=&amp;sourceID=3","")</f>
        <v/>
      </c>
      <c r="G82" s="4" t="str">
        <f>HYPERLINK("http://141.218.60.56/~jnz1568/getInfo.php?workbook=08_06.xlsx&amp;sheet=A0&amp;row=82&amp;col=7&amp;number=0.60119&amp;sourceID=3","0.60119")</f>
        <v>0.60119</v>
      </c>
      <c r="H82" s="4" t="str">
        <f>HYPERLINK("http://141.218.60.56/~jnz1568/getInfo.php?workbook=08_06.xlsx&amp;sheet=A0&amp;row=82&amp;col=8&amp;number=&amp;sourceID=3","")</f>
        <v/>
      </c>
      <c r="I82" s="4" t="str">
        <f>HYPERLINK("http://141.218.60.56/~jnz1568/getInfo.php?workbook=08_06.xlsx&amp;sheet=A0&amp;row=82&amp;col=9&amp;number=&amp;sourceID=3","")</f>
        <v/>
      </c>
      <c r="J82" s="4" t="str">
        <f>HYPERLINK("http://141.218.60.56/~jnz1568/getInfo.php?workbook=08_06.xlsx&amp;sheet=A0&amp;row=82&amp;col=10&amp;number=&amp;sourceID=3","")</f>
        <v/>
      </c>
      <c r="K82" s="4" t="str">
        <f>HYPERLINK("http://141.218.60.56/~jnz1568/getInfo.php?workbook=08_06.xlsx&amp;sheet=A0&amp;row=82&amp;col=11&amp;number=&amp;sourceID=3","")</f>
        <v/>
      </c>
      <c r="L82" s="4" t="str">
        <f>HYPERLINK("http://141.218.60.56/~jnz1568/getInfo.php?workbook=08_06.xlsx&amp;sheet=A0&amp;row=82&amp;col=12&amp;number=&amp;sourceID=3","")</f>
        <v/>
      </c>
      <c r="M82" s="4" t="str">
        <f>HYPERLINK("http://141.218.60.56/~jnz1568/getInfo.php?workbook=08_06.xlsx&amp;sheet=A0&amp;row=82&amp;col=13&amp;number=&amp;sourceID=3","")</f>
        <v/>
      </c>
      <c r="N82" s="4" t="str">
        <f>HYPERLINK("http://141.218.60.56/~jnz1568/getInfo.php?workbook=08_06.xlsx&amp;sheet=A0&amp;row=82&amp;col=14&amp;number=&amp;sourceID=7","")</f>
        <v/>
      </c>
      <c r="O82" s="4" t="str">
        <f>HYPERLINK("http://141.218.60.56/~jnz1568/getInfo.php?workbook=08_06.xlsx&amp;sheet=A0&amp;row=82&amp;col=15&amp;number=&amp;sourceID=5","")</f>
        <v/>
      </c>
      <c r="P82" s="4" t="str">
        <f>HYPERLINK("http://141.218.60.56/~jnz1568/getInfo.php?workbook=08_06.xlsx&amp;sheet=A0&amp;row=82&amp;col=16&amp;number=&amp;sourceID=5","")</f>
        <v/>
      </c>
      <c r="Q82" s="4" t="str">
        <f>HYPERLINK("http://141.218.60.56/~jnz1568/getInfo.php?workbook=08_06.xlsx&amp;sheet=A0&amp;row=82&amp;col=17&amp;number=&amp;sourceID=6","")</f>
        <v/>
      </c>
    </row>
    <row r="83" spans="1:17">
      <c r="A83" s="3">
        <v>8</v>
      </c>
      <c r="B83" s="3">
        <v>6</v>
      </c>
      <c r="C83" s="3">
        <v>14</v>
      </c>
      <c r="D83" s="3">
        <v>8</v>
      </c>
      <c r="E83" s="3">
        <f>((1/(INDEX(E0!J$4:J$49,C83,1)-INDEX(E0!J$4:J$49,D83,1))))*100000000</f>
        <v>0</v>
      </c>
      <c r="F83" s="4" t="str">
        <f>HYPERLINK("http://141.218.60.56/~jnz1568/getInfo.php?workbook=08_06.xlsx&amp;sheet=A0&amp;row=83&amp;col=6&amp;number=&amp;sourceID=3","")</f>
        <v/>
      </c>
      <c r="G83" s="4" t="str">
        <f>HYPERLINK("http://141.218.60.56/~jnz1568/getInfo.php?workbook=08_06.xlsx&amp;sheet=A0&amp;row=83&amp;col=7&amp;number=0.49205&amp;sourceID=3","0.49205")</f>
        <v>0.49205</v>
      </c>
      <c r="H83" s="4" t="str">
        <f>HYPERLINK("http://141.218.60.56/~jnz1568/getInfo.php?workbook=08_06.xlsx&amp;sheet=A0&amp;row=83&amp;col=8&amp;number=0.00013853&amp;sourceID=3","0.00013853")</f>
        <v>0.00013853</v>
      </c>
      <c r="I83" s="4" t="str">
        <f>HYPERLINK("http://141.218.60.56/~jnz1568/getInfo.php?workbook=08_06.xlsx&amp;sheet=A0&amp;row=83&amp;col=9&amp;number=&amp;sourceID=3","")</f>
        <v/>
      </c>
      <c r="J83" s="4" t="str">
        <f>HYPERLINK("http://141.218.60.56/~jnz1568/getInfo.php?workbook=08_06.xlsx&amp;sheet=A0&amp;row=83&amp;col=10&amp;number=&amp;sourceID=3","")</f>
        <v/>
      </c>
      <c r="K83" s="4" t="str">
        <f>HYPERLINK("http://141.218.60.56/~jnz1568/getInfo.php?workbook=08_06.xlsx&amp;sheet=A0&amp;row=83&amp;col=11&amp;number=&amp;sourceID=3","")</f>
        <v/>
      </c>
      <c r="L83" s="4" t="str">
        <f>HYPERLINK("http://141.218.60.56/~jnz1568/getInfo.php?workbook=08_06.xlsx&amp;sheet=A0&amp;row=83&amp;col=12&amp;number=&amp;sourceID=3","")</f>
        <v/>
      </c>
      <c r="M83" s="4" t="str">
        <f>HYPERLINK("http://141.218.60.56/~jnz1568/getInfo.php?workbook=08_06.xlsx&amp;sheet=A0&amp;row=83&amp;col=13&amp;number=&amp;sourceID=3","")</f>
        <v/>
      </c>
      <c r="N83" s="4" t="str">
        <f>HYPERLINK("http://141.218.60.56/~jnz1568/getInfo.php?workbook=08_06.xlsx&amp;sheet=A0&amp;row=83&amp;col=14&amp;number=&amp;sourceID=7","")</f>
        <v/>
      </c>
      <c r="O83" s="4" t="str">
        <f>HYPERLINK("http://141.218.60.56/~jnz1568/getInfo.php?workbook=08_06.xlsx&amp;sheet=A0&amp;row=83&amp;col=15&amp;number=&amp;sourceID=5","")</f>
        <v/>
      </c>
      <c r="P83" s="4" t="str">
        <f>HYPERLINK("http://141.218.60.56/~jnz1568/getInfo.php?workbook=08_06.xlsx&amp;sheet=A0&amp;row=83&amp;col=16&amp;number=&amp;sourceID=5","")</f>
        <v/>
      </c>
      <c r="Q83" s="4" t="str">
        <f>HYPERLINK("http://141.218.60.56/~jnz1568/getInfo.php?workbook=08_06.xlsx&amp;sheet=A0&amp;row=83&amp;col=17&amp;number=&amp;sourceID=6","")</f>
        <v/>
      </c>
    </row>
    <row r="84" spans="1:17">
      <c r="A84" s="3">
        <v>8</v>
      </c>
      <c r="B84" s="3">
        <v>6</v>
      </c>
      <c r="C84" s="3">
        <v>14</v>
      </c>
      <c r="D84" s="3">
        <v>9</v>
      </c>
      <c r="E84" s="3">
        <f>((1/(INDEX(E0!J$4:J$49,C84,1)-INDEX(E0!J$4:J$49,D84,1))))*100000000</f>
        <v>0</v>
      </c>
      <c r="F84" s="4" t="str">
        <f>HYPERLINK("http://141.218.60.56/~jnz1568/getInfo.php?workbook=08_06.xlsx&amp;sheet=A0&amp;row=84&amp;col=6&amp;number=&amp;sourceID=3","")</f>
        <v/>
      </c>
      <c r="G84" s="4" t="str">
        <f>HYPERLINK("http://141.218.60.56/~jnz1568/getInfo.php?workbook=08_06.xlsx&amp;sheet=A0&amp;row=84&amp;col=7&amp;number=0.32145&amp;sourceID=3","0.32145")</f>
        <v>0.32145</v>
      </c>
      <c r="H84" s="4" t="str">
        <f>HYPERLINK("http://141.218.60.56/~jnz1568/getInfo.php?workbook=08_06.xlsx&amp;sheet=A0&amp;row=84&amp;col=8&amp;number=0.00018559&amp;sourceID=3","0.00018559")</f>
        <v>0.00018559</v>
      </c>
      <c r="I84" s="4" t="str">
        <f>HYPERLINK("http://141.218.60.56/~jnz1568/getInfo.php?workbook=08_06.xlsx&amp;sheet=A0&amp;row=84&amp;col=9&amp;number=&amp;sourceID=3","")</f>
        <v/>
      </c>
      <c r="J84" s="4" t="str">
        <f>HYPERLINK("http://141.218.60.56/~jnz1568/getInfo.php?workbook=08_06.xlsx&amp;sheet=A0&amp;row=84&amp;col=10&amp;number=&amp;sourceID=3","")</f>
        <v/>
      </c>
      <c r="K84" s="4" t="str">
        <f>HYPERLINK("http://141.218.60.56/~jnz1568/getInfo.php?workbook=08_06.xlsx&amp;sheet=A0&amp;row=84&amp;col=11&amp;number=&amp;sourceID=3","")</f>
        <v/>
      </c>
      <c r="L84" s="4" t="str">
        <f>HYPERLINK("http://141.218.60.56/~jnz1568/getInfo.php?workbook=08_06.xlsx&amp;sheet=A0&amp;row=84&amp;col=12&amp;number=&amp;sourceID=3","")</f>
        <v/>
      </c>
      <c r="M84" s="4" t="str">
        <f>HYPERLINK("http://141.218.60.56/~jnz1568/getInfo.php?workbook=08_06.xlsx&amp;sheet=A0&amp;row=84&amp;col=13&amp;number=&amp;sourceID=3","")</f>
        <v/>
      </c>
      <c r="N84" s="4" t="str">
        <f>HYPERLINK("http://141.218.60.56/~jnz1568/getInfo.php?workbook=08_06.xlsx&amp;sheet=A0&amp;row=84&amp;col=14&amp;number=&amp;sourceID=7","")</f>
        <v/>
      </c>
      <c r="O84" s="4" t="str">
        <f>HYPERLINK("http://141.218.60.56/~jnz1568/getInfo.php?workbook=08_06.xlsx&amp;sheet=A0&amp;row=84&amp;col=15&amp;number=&amp;sourceID=5","")</f>
        <v/>
      </c>
      <c r="P84" s="4" t="str">
        <f>HYPERLINK("http://141.218.60.56/~jnz1568/getInfo.php?workbook=08_06.xlsx&amp;sheet=A0&amp;row=84&amp;col=16&amp;number=&amp;sourceID=5","")</f>
        <v/>
      </c>
      <c r="Q84" s="4" t="str">
        <f>HYPERLINK("http://141.218.60.56/~jnz1568/getInfo.php?workbook=08_06.xlsx&amp;sheet=A0&amp;row=84&amp;col=17&amp;number=&amp;sourceID=6","")</f>
        <v/>
      </c>
    </row>
    <row r="85" spans="1:17">
      <c r="A85" s="3">
        <v>8</v>
      </c>
      <c r="B85" s="3">
        <v>6</v>
      </c>
      <c r="C85" s="3">
        <v>14</v>
      </c>
      <c r="D85" s="3">
        <v>10</v>
      </c>
      <c r="E85" s="3">
        <f>((1/(INDEX(E0!J$4:J$49,C85,1)-INDEX(E0!J$4:J$49,D85,1))))*100000000</f>
        <v>0</v>
      </c>
      <c r="F85" s="4" t="str">
        <f>HYPERLINK("http://141.218.60.56/~jnz1568/getInfo.php?workbook=08_06.xlsx&amp;sheet=A0&amp;row=85&amp;col=6&amp;number=&amp;sourceID=3","")</f>
        <v/>
      </c>
      <c r="G85" s="4" t="str">
        <f>HYPERLINK("http://141.218.60.56/~jnz1568/getInfo.php?workbook=08_06.xlsx&amp;sheet=A0&amp;row=85&amp;col=7&amp;number=8.8775e-07&amp;sourceID=3","8.8775e-07")</f>
        <v>8.8775e-07</v>
      </c>
      <c r="H85" s="4" t="str">
        <f>HYPERLINK("http://141.218.60.56/~jnz1568/getInfo.php?workbook=08_06.xlsx&amp;sheet=A0&amp;row=85&amp;col=8&amp;number=0.018806&amp;sourceID=3","0.018806")</f>
        <v>0.018806</v>
      </c>
      <c r="I85" s="4" t="str">
        <f>HYPERLINK("http://141.218.60.56/~jnz1568/getInfo.php?workbook=08_06.xlsx&amp;sheet=A0&amp;row=85&amp;col=9&amp;number=&amp;sourceID=3","")</f>
        <v/>
      </c>
      <c r="J85" s="4" t="str">
        <f>HYPERLINK("http://141.218.60.56/~jnz1568/getInfo.php?workbook=08_06.xlsx&amp;sheet=A0&amp;row=85&amp;col=10&amp;number=&amp;sourceID=3","")</f>
        <v/>
      </c>
      <c r="K85" s="4" t="str">
        <f>HYPERLINK("http://141.218.60.56/~jnz1568/getInfo.php?workbook=08_06.xlsx&amp;sheet=A0&amp;row=85&amp;col=11&amp;number=&amp;sourceID=3","")</f>
        <v/>
      </c>
      <c r="L85" s="4" t="str">
        <f>HYPERLINK("http://141.218.60.56/~jnz1568/getInfo.php?workbook=08_06.xlsx&amp;sheet=A0&amp;row=85&amp;col=12&amp;number=&amp;sourceID=3","")</f>
        <v/>
      </c>
      <c r="M85" s="4" t="str">
        <f>HYPERLINK("http://141.218.60.56/~jnz1568/getInfo.php?workbook=08_06.xlsx&amp;sheet=A0&amp;row=85&amp;col=13&amp;number=&amp;sourceID=3","")</f>
        <v/>
      </c>
      <c r="N85" s="4" t="str">
        <f>HYPERLINK("http://141.218.60.56/~jnz1568/getInfo.php?workbook=08_06.xlsx&amp;sheet=A0&amp;row=85&amp;col=14&amp;number=&amp;sourceID=7","")</f>
        <v/>
      </c>
      <c r="O85" s="4" t="str">
        <f>HYPERLINK("http://141.218.60.56/~jnz1568/getInfo.php?workbook=08_06.xlsx&amp;sheet=A0&amp;row=85&amp;col=15&amp;number=&amp;sourceID=5","")</f>
        <v/>
      </c>
      <c r="P85" s="4" t="str">
        <f>HYPERLINK("http://141.218.60.56/~jnz1568/getInfo.php?workbook=08_06.xlsx&amp;sheet=A0&amp;row=85&amp;col=16&amp;number=&amp;sourceID=5","")</f>
        <v/>
      </c>
      <c r="Q85" s="4" t="str">
        <f>HYPERLINK("http://141.218.60.56/~jnz1568/getInfo.php?workbook=08_06.xlsx&amp;sheet=A0&amp;row=85&amp;col=17&amp;number=&amp;sourceID=6","")</f>
        <v/>
      </c>
    </row>
    <row r="86" spans="1:17">
      <c r="A86" s="3">
        <v>8</v>
      </c>
      <c r="B86" s="3">
        <v>6</v>
      </c>
      <c r="C86" s="3">
        <v>14</v>
      </c>
      <c r="D86" s="3">
        <v>11</v>
      </c>
      <c r="E86" s="3">
        <f>((1/(INDEX(E0!J$4:J$49,C86,1)-INDEX(E0!J$4:J$49,D86,1))))*100000000</f>
        <v>0</v>
      </c>
      <c r="F86" s="4" t="str">
        <f>HYPERLINK("http://141.218.60.56/~jnz1568/getInfo.php?workbook=08_06.xlsx&amp;sheet=A0&amp;row=86&amp;col=6&amp;number=&amp;sourceID=3","")</f>
        <v/>
      </c>
      <c r="G86" s="4" t="str">
        <f>HYPERLINK("http://141.218.60.56/~jnz1568/getInfo.php?workbook=08_06.xlsx&amp;sheet=A0&amp;row=86&amp;col=7&amp;number=5.6773e-08&amp;sourceID=3","5.6773e-08")</f>
        <v>5.6773e-08</v>
      </c>
      <c r="H86" s="4" t="str">
        <f>HYPERLINK("http://141.218.60.56/~jnz1568/getInfo.php?workbook=08_06.xlsx&amp;sheet=A0&amp;row=86&amp;col=8&amp;number=0.01129&amp;sourceID=3","0.01129")</f>
        <v>0.01129</v>
      </c>
      <c r="I86" s="4" t="str">
        <f>HYPERLINK("http://141.218.60.56/~jnz1568/getInfo.php?workbook=08_06.xlsx&amp;sheet=A0&amp;row=86&amp;col=9&amp;number=&amp;sourceID=3","")</f>
        <v/>
      </c>
      <c r="J86" s="4" t="str">
        <f>HYPERLINK("http://141.218.60.56/~jnz1568/getInfo.php?workbook=08_06.xlsx&amp;sheet=A0&amp;row=86&amp;col=10&amp;number=&amp;sourceID=3","")</f>
        <v/>
      </c>
      <c r="K86" s="4" t="str">
        <f>HYPERLINK("http://141.218.60.56/~jnz1568/getInfo.php?workbook=08_06.xlsx&amp;sheet=A0&amp;row=86&amp;col=11&amp;number=&amp;sourceID=3","")</f>
        <v/>
      </c>
      <c r="L86" s="4" t="str">
        <f>HYPERLINK("http://141.218.60.56/~jnz1568/getInfo.php?workbook=08_06.xlsx&amp;sheet=A0&amp;row=86&amp;col=12&amp;number=&amp;sourceID=3","")</f>
        <v/>
      </c>
      <c r="M86" s="4" t="str">
        <f>HYPERLINK("http://141.218.60.56/~jnz1568/getInfo.php?workbook=08_06.xlsx&amp;sheet=A0&amp;row=86&amp;col=13&amp;number=&amp;sourceID=3","")</f>
        <v/>
      </c>
      <c r="N86" s="4" t="str">
        <f>HYPERLINK("http://141.218.60.56/~jnz1568/getInfo.php?workbook=08_06.xlsx&amp;sheet=A0&amp;row=86&amp;col=14&amp;number=&amp;sourceID=7","")</f>
        <v/>
      </c>
      <c r="O86" s="4" t="str">
        <f>HYPERLINK("http://141.218.60.56/~jnz1568/getInfo.php?workbook=08_06.xlsx&amp;sheet=A0&amp;row=86&amp;col=15&amp;number=&amp;sourceID=5","")</f>
        <v/>
      </c>
      <c r="P86" s="4" t="str">
        <f>HYPERLINK("http://141.218.60.56/~jnz1568/getInfo.php?workbook=08_06.xlsx&amp;sheet=A0&amp;row=86&amp;col=16&amp;number=&amp;sourceID=5","")</f>
        <v/>
      </c>
      <c r="Q86" s="4" t="str">
        <f>HYPERLINK("http://141.218.60.56/~jnz1568/getInfo.php?workbook=08_06.xlsx&amp;sheet=A0&amp;row=86&amp;col=17&amp;number=&amp;sourceID=6","")</f>
        <v/>
      </c>
    </row>
    <row r="87" spans="1:17">
      <c r="A87" s="3">
        <v>8</v>
      </c>
      <c r="B87" s="3">
        <v>6</v>
      </c>
      <c r="C87" s="3">
        <v>14</v>
      </c>
      <c r="D87" s="3">
        <v>12</v>
      </c>
      <c r="E87" s="3">
        <f>((1/(INDEX(E0!J$4:J$49,C87,1)-INDEX(E0!J$4:J$49,D87,1))))*100000000</f>
        <v>0</v>
      </c>
      <c r="F87" s="4" t="str">
        <f>HYPERLINK("http://141.218.60.56/~jnz1568/getInfo.php?workbook=08_06.xlsx&amp;sheet=A0&amp;row=87&amp;col=6&amp;number=&amp;sourceID=3","")</f>
        <v/>
      </c>
      <c r="G87" s="4" t="str">
        <f>HYPERLINK("http://141.218.60.56/~jnz1568/getInfo.php?workbook=08_06.xlsx&amp;sheet=A0&amp;row=87&amp;col=7&amp;number=&amp;sourceID=3","")</f>
        <v/>
      </c>
      <c r="H87" s="4" t="str">
        <f>HYPERLINK("http://141.218.60.56/~jnz1568/getInfo.php?workbook=08_06.xlsx&amp;sheet=A0&amp;row=87&amp;col=8&amp;number=0.015043&amp;sourceID=3","0.015043")</f>
        <v>0.015043</v>
      </c>
      <c r="I87" s="4" t="str">
        <f>HYPERLINK("http://141.218.60.56/~jnz1568/getInfo.php?workbook=08_06.xlsx&amp;sheet=A0&amp;row=87&amp;col=9&amp;number=&amp;sourceID=3","")</f>
        <v/>
      </c>
      <c r="J87" s="4" t="str">
        <f>HYPERLINK("http://141.218.60.56/~jnz1568/getInfo.php?workbook=08_06.xlsx&amp;sheet=A0&amp;row=87&amp;col=10&amp;number=&amp;sourceID=3","")</f>
        <v/>
      </c>
      <c r="K87" s="4" t="str">
        <f>HYPERLINK("http://141.218.60.56/~jnz1568/getInfo.php?workbook=08_06.xlsx&amp;sheet=A0&amp;row=87&amp;col=11&amp;number=&amp;sourceID=3","")</f>
        <v/>
      </c>
      <c r="L87" s="4" t="str">
        <f>HYPERLINK("http://141.218.60.56/~jnz1568/getInfo.php?workbook=08_06.xlsx&amp;sheet=A0&amp;row=87&amp;col=12&amp;number=&amp;sourceID=3","")</f>
        <v/>
      </c>
      <c r="M87" s="4" t="str">
        <f>HYPERLINK("http://141.218.60.56/~jnz1568/getInfo.php?workbook=08_06.xlsx&amp;sheet=A0&amp;row=87&amp;col=13&amp;number=&amp;sourceID=3","")</f>
        <v/>
      </c>
      <c r="N87" s="4" t="str">
        <f>HYPERLINK("http://141.218.60.56/~jnz1568/getInfo.php?workbook=08_06.xlsx&amp;sheet=A0&amp;row=87&amp;col=14&amp;number=&amp;sourceID=7","")</f>
        <v/>
      </c>
      <c r="O87" s="4" t="str">
        <f>HYPERLINK("http://141.218.60.56/~jnz1568/getInfo.php?workbook=08_06.xlsx&amp;sheet=A0&amp;row=87&amp;col=15&amp;number=&amp;sourceID=5","")</f>
        <v/>
      </c>
      <c r="P87" s="4" t="str">
        <f>HYPERLINK("http://141.218.60.56/~jnz1568/getInfo.php?workbook=08_06.xlsx&amp;sheet=A0&amp;row=87&amp;col=16&amp;number=&amp;sourceID=5","")</f>
        <v/>
      </c>
      <c r="Q87" s="4" t="str">
        <f>HYPERLINK("http://141.218.60.56/~jnz1568/getInfo.php?workbook=08_06.xlsx&amp;sheet=A0&amp;row=87&amp;col=17&amp;number=&amp;sourceID=6","")</f>
        <v/>
      </c>
    </row>
    <row r="88" spans="1:17">
      <c r="A88" s="3">
        <v>8</v>
      </c>
      <c r="B88" s="3">
        <v>6</v>
      </c>
      <c r="C88" s="3">
        <v>14</v>
      </c>
      <c r="D88" s="3">
        <v>13</v>
      </c>
      <c r="E88" s="3">
        <f>((1/(INDEX(E0!J$4:J$49,C88,1)-INDEX(E0!J$4:J$49,D88,1))))*100000000</f>
        <v>0</v>
      </c>
      <c r="F88" s="4" t="str">
        <f>HYPERLINK("http://141.218.60.56/~jnz1568/getInfo.php?workbook=08_06.xlsx&amp;sheet=A0&amp;row=88&amp;col=6&amp;number=&amp;sourceID=3","")</f>
        <v/>
      </c>
      <c r="G88" s="4" t="str">
        <f>HYPERLINK("http://141.218.60.56/~jnz1568/getInfo.php?workbook=08_06.xlsx&amp;sheet=A0&amp;row=88&amp;col=7&amp;number=3.2974e-06&amp;sourceID=3","3.2974e-06")</f>
        <v>3.2974e-06</v>
      </c>
      <c r="H88" s="4" t="str">
        <f>HYPERLINK("http://141.218.60.56/~jnz1568/getInfo.php?workbook=08_06.xlsx&amp;sheet=A0&amp;row=88&amp;col=8&amp;number=1.3838e-09&amp;sourceID=3","1.3838e-09")</f>
        <v>1.3838e-09</v>
      </c>
      <c r="I88" s="4" t="str">
        <f>HYPERLINK("http://141.218.60.56/~jnz1568/getInfo.php?workbook=08_06.xlsx&amp;sheet=A0&amp;row=88&amp;col=9&amp;number=&amp;sourceID=3","")</f>
        <v/>
      </c>
      <c r="J88" s="4" t="str">
        <f>HYPERLINK("http://141.218.60.56/~jnz1568/getInfo.php?workbook=08_06.xlsx&amp;sheet=A0&amp;row=88&amp;col=10&amp;number=&amp;sourceID=3","")</f>
        <v/>
      </c>
      <c r="K88" s="4" t="str">
        <f>HYPERLINK("http://141.218.60.56/~jnz1568/getInfo.php?workbook=08_06.xlsx&amp;sheet=A0&amp;row=88&amp;col=11&amp;number=&amp;sourceID=3","")</f>
        <v/>
      </c>
      <c r="L88" s="4" t="str">
        <f>HYPERLINK("http://141.218.60.56/~jnz1568/getInfo.php?workbook=08_06.xlsx&amp;sheet=A0&amp;row=88&amp;col=12&amp;number=&amp;sourceID=3","")</f>
        <v/>
      </c>
      <c r="M88" s="4" t="str">
        <f>HYPERLINK("http://141.218.60.56/~jnz1568/getInfo.php?workbook=08_06.xlsx&amp;sheet=A0&amp;row=88&amp;col=13&amp;number=&amp;sourceID=3","")</f>
        <v/>
      </c>
      <c r="N88" s="4" t="str">
        <f>HYPERLINK("http://141.218.60.56/~jnz1568/getInfo.php?workbook=08_06.xlsx&amp;sheet=A0&amp;row=88&amp;col=14&amp;number=&amp;sourceID=7","")</f>
        <v/>
      </c>
      <c r="O88" s="4" t="str">
        <f>HYPERLINK("http://141.218.60.56/~jnz1568/getInfo.php?workbook=08_06.xlsx&amp;sheet=A0&amp;row=88&amp;col=15&amp;number=&amp;sourceID=5","")</f>
        <v/>
      </c>
      <c r="P88" s="4" t="str">
        <f>HYPERLINK("http://141.218.60.56/~jnz1568/getInfo.php?workbook=08_06.xlsx&amp;sheet=A0&amp;row=88&amp;col=16&amp;number=&amp;sourceID=5","")</f>
        <v/>
      </c>
      <c r="Q88" s="4" t="str">
        <f>HYPERLINK("http://141.218.60.56/~jnz1568/getInfo.php?workbook=08_06.xlsx&amp;sheet=A0&amp;row=88&amp;col=17&amp;number=&amp;sourceID=6","")</f>
        <v/>
      </c>
    </row>
    <row r="89" spans="1:17">
      <c r="A89" s="3">
        <v>8</v>
      </c>
      <c r="B89" s="3">
        <v>6</v>
      </c>
      <c r="C89" s="3">
        <v>15</v>
      </c>
      <c r="D89" s="3">
        <v>1</v>
      </c>
      <c r="E89" s="3">
        <f>((1/(INDEX(E0!J$4:J$49,C89,1)-INDEX(E0!J$4:J$49,D89,1))))*100000000</f>
        <v>0</v>
      </c>
      <c r="F89" s="4" t="str">
        <f>HYPERLINK("http://141.218.60.56/~jnz1568/getInfo.php?workbook=08_06.xlsx&amp;sheet=A0&amp;row=89&amp;col=6&amp;number=62791&amp;sourceID=3","62791")</f>
        <v>62791</v>
      </c>
      <c r="G89" s="4" t="str">
        <f>HYPERLINK("http://141.218.60.56/~jnz1568/getInfo.php?workbook=08_06.xlsx&amp;sheet=A0&amp;row=89&amp;col=7&amp;number=&amp;sourceID=3","")</f>
        <v/>
      </c>
      <c r="H89" s="4" t="str">
        <f>HYPERLINK("http://141.218.60.56/~jnz1568/getInfo.php?workbook=08_06.xlsx&amp;sheet=A0&amp;row=89&amp;col=8&amp;number=&amp;sourceID=3","")</f>
        <v/>
      </c>
      <c r="I89" s="4" t="str">
        <f>HYPERLINK("http://141.218.60.56/~jnz1568/getInfo.php?workbook=08_06.xlsx&amp;sheet=A0&amp;row=89&amp;col=9&amp;number=&amp;sourceID=3","")</f>
        <v/>
      </c>
      <c r="J89" s="4" t="str">
        <f>HYPERLINK("http://141.218.60.56/~jnz1568/getInfo.php?workbook=08_06.xlsx&amp;sheet=A0&amp;row=89&amp;col=10&amp;number=58810&amp;sourceID=3","58810")</f>
        <v>58810</v>
      </c>
      <c r="K89" s="4" t="str">
        <f>HYPERLINK("http://141.218.60.56/~jnz1568/getInfo.php?workbook=08_06.xlsx&amp;sheet=A0&amp;row=89&amp;col=11&amp;number=&amp;sourceID=3","")</f>
        <v/>
      </c>
      <c r="L89" s="4" t="str">
        <f>HYPERLINK("http://141.218.60.56/~jnz1568/getInfo.php?workbook=08_06.xlsx&amp;sheet=A0&amp;row=89&amp;col=12&amp;number=&amp;sourceID=3","")</f>
        <v/>
      </c>
      <c r="M89" s="4" t="str">
        <f>HYPERLINK("http://141.218.60.56/~jnz1568/getInfo.php?workbook=08_06.xlsx&amp;sheet=A0&amp;row=89&amp;col=13&amp;number=&amp;sourceID=3","")</f>
        <v/>
      </c>
      <c r="N89" s="4" t="str">
        <f>HYPERLINK("http://141.218.60.56/~jnz1568/getInfo.php?workbook=08_06.xlsx&amp;sheet=A0&amp;row=89&amp;col=14&amp;number=24000&amp;sourceID=7","24000")</f>
        <v>24000</v>
      </c>
      <c r="O89" s="4" t="str">
        <f>HYPERLINK("http://141.218.60.56/~jnz1568/getInfo.php?workbook=08_06.xlsx&amp;sheet=A0&amp;row=89&amp;col=15&amp;number=&amp;sourceID=5","")</f>
        <v/>
      </c>
      <c r="P89" s="4" t="str">
        <f>HYPERLINK("http://141.218.60.56/~jnz1568/getInfo.php?workbook=08_06.xlsx&amp;sheet=A0&amp;row=89&amp;col=16&amp;number=&amp;sourceID=5","")</f>
        <v/>
      </c>
      <c r="Q89" s="4" t="str">
        <f>HYPERLINK("http://141.218.60.56/~jnz1568/getInfo.php?workbook=08_06.xlsx&amp;sheet=A0&amp;row=89&amp;col=17&amp;number=&amp;sourceID=6","")</f>
        <v/>
      </c>
    </row>
    <row r="90" spans="1:17">
      <c r="A90" s="3">
        <v>8</v>
      </c>
      <c r="B90" s="3">
        <v>6</v>
      </c>
      <c r="C90" s="3">
        <v>15</v>
      </c>
      <c r="D90" s="3">
        <v>2</v>
      </c>
      <c r="E90" s="3">
        <f>((1/(INDEX(E0!J$4:J$49,C90,1)-INDEX(E0!J$4:J$49,D90,1))))*100000000</f>
        <v>0</v>
      </c>
      <c r="F90" s="4" t="str">
        <f>HYPERLINK("http://141.218.60.56/~jnz1568/getInfo.php?workbook=08_06.xlsx&amp;sheet=A0&amp;row=90&amp;col=6&amp;number=895910&amp;sourceID=3","895910")</f>
        <v>895910</v>
      </c>
      <c r="G90" s="4" t="str">
        <f>HYPERLINK("http://141.218.60.56/~jnz1568/getInfo.php?workbook=08_06.xlsx&amp;sheet=A0&amp;row=90&amp;col=7&amp;number=&amp;sourceID=3","")</f>
        <v/>
      </c>
      <c r="H90" s="4" t="str">
        <f>HYPERLINK("http://141.218.60.56/~jnz1568/getInfo.php?workbook=08_06.xlsx&amp;sheet=A0&amp;row=90&amp;col=8&amp;number=&amp;sourceID=3","")</f>
        <v/>
      </c>
      <c r="I90" s="4" t="str">
        <f>HYPERLINK("http://141.218.60.56/~jnz1568/getInfo.php?workbook=08_06.xlsx&amp;sheet=A0&amp;row=90&amp;col=9&amp;number=0.32269&amp;sourceID=3","0.32269")</f>
        <v>0.32269</v>
      </c>
      <c r="J90" s="4" t="str">
        <f>HYPERLINK("http://141.218.60.56/~jnz1568/getInfo.php?workbook=08_06.xlsx&amp;sheet=A0&amp;row=90&amp;col=10&amp;number=866830&amp;sourceID=3","866830")</f>
        <v>866830</v>
      </c>
      <c r="K90" s="4" t="str">
        <f>HYPERLINK("http://141.218.60.56/~jnz1568/getInfo.php?workbook=08_06.xlsx&amp;sheet=A0&amp;row=90&amp;col=11&amp;number=&amp;sourceID=3","")</f>
        <v/>
      </c>
      <c r="L90" s="4" t="str">
        <f>HYPERLINK("http://141.218.60.56/~jnz1568/getInfo.php?workbook=08_06.xlsx&amp;sheet=A0&amp;row=90&amp;col=12&amp;number=&amp;sourceID=3","")</f>
        <v/>
      </c>
      <c r="M90" s="4" t="str">
        <f>HYPERLINK("http://141.218.60.56/~jnz1568/getInfo.php?workbook=08_06.xlsx&amp;sheet=A0&amp;row=90&amp;col=13&amp;number=0.32856&amp;sourceID=3","0.32856")</f>
        <v>0.32856</v>
      </c>
      <c r="N90" s="4" t="str">
        <f>HYPERLINK("http://141.218.60.56/~jnz1568/getInfo.php?workbook=08_06.xlsx&amp;sheet=A0&amp;row=90&amp;col=14&amp;number=493700&amp;sourceID=7","493700")</f>
        <v>493700</v>
      </c>
      <c r="O90" s="4" t="str">
        <f>HYPERLINK("http://141.218.60.56/~jnz1568/getInfo.php?workbook=08_06.xlsx&amp;sheet=A0&amp;row=90&amp;col=15&amp;number=&amp;sourceID=5","")</f>
        <v/>
      </c>
      <c r="P90" s="4" t="str">
        <f>HYPERLINK("http://141.218.60.56/~jnz1568/getInfo.php?workbook=08_06.xlsx&amp;sheet=A0&amp;row=90&amp;col=16&amp;number=&amp;sourceID=5","")</f>
        <v/>
      </c>
      <c r="Q90" s="4" t="str">
        <f>HYPERLINK("http://141.218.60.56/~jnz1568/getInfo.php?workbook=08_06.xlsx&amp;sheet=A0&amp;row=90&amp;col=17&amp;number=&amp;sourceID=6","")</f>
        <v/>
      </c>
    </row>
    <row r="91" spans="1:17">
      <c r="A91" s="3">
        <v>8</v>
      </c>
      <c r="B91" s="3">
        <v>6</v>
      </c>
      <c r="C91" s="3">
        <v>15</v>
      </c>
      <c r="D91" s="3">
        <v>3</v>
      </c>
      <c r="E91" s="3">
        <f>((1/(INDEX(E0!J$4:J$49,C91,1)-INDEX(E0!J$4:J$49,D91,1))))*100000000</f>
        <v>0</v>
      </c>
      <c r="F91" s="4" t="str">
        <f>HYPERLINK("http://141.218.60.56/~jnz1568/getInfo.php?workbook=08_06.xlsx&amp;sheet=A0&amp;row=91&amp;col=6&amp;number=194680&amp;sourceID=3","194680")</f>
        <v>194680</v>
      </c>
      <c r="G91" s="4" t="str">
        <f>HYPERLINK("http://141.218.60.56/~jnz1568/getInfo.php?workbook=08_06.xlsx&amp;sheet=A0&amp;row=91&amp;col=7&amp;number=&amp;sourceID=3","")</f>
        <v/>
      </c>
      <c r="H91" s="4" t="str">
        <f>HYPERLINK("http://141.218.60.56/~jnz1568/getInfo.php?workbook=08_06.xlsx&amp;sheet=A0&amp;row=91&amp;col=8&amp;number=&amp;sourceID=3","")</f>
        <v/>
      </c>
      <c r="I91" s="4" t="str">
        <f>HYPERLINK("http://141.218.60.56/~jnz1568/getInfo.php?workbook=08_06.xlsx&amp;sheet=A0&amp;row=91&amp;col=9&amp;number=1.0123&amp;sourceID=3","1.0123")</f>
        <v>1.0123</v>
      </c>
      <c r="J91" s="4" t="str">
        <f>HYPERLINK("http://141.218.60.56/~jnz1568/getInfo.php?workbook=08_06.xlsx&amp;sheet=A0&amp;row=91&amp;col=10&amp;number=181760&amp;sourceID=3","181760")</f>
        <v>181760</v>
      </c>
      <c r="K91" s="4" t="str">
        <f>HYPERLINK("http://141.218.60.56/~jnz1568/getInfo.php?workbook=08_06.xlsx&amp;sheet=A0&amp;row=91&amp;col=11&amp;number=&amp;sourceID=3","")</f>
        <v/>
      </c>
      <c r="L91" s="4" t="str">
        <f>HYPERLINK("http://141.218.60.56/~jnz1568/getInfo.php?workbook=08_06.xlsx&amp;sheet=A0&amp;row=91&amp;col=12&amp;number=&amp;sourceID=3","")</f>
        <v/>
      </c>
      <c r="M91" s="4" t="str">
        <f>HYPERLINK("http://141.218.60.56/~jnz1568/getInfo.php?workbook=08_06.xlsx&amp;sheet=A0&amp;row=91&amp;col=13&amp;number=1.0295&amp;sourceID=3","1.0295")</f>
        <v>1.0295</v>
      </c>
      <c r="N91" s="4" t="str">
        <f>HYPERLINK("http://141.218.60.56/~jnz1568/getInfo.php?workbook=08_06.xlsx&amp;sheet=A0&amp;row=91&amp;col=14&amp;number=38940&amp;sourceID=7","38940")</f>
        <v>38940</v>
      </c>
      <c r="O91" s="4" t="str">
        <f>HYPERLINK("http://141.218.60.56/~jnz1568/getInfo.php?workbook=08_06.xlsx&amp;sheet=A0&amp;row=91&amp;col=15&amp;number=&amp;sourceID=5","")</f>
        <v/>
      </c>
      <c r="P91" s="4" t="str">
        <f>HYPERLINK("http://141.218.60.56/~jnz1568/getInfo.php?workbook=08_06.xlsx&amp;sheet=A0&amp;row=91&amp;col=16&amp;number=&amp;sourceID=5","")</f>
        <v/>
      </c>
      <c r="Q91" s="4" t="str">
        <f>HYPERLINK("http://141.218.60.56/~jnz1568/getInfo.php?workbook=08_06.xlsx&amp;sheet=A0&amp;row=91&amp;col=17&amp;number=&amp;sourceID=6","")</f>
        <v/>
      </c>
    </row>
    <row r="92" spans="1:17">
      <c r="A92" s="3">
        <v>8</v>
      </c>
      <c r="B92" s="3">
        <v>6</v>
      </c>
      <c r="C92" s="3">
        <v>15</v>
      </c>
      <c r="D92" s="3">
        <v>4</v>
      </c>
      <c r="E92" s="3">
        <f>((1/(INDEX(E0!J$4:J$49,C92,1)-INDEX(E0!J$4:J$49,D92,1))))*100000000</f>
        <v>0</v>
      </c>
      <c r="F92" s="4" t="str">
        <f>HYPERLINK("http://141.218.60.56/~jnz1568/getInfo.php?workbook=08_06.xlsx&amp;sheet=A0&amp;row=92&amp;col=6&amp;number=9380000000&amp;sourceID=3","9380000000")</f>
        <v>9380000000</v>
      </c>
      <c r="G92" s="4" t="str">
        <f>HYPERLINK("http://141.218.60.56/~jnz1568/getInfo.php?workbook=08_06.xlsx&amp;sheet=A0&amp;row=92&amp;col=7&amp;number=&amp;sourceID=3","")</f>
        <v/>
      </c>
      <c r="H92" s="4" t="str">
        <f>HYPERLINK("http://141.218.60.56/~jnz1568/getInfo.php?workbook=08_06.xlsx&amp;sheet=A0&amp;row=92&amp;col=8&amp;number=&amp;sourceID=3","")</f>
        <v/>
      </c>
      <c r="I92" s="4" t="str">
        <f>HYPERLINK("http://141.218.60.56/~jnz1568/getInfo.php?workbook=08_06.xlsx&amp;sheet=A0&amp;row=92&amp;col=9&amp;number=0.00025536&amp;sourceID=3","0.00025536")</f>
        <v>0.00025536</v>
      </c>
      <c r="J92" s="4" t="str">
        <f>HYPERLINK("http://141.218.60.56/~jnz1568/getInfo.php?workbook=08_06.xlsx&amp;sheet=A0&amp;row=92&amp;col=10&amp;number=9474300000&amp;sourceID=3","9474300000")</f>
        <v>9474300000</v>
      </c>
      <c r="K92" s="4" t="str">
        <f>HYPERLINK("http://141.218.60.56/~jnz1568/getInfo.php?workbook=08_06.xlsx&amp;sheet=A0&amp;row=92&amp;col=11&amp;number=&amp;sourceID=3","")</f>
        <v/>
      </c>
      <c r="L92" s="4" t="str">
        <f>HYPERLINK("http://141.218.60.56/~jnz1568/getInfo.php?workbook=08_06.xlsx&amp;sheet=A0&amp;row=92&amp;col=12&amp;number=&amp;sourceID=3","")</f>
        <v/>
      </c>
      <c r="M92" s="4" t="str">
        <f>HYPERLINK("http://141.218.60.56/~jnz1568/getInfo.php?workbook=08_06.xlsx&amp;sheet=A0&amp;row=92&amp;col=13&amp;number=0.00025603&amp;sourceID=3","0.00025603")</f>
        <v>0.00025603</v>
      </c>
      <c r="N92" s="4" t="str">
        <f>HYPERLINK("http://141.218.60.56/~jnz1568/getInfo.php?workbook=08_06.xlsx&amp;sheet=A0&amp;row=92&amp;col=14&amp;number=10710000000&amp;sourceID=7","10710000000")</f>
        <v>10710000000</v>
      </c>
      <c r="O92" s="4" t="str">
        <f>HYPERLINK("http://141.218.60.56/~jnz1568/getInfo.php?workbook=08_06.xlsx&amp;sheet=A0&amp;row=92&amp;col=15&amp;number=&amp;sourceID=5","")</f>
        <v/>
      </c>
      <c r="P92" s="4" t="str">
        <f>HYPERLINK("http://141.218.60.56/~jnz1568/getInfo.php?workbook=08_06.xlsx&amp;sheet=A0&amp;row=92&amp;col=16&amp;number=&amp;sourceID=5","")</f>
        <v/>
      </c>
      <c r="Q92" s="4" t="str">
        <f>HYPERLINK("http://141.218.60.56/~jnz1568/getInfo.php?workbook=08_06.xlsx&amp;sheet=A0&amp;row=92&amp;col=17&amp;number=&amp;sourceID=6","")</f>
        <v/>
      </c>
    </row>
    <row r="93" spans="1:17">
      <c r="A93" s="3">
        <v>8</v>
      </c>
      <c r="B93" s="3">
        <v>6</v>
      </c>
      <c r="C93" s="3">
        <v>15</v>
      </c>
      <c r="D93" s="3">
        <v>5</v>
      </c>
      <c r="E93" s="3">
        <f>((1/(INDEX(E0!J$4:J$49,C93,1)-INDEX(E0!J$4:J$49,D93,1))))*100000000</f>
        <v>0</v>
      </c>
      <c r="F93" s="4" t="str">
        <f>HYPERLINK("http://141.218.60.56/~jnz1568/getInfo.php?workbook=08_06.xlsx&amp;sheet=A0&amp;row=93&amp;col=6&amp;number=1507800000&amp;sourceID=3","1507800000")</f>
        <v>1507800000</v>
      </c>
      <c r="G93" s="4" t="str">
        <f>HYPERLINK("http://141.218.60.56/~jnz1568/getInfo.php?workbook=08_06.xlsx&amp;sheet=A0&amp;row=93&amp;col=7&amp;number=&amp;sourceID=3","")</f>
        <v/>
      </c>
      <c r="H93" s="4" t="str">
        <f>HYPERLINK("http://141.218.60.56/~jnz1568/getInfo.php?workbook=08_06.xlsx&amp;sheet=A0&amp;row=93&amp;col=8&amp;number=&amp;sourceID=3","")</f>
        <v/>
      </c>
      <c r="I93" s="4" t="str">
        <f>HYPERLINK("http://141.218.60.56/~jnz1568/getInfo.php?workbook=08_06.xlsx&amp;sheet=A0&amp;row=93&amp;col=9&amp;number=&amp;sourceID=3","")</f>
        <v/>
      </c>
      <c r="J93" s="4" t="str">
        <f>HYPERLINK("http://141.218.60.56/~jnz1568/getInfo.php?workbook=08_06.xlsx&amp;sheet=A0&amp;row=93&amp;col=10&amp;number=1525000000&amp;sourceID=3","1525000000")</f>
        <v>1525000000</v>
      </c>
      <c r="K93" s="4" t="str">
        <f>HYPERLINK("http://141.218.60.56/~jnz1568/getInfo.php?workbook=08_06.xlsx&amp;sheet=A0&amp;row=93&amp;col=11&amp;number=&amp;sourceID=3","")</f>
        <v/>
      </c>
      <c r="L93" s="4" t="str">
        <f>HYPERLINK("http://141.218.60.56/~jnz1568/getInfo.php?workbook=08_06.xlsx&amp;sheet=A0&amp;row=93&amp;col=12&amp;number=&amp;sourceID=3","")</f>
        <v/>
      </c>
      <c r="M93" s="4" t="str">
        <f>HYPERLINK("http://141.218.60.56/~jnz1568/getInfo.php?workbook=08_06.xlsx&amp;sheet=A0&amp;row=93&amp;col=13&amp;number=&amp;sourceID=3","")</f>
        <v/>
      </c>
      <c r="N93" s="4" t="str">
        <f>HYPERLINK("http://141.218.60.56/~jnz1568/getInfo.php?workbook=08_06.xlsx&amp;sheet=A0&amp;row=93&amp;col=14&amp;number=1500000000&amp;sourceID=7","1500000000")</f>
        <v>1500000000</v>
      </c>
      <c r="O93" s="4" t="str">
        <f>HYPERLINK("http://141.218.60.56/~jnz1568/getInfo.php?workbook=08_06.xlsx&amp;sheet=A0&amp;row=93&amp;col=15&amp;number=&amp;sourceID=5","")</f>
        <v/>
      </c>
      <c r="P93" s="4" t="str">
        <f>HYPERLINK("http://141.218.60.56/~jnz1568/getInfo.php?workbook=08_06.xlsx&amp;sheet=A0&amp;row=93&amp;col=16&amp;number=&amp;sourceID=5","")</f>
        <v/>
      </c>
      <c r="Q93" s="4" t="str">
        <f>HYPERLINK("http://141.218.60.56/~jnz1568/getInfo.php?workbook=08_06.xlsx&amp;sheet=A0&amp;row=93&amp;col=17&amp;number=&amp;sourceID=6","")</f>
        <v/>
      </c>
    </row>
    <row r="94" spans="1:17">
      <c r="A94" s="3">
        <v>8</v>
      </c>
      <c r="B94" s="3">
        <v>6</v>
      </c>
      <c r="C94" s="3">
        <v>15</v>
      </c>
      <c r="D94" s="3">
        <v>6</v>
      </c>
      <c r="E94" s="3">
        <f>((1/(INDEX(E0!J$4:J$49,C94,1)-INDEX(E0!J$4:J$49,D94,1))))*100000000</f>
        <v>0</v>
      </c>
      <c r="F94" s="4" t="str">
        <f>HYPERLINK("http://141.218.60.56/~jnz1568/getInfo.php?workbook=08_06.xlsx&amp;sheet=A0&amp;row=94&amp;col=6&amp;number=&amp;sourceID=3","")</f>
        <v/>
      </c>
      <c r="G94" s="4" t="str">
        <f>HYPERLINK("http://141.218.60.56/~jnz1568/getInfo.php?workbook=08_06.xlsx&amp;sheet=A0&amp;row=94&amp;col=7&amp;number=1.0276e-07&amp;sourceID=3","1.0276e-07")</f>
        <v>1.0276e-07</v>
      </c>
      <c r="H94" s="4" t="str">
        <f>HYPERLINK("http://141.218.60.56/~jnz1568/getInfo.php?workbook=08_06.xlsx&amp;sheet=A0&amp;row=94&amp;col=8&amp;number=3.4035e-09&amp;sourceID=3","3.4035e-09")</f>
        <v>3.4035e-09</v>
      </c>
      <c r="I94" s="4" t="str">
        <f>HYPERLINK("http://141.218.60.56/~jnz1568/getInfo.php?workbook=08_06.xlsx&amp;sheet=A0&amp;row=94&amp;col=9&amp;number=&amp;sourceID=3","")</f>
        <v/>
      </c>
      <c r="J94" s="4" t="str">
        <f>HYPERLINK("http://141.218.60.56/~jnz1568/getInfo.php?workbook=08_06.xlsx&amp;sheet=A0&amp;row=94&amp;col=10&amp;number=&amp;sourceID=3","")</f>
        <v/>
      </c>
      <c r="K94" s="4" t="str">
        <f>HYPERLINK("http://141.218.60.56/~jnz1568/getInfo.php?workbook=08_06.xlsx&amp;sheet=A0&amp;row=94&amp;col=11&amp;number=&amp;sourceID=3","")</f>
        <v/>
      </c>
      <c r="L94" s="4" t="str">
        <f>HYPERLINK("http://141.218.60.56/~jnz1568/getInfo.php?workbook=08_06.xlsx&amp;sheet=A0&amp;row=94&amp;col=12&amp;number=&amp;sourceID=3","")</f>
        <v/>
      </c>
      <c r="M94" s="4" t="str">
        <f>HYPERLINK("http://141.218.60.56/~jnz1568/getInfo.php?workbook=08_06.xlsx&amp;sheet=A0&amp;row=94&amp;col=13&amp;number=&amp;sourceID=3","")</f>
        <v/>
      </c>
      <c r="N94" s="4" t="str">
        <f>HYPERLINK("http://141.218.60.56/~jnz1568/getInfo.php?workbook=08_06.xlsx&amp;sheet=A0&amp;row=94&amp;col=14&amp;number=&amp;sourceID=7","")</f>
        <v/>
      </c>
      <c r="O94" s="4" t="str">
        <f>HYPERLINK("http://141.218.60.56/~jnz1568/getInfo.php?workbook=08_06.xlsx&amp;sheet=A0&amp;row=94&amp;col=15&amp;number=&amp;sourceID=5","")</f>
        <v/>
      </c>
      <c r="P94" s="4" t="str">
        <f>HYPERLINK("http://141.218.60.56/~jnz1568/getInfo.php?workbook=08_06.xlsx&amp;sheet=A0&amp;row=94&amp;col=16&amp;number=&amp;sourceID=5","")</f>
        <v/>
      </c>
      <c r="Q94" s="4" t="str">
        <f>HYPERLINK("http://141.218.60.56/~jnz1568/getInfo.php?workbook=08_06.xlsx&amp;sheet=A0&amp;row=94&amp;col=17&amp;number=&amp;sourceID=6","")</f>
        <v/>
      </c>
    </row>
    <row r="95" spans="1:17">
      <c r="A95" s="3">
        <v>8</v>
      </c>
      <c r="B95" s="3">
        <v>6</v>
      </c>
      <c r="C95" s="3">
        <v>15</v>
      </c>
      <c r="D95" s="3">
        <v>7</v>
      </c>
      <c r="E95" s="3">
        <f>((1/(INDEX(E0!J$4:J$49,C95,1)-INDEX(E0!J$4:J$49,D95,1))))*100000000</f>
        <v>0</v>
      </c>
      <c r="F95" s="4" t="str">
        <f>HYPERLINK("http://141.218.60.56/~jnz1568/getInfo.php?workbook=08_06.xlsx&amp;sheet=A0&amp;row=95&amp;col=6&amp;number=&amp;sourceID=3","")</f>
        <v/>
      </c>
      <c r="G95" s="4" t="str">
        <f>HYPERLINK("http://141.218.60.56/~jnz1568/getInfo.php?workbook=08_06.xlsx&amp;sheet=A0&amp;row=95&amp;col=7&amp;number=0.00033977&amp;sourceID=3","0.00033977")</f>
        <v>0.00033977</v>
      </c>
      <c r="H95" s="4" t="str">
        <f>HYPERLINK("http://141.218.60.56/~jnz1568/getInfo.php?workbook=08_06.xlsx&amp;sheet=A0&amp;row=95&amp;col=8&amp;number=&amp;sourceID=3","")</f>
        <v/>
      </c>
      <c r="I95" s="4" t="str">
        <f>HYPERLINK("http://141.218.60.56/~jnz1568/getInfo.php?workbook=08_06.xlsx&amp;sheet=A0&amp;row=95&amp;col=9&amp;number=&amp;sourceID=3","")</f>
        <v/>
      </c>
      <c r="J95" s="4" t="str">
        <f>HYPERLINK("http://141.218.60.56/~jnz1568/getInfo.php?workbook=08_06.xlsx&amp;sheet=A0&amp;row=95&amp;col=10&amp;number=&amp;sourceID=3","")</f>
        <v/>
      </c>
      <c r="K95" s="4" t="str">
        <f>HYPERLINK("http://141.218.60.56/~jnz1568/getInfo.php?workbook=08_06.xlsx&amp;sheet=A0&amp;row=95&amp;col=11&amp;number=&amp;sourceID=3","")</f>
        <v/>
      </c>
      <c r="L95" s="4" t="str">
        <f>HYPERLINK("http://141.218.60.56/~jnz1568/getInfo.php?workbook=08_06.xlsx&amp;sheet=A0&amp;row=95&amp;col=12&amp;number=&amp;sourceID=3","")</f>
        <v/>
      </c>
      <c r="M95" s="4" t="str">
        <f>HYPERLINK("http://141.218.60.56/~jnz1568/getInfo.php?workbook=08_06.xlsx&amp;sheet=A0&amp;row=95&amp;col=13&amp;number=&amp;sourceID=3","")</f>
        <v/>
      </c>
      <c r="N95" s="4" t="str">
        <f>HYPERLINK("http://141.218.60.56/~jnz1568/getInfo.php?workbook=08_06.xlsx&amp;sheet=A0&amp;row=95&amp;col=14&amp;number=&amp;sourceID=7","")</f>
        <v/>
      </c>
      <c r="O95" s="4" t="str">
        <f>HYPERLINK("http://141.218.60.56/~jnz1568/getInfo.php?workbook=08_06.xlsx&amp;sheet=A0&amp;row=95&amp;col=15&amp;number=&amp;sourceID=5","")</f>
        <v/>
      </c>
      <c r="P95" s="4" t="str">
        <f>HYPERLINK("http://141.218.60.56/~jnz1568/getInfo.php?workbook=08_06.xlsx&amp;sheet=A0&amp;row=95&amp;col=16&amp;number=&amp;sourceID=5","")</f>
        <v/>
      </c>
      <c r="Q95" s="4" t="str">
        <f>HYPERLINK("http://141.218.60.56/~jnz1568/getInfo.php?workbook=08_06.xlsx&amp;sheet=A0&amp;row=95&amp;col=17&amp;number=&amp;sourceID=6","")</f>
        <v/>
      </c>
    </row>
    <row r="96" spans="1:17">
      <c r="A96" s="3">
        <v>8</v>
      </c>
      <c r="B96" s="3">
        <v>6</v>
      </c>
      <c r="C96" s="3">
        <v>15</v>
      </c>
      <c r="D96" s="3">
        <v>8</v>
      </c>
      <c r="E96" s="3">
        <f>((1/(INDEX(E0!J$4:J$49,C96,1)-INDEX(E0!J$4:J$49,D96,1))))*100000000</f>
        <v>0</v>
      </c>
      <c r="F96" s="4" t="str">
        <f>HYPERLINK("http://141.218.60.56/~jnz1568/getInfo.php?workbook=08_06.xlsx&amp;sheet=A0&amp;row=96&amp;col=6&amp;number=&amp;sourceID=3","")</f>
        <v/>
      </c>
      <c r="G96" s="4" t="str">
        <f>HYPERLINK("http://141.218.60.56/~jnz1568/getInfo.php?workbook=08_06.xlsx&amp;sheet=A0&amp;row=96&amp;col=7&amp;number=0.00022287&amp;sourceID=3","0.00022287")</f>
        <v>0.00022287</v>
      </c>
      <c r="H96" s="4" t="str">
        <f>HYPERLINK("http://141.218.60.56/~jnz1568/getInfo.php?workbook=08_06.xlsx&amp;sheet=A0&amp;row=96&amp;col=8&amp;number=0.1424&amp;sourceID=3","0.1424")</f>
        <v>0.1424</v>
      </c>
      <c r="I96" s="4" t="str">
        <f>HYPERLINK("http://141.218.60.56/~jnz1568/getInfo.php?workbook=08_06.xlsx&amp;sheet=A0&amp;row=96&amp;col=9&amp;number=&amp;sourceID=3","")</f>
        <v/>
      </c>
      <c r="J96" s="4" t="str">
        <f>HYPERLINK("http://141.218.60.56/~jnz1568/getInfo.php?workbook=08_06.xlsx&amp;sheet=A0&amp;row=96&amp;col=10&amp;number=&amp;sourceID=3","")</f>
        <v/>
      </c>
      <c r="K96" s="4" t="str">
        <f>HYPERLINK("http://141.218.60.56/~jnz1568/getInfo.php?workbook=08_06.xlsx&amp;sheet=A0&amp;row=96&amp;col=11&amp;number=&amp;sourceID=3","")</f>
        <v/>
      </c>
      <c r="L96" s="4" t="str">
        <f>HYPERLINK("http://141.218.60.56/~jnz1568/getInfo.php?workbook=08_06.xlsx&amp;sheet=A0&amp;row=96&amp;col=12&amp;number=&amp;sourceID=3","")</f>
        <v/>
      </c>
      <c r="M96" s="4" t="str">
        <f>HYPERLINK("http://141.218.60.56/~jnz1568/getInfo.php?workbook=08_06.xlsx&amp;sheet=A0&amp;row=96&amp;col=13&amp;number=&amp;sourceID=3","")</f>
        <v/>
      </c>
      <c r="N96" s="4" t="str">
        <f>HYPERLINK("http://141.218.60.56/~jnz1568/getInfo.php?workbook=08_06.xlsx&amp;sheet=A0&amp;row=96&amp;col=14&amp;number=&amp;sourceID=7","")</f>
        <v/>
      </c>
      <c r="O96" s="4" t="str">
        <f>HYPERLINK("http://141.218.60.56/~jnz1568/getInfo.php?workbook=08_06.xlsx&amp;sheet=A0&amp;row=96&amp;col=15&amp;number=&amp;sourceID=5","")</f>
        <v/>
      </c>
      <c r="P96" s="4" t="str">
        <f>HYPERLINK("http://141.218.60.56/~jnz1568/getInfo.php?workbook=08_06.xlsx&amp;sheet=A0&amp;row=96&amp;col=16&amp;number=&amp;sourceID=5","")</f>
        <v/>
      </c>
      <c r="Q96" s="4" t="str">
        <f>HYPERLINK("http://141.218.60.56/~jnz1568/getInfo.php?workbook=08_06.xlsx&amp;sheet=A0&amp;row=96&amp;col=17&amp;number=&amp;sourceID=6","")</f>
        <v/>
      </c>
    </row>
    <row r="97" spans="1:17">
      <c r="A97" s="3">
        <v>8</v>
      </c>
      <c r="B97" s="3">
        <v>6</v>
      </c>
      <c r="C97" s="3">
        <v>15</v>
      </c>
      <c r="D97" s="3">
        <v>9</v>
      </c>
      <c r="E97" s="3">
        <f>((1/(INDEX(E0!J$4:J$49,C97,1)-INDEX(E0!J$4:J$49,D97,1))))*100000000</f>
        <v>0</v>
      </c>
      <c r="F97" s="4" t="str">
        <f>HYPERLINK("http://141.218.60.56/~jnz1568/getInfo.php?workbook=08_06.xlsx&amp;sheet=A0&amp;row=97&amp;col=6&amp;number=&amp;sourceID=3","")</f>
        <v/>
      </c>
      <c r="G97" s="4" t="str">
        <f>HYPERLINK("http://141.218.60.56/~jnz1568/getInfo.php?workbook=08_06.xlsx&amp;sheet=A0&amp;row=97&amp;col=7&amp;number=0.00013669&amp;sourceID=3","0.00013669")</f>
        <v>0.00013669</v>
      </c>
      <c r="H97" s="4" t="str">
        <f>HYPERLINK("http://141.218.60.56/~jnz1568/getInfo.php?workbook=08_06.xlsx&amp;sheet=A0&amp;row=97&amp;col=8&amp;number=0.04743&amp;sourceID=3","0.04743")</f>
        <v>0.04743</v>
      </c>
      <c r="I97" s="4" t="str">
        <f>HYPERLINK("http://141.218.60.56/~jnz1568/getInfo.php?workbook=08_06.xlsx&amp;sheet=A0&amp;row=97&amp;col=9&amp;number=&amp;sourceID=3","")</f>
        <v/>
      </c>
      <c r="J97" s="4" t="str">
        <f>HYPERLINK("http://141.218.60.56/~jnz1568/getInfo.php?workbook=08_06.xlsx&amp;sheet=A0&amp;row=97&amp;col=10&amp;number=&amp;sourceID=3","")</f>
        <v/>
      </c>
      <c r="K97" s="4" t="str">
        <f>HYPERLINK("http://141.218.60.56/~jnz1568/getInfo.php?workbook=08_06.xlsx&amp;sheet=A0&amp;row=97&amp;col=11&amp;number=&amp;sourceID=3","")</f>
        <v/>
      </c>
      <c r="L97" s="4" t="str">
        <f>HYPERLINK("http://141.218.60.56/~jnz1568/getInfo.php?workbook=08_06.xlsx&amp;sheet=A0&amp;row=97&amp;col=12&amp;number=&amp;sourceID=3","")</f>
        <v/>
      </c>
      <c r="M97" s="4" t="str">
        <f>HYPERLINK("http://141.218.60.56/~jnz1568/getInfo.php?workbook=08_06.xlsx&amp;sheet=A0&amp;row=97&amp;col=13&amp;number=&amp;sourceID=3","")</f>
        <v/>
      </c>
      <c r="N97" s="4" t="str">
        <f>HYPERLINK("http://141.218.60.56/~jnz1568/getInfo.php?workbook=08_06.xlsx&amp;sheet=A0&amp;row=97&amp;col=14&amp;number=&amp;sourceID=7","")</f>
        <v/>
      </c>
      <c r="O97" s="4" t="str">
        <f>HYPERLINK("http://141.218.60.56/~jnz1568/getInfo.php?workbook=08_06.xlsx&amp;sheet=A0&amp;row=97&amp;col=15&amp;number=&amp;sourceID=5","")</f>
        <v/>
      </c>
      <c r="P97" s="4" t="str">
        <f>HYPERLINK("http://141.218.60.56/~jnz1568/getInfo.php?workbook=08_06.xlsx&amp;sheet=A0&amp;row=97&amp;col=16&amp;number=&amp;sourceID=5","")</f>
        <v/>
      </c>
      <c r="Q97" s="4" t="str">
        <f>HYPERLINK("http://141.218.60.56/~jnz1568/getInfo.php?workbook=08_06.xlsx&amp;sheet=A0&amp;row=97&amp;col=17&amp;number=&amp;sourceID=6","")</f>
        <v/>
      </c>
    </row>
    <row r="98" spans="1:17">
      <c r="A98" s="3">
        <v>8</v>
      </c>
      <c r="B98" s="3">
        <v>6</v>
      </c>
      <c r="C98" s="3">
        <v>15</v>
      </c>
      <c r="D98" s="3">
        <v>10</v>
      </c>
      <c r="E98" s="3">
        <f>((1/(INDEX(E0!J$4:J$49,C98,1)-INDEX(E0!J$4:J$49,D98,1))))*100000000</f>
        <v>0</v>
      </c>
      <c r="F98" s="4" t="str">
        <f>HYPERLINK("http://141.218.60.56/~jnz1568/getInfo.php?workbook=08_06.xlsx&amp;sheet=A0&amp;row=98&amp;col=6&amp;number=&amp;sourceID=3","")</f>
        <v/>
      </c>
      <c r="G98" s="4" t="str">
        <f>HYPERLINK("http://141.218.60.56/~jnz1568/getInfo.php?workbook=08_06.xlsx&amp;sheet=A0&amp;row=98&amp;col=7&amp;number=0.0018197&amp;sourceID=3","0.0018197")</f>
        <v>0.0018197</v>
      </c>
      <c r="H98" s="4" t="str">
        <f>HYPERLINK("http://141.218.60.56/~jnz1568/getInfo.php?workbook=08_06.xlsx&amp;sheet=A0&amp;row=98&amp;col=8&amp;number=5.9395e-05&amp;sourceID=3","5.9395e-05")</f>
        <v>5.9395e-05</v>
      </c>
      <c r="I98" s="4" t="str">
        <f>HYPERLINK("http://141.218.60.56/~jnz1568/getInfo.php?workbook=08_06.xlsx&amp;sheet=A0&amp;row=98&amp;col=9&amp;number=&amp;sourceID=3","")</f>
        <v/>
      </c>
      <c r="J98" s="4" t="str">
        <f>HYPERLINK("http://141.218.60.56/~jnz1568/getInfo.php?workbook=08_06.xlsx&amp;sheet=A0&amp;row=98&amp;col=10&amp;number=&amp;sourceID=3","")</f>
        <v/>
      </c>
      <c r="K98" s="4" t="str">
        <f>HYPERLINK("http://141.218.60.56/~jnz1568/getInfo.php?workbook=08_06.xlsx&amp;sheet=A0&amp;row=98&amp;col=11&amp;number=&amp;sourceID=3","")</f>
        <v/>
      </c>
      <c r="L98" s="4" t="str">
        <f>HYPERLINK("http://141.218.60.56/~jnz1568/getInfo.php?workbook=08_06.xlsx&amp;sheet=A0&amp;row=98&amp;col=12&amp;number=&amp;sourceID=3","")</f>
        <v/>
      </c>
      <c r="M98" s="4" t="str">
        <f>HYPERLINK("http://141.218.60.56/~jnz1568/getInfo.php?workbook=08_06.xlsx&amp;sheet=A0&amp;row=98&amp;col=13&amp;number=&amp;sourceID=3","")</f>
        <v/>
      </c>
      <c r="N98" s="4" t="str">
        <f>HYPERLINK("http://141.218.60.56/~jnz1568/getInfo.php?workbook=08_06.xlsx&amp;sheet=A0&amp;row=98&amp;col=14&amp;number=&amp;sourceID=7","")</f>
        <v/>
      </c>
      <c r="O98" s="4" t="str">
        <f>HYPERLINK("http://141.218.60.56/~jnz1568/getInfo.php?workbook=08_06.xlsx&amp;sheet=A0&amp;row=98&amp;col=15&amp;number=&amp;sourceID=5","")</f>
        <v/>
      </c>
      <c r="P98" s="4" t="str">
        <f>HYPERLINK("http://141.218.60.56/~jnz1568/getInfo.php?workbook=08_06.xlsx&amp;sheet=A0&amp;row=98&amp;col=16&amp;number=&amp;sourceID=5","")</f>
        <v/>
      </c>
      <c r="Q98" s="4" t="str">
        <f>HYPERLINK("http://141.218.60.56/~jnz1568/getInfo.php?workbook=08_06.xlsx&amp;sheet=A0&amp;row=98&amp;col=17&amp;number=&amp;sourceID=6","")</f>
        <v/>
      </c>
    </row>
    <row r="99" spans="1:17">
      <c r="A99" s="3">
        <v>8</v>
      </c>
      <c r="B99" s="3">
        <v>6</v>
      </c>
      <c r="C99" s="3">
        <v>15</v>
      </c>
      <c r="D99" s="3">
        <v>11</v>
      </c>
      <c r="E99" s="3">
        <f>((1/(INDEX(E0!J$4:J$49,C99,1)-INDEX(E0!J$4:J$49,D99,1))))*100000000</f>
        <v>0</v>
      </c>
      <c r="F99" s="4" t="str">
        <f>HYPERLINK("http://141.218.60.56/~jnz1568/getInfo.php?workbook=08_06.xlsx&amp;sheet=A0&amp;row=99&amp;col=6&amp;number=&amp;sourceID=3","")</f>
        <v/>
      </c>
      <c r="G99" s="4" t="str">
        <f>HYPERLINK("http://141.218.60.56/~jnz1568/getInfo.php?workbook=08_06.xlsx&amp;sheet=A0&amp;row=99&amp;col=7&amp;number=0.0006171&amp;sourceID=3","0.0006171")</f>
        <v>0.0006171</v>
      </c>
      <c r="H99" s="4" t="str">
        <f>HYPERLINK("http://141.218.60.56/~jnz1568/getInfo.php?workbook=08_06.xlsx&amp;sheet=A0&amp;row=99&amp;col=8&amp;number=1.8561e-07&amp;sourceID=3","1.8561e-07")</f>
        <v>1.8561e-07</v>
      </c>
      <c r="I99" s="4" t="str">
        <f>HYPERLINK("http://141.218.60.56/~jnz1568/getInfo.php?workbook=08_06.xlsx&amp;sheet=A0&amp;row=99&amp;col=9&amp;number=&amp;sourceID=3","")</f>
        <v/>
      </c>
      <c r="J99" s="4" t="str">
        <f>HYPERLINK("http://141.218.60.56/~jnz1568/getInfo.php?workbook=08_06.xlsx&amp;sheet=A0&amp;row=99&amp;col=10&amp;number=&amp;sourceID=3","")</f>
        <v/>
      </c>
      <c r="K99" s="4" t="str">
        <f>HYPERLINK("http://141.218.60.56/~jnz1568/getInfo.php?workbook=08_06.xlsx&amp;sheet=A0&amp;row=99&amp;col=11&amp;number=&amp;sourceID=3","")</f>
        <v/>
      </c>
      <c r="L99" s="4" t="str">
        <f>HYPERLINK("http://141.218.60.56/~jnz1568/getInfo.php?workbook=08_06.xlsx&amp;sheet=A0&amp;row=99&amp;col=12&amp;number=&amp;sourceID=3","")</f>
        <v/>
      </c>
      <c r="M99" s="4" t="str">
        <f>HYPERLINK("http://141.218.60.56/~jnz1568/getInfo.php?workbook=08_06.xlsx&amp;sheet=A0&amp;row=99&amp;col=13&amp;number=&amp;sourceID=3","")</f>
        <v/>
      </c>
      <c r="N99" s="4" t="str">
        <f>HYPERLINK("http://141.218.60.56/~jnz1568/getInfo.php?workbook=08_06.xlsx&amp;sheet=A0&amp;row=99&amp;col=14&amp;number=&amp;sourceID=7","")</f>
        <v/>
      </c>
      <c r="O99" s="4" t="str">
        <f>HYPERLINK("http://141.218.60.56/~jnz1568/getInfo.php?workbook=08_06.xlsx&amp;sheet=A0&amp;row=99&amp;col=15&amp;number=&amp;sourceID=5","")</f>
        <v/>
      </c>
      <c r="P99" s="4" t="str">
        <f>HYPERLINK("http://141.218.60.56/~jnz1568/getInfo.php?workbook=08_06.xlsx&amp;sheet=A0&amp;row=99&amp;col=16&amp;number=&amp;sourceID=5","")</f>
        <v/>
      </c>
      <c r="Q99" s="4" t="str">
        <f>HYPERLINK("http://141.218.60.56/~jnz1568/getInfo.php?workbook=08_06.xlsx&amp;sheet=A0&amp;row=99&amp;col=17&amp;number=&amp;sourceID=6","")</f>
        <v/>
      </c>
    </row>
    <row r="100" spans="1:17">
      <c r="A100" s="3">
        <v>8</v>
      </c>
      <c r="B100" s="3">
        <v>6</v>
      </c>
      <c r="C100" s="3">
        <v>15</v>
      </c>
      <c r="D100" s="3">
        <v>12</v>
      </c>
      <c r="E100" s="3">
        <f>((1/(INDEX(E0!J$4:J$49,C100,1)-INDEX(E0!J$4:J$49,D100,1))))*100000000</f>
        <v>0</v>
      </c>
      <c r="F100" s="4" t="str">
        <f>HYPERLINK("http://141.218.60.56/~jnz1568/getInfo.php?workbook=08_06.xlsx&amp;sheet=A0&amp;row=100&amp;col=6&amp;number=&amp;sourceID=3","")</f>
        <v/>
      </c>
      <c r="G100" s="4" t="str">
        <f>HYPERLINK("http://141.218.60.56/~jnz1568/getInfo.php?workbook=08_06.xlsx&amp;sheet=A0&amp;row=100&amp;col=7&amp;number=&amp;sourceID=3","")</f>
        <v/>
      </c>
      <c r="H100" s="4" t="str">
        <f>HYPERLINK("http://141.218.60.56/~jnz1568/getInfo.php?workbook=08_06.xlsx&amp;sheet=A0&amp;row=100&amp;col=8&amp;number=2.522e-05&amp;sourceID=3","2.522e-05")</f>
        <v>2.522e-05</v>
      </c>
      <c r="I100" s="4" t="str">
        <f>HYPERLINK("http://141.218.60.56/~jnz1568/getInfo.php?workbook=08_06.xlsx&amp;sheet=A0&amp;row=100&amp;col=9&amp;number=&amp;sourceID=3","")</f>
        <v/>
      </c>
      <c r="J100" s="4" t="str">
        <f>HYPERLINK("http://141.218.60.56/~jnz1568/getInfo.php?workbook=08_06.xlsx&amp;sheet=A0&amp;row=100&amp;col=10&amp;number=&amp;sourceID=3","")</f>
        <v/>
      </c>
      <c r="K100" s="4" t="str">
        <f>HYPERLINK("http://141.218.60.56/~jnz1568/getInfo.php?workbook=08_06.xlsx&amp;sheet=A0&amp;row=100&amp;col=11&amp;number=&amp;sourceID=3","")</f>
        <v/>
      </c>
      <c r="L100" s="4" t="str">
        <f>HYPERLINK("http://141.218.60.56/~jnz1568/getInfo.php?workbook=08_06.xlsx&amp;sheet=A0&amp;row=100&amp;col=12&amp;number=&amp;sourceID=3","")</f>
        <v/>
      </c>
      <c r="M100" s="4" t="str">
        <f>HYPERLINK("http://141.218.60.56/~jnz1568/getInfo.php?workbook=08_06.xlsx&amp;sheet=A0&amp;row=100&amp;col=13&amp;number=&amp;sourceID=3","")</f>
        <v/>
      </c>
      <c r="N100" s="4" t="str">
        <f>HYPERLINK("http://141.218.60.56/~jnz1568/getInfo.php?workbook=08_06.xlsx&amp;sheet=A0&amp;row=100&amp;col=14&amp;number=&amp;sourceID=7","")</f>
        <v/>
      </c>
      <c r="O100" s="4" t="str">
        <f>HYPERLINK("http://141.218.60.56/~jnz1568/getInfo.php?workbook=08_06.xlsx&amp;sheet=A0&amp;row=100&amp;col=15&amp;number=&amp;sourceID=5","")</f>
        <v/>
      </c>
      <c r="P100" s="4" t="str">
        <f>HYPERLINK("http://141.218.60.56/~jnz1568/getInfo.php?workbook=08_06.xlsx&amp;sheet=A0&amp;row=100&amp;col=16&amp;number=&amp;sourceID=5","")</f>
        <v/>
      </c>
      <c r="Q100" s="4" t="str">
        <f>HYPERLINK("http://141.218.60.56/~jnz1568/getInfo.php?workbook=08_06.xlsx&amp;sheet=A0&amp;row=100&amp;col=17&amp;number=&amp;sourceID=6","")</f>
        <v/>
      </c>
    </row>
    <row r="101" spans="1:17">
      <c r="A101" s="3">
        <v>8</v>
      </c>
      <c r="B101" s="3">
        <v>6</v>
      </c>
      <c r="C101" s="3">
        <v>15</v>
      </c>
      <c r="D101" s="3">
        <v>13</v>
      </c>
      <c r="E101" s="3">
        <f>((1/(INDEX(E0!J$4:J$49,C101,1)-INDEX(E0!J$4:J$49,D101,1))))*100000000</f>
        <v>0</v>
      </c>
      <c r="F101" s="4" t="str">
        <f>HYPERLINK("http://141.218.60.56/~jnz1568/getInfo.php?workbook=08_06.xlsx&amp;sheet=A0&amp;row=101&amp;col=6&amp;number=&amp;sourceID=3","")</f>
        <v/>
      </c>
      <c r="G101" s="4" t="str">
        <f>HYPERLINK("http://141.218.60.56/~jnz1568/getInfo.php?workbook=08_06.xlsx&amp;sheet=A0&amp;row=101&amp;col=7&amp;number=1.2786&amp;sourceID=3","1.2786")</f>
        <v>1.2786</v>
      </c>
      <c r="H101" s="4" t="str">
        <f>HYPERLINK("http://141.218.60.56/~jnz1568/getInfo.php?workbook=08_06.xlsx&amp;sheet=A0&amp;row=101&amp;col=8&amp;number=9.2534e-11&amp;sourceID=3","9.2534e-11")</f>
        <v>9.2534e-11</v>
      </c>
      <c r="I101" s="4" t="str">
        <f>HYPERLINK("http://141.218.60.56/~jnz1568/getInfo.php?workbook=08_06.xlsx&amp;sheet=A0&amp;row=101&amp;col=9&amp;number=&amp;sourceID=3","")</f>
        <v/>
      </c>
      <c r="J101" s="4" t="str">
        <f>HYPERLINK("http://141.218.60.56/~jnz1568/getInfo.php?workbook=08_06.xlsx&amp;sheet=A0&amp;row=101&amp;col=10&amp;number=&amp;sourceID=3","")</f>
        <v/>
      </c>
      <c r="K101" s="4" t="str">
        <f>HYPERLINK("http://141.218.60.56/~jnz1568/getInfo.php?workbook=08_06.xlsx&amp;sheet=A0&amp;row=101&amp;col=11&amp;number=&amp;sourceID=3","")</f>
        <v/>
      </c>
      <c r="L101" s="4" t="str">
        <f>HYPERLINK("http://141.218.60.56/~jnz1568/getInfo.php?workbook=08_06.xlsx&amp;sheet=A0&amp;row=101&amp;col=12&amp;number=&amp;sourceID=3","")</f>
        <v/>
      </c>
      <c r="M101" s="4" t="str">
        <f>HYPERLINK("http://141.218.60.56/~jnz1568/getInfo.php?workbook=08_06.xlsx&amp;sheet=A0&amp;row=101&amp;col=13&amp;number=&amp;sourceID=3","")</f>
        <v/>
      </c>
      <c r="N101" s="4" t="str">
        <f>HYPERLINK("http://141.218.60.56/~jnz1568/getInfo.php?workbook=08_06.xlsx&amp;sheet=A0&amp;row=101&amp;col=14&amp;number=&amp;sourceID=7","")</f>
        <v/>
      </c>
      <c r="O101" s="4" t="str">
        <f>HYPERLINK("http://141.218.60.56/~jnz1568/getInfo.php?workbook=08_06.xlsx&amp;sheet=A0&amp;row=101&amp;col=15&amp;number=&amp;sourceID=5","")</f>
        <v/>
      </c>
      <c r="P101" s="4" t="str">
        <f>HYPERLINK("http://141.218.60.56/~jnz1568/getInfo.php?workbook=08_06.xlsx&amp;sheet=A0&amp;row=101&amp;col=16&amp;number=&amp;sourceID=5","")</f>
        <v/>
      </c>
      <c r="Q101" s="4" t="str">
        <f>HYPERLINK("http://141.218.60.56/~jnz1568/getInfo.php?workbook=08_06.xlsx&amp;sheet=A0&amp;row=101&amp;col=17&amp;number=&amp;sourceID=6","")</f>
        <v/>
      </c>
    </row>
    <row r="102" spans="1:17">
      <c r="A102" s="3">
        <v>8</v>
      </c>
      <c r="B102" s="3">
        <v>6</v>
      </c>
      <c r="C102" s="3">
        <v>15</v>
      </c>
      <c r="D102" s="3">
        <v>14</v>
      </c>
      <c r="E102" s="3">
        <f>((1/(INDEX(E0!J$4:J$49,C102,1)-INDEX(E0!J$4:J$49,D102,1))))*100000000</f>
        <v>0</v>
      </c>
      <c r="F102" s="4" t="str">
        <f>HYPERLINK("http://141.218.60.56/~jnz1568/getInfo.php?workbook=08_06.xlsx&amp;sheet=A0&amp;row=102&amp;col=6&amp;number=&amp;sourceID=3","")</f>
        <v/>
      </c>
      <c r="G102" s="4" t="str">
        <f>HYPERLINK("http://141.218.60.56/~jnz1568/getInfo.php?workbook=08_06.xlsx&amp;sheet=A0&amp;row=102&amp;col=7&amp;number=1.6781e-10&amp;sourceID=3","1.6781e-10")</f>
        <v>1.6781e-10</v>
      </c>
      <c r="H102" s="4" t="str">
        <f>HYPERLINK("http://141.218.60.56/~jnz1568/getInfo.php?workbook=08_06.xlsx&amp;sheet=A0&amp;row=102&amp;col=8&amp;number=0.022596&amp;sourceID=3","0.022596")</f>
        <v>0.022596</v>
      </c>
      <c r="I102" s="4" t="str">
        <f>HYPERLINK("http://141.218.60.56/~jnz1568/getInfo.php?workbook=08_06.xlsx&amp;sheet=A0&amp;row=102&amp;col=9&amp;number=&amp;sourceID=3","")</f>
        <v/>
      </c>
      <c r="J102" s="4" t="str">
        <f>HYPERLINK("http://141.218.60.56/~jnz1568/getInfo.php?workbook=08_06.xlsx&amp;sheet=A0&amp;row=102&amp;col=10&amp;number=&amp;sourceID=3","")</f>
        <v/>
      </c>
      <c r="K102" s="4" t="str">
        <f>HYPERLINK("http://141.218.60.56/~jnz1568/getInfo.php?workbook=08_06.xlsx&amp;sheet=A0&amp;row=102&amp;col=11&amp;number=&amp;sourceID=3","")</f>
        <v/>
      </c>
      <c r="L102" s="4" t="str">
        <f>HYPERLINK("http://141.218.60.56/~jnz1568/getInfo.php?workbook=08_06.xlsx&amp;sheet=A0&amp;row=102&amp;col=12&amp;number=&amp;sourceID=3","")</f>
        <v/>
      </c>
      <c r="M102" s="4" t="str">
        <f>HYPERLINK("http://141.218.60.56/~jnz1568/getInfo.php?workbook=08_06.xlsx&amp;sheet=A0&amp;row=102&amp;col=13&amp;number=&amp;sourceID=3","")</f>
        <v/>
      </c>
      <c r="N102" s="4" t="str">
        <f>HYPERLINK("http://141.218.60.56/~jnz1568/getInfo.php?workbook=08_06.xlsx&amp;sheet=A0&amp;row=102&amp;col=14&amp;number=&amp;sourceID=7","")</f>
        <v/>
      </c>
      <c r="O102" s="4" t="str">
        <f>HYPERLINK("http://141.218.60.56/~jnz1568/getInfo.php?workbook=08_06.xlsx&amp;sheet=A0&amp;row=102&amp;col=15&amp;number=&amp;sourceID=5","")</f>
        <v/>
      </c>
      <c r="P102" s="4" t="str">
        <f>HYPERLINK("http://141.218.60.56/~jnz1568/getInfo.php?workbook=08_06.xlsx&amp;sheet=A0&amp;row=102&amp;col=16&amp;number=&amp;sourceID=5","")</f>
        <v/>
      </c>
      <c r="Q102" s="4" t="str">
        <f>HYPERLINK("http://141.218.60.56/~jnz1568/getInfo.php?workbook=08_06.xlsx&amp;sheet=A0&amp;row=102&amp;col=17&amp;number=&amp;sourceID=6","")</f>
        <v/>
      </c>
    </row>
    <row r="103" spans="1:17">
      <c r="A103" s="3">
        <v>8</v>
      </c>
      <c r="B103" s="3">
        <v>6</v>
      </c>
      <c r="C103" s="3">
        <v>16</v>
      </c>
      <c r="D103" s="3">
        <v>2</v>
      </c>
      <c r="E103" s="3">
        <f>((1/(INDEX(E0!J$4:J$49,C103,1)-INDEX(E0!J$4:J$49,D103,1))))*100000000</f>
        <v>0</v>
      </c>
      <c r="F103" s="4" t="str">
        <f>HYPERLINK("http://141.218.60.56/~jnz1568/getInfo.php?workbook=08_06.xlsx&amp;sheet=A0&amp;row=103&amp;col=6&amp;number=3921900000&amp;sourceID=3","3921900000")</f>
        <v>3921900000</v>
      </c>
      <c r="G103" s="4" t="str">
        <f>HYPERLINK("http://141.218.60.56/~jnz1568/getInfo.php?workbook=08_06.xlsx&amp;sheet=A0&amp;row=103&amp;col=7&amp;number=&amp;sourceID=3","")</f>
        <v/>
      </c>
      <c r="H103" s="4" t="str">
        <f>HYPERLINK("http://141.218.60.56/~jnz1568/getInfo.php?workbook=08_06.xlsx&amp;sheet=A0&amp;row=103&amp;col=8&amp;number=&amp;sourceID=3","")</f>
        <v/>
      </c>
      <c r="I103" s="4" t="str">
        <f>HYPERLINK("http://141.218.60.56/~jnz1568/getInfo.php?workbook=08_06.xlsx&amp;sheet=A0&amp;row=103&amp;col=9&amp;number=&amp;sourceID=3","")</f>
        <v/>
      </c>
      <c r="J103" s="4" t="str">
        <f>HYPERLINK("http://141.218.60.56/~jnz1568/getInfo.php?workbook=08_06.xlsx&amp;sheet=A0&amp;row=103&amp;col=10&amp;number=3939700000&amp;sourceID=3","3939700000")</f>
        <v>3939700000</v>
      </c>
      <c r="K103" s="4" t="str">
        <f>HYPERLINK("http://141.218.60.56/~jnz1568/getInfo.php?workbook=08_06.xlsx&amp;sheet=A0&amp;row=103&amp;col=11&amp;number=&amp;sourceID=3","")</f>
        <v/>
      </c>
      <c r="L103" s="4" t="str">
        <f>HYPERLINK("http://141.218.60.56/~jnz1568/getInfo.php?workbook=08_06.xlsx&amp;sheet=A0&amp;row=103&amp;col=12&amp;number=&amp;sourceID=3","")</f>
        <v/>
      </c>
      <c r="M103" s="4" t="str">
        <f>HYPERLINK("http://141.218.60.56/~jnz1568/getInfo.php?workbook=08_06.xlsx&amp;sheet=A0&amp;row=103&amp;col=13&amp;number=&amp;sourceID=3","")</f>
        <v/>
      </c>
      <c r="N103" s="4" t="str">
        <f>HYPERLINK("http://141.218.60.56/~jnz1568/getInfo.php?workbook=08_06.xlsx&amp;sheet=A0&amp;row=103&amp;col=14&amp;number=4204000000&amp;sourceID=7","4204000000")</f>
        <v>4204000000</v>
      </c>
      <c r="O103" s="4" t="str">
        <f>HYPERLINK("http://141.218.60.56/~jnz1568/getInfo.php?workbook=08_06.xlsx&amp;sheet=A0&amp;row=103&amp;col=15&amp;number=&amp;sourceID=5","")</f>
        <v/>
      </c>
      <c r="P103" s="4" t="str">
        <f>HYPERLINK("http://141.218.60.56/~jnz1568/getInfo.php?workbook=08_06.xlsx&amp;sheet=A0&amp;row=103&amp;col=16&amp;number=&amp;sourceID=5","")</f>
        <v/>
      </c>
      <c r="Q103" s="4" t="str">
        <f>HYPERLINK("http://141.218.60.56/~jnz1568/getInfo.php?workbook=08_06.xlsx&amp;sheet=A0&amp;row=103&amp;col=17&amp;number=&amp;sourceID=6","")</f>
        <v/>
      </c>
    </row>
    <row r="104" spans="1:17">
      <c r="A104" s="3">
        <v>8</v>
      </c>
      <c r="B104" s="3">
        <v>6</v>
      </c>
      <c r="C104" s="3">
        <v>17</v>
      </c>
      <c r="D104" s="3">
        <v>1</v>
      </c>
      <c r="E104" s="3">
        <f>((1/(INDEX(E0!J$4:J$49,C104,1)-INDEX(E0!J$4:J$49,D104,1))))*100000000</f>
        <v>0</v>
      </c>
      <c r="F104" s="4" t="str">
        <f>HYPERLINK("http://141.218.60.56/~jnz1568/getInfo.php?workbook=08_06.xlsx&amp;sheet=A0&amp;row=104&amp;col=6&amp;number=1307200000&amp;sourceID=3","1307200000")</f>
        <v>1307200000</v>
      </c>
      <c r="G104" s="4" t="str">
        <f>HYPERLINK("http://141.218.60.56/~jnz1568/getInfo.php?workbook=08_06.xlsx&amp;sheet=A0&amp;row=104&amp;col=7&amp;number=&amp;sourceID=3","")</f>
        <v/>
      </c>
      <c r="H104" s="4" t="str">
        <f>HYPERLINK("http://141.218.60.56/~jnz1568/getInfo.php?workbook=08_06.xlsx&amp;sheet=A0&amp;row=104&amp;col=8&amp;number=&amp;sourceID=3","")</f>
        <v/>
      </c>
      <c r="I104" s="4" t="str">
        <f>HYPERLINK("http://141.218.60.56/~jnz1568/getInfo.php?workbook=08_06.xlsx&amp;sheet=A0&amp;row=104&amp;col=9&amp;number=&amp;sourceID=3","")</f>
        <v/>
      </c>
      <c r="J104" s="4" t="str">
        <f>HYPERLINK("http://141.218.60.56/~jnz1568/getInfo.php?workbook=08_06.xlsx&amp;sheet=A0&amp;row=104&amp;col=10&amp;number=1316500000&amp;sourceID=3","1316500000")</f>
        <v>1316500000</v>
      </c>
      <c r="K104" s="4" t="str">
        <f>HYPERLINK("http://141.218.60.56/~jnz1568/getInfo.php?workbook=08_06.xlsx&amp;sheet=A0&amp;row=104&amp;col=11&amp;number=&amp;sourceID=3","")</f>
        <v/>
      </c>
      <c r="L104" s="4" t="str">
        <f>HYPERLINK("http://141.218.60.56/~jnz1568/getInfo.php?workbook=08_06.xlsx&amp;sheet=A0&amp;row=104&amp;col=12&amp;number=&amp;sourceID=3","")</f>
        <v/>
      </c>
      <c r="M104" s="4" t="str">
        <f>HYPERLINK("http://141.218.60.56/~jnz1568/getInfo.php?workbook=08_06.xlsx&amp;sheet=A0&amp;row=104&amp;col=13&amp;number=&amp;sourceID=3","")</f>
        <v/>
      </c>
      <c r="N104" s="4" t="str">
        <f>HYPERLINK("http://141.218.60.56/~jnz1568/getInfo.php?workbook=08_06.xlsx&amp;sheet=A0&amp;row=104&amp;col=14&amp;number=1401000000&amp;sourceID=7","1401000000")</f>
        <v>1401000000</v>
      </c>
      <c r="O104" s="4" t="str">
        <f>HYPERLINK("http://141.218.60.56/~jnz1568/getInfo.php?workbook=08_06.xlsx&amp;sheet=A0&amp;row=104&amp;col=15&amp;number=&amp;sourceID=5","")</f>
        <v/>
      </c>
      <c r="P104" s="4" t="str">
        <f>HYPERLINK("http://141.218.60.56/~jnz1568/getInfo.php?workbook=08_06.xlsx&amp;sheet=A0&amp;row=104&amp;col=16&amp;number=&amp;sourceID=5","")</f>
        <v/>
      </c>
      <c r="Q104" s="4" t="str">
        <f>HYPERLINK("http://141.218.60.56/~jnz1568/getInfo.php?workbook=08_06.xlsx&amp;sheet=A0&amp;row=104&amp;col=17&amp;number=&amp;sourceID=6","")</f>
        <v/>
      </c>
    </row>
    <row r="105" spans="1:17">
      <c r="A105" s="3">
        <v>8</v>
      </c>
      <c r="B105" s="3">
        <v>6</v>
      </c>
      <c r="C105" s="3">
        <v>17</v>
      </c>
      <c r="D105" s="3">
        <v>2</v>
      </c>
      <c r="E105" s="3">
        <f>((1/(INDEX(E0!J$4:J$49,C105,1)-INDEX(E0!J$4:J$49,D105,1))))*100000000</f>
        <v>0</v>
      </c>
      <c r="F105" s="4" t="str">
        <f>HYPERLINK("http://141.218.60.56/~jnz1568/getInfo.php?workbook=08_06.xlsx&amp;sheet=A0&amp;row=105&amp;col=6&amp;number=979080000&amp;sourceID=3","979080000")</f>
        <v>979080000</v>
      </c>
      <c r="G105" s="4" t="str">
        <f>HYPERLINK("http://141.218.60.56/~jnz1568/getInfo.php?workbook=08_06.xlsx&amp;sheet=A0&amp;row=105&amp;col=7&amp;number=&amp;sourceID=3","")</f>
        <v/>
      </c>
      <c r="H105" s="4" t="str">
        <f>HYPERLINK("http://141.218.60.56/~jnz1568/getInfo.php?workbook=08_06.xlsx&amp;sheet=A0&amp;row=105&amp;col=8&amp;number=&amp;sourceID=3","")</f>
        <v/>
      </c>
      <c r="I105" s="4" t="str">
        <f>HYPERLINK("http://141.218.60.56/~jnz1568/getInfo.php?workbook=08_06.xlsx&amp;sheet=A0&amp;row=105&amp;col=9&amp;number=&amp;sourceID=3","")</f>
        <v/>
      </c>
      <c r="J105" s="4" t="str">
        <f>HYPERLINK("http://141.218.60.56/~jnz1568/getInfo.php?workbook=08_06.xlsx&amp;sheet=A0&amp;row=105&amp;col=10&amp;number=985270000&amp;sourceID=3","985270000")</f>
        <v>985270000</v>
      </c>
      <c r="K105" s="4" t="str">
        <f>HYPERLINK("http://141.218.60.56/~jnz1568/getInfo.php?workbook=08_06.xlsx&amp;sheet=A0&amp;row=105&amp;col=11&amp;number=&amp;sourceID=3","")</f>
        <v/>
      </c>
      <c r="L105" s="4" t="str">
        <f>HYPERLINK("http://141.218.60.56/~jnz1568/getInfo.php?workbook=08_06.xlsx&amp;sheet=A0&amp;row=105&amp;col=12&amp;number=&amp;sourceID=3","")</f>
        <v/>
      </c>
      <c r="M105" s="4" t="str">
        <f>HYPERLINK("http://141.218.60.56/~jnz1568/getInfo.php?workbook=08_06.xlsx&amp;sheet=A0&amp;row=105&amp;col=13&amp;number=&amp;sourceID=3","")</f>
        <v/>
      </c>
      <c r="N105" s="4" t="str">
        <f>HYPERLINK("http://141.218.60.56/~jnz1568/getInfo.php?workbook=08_06.xlsx&amp;sheet=A0&amp;row=105&amp;col=14&amp;number=1050000000&amp;sourceID=7","1050000000")</f>
        <v>1050000000</v>
      </c>
      <c r="O105" s="4" t="str">
        <f>HYPERLINK("http://141.218.60.56/~jnz1568/getInfo.php?workbook=08_06.xlsx&amp;sheet=A0&amp;row=105&amp;col=15&amp;number=&amp;sourceID=5","")</f>
        <v/>
      </c>
      <c r="P105" s="4" t="str">
        <f>HYPERLINK("http://141.218.60.56/~jnz1568/getInfo.php?workbook=08_06.xlsx&amp;sheet=A0&amp;row=105&amp;col=16&amp;number=&amp;sourceID=5","")</f>
        <v/>
      </c>
      <c r="Q105" s="4" t="str">
        <f>HYPERLINK("http://141.218.60.56/~jnz1568/getInfo.php?workbook=08_06.xlsx&amp;sheet=A0&amp;row=105&amp;col=17&amp;number=&amp;sourceID=6","")</f>
        <v/>
      </c>
    </row>
    <row r="106" spans="1:17">
      <c r="A106" s="3">
        <v>8</v>
      </c>
      <c r="B106" s="3">
        <v>6</v>
      </c>
      <c r="C106" s="3">
        <v>17</v>
      </c>
      <c r="D106" s="3">
        <v>3</v>
      </c>
      <c r="E106" s="3">
        <f>((1/(INDEX(E0!J$4:J$49,C106,1)-INDEX(E0!J$4:J$49,D106,1))))*100000000</f>
        <v>0</v>
      </c>
      <c r="F106" s="4" t="str">
        <f>HYPERLINK("http://141.218.60.56/~jnz1568/getInfo.php?workbook=08_06.xlsx&amp;sheet=A0&amp;row=106&amp;col=6&amp;number=1635000000&amp;sourceID=3","1635000000")</f>
        <v>1635000000</v>
      </c>
      <c r="G106" s="4" t="str">
        <f>HYPERLINK("http://141.218.60.56/~jnz1568/getInfo.php?workbook=08_06.xlsx&amp;sheet=A0&amp;row=106&amp;col=7&amp;number=&amp;sourceID=3","")</f>
        <v/>
      </c>
      <c r="H106" s="4" t="str">
        <f>HYPERLINK("http://141.218.60.56/~jnz1568/getInfo.php?workbook=08_06.xlsx&amp;sheet=A0&amp;row=106&amp;col=8&amp;number=&amp;sourceID=3","")</f>
        <v/>
      </c>
      <c r="I106" s="4" t="str">
        <f>HYPERLINK("http://141.218.60.56/~jnz1568/getInfo.php?workbook=08_06.xlsx&amp;sheet=A0&amp;row=106&amp;col=9&amp;number=&amp;sourceID=3","")</f>
        <v/>
      </c>
      <c r="J106" s="4" t="str">
        <f>HYPERLINK("http://141.218.60.56/~jnz1568/getInfo.php?workbook=08_06.xlsx&amp;sheet=A0&amp;row=106&amp;col=10&amp;number=1642300000&amp;sourceID=3","1642300000")</f>
        <v>1642300000</v>
      </c>
      <c r="K106" s="4" t="str">
        <f>HYPERLINK("http://141.218.60.56/~jnz1568/getInfo.php?workbook=08_06.xlsx&amp;sheet=A0&amp;row=106&amp;col=11&amp;number=&amp;sourceID=3","")</f>
        <v/>
      </c>
      <c r="L106" s="4" t="str">
        <f>HYPERLINK("http://141.218.60.56/~jnz1568/getInfo.php?workbook=08_06.xlsx&amp;sheet=A0&amp;row=106&amp;col=12&amp;number=&amp;sourceID=3","")</f>
        <v/>
      </c>
      <c r="M106" s="4" t="str">
        <f>HYPERLINK("http://141.218.60.56/~jnz1568/getInfo.php?workbook=08_06.xlsx&amp;sheet=A0&amp;row=106&amp;col=13&amp;number=&amp;sourceID=3","")</f>
        <v/>
      </c>
      <c r="N106" s="4" t="str">
        <f>HYPERLINK("http://141.218.60.56/~jnz1568/getInfo.php?workbook=08_06.xlsx&amp;sheet=A0&amp;row=106&amp;col=14&amp;number=1754000000&amp;sourceID=7","1754000000")</f>
        <v>1754000000</v>
      </c>
      <c r="O106" s="4" t="str">
        <f>HYPERLINK("http://141.218.60.56/~jnz1568/getInfo.php?workbook=08_06.xlsx&amp;sheet=A0&amp;row=106&amp;col=15&amp;number=&amp;sourceID=5","")</f>
        <v/>
      </c>
      <c r="P106" s="4" t="str">
        <f>HYPERLINK("http://141.218.60.56/~jnz1568/getInfo.php?workbook=08_06.xlsx&amp;sheet=A0&amp;row=106&amp;col=16&amp;number=&amp;sourceID=5","")</f>
        <v/>
      </c>
      <c r="Q106" s="4" t="str">
        <f>HYPERLINK("http://141.218.60.56/~jnz1568/getInfo.php?workbook=08_06.xlsx&amp;sheet=A0&amp;row=106&amp;col=17&amp;number=&amp;sourceID=6","")</f>
        <v/>
      </c>
    </row>
    <row r="107" spans="1:17">
      <c r="A107" s="3">
        <v>8</v>
      </c>
      <c r="B107" s="3">
        <v>6</v>
      </c>
      <c r="C107" s="3">
        <v>17</v>
      </c>
      <c r="D107" s="3">
        <v>4</v>
      </c>
      <c r="E107" s="3">
        <f>((1/(INDEX(E0!J$4:J$49,C107,1)-INDEX(E0!J$4:J$49,D107,1))))*100000000</f>
        <v>0</v>
      </c>
      <c r="F107" s="4" t="str">
        <f>HYPERLINK("http://141.218.60.56/~jnz1568/getInfo.php?workbook=08_06.xlsx&amp;sheet=A0&amp;row=107&amp;col=6&amp;number=1889600&amp;sourceID=3","1889600")</f>
        <v>1889600</v>
      </c>
      <c r="G107" s="4" t="str">
        <f>HYPERLINK("http://141.218.60.56/~jnz1568/getInfo.php?workbook=08_06.xlsx&amp;sheet=A0&amp;row=107&amp;col=7&amp;number=&amp;sourceID=3","")</f>
        <v/>
      </c>
      <c r="H107" s="4" t="str">
        <f>HYPERLINK("http://141.218.60.56/~jnz1568/getInfo.php?workbook=08_06.xlsx&amp;sheet=A0&amp;row=107&amp;col=8&amp;number=&amp;sourceID=3","")</f>
        <v/>
      </c>
      <c r="I107" s="4" t="str">
        <f>HYPERLINK("http://141.218.60.56/~jnz1568/getInfo.php?workbook=08_06.xlsx&amp;sheet=A0&amp;row=107&amp;col=9&amp;number=&amp;sourceID=3","")</f>
        <v/>
      </c>
      <c r="J107" s="4" t="str">
        <f>HYPERLINK("http://141.218.60.56/~jnz1568/getInfo.php?workbook=08_06.xlsx&amp;sheet=A0&amp;row=107&amp;col=10&amp;number=1670500&amp;sourceID=3","1670500")</f>
        <v>1670500</v>
      </c>
      <c r="K107" s="4" t="str">
        <f>HYPERLINK("http://141.218.60.56/~jnz1568/getInfo.php?workbook=08_06.xlsx&amp;sheet=A0&amp;row=107&amp;col=11&amp;number=&amp;sourceID=3","")</f>
        <v/>
      </c>
      <c r="L107" s="4" t="str">
        <f>HYPERLINK("http://141.218.60.56/~jnz1568/getInfo.php?workbook=08_06.xlsx&amp;sheet=A0&amp;row=107&amp;col=12&amp;number=&amp;sourceID=3","")</f>
        <v/>
      </c>
      <c r="M107" s="4" t="str">
        <f>HYPERLINK("http://141.218.60.56/~jnz1568/getInfo.php?workbook=08_06.xlsx&amp;sheet=A0&amp;row=107&amp;col=13&amp;number=&amp;sourceID=3","")</f>
        <v/>
      </c>
      <c r="N107" s="4" t="str">
        <f>HYPERLINK("http://141.218.60.56/~jnz1568/getInfo.php?workbook=08_06.xlsx&amp;sheet=A0&amp;row=107&amp;col=14&amp;number=574500&amp;sourceID=7","574500")</f>
        <v>574500</v>
      </c>
      <c r="O107" s="4" t="str">
        <f>HYPERLINK("http://141.218.60.56/~jnz1568/getInfo.php?workbook=08_06.xlsx&amp;sheet=A0&amp;row=107&amp;col=15&amp;number=&amp;sourceID=5","")</f>
        <v/>
      </c>
      <c r="P107" s="4" t="str">
        <f>HYPERLINK("http://141.218.60.56/~jnz1568/getInfo.php?workbook=08_06.xlsx&amp;sheet=A0&amp;row=107&amp;col=16&amp;number=&amp;sourceID=5","")</f>
        <v/>
      </c>
      <c r="Q107" s="4" t="str">
        <f>HYPERLINK("http://141.218.60.56/~jnz1568/getInfo.php?workbook=08_06.xlsx&amp;sheet=A0&amp;row=107&amp;col=17&amp;number=&amp;sourceID=6","")</f>
        <v/>
      </c>
    </row>
    <row r="108" spans="1:17">
      <c r="A108" s="3">
        <v>8</v>
      </c>
      <c r="B108" s="3">
        <v>6</v>
      </c>
      <c r="C108" s="3">
        <v>17</v>
      </c>
      <c r="D108" s="3">
        <v>5</v>
      </c>
      <c r="E108" s="3">
        <f>((1/(INDEX(E0!J$4:J$49,C108,1)-INDEX(E0!J$4:J$49,D108,1))))*100000000</f>
        <v>0</v>
      </c>
      <c r="F108" s="4" t="str">
        <f>HYPERLINK("http://141.218.60.56/~jnz1568/getInfo.php?workbook=08_06.xlsx&amp;sheet=A0&amp;row=108&amp;col=6&amp;number=1028700&amp;sourceID=3","1028700")</f>
        <v>1028700</v>
      </c>
      <c r="G108" s="4" t="str">
        <f>HYPERLINK("http://141.218.60.56/~jnz1568/getInfo.php?workbook=08_06.xlsx&amp;sheet=A0&amp;row=108&amp;col=7&amp;number=&amp;sourceID=3","")</f>
        <v/>
      </c>
      <c r="H108" s="4" t="str">
        <f>HYPERLINK("http://141.218.60.56/~jnz1568/getInfo.php?workbook=08_06.xlsx&amp;sheet=A0&amp;row=108&amp;col=8&amp;number=&amp;sourceID=3","")</f>
        <v/>
      </c>
      <c r="I108" s="4" t="str">
        <f>HYPERLINK("http://141.218.60.56/~jnz1568/getInfo.php?workbook=08_06.xlsx&amp;sheet=A0&amp;row=108&amp;col=9&amp;number=&amp;sourceID=3","")</f>
        <v/>
      </c>
      <c r="J108" s="4" t="str">
        <f>HYPERLINK("http://141.218.60.56/~jnz1568/getInfo.php?workbook=08_06.xlsx&amp;sheet=A0&amp;row=108&amp;col=10&amp;number=1013100&amp;sourceID=3","1013100")</f>
        <v>1013100</v>
      </c>
      <c r="K108" s="4" t="str">
        <f>HYPERLINK("http://141.218.60.56/~jnz1568/getInfo.php?workbook=08_06.xlsx&amp;sheet=A0&amp;row=108&amp;col=11&amp;number=&amp;sourceID=3","")</f>
        <v/>
      </c>
      <c r="L108" s="4" t="str">
        <f>HYPERLINK("http://141.218.60.56/~jnz1568/getInfo.php?workbook=08_06.xlsx&amp;sheet=A0&amp;row=108&amp;col=12&amp;number=&amp;sourceID=3","")</f>
        <v/>
      </c>
      <c r="M108" s="4" t="str">
        <f>HYPERLINK("http://141.218.60.56/~jnz1568/getInfo.php?workbook=08_06.xlsx&amp;sheet=A0&amp;row=108&amp;col=13&amp;number=&amp;sourceID=3","")</f>
        <v/>
      </c>
      <c r="N108" s="4" t="str">
        <f>HYPERLINK("http://141.218.60.56/~jnz1568/getInfo.php?workbook=08_06.xlsx&amp;sheet=A0&amp;row=108&amp;col=14&amp;number=332400&amp;sourceID=7","332400")</f>
        <v>332400</v>
      </c>
      <c r="O108" s="4" t="str">
        <f>HYPERLINK("http://141.218.60.56/~jnz1568/getInfo.php?workbook=08_06.xlsx&amp;sheet=A0&amp;row=108&amp;col=15&amp;number=&amp;sourceID=5","")</f>
        <v/>
      </c>
      <c r="P108" s="4" t="str">
        <f>HYPERLINK("http://141.218.60.56/~jnz1568/getInfo.php?workbook=08_06.xlsx&amp;sheet=A0&amp;row=108&amp;col=16&amp;number=&amp;sourceID=5","")</f>
        <v/>
      </c>
      <c r="Q108" s="4" t="str">
        <f>HYPERLINK("http://141.218.60.56/~jnz1568/getInfo.php?workbook=08_06.xlsx&amp;sheet=A0&amp;row=108&amp;col=17&amp;number=&amp;sourceID=6","")</f>
        <v/>
      </c>
    </row>
    <row r="109" spans="1:17">
      <c r="A109" s="3">
        <v>8</v>
      </c>
      <c r="B109" s="3">
        <v>6</v>
      </c>
      <c r="C109" s="3">
        <v>18</v>
      </c>
      <c r="D109" s="3">
        <v>2</v>
      </c>
      <c r="E109" s="3">
        <f>((1/(INDEX(E0!J$4:J$49,C109,1)-INDEX(E0!J$4:J$49,D109,1))))*100000000</f>
        <v>0</v>
      </c>
      <c r="F109" s="4" t="str">
        <f>HYPERLINK("http://141.218.60.56/~jnz1568/getInfo.php?workbook=08_06.xlsx&amp;sheet=A0&amp;row=109&amp;col=6&amp;number=982200000&amp;sourceID=3","982200000")</f>
        <v>982200000</v>
      </c>
      <c r="G109" s="4" t="str">
        <f>HYPERLINK("http://141.218.60.56/~jnz1568/getInfo.php?workbook=08_06.xlsx&amp;sheet=A0&amp;row=109&amp;col=7&amp;number=&amp;sourceID=3","")</f>
        <v/>
      </c>
      <c r="H109" s="4" t="str">
        <f>HYPERLINK("http://141.218.60.56/~jnz1568/getInfo.php?workbook=08_06.xlsx&amp;sheet=A0&amp;row=109&amp;col=8&amp;number=&amp;sourceID=3","")</f>
        <v/>
      </c>
      <c r="I109" s="4" t="str">
        <f>HYPERLINK("http://141.218.60.56/~jnz1568/getInfo.php?workbook=08_06.xlsx&amp;sheet=A0&amp;row=109&amp;col=9&amp;number=&amp;sourceID=3","")</f>
        <v/>
      </c>
      <c r="J109" s="4" t="str">
        <f>HYPERLINK("http://141.218.60.56/~jnz1568/getInfo.php?workbook=08_06.xlsx&amp;sheet=A0&amp;row=109&amp;col=10&amp;number=991760000&amp;sourceID=3","991760000")</f>
        <v>991760000</v>
      </c>
      <c r="K109" s="4" t="str">
        <f>HYPERLINK("http://141.218.60.56/~jnz1568/getInfo.php?workbook=08_06.xlsx&amp;sheet=A0&amp;row=109&amp;col=11&amp;number=&amp;sourceID=3","")</f>
        <v/>
      </c>
      <c r="L109" s="4" t="str">
        <f>HYPERLINK("http://141.218.60.56/~jnz1568/getInfo.php?workbook=08_06.xlsx&amp;sheet=A0&amp;row=109&amp;col=12&amp;number=&amp;sourceID=3","")</f>
        <v/>
      </c>
      <c r="M109" s="4" t="str">
        <f>HYPERLINK("http://141.218.60.56/~jnz1568/getInfo.php?workbook=08_06.xlsx&amp;sheet=A0&amp;row=109&amp;col=13&amp;number=&amp;sourceID=3","")</f>
        <v/>
      </c>
      <c r="N109" s="4" t="str">
        <f>HYPERLINK("http://141.218.60.56/~jnz1568/getInfo.php?workbook=08_06.xlsx&amp;sheet=A0&amp;row=109&amp;col=14&amp;number=1052000000&amp;sourceID=7","1052000000")</f>
        <v>1052000000</v>
      </c>
      <c r="O109" s="4" t="str">
        <f>HYPERLINK("http://141.218.60.56/~jnz1568/getInfo.php?workbook=08_06.xlsx&amp;sheet=A0&amp;row=109&amp;col=15&amp;number=&amp;sourceID=5","")</f>
        <v/>
      </c>
      <c r="P109" s="4" t="str">
        <f>HYPERLINK("http://141.218.60.56/~jnz1568/getInfo.php?workbook=08_06.xlsx&amp;sheet=A0&amp;row=109&amp;col=16&amp;number=&amp;sourceID=5","")</f>
        <v/>
      </c>
      <c r="Q109" s="4" t="str">
        <f>HYPERLINK("http://141.218.60.56/~jnz1568/getInfo.php?workbook=08_06.xlsx&amp;sheet=A0&amp;row=109&amp;col=17&amp;number=&amp;sourceID=6","")</f>
        <v/>
      </c>
    </row>
    <row r="110" spans="1:17">
      <c r="A110" s="3">
        <v>8</v>
      </c>
      <c r="B110" s="3">
        <v>6</v>
      </c>
      <c r="C110" s="3">
        <v>18</v>
      </c>
      <c r="D110" s="3">
        <v>3</v>
      </c>
      <c r="E110" s="3">
        <f>((1/(INDEX(E0!J$4:J$49,C110,1)-INDEX(E0!J$4:J$49,D110,1))))*100000000</f>
        <v>0</v>
      </c>
      <c r="F110" s="4" t="str">
        <f>HYPERLINK("http://141.218.60.56/~jnz1568/getInfo.php?workbook=08_06.xlsx&amp;sheet=A0&amp;row=110&amp;col=6&amp;number=2944800000&amp;sourceID=3","2944800000")</f>
        <v>2944800000</v>
      </c>
      <c r="G110" s="4" t="str">
        <f>HYPERLINK("http://141.218.60.56/~jnz1568/getInfo.php?workbook=08_06.xlsx&amp;sheet=A0&amp;row=110&amp;col=7&amp;number=&amp;sourceID=3","")</f>
        <v/>
      </c>
      <c r="H110" s="4" t="str">
        <f>HYPERLINK("http://141.218.60.56/~jnz1568/getInfo.php?workbook=08_06.xlsx&amp;sheet=A0&amp;row=110&amp;col=8&amp;number=&amp;sourceID=3","")</f>
        <v/>
      </c>
      <c r="I110" s="4" t="str">
        <f>HYPERLINK("http://141.218.60.56/~jnz1568/getInfo.php?workbook=08_06.xlsx&amp;sheet=A0&amp;row=110&amp;col=9&amp;number=&amp;sourceID=3","")</f>
        <v/>
      </c>
      <c r="J110" s="4" t="str">
        <f>HYPERLINK("http://141.218.60.56/~jnz1568/getInfo.php?workbook=08_06.xlsx&amp;sheet=A0&amp;row=110&amp;col=10&amp;number=2968600000&amp;sourceID=3","2968600000")</f>
        <v>2968600000</v>
      </c>
      <c r="K110" s="4" t="str">
        <f>HYPERLINK("http://141.218.60.56/~jnz1568/getInfo.php?workbook=08_06.xlsx&amp;sheet=A0&amp;row=110&amp;col=11&amp;number=&amp;sourceID=3","")</f>
        <v/>
      </c>
      <c r="L110" s="4" t="str">
        <f>HYPERLINK("http://141.218.60.56/~jnz1568/getInfo.php?workbook=08_06.xlsx&amp;sheet=A0&amp;row=110&amp;col=12&amp;number=&amp;sourceID=3","")</f>
        <v/>
      </c>
      <c r="M110" s="4" t="str">
        <f>HYPERLINK("http://141.218.60.56/~jnz1568/getInfo.php?workbook=08_06.xlsx&amp;sheet=A0&amp;row=110&amp;col=13&amp;number=&amp;sourceID=3","")</f>
        <v/>
      </c>
      <c r="N110" s="4" t="str">
        <f>HYPERLINK("http://141.218.60.56/~jnz1568/getInfo.php?workbook=08_06.xlsx&amp;sheet=A0&amp;row=110&amp;col=14&amp;number=3156000000&amp;sourceID=7","3156000000")</f>
        <v>3156000000</v>
      </c>
      <c r="O110" s="4" t="str">
        <f>HYPERLINK("http://141.218.60.56/~jnz1568/getInfo.php?workbook=08_06.xlsx&amp;sheet=A0&amp;row=110&amp;col=15&amp;number=&amp;sourceID=5","")</f>
        <v/>
      </c>
      <c r="P110" s="4" t="str">
        <f>HYPERLINK("http://141.218.60.56/~jnz1568/getInfo.php?workbook=08_06.xlsx&amp;sheet=A0&amp;row=110&amp;col=16&amp;number=&amp;sourceID=5","")</f>
        <v/>
      </c>
      <c r="Q110" s="4" t="str">
        <f>HYPERLINK("http://141.218.60.56/~jnz1568/getInfo.php?workbook=08_06.xlsx&amp;sheet=A0&amp;row=110&amp;col=17&amp;number=&amp;sourceID=6","")</f>
        <v/>
      </c>
    </row>
    <row r="111" spans="1:17">
      <c r="A111" s="3">
        <v>8</v>
      </c>
      <c r="B111" s="3">
        <v>6</v>
      </c>
      <c r="C111" s="3">
        <v>18</v>
      </c>
      <c r="D111" s="3">
        <v>4</v>
      </c>
      <c r="E111" s="3">
        <f>((1/(INDEX(E0!J$4:J$49,C111,1)-INDEX(E0!J$4:J$49,D111,1))))*100000000</f>
        <v>0</v>
      </c>
      <c r="F111" s="4" t="str">
        <f>HYPERLINK("http://141.218.60.56/~jnz1568/getInfo.php?workbook=08_06.xlsx&amp;sheet=A0&amp;row=111&amp;col=6&amp;number=189050&amp;sourceID=3","189050")</f>
        <v>189050</v>
      </c>
      <c r="G111" s="4" t="str">
        <f>HYPERLINK("http://141.218.60.56/~jnz1568/getInfo.php?workbook=08_06.xlsx&amp;sheet=A0&amp;row=111&amp;col=7&amp;number=&amp;sourceID=3","")</f>
        <v/>
      </c>
      <c r="H111" s="4" t="str">
        <f>HYPERLINK("http://141.218.60.56/~jnz1568/getInfo.php?workbook=08_06.xlsx&amp;sheet=A0&amp;row=111&amp;col=8&amp;number=&amp;sourceID=3","")</f>
        <v/>
      </c>
      <c r="I111" s="4" t="str">
        <f>HYPERLINK("http://141.218.60.56/~jnz1568/getInfo.php?workbook=08_06.xlsx&amp;sheet=A0&amp;row=111&amp;col=9&amp;number=&amp;sourceID=3","")</f>
        <v/>
      </c>
      <c r="J111" s="4" t="str">
        <f>HYPERLINK("http://141.218.60.56/~jnz1568/getInfo.php?workbook=08_06.xlsx&amp;sheet=A0&amp;row=111&amp;col=10&amp;number=160570&amp;sourceID=3","160570")</f>
        <v>160570</v>
      </c>
      <c r="K111" s="4" t="str">
        <f>HYPERLINK("http://141.218.60.56/~jnz1568/getInfo.php?workbook=08_06.xlsx&amp;sheet=A0&amp;row=111&amp;col=11&amp;number=&amp;sourceID=3","")</f>
        <v/>
      </c>
      <c r="L111" s="4" t="str">
        <f>HYPERLINK("http://141.218.60.56/~jnz1568/getInfo.php?workbook=08_06.xlsx&amp;sheet=A0&amp;row=111&amp;col=12&amp;number=&amp;sourceID=3","")</f>
        <v/>
      </c>
      <c r="M111" s="4" t="str">
        <f>HYPERLINK("http://141.218.60.56/~jnz1568/getInfo.php?workbook=08_06.xlsx&amp;sheet=A0&amp;row=111&amp;col=13&amp;number=&amp;sourceID=3","")</f>
        <v/>
      </c>
      <c r="N111" s="4" t="str">
        <f>HYPERLINK("http://141.218.60.56/~jnz1568/getInfo.php?workbook=08_06.xlsx&amp;sheet=A0&amp;row=111&amp;col=14&amp;number=144700&amp;sourceID=7","144700")</f>
        <v>144700</v>
      </c>
      <c r="O111" s="4" t="str">
        <f>HYPERLINK("http://141.218.60.56/~jnz1568/getInfo.php?workbook=08_06.xlsx&amp;sheet=A0&amp;row=111&amp;col=15&amp;number=&amp;sourceID=5","")</f>
        <v/>
      </c>
      <c r="P111" s="4" t="str">
        <f>HYPERLINK("http://141.218.60.56/~jnz1568/getInfo.php?workbook=08_06.xlsx&amp;sheet=A0&amp;row=111&amp;col=16&amp;number=&amp;sourceID=5","")</f>
        <v/>
      </c>
      <c r="Q111" s="4" t="str">
        <f>HYPERLINK("http://141.218.60.56/~jnz1568/getInfo.php?workbook=08_06.xlsx&amp;sheet=A0&amp;row=111&amp;col=17&amp;number=&amp;sourceID=6","")</f>
        <v/>
      </c>
    </row>
    <row r="112" spans="1:17">
      <c r="A112" s="3">
        <v>8</v>
      </c>
      <c r="B112" s="3">
        <v>6</v>
      </c>
      <c r="C112" s="3">
        <v>19</v>
      </c>
      <c r="D112" s="3">
        <v>1</v>
      </c>
      <c r="E112" s="3">
        <f>((1/(INDEX(E0!J$4:J$49,C112,1)-INDEX(E0!J$4:J$49,D112,1))))*100000000</f>
        <v>0</v>
      </c>
      <c r="F112" s="4" t="str">
        <f>HYPERLINK("http://141.218.60.56/~jnz1568/getInfo.php?workbook=08_06.xlsx&amp;sheet=A0&amp;row=112&amp;col=6&amp;number=701190&amp;sourceID=3","701190")</f>
        <v>701190</v>
      </c>
      <c r="G112" s="4" t="str">
        <f>HYPERLINK("http://141.218.60.56/~jnz1568/getInfo.php?workbook=08_06.xlsx&amp;sheet=A0&amp;row=112&amp;col=7&amp;number=&amp;sourceID=3","")</f>
        <v/>
      </c>
      <c r="H112" s="4" t="str">
        <f>HYPERLINK("http://141.218.60.56/~jnz1568/getInfo.php?workbook=08_06.xlsx&amp;sheet=A0&amp;row=112&amp;col=8&amp;number=&amp;sourceID=3","")</f>
        <v/>
      </c>
      <c r="I112" s="4" t="str">
        <f>HYPERLINK("http://141.218.60.56/~jnz1568/getInfo.php?workbook=08_06.xlsx&amp;sheet=A0&amp;row=112&amp;col=9&amp;number=&amp;sourceID=3","")</f>
        <v/>
      </c>
      <c r="J112" s="4" t="str">
        <f>HYPERLINK("http://141.218.60.56/~jnz1568/getInfo.php?workbook=08_06.xlsx&amp;sheet=A0&amp;row=112&amp;col=10&amp;number=689320&amp;sourceID=3","689320")</f>
        <v>689320</v>
      </c>
      <c r="K112" s="4" t="str">
        <f>HYPERLINK("http://141.218.60.56/~jnz1568/getInfo.php?workbook=08_06.xlsx&amp;sheet=A0&amp;row=112&amp;col=11&amp;number=&amp;sourceID=3","")</f>
        <v/>
      </c>
      <c r="L112" s="4" t="str">
        <f>HYPERLINK("http://141.218.60.56/~jnz1568/getInfo.php?workbook=08_06.xlsx&amp;sheet=A0&amp;row=112&amp;col=12&amp;number=&amp;sourceID=3","")</f>
        <v/>
      </c>
      <c r="M112" s="4" t="str">
        <f>HYPERLINK("http://141.218.60.56/~jnz1568/getInfo.php?workbook=08_06.xlsx&amp;sheet=A0&amp;row=112&amp;col=13&amp;number=&amp;sourceID=3","")</f>
        <v/>
      </c>
      <c r="N112" s="4" t="str">
        <f>HYPERLINK("http://141.218.60.56/~jnz1568/getInfo.php?workbook=08_06.xlsx&amp;sheet=A0&amp;row=112&amp;col=14&amp;number=266200&amp;sourceID=7","266200")</f>
        <v>266200</v>
      </c>
      <c r="O112" s="4" t="str">
        <f>HYPERLINK("http://141.218.60.56/~jnz1568/getInfo.php?workbook=08_06.xlsx&amp;sheet=A0&amp;row=112&amp;col=15&amp;number=&amp;sourceID=5","")</f>
        <v/>
      </c>
      <c r="P112" s="4" t="str">
        <f>HYPERLINK("http://141.218.60.56/~jnz1568/getInfo.php?workbook=08_06.xlsx&amp;sheet=A0&amp;row=112&amp;col=16&amp;number=&amp;sourceID=5","")</f>
        <v/>
      </c>
      <c r="Q112" s="4" t="str">
        <f>HYPERLINK("http://141.218.60.56/~jnz1568/getInfo.php?workbook=08_06.xlsx&amp;sheet=A0&amp;row=112&amp;col=17&amp;number=&amp;sourceID=6","")</f>
        <v/>
      </c>
    </row>
    <row r="113" spans="1:17">
      <c r="A113" s="3">
        <v>8</v>
      </c>
      <c r="B113" s="3">
        <v>6</v>
      </c>
      <c r="C113" s="3">
        <v>19</v>
      </c>
      <c r="D113" s="3">
        <v>2</v>
      </c>
      <c r="E113" s="3">
        <f>((1/(INDEX(E0!J$4:J$49,C113,1)-INDEX(E0!J$4:J$49,D113,1))))*100000000</f>
        <v>0</v>
      </c>
      <c r="F113" s="4" t="str">
        <f>HYPERLINK("http://141.218.60.56/~jnz1568/getInfo.php?workbook=08_06.xlsx&amp;sheet=A0&amp;row=113&amp;col=6&amp;number=931880&amp;sourceID=3","931880")</f>
        <v>931880</v>
      </c>
      <c r="G113" s="4" t="str">
        <f>HYPERLINK("http://141.218.60.56/~jnz1568/getInfo.php?workbook=08_06.xlsx&amp;sheet=A0&amp;row=113&amp;col=7&amp;number=&amp;sourceID=3","")</f>
        <v/>
      </c>
      <c r="H113" s="4" t="str">
        <f>HYPERLINK("http://141.218.60.56/~jnz1568/getInfo.php?workbook=08_06.xlsx&amp;sheet=A0&amp;row=113&amp;col=8&amp;number=&amp;sourceID=3","")</f>
        <v/>
      </c>
      <c r="I113" s="4" t="str">
        <f>HYPERLINK("http://141.218.60.56/~jnz1568/getInfo.php?workbook=08_06.xlsx&amp;sheet=A0&amp;row=113&amp;col=9&amp;number=&amp;sourceID=3","")</f>
        <v/>
      </c>
      <c r="J113" s="4" t="str">
        <f>HYPERLINK("http://141.218.60.56/~jnz1568/getInfo.php?workbook=08_06.xlsx&amp;sheet=A0&amp;row=113&amp;col=10&amp;number=1000400&amp;sourceID=3","1000400")</f>
        <v>1000400</v>
      </c>
      <c r="K113" s="4" t="str">
        <f>HYPERLINK("http://141.218.60.56/~jnz1568/getInfo.php?workbook=08_06.xlsx&amp;sheet=A0&amp;row=113&amp;col=11&amp;number=&amp;sourceID=3","")</f>
        <v/>
      </c>
      <c r="L113" s="4" t="str">
        <f>HYPERLINK("http://141.218.60.56/~jnz1568/getInfo.php?workbook=08_06.xlsx&amp;sheet=A0&amp;row=113&amp;col=12&amp;number=&amp;sourceID=3","")</f>
        <v/>
      </c>
      <c r="M113" s="4" t="str">
        <f>HYPERLINK("http://141.218.60.56/~jnz1568/getInfo.php?workbook=08_06.xlsx&amp;sheet=A0&amp;row=113&amp;col=13&amp;number=&amp;sourceID=3","")</f>
        <v/>
      </c>
      <c r="N113" s="4" t="str">
        <f>HYPERLINK("http://141.218.60.56/~jnz1568/getInfo.php?workbook=08_06.xlsx&amp;sheet=A0&amp;row=113&amp;col=14&amp;number=395900&amp;sourceID=7","395900")</f>
        <v>395900</v>
      </c>
      <c r="O113" s="4" t="str">
        <f>HYPERLINK("http://141.218.60.56/~jnz1568/getInfo.php?workbook=08_06.xlsx&amp;sheet=A0&amp;row=113&amp;col=15&amp;number=&amp;sourceID=5","")</f>
        <v/>
      </c>
      <c r="P113" s="4" t="str">
        <f>HYPERLINK("http://141.218.60.56/~jnz1568/getInfo.php?workbook=08_06.xlsx&amp;sheet=A0&amp;row=113&amp;col=16&amp;number=&amp;sourceID=5","")</f>
        <v/>
      </c>
      <c r="Q113" s="4" t="str">
        <f>HYPERLINK("http://141.218.60.56/~jnz1568/getInfo.php?workbook=08_06.xlsx&amp;sheet=A0&amp;row=113&amp;col=17&amp;number=&amp;sourceID=6","")</f>
        <v/>
      </c>
    </row>
    <row r="114" spans="1:17">
      <c r="A114" s="3">
        <v>8</v>
      </c>
      <c r="B114" s="3">
        <v>6</v>
      </c>
      <c r="C114" s="3">
        <v>19</v>
      </c>
      <c r="D114" s="3">
        <v>3</v>
      </c>
      <c r="E114" s="3">
        <f>((1/(INDEX(E0!J$4:J$49,C114,1)-INDEX(E0!J$4:J$49,D114,1))))*100000000</f>
        <v>0</v>
      </c>
      <c r="F114" s="4" t="str">
        <f>HYPERLINK("http://141.218.60.56/~jnz1568/getInfo.php?workbook=08_06.xlsx&amp;sheet=A0&amp;row=114&amp;col=6&amp;number=743820&amp;sourceID=3","743820")</f>
        <v>743820</v>
      </c>
      <c r="G114" s="4" t="str">
        <f>HYPERLINK("http://141.218.60.56/~jnz1568/getInfo.php?workbook=08_06.xlsx&amp;sheet=A0&amp;row=114&amp;col=7&amp;number=&amp;sourceID=3","")</f>
        <v/>
      </c>
      <c r="H114" s="4" t="str">
        <f>HYPERLINK("http://141.218.60.56/~jnz1568/getInfo.php?workbook=08_06.xlsx&amp;sheet=A0&amp;row=114&amp;col=8&amp;number=&amp;sourceID=3","")</f>
        <v/>
      </c>
      <c r="I114" s="4" t="str">
        <f>HYPERLINK("http://141.218.60.56/~jnz1568/getInfo.php?workbook=08_06.xlsx&amp;sheet=A0&amp;row=114&amp;col=9&amp;number=&amp;sourceID=3","")</f>
        <v/>
      </c>
      <c r="J114" s="4" t="str">
        <f>HYPERLINK("http://141.218.60.56/~jnz1568/getInfo.php?workbook=08_06.xlsx&amp;sheet=A0&amp;row=114&amp;col=10&amp;number=730080&amp;sourceID=3","730080")</f>
        <v>730080</v>
      </c>
      <c r="K114" s="4" t="str">
        <f>HYPERLINK("http://141.218.60.56/~jnz1568/getInfo.php?workbook=08_06.xlsx&amp;sheet=A0&amp;row=114&amp;col=11&amp;number=&amp;sourceID=3","")</f>
        <v/>
      </c>
      <c r="L114" s="4" t="str">
        <f>HYPERLINK("http://141.218.60.56/~jnz1568/getInfo.php?workbook=08_06.xlsx&amp;sheet=A0&amp;row=114&amp;col=12&amp;number=&amp;sourceID=3","")</f>
        <v/>
      </c>
      <c r="M114" s="4" t="str">
        <f>HYPERLINK("http://141.218.60.56/~jnz1568/getInfo.php?workbook=08_06.xlsx&amp;sheet=A0&amp;row=114&amp;col=13&amp;number=&amp;sourceID=3","")</f>
        <v/>
      </c>
      <c r="N114" s="4" t="str">
        <f>HYPERLINK("http://141.218.60.56/~jnz1568/getInfo.php?workbook=08_06.xlsx&amp;sheet=A0&amp;row=114&amp;col=14&amp;number=207500&amp;sourceID=7","207500")</f>
        <v>207500</v>
      </c>
      <c r="O114" s="4" t="str">
        <f>HYPERLINK("http://141.218.60.56/~jnz1568/getInfo.php?workbook=08_06.xlsx&amp;sheet=A0&amp;row=114&amp;col=15&amp;number=&amp;sourceID=5","")</f>
        <v/>
      </c>
      <c r="P114" s="4" t="str">
        <f>HYPERLINK("http://141.218.60.56/~jnz1568/getInfo.php?workbook=08_06.xlsx&amp;sheet=A0&amp;row=114&amp;col=16&amp;number=&amp;sourceID=5","")</f>
        <v/>
      </c>
      <c r="Q114" s="4" t="str">
        <f>HYPERLINK("http://141.218.60.56/~jnz1568/getInfo.php?workbook=08_06.xlsx&amp;sheet=A0&amp;row=114&amp;col=17&amp;number=&amp;sourceID=6","")</f>
        <v/>
      </c>
    </row>
    <row r="115" spans="1:17">
      <c r="A115" s="3">
        <v>8</v>
      </c>
      <c r="B115" s="3">
        <v>6</v>
      </c>
      <c r="C115" s="3">
        <v>19</v>
      </c>
      <c r="D115" s="3">
        <v>4</v>
      </c>
      <c r="E115" s="3">
        <f>((1/(INDEX(E0!J$4:J$49,C115,1)-INDEX(E0!J$4:J$49,D115,1))))*100000000</f>
        <v>0</v>
      </c>
      <c r="F115" s="4" t="str">
        <f>HYPERLINK("http://141.218.60.56/~jnz1568/getInfo.php?workbook=08_06.xlsx&amp;sheet=A0&amp;row=115&amp;col=6&amp;number=3022700000&amp;sourceID=3","3022700000")</f>
        <v>3022700000</v>
      </c>
      <c r="G115" s="4" t="str">
        <f>HYPERLINK("http://141.218.60.56/~jnz1568/getInfo.php?workbook=08_06.xlsx&amp;sheet=A0&amp;row=115&amp;col=7&amp;number=&amp;sourceID=3","")</f>
        <v/>
      </c>
      <c r="H115" s="4" t="str">
        <f>HYPERLINK("http://141.218.60.56/~jnz1568/getInfo.php?workbook=08_06.xlsx&amp;sheet=A0&amp;row=115&amp;col=8&amp;number=&amp;sourceID=3","")</f>
        <v/>
      </c>
      <c r="I115" s="4" t="str">
        <f>HYPERLINK("http://141.218.60.56/~jnz1568/getInfo.php?workbook=08_06.xlsx&amp;sheet=A0&amp;row=115&amp;col=9&amp;number=&amp;sourceID=3","")</f>
        <v/>
      </c>
      <c r="J115" s="4" t="str">
        <f>HYPERLINK("http://141.218.60.56/~jnz1568/getInfo.php?workbook=08_06.xlsx&amp;sheet=A0&amp;row=115&amp;col=10&amp;number=3044300000&amp;sourceID=3","3044300000")</f>
        <v>3044300000</v>
      </c>
      <c r="K115" s="4" t="str">
        <f>HYPERLINK("http://141.218.60.56/~jnz1568/getInfo.php?workbook=08_06.xlsx&amp;sheet=A0&amp;row=115&amp;col=11&amp;number=&amp;sourceID=3","")</f>
        <v/>
      </c>
      <c r="L115" s="4" t="str">
        <f>HYPERLINK("http://141.218.60.56/~jnz1568/getInfo.php?workbook=08_06.xlsx&amp;sheet=A0&amp;row=115&amp;col=12&amp;number=&amp;sourceID=3","")</f>
        <v/>
      </c>
      <c r="M115" s="4" t="str">
        <f>HYPERLINK("http://141.218.60.56/~jnz1568/getInfo.php?workbook=08_06.xlsx&amp;sheet=A0&amp;row=115&amp;col=13&amp;number=&amp;sourceID=3","")</f>
        <v/>
      </c>
      <c r="N115" s="4" t="str">
        <f>HYPERLINK("http://141.218.60.56/~jnz1568/getInfo.php?workbook=08_06.xlsx&amp;sheet=A0&amp;row=115&amp;col=14&amp;number=2912000000&amp;sourceID=7","2912000000")</f>
        <v>2912000000</v>
      </c>
      <c r="O115" s="4" t="str">
        <f>HYPERLINK("http://141.218.60.56/~jnz1568/getInfo.php?workbook=08_06.xlsx&amp;sheet=A0&amp;row=115&amp;col=15&amp;number=&amp;sourceID=5","")</f>
        <v/>
      </c>
      <c r="P115" s="4" t="str">
        <f>HYPERLINK("http://141.218.60.56/~jnz1568/getInfo.php?workbook=08_06.xlsx&amp;sheet=A0&amp;row=115&amp;col=16&amp;number=&amp;sourceID=5","")</f>
        <v/>
      </c>
      <c r="Q115" s="4" t="str">
        <f>HYPERLINK("http://141.218.60.56/~jnz1568/getInfo.php?workbook=08_06.xlsx&amp;sheet=A0&amp;row=115&amp;col=17&amp;number=&amp;sourceID=6","")</f>
        <v/>
      </c>
    </row>
    <row r="116" spans="1:17">
      <c r="A116" s="3">
        <v>8</v>
      </c>
      <c r="B116" s="3">
        <v>6</v>
      </c>
      <c r="C116" s="3">
        <v>19</v>
      </c>
      <c r="D116" s="3">
        <v>5</v>
      </c>
      <c r="E116" s="3">
        <f>((1/(INDEX(E0!J$4:J$49,C116,1)-INDEX(E0!J$4:J$49,D116,1))))*100000000</f>
        <v>0</v>
      </c>
      <c r="F116" s="4" t="str">
        <f>HYPERLINK("http://141.218.60.56/~jnz1568/getInfo.php?workbook=08_06.xlsx&amp;sheet=A0&amp;row=116&amp;col=6&amp;number=1647100000&amp;sourceID=3","1647100000")</f>
        <v>1647100000</v>
      </c>
      <c r="G116" s="4" t="str">
        <f>HYPERLINK("http://141.218.60.56/~jnz1568/getInfo.php?workbook=08_06.xlsx&amp;sheet=A0&amp;row=116&amp;col=7&amp;number=&amp;sourceID=3","")</f>
        <v/>
      </c>
      <c r="H116" s="4" t="str">
        <f>HYPERLINK("http://141.218.60.56/~jnz1568/getInfo.php?workbook=08_06.xlsx&amp;sheet=A0&amp;row=116&amp;col=8&amp;number=&amp;sourceID=3","")</f>
        <v/>
      </c>
      <c r="I116" s="4" t="str">
        <f>HYPERLINK("http://141.218.60.56/~jnz1568/getInfo.php?workbook=08_06.xlsx&amp;sheet=A0&amp;row=116&amp;col=9&amp;number=&amp;sourceID=3","")</f>
        <v/>
      </c>
      <c r="J116" s="4" t="str">
        <f>HYPERLINK("http://141.218.60.56/~jnz1568/getInfo.php?workbook=08_06.xlsx&amp;sheet=A0&amp;row=116&amp;col=10&amp;number=1659700000&amp;sourceID=3","1659700000")</f>
        <v>1659700000</v>
      </c>
      <c r="K116" s="4" t="str">
        <f>HYPERLINK("http://141.218.60.56/~jnz1568/getInfo.php?workbook=08_06.xlsx&amp;sheet=A0&amp;row=116&amp;col=11&amp;number=&amp;sourceID=3","")</f>
        <v/>
      </c>
      <c r="L116" s="4" t="str">
        <f>HYPERLINK("http://141.218.60.56/~jnz1568/getInfo.php?workbook=08_06.xlsx&amp;sheet=A0&amp;row=116&amp;col=12&amp;number=&amp;sourceID=3","")</f>
        <v/>
      </c>
      <c r="M116" s="4" t="str">
        <f>HYPERLINK("http://141.218.60.56/~jnz1568/getInfo.php?workbook=08_06.xlsx&amp;sheet=A0&amp;row=116&amp;col=13&amp;number=&amp;sourceID=3","")</f>
        <v/>
      </c>
      <c r="N116" s="4" t="str">
        <f>HYPERLINK("http://141.218.60.56/~jnz1568/getInfo.php?workbook=08_06.xlsx&amp;sheet=A0&amp;row=116&amp;col=14&amp;number=1646000000&amp;sourceID=7","1646000000")</f>
        <v>1646000000</v>
      </c>
      <c r="O116" s="4" t="str">
        <f>HYPERLINK("http://141.218.60.56/~jnz1568/getInfo.php?workbook=08_06.xlsx&amp;sheet=A0&amp;row=116&amp;col=15&amp;number=&amp;sourceID=5","")</f>
        <v/>
      </c>
      <c r="P116" s="4" t="str">
        <f>HYPERLINK("http://141.218.60.56/~jnz1568/getInfo.php?workbook=08_06.xlsx&amp;sheet=A0&amp;row=116&amp;col=16&amp;number=&amp;sourceID=5","")</f>
        <v/>
      </c>
      <c r="Q116" s="4" t="str">
        <f>HYPERLINK("http://141.218.60.56/~jnz1568/getInfo.php?workbook=08_06.xlsx&amp;sheet=A0&amp;row=116&amp;col=17&amp;number=&amp;sourceID=6","")</f>
        <v/>
      </c>
    </row>
    <row r="117" spans="1:17">
      <c r="A117" s="3">
        <v>8</v>
      </c>
      <c r="B117" s="3">
        <v>6</v>
      </c>
      <c r="C117" s="3">
        <v>20</v>
      </c>
      <c r="D117" s="3">
        <v>6</v>
      </c>
      <c r="E117" s="3">
        <f>((1/(INDEX(E0!J$4:J$49,C117,1)-INDEX(E0!J$4:J$49,D117,1))))*100000000</f>
        <v>0</v>
      </c>
      <c r="F117" s="4" t="str">
        <f>HYPERLINK("http://141.218.60.56/~jnz1568/getInfo.php?workbook=08_06.xlsx&amp;sheet=A0&amp;row=117&amp;col=6&amp;number=19939&amp;sourceID=3","19939")</f>
        <v>19939</v>
      </c>
      <c r="G117" s="4" t="str">
        <f>HYPERLINK("http://141.218.60.56/~jnz1568/getInfo.php?workbook=08_06.xlsx&amp;sheet=A0&amp;row=117&amp;col=7&amp;number=&amp;sourceID=3","")</f>
        <v/>
      </c>
      <c r="H117" s="4" t="str">
        <f>HYPERLINK("http://141.218.60.56/~jnz1568/getInfo.php?workbook=08_06.xlsx&amp;sheet=A0&amp;row=117&amp;col=8&amp;number=&amp;sourceID=3","")</f>
        <v/>
      </c>
      <c r="I117" s="4" t="str">
        <f>HYPERLINK("http://141.218.60.56/~jnz1568/getInfo.php?workbook=08_06.xlsx&amp;sheet=A0&amp;row=117&amp;col=9&amp;number=&amp;sourceID=3","")</f>
        <v/>
      </c>
      <c r="J117" s="4" t="str">
        <f>HYPERLINK("http://141.218.60.56/~jnz1568/getInfo.php?workbook=08_06.xlsx&amp;sheet=A0&amp;row=117&amp;col=10&amp;number=19969&amp;sourceID=3","19969")</f>
        <v>19969</v>
      </c>
      <c r="K117" s="4" t="str">
        <f>HYPERLINK("http://141.218.60.56/~jnz1568/getInfo.php?workbook=08_06.xlsx&amp;sheet=A0&amp;row=117&amp;col=11&amp;number=&amp;sourceID=3","")</f>
        <v/>
      </c>
      <c r="L117" s="4" t="str">
        <f>HYPERLINK("http://141.218.60.56/~jnz1568/getInfo.php?workbook=08_06.xlsx&amp;sheet=A0&amp;row=117&amp;col=12&amp;number=&amp;sourceID=3","")</f>
        <v/>
      </c>
      <c r="M117" s="4" t="str">
        <f>HYPERLINK("http://141.218.60.56/~jnz1568/getInfo.php?workbook=08_06.xlsx&amp;sheet=A0&amp;row=117&amp;col=13&amp;number=&amp;sourceID=3","")</f>
        <v/>
      </c>
      <c r="N117" s="4" t="str">
        <f>HYPERLINK("http://141.218.60.56/~jnz1568/getInfo.php?workbook=08_06.xlsx&amp;sheet=A0&amp;row=117&amp;col=14&amp;number=17050&amp;sourceID=7","17050")</f>
        <v>17050</v>
      </c>
      <c r="O117" s="4" t="str">
        <f>HYPERLINK("http://141.218.60.56/~jnz1568/getInfo.php?workbook=08_06.xlsx&amp;sheet=A0&amp;row=117&amp;col=15&amp;number=&amp;sourceID=5","")</f>
        <v/>
      </c>
      <c r="P117" s="4" t="str">
        <f>HYPERLINK("http://141.218.60.56/~jnz1568/getInfo.php?workbook=08_06.xlsx&amp;sheet=A0&amp;row=117&amp;col=16&amp;number=&amp;sourceID=5","")</f>
        <v/>
      </c>
      <c r="Q117" s="4" t="str">
        <f>HYPERLINK("http://141.218.60.56/~jnz1568/getInfo.php?workbook=08_06.xlsx&amp;sheet=A0&amp;row=117&amp;col=17&amp;number=&amp;sourceID=6","")</f>
        <v/>
      </c>
    </row>
    <row r="118" spans="1:17">
      <c r="A118" s="3">
        <v>8</v>
      </c>
      <c r="B118" s="3">
        <v>6</v>
      </c>
      <c r="C118" s="3">
        <v>20</v>
      </c>
      <c r="D118" s="3">
        <v>7</v>
      </c>
      <c r="E118" s="3">
        <f>((1/(INDEX(E0!J$4:J$49,C118,1)-INDEX(E0!J$4:J$49,D118,1))))*100000000</f>
        <v>0</v>
      </c>
      <c r="F118" s="4" t="str">
        <f>HYPERLINK("http://141.218.60.56/~jnz1568/getInfo.php?workbook=08_06.xlsx&amp;sheet=A0&amp;row=118&amp;col=6&amp;number=4079500000&amp;sourceID=3","4079500000")</f>
        <v>4079500000</v>
      </c>
      <c r="G118" s="4" t="str">
        <f>HYPERLINK("http://141.218.60.56/~jnz1568/getInfo.php?workbook=08_06.xlsx&amp;sheet=A0&amp;row=118&amp;col=7&amp;number=&amp;sourceID=3","")</f>
        <v/>
      </c>
      <c r="H118" s="4" t="str">
        <f>HYPERLINK("http://141.218.60.56/~jnz1568/getInfo.php?workbook=08_06.xlsx&amp;sheet=A0&amp;row=118&amp;col=8&amp;number=&amp;sourceID=3","")</f>
        <v/>
      </c>
      <c r="I118" s="4" t="str">
        <f>HYPERLINK("http://141.218.60.56/~jnz1568/getInfo.php?workbook=08_06.xlsx&amp;sheet=A0&amp;row=118&amp;col=9&amp;number=&amp;sourceID=3","")</f>
        <v/>
      </c>
      <c r="J118" s="4" t="str">
        <f>HYPERLINK("http://141.218.60.56/~jnz1568/getInfo.php?workbook=08_06.xlsx&amp;sheet=A0&amp;row=118&amp;col=10&amp;number=4121100000&amp;sourceID=3","4121100000")</f>
        <v>4121100000</v>
      </c>
      <c r="K118" s="4" t="str">
        <f>HYPERLINK("http://141.218.60.56/~jnz1568/getInfo.php?workbook=08_06.xlsx&amp;sheet=A0&amp;row=118&amp;col=11&amp;number=&amp;sourceID=3","")</f>
        <v/>
      </c>
      <c r="L118" s="4" t="str">
        <f>HYPERLINK("http://141.218.60.56/~jnz1568/getInfo.php?workbook=08_06.xlsx&amp;sheet=A0&amp;row=118&amp;col=12&amp;number=&amp;sourceID=3","")</f>
        <v/>
      </c>
      <c r="M118" s="4" t="str">
        <f>HYPERLINK("http://141.218.60.56/~jnz1568/getInfo.php?workbook=08_06.xlsx&amp;sheet=A0&amp;row=118&amp;col=13&amp;number=&amp;sourceID=3","")</f>
        <v/>
      </c>
      <c r="N118" s="4" t="str">
        <f>HYPERLINK("http://141.218.60.56/~jnz1568/getInfo.php?workbook=08_06.xlsx&amp;sheet=A0&amp;row=118&amp;col=14&amp;number=4555000000&amp;sourceID=7","4555000000")</f>
        <v>4555000000</v>
      </c>
      <c r="O118" s="4" t="str">
        <f>HYPERLINK("http://141.218.60.56/~jnz1568/getInfo.php?workbook=08_06.xlsx&amp;sheet=A0&amp;row=118&amp;col=15&amp;number=&amp;sourceID=5","")</f>
        <v/>
      </c>
      <c r="P118" s="4" t="str">
        <f>HYPERLINK("http://141.218.60.56/~jnz1568/getInfo.php?workbook=08_06.xlsx&amp;sheet=A0&amp;row=118&amp;col=16&amp;number=&amp;sourceID=5","")</f>
        <v/>
      </c>
      <c r="Q118" s="4" t="str">
        <f>HYPERLINK("http://141.218.60.56/~jnz1568/getInfo.php?workbook=08_06.xlsx&amp;sheet=A0&amp;row=118&amp;col=17&amp;number=&amp;sourceID=6","")</f>
        <v/>
      </c>
    </row>
    <row r="119" spans="1:17">
      <c r="A119" s="3">
        <v>8</v>
      </c>
      <c r="B119" s="3">
        <v>6</v>
      </c>
      <c r="C119" s="3">
        <v>20</v>
      </c>
      <c r="D119" s="3">
        <v>8</v>
      </c>
      <c r="E119" s="3">
        <f>((1/(INDEX(E0!J$4:J$49,C119,1)-INDEX(E0!J$4:J$49,D119,1))))*100000000</f>
        <v>0</v>
      </c>
      <c r="F119" s="4" t="str">
        <f>HYPERLINK("http://141.218.60.56/~jnz1568/getInfo.php?workbook=08_06.xlsx&amp;sheet=A0&amp;row=119&amp;col=6&amp;number=741900000&amp;sourceID=3","741900000")</f>
        <v>741900000</v>
      </c>
      <c r="G119" s="4" t="str">
        <f>HYPERLINK("http://141.218.60.56/~jnz1568/getInfo.php?workbook=08_06.xlsx&amp;sheet=A0&amp;row=119&amp;col=7&amp;number=&amp;sourceID=3","")</f>
        <v/>
      </c>
      <c r="H119" s="4" t="str">
        <f>HYPERLINK("http://141.218.60.56/~jnz1568/getInfo.php?workbook=08_06.xlsx&amp;sheet=A0&amp;row=119&amp;col=8&amp;number=&amp;sourceID=3","")</f>
        <v/>
      </c>
      <c r="I119" s="4" t="str">
        <f>HYPERLINK("http://141.218.60.56/~jnz1568/getInfo.php?workbook=08_06.xlsx&amp;sheet=A0&amp;row=119&amp;col=9&amp;number=&amp;sourceID=3","")</f>
        <v/>
      </c>
      <c r="J119" s="4" t="str">
        <f>HYPERLINK("http://141.218.60.56/~jnz1568/getInfo.php?workbook=08_06.xlsx&amp;sheet=A0&amp;row=119&amp;col=10&amp;number=749360000&amp;sourceID=3","749360000")</f>
        <v>749360000</v>
      </c>
      <c r="K119" s="4" t="str">
        <f>HYPERLINK("http://141.218.60.56/~jnz1568/getInfo.php?workbook=08_06.xlsx&amp;sheet=A0&amp;row=119&amp;col=11&amp;number=&amp;sourceID=3","")</f>
        <v/>
      </c>
      <c r="L119" s="4" t="str">
        <f>HYPERLINK("http://141.218.60.56/~jnz1568/getInfo.php?workbook=08_06.xlsx&amp;sheet=A0&amp;row=119&amp;col=12&amp;number=&amp;sourceID=3","")</f>
        <v/>
      </c>
      <c r="M119" s="4" t="str">
        <f>HYPERLINK("http://141.218.60.56/~jnz1568/getInfo.php?workbook=08_06.xlsx&amp;sheet=A0&amp;row=119&amp;col=13&amp;number=&amp;sourceID=3","")</f>
        <v/>
      </c>
      <c r="N119" s="4" t="str">
        <f>HYPERLINK("http://141.218.60.56/~jnz1568/getInfo.php?workbook=08_06.xlsx&amp;sheet=A0&amp;row=119&amp;col=14&amp;number=825000000&amp;sourceID=7","825000000")</f>
        <v>825000000</v>
      </c>
      <c r="O119" s="4" t="str">
        <f>HYPERLINK("http://141.218.60.56/~jnz1568/getInfo.php?workbook=08_06.xlsx&amp;sheet=A0&amp;row=119&amp;col=15&amp;number=&amp;sourceID=5","")</f>
        <v/>
      </c>
      <c r="P119" s="4" t="str">
        <f>HYPERLINK("http://141.218.60.56/~jnz1568/getInfo.php?workbook=08_06.xlsx&amp;sheet=A0&amp;row=119&amp;col=16&amp;number=&amp;sourceID=5","")</f>
        <v/>
      </c>
      <c r="Q119" s="4" t="str">
        <f>HYPERLINK("http://141.218.60.56/~jnz1568/getInfo.php?workbook=08_06.xlsx&amp;sheet=A0&amp;row=119&amp;col=17&amp;number=&amp;sourceID=6","")</f>
        <v/>
      </c>
    </row>
    <row r="120" spans="1:17">
      <c r="A120" s="3">
        <v>8</v>
      </c>
      <c r="B120" s="3">
        <v>6</v>
      </c>
      <c r="C120" s="3">
        <v>20</v>
      </c>
      <c r="D120" s="3">
        <v>9</v>
      </c>
      <c r="E120" s="3">
        <f>((1/(INDEX(E0!J$4:J$49,C120,1)-INDEX(E0!J$4:J$49,D120,1))))*100000000</f>
        <v>0</v>
      </c>
      <c r="F120" s="4" t="str">
        <f>HYPERLINK("http://141.218.60.56/~jnz1568/getInfo.php?workbook=08_06.xlsx&amp;sheet=A0&amp;row=120&amp;col=6&amp;number=50127000&amp;sourceID=3","50127000")</f>
        <v>50127000</v>
      </c>
      <c r="G120" s="4" t="str">
        <f>HYPERLINK("http://141.218.60.56/~jnz1568/getInfo.php?workbook=08_06.xlsx&amp;sheet=A0&amp;row=120&amp;col=7&amp;number=&amp;sourceID=3","")</f>
        <v/>
      </c>
      <c r="H120" s="4" t="str">
        <f>HYPERLINK("http://141.218.60.56/~jnz1568/getInfo.php?workbook=08_06.xlsx&amp;sheet=A0&amp;row=120&amp;col=8&amp;number=&amp;sourceID=3","")</f>
        <v/>
      </c>
      <c r="I120" s="4" t="str">
        <f>HYPERLINK("http://141.218.60.56/~jnz1568/getInfo.php?workbook=08_06.xlsx&amp;sheet=A0&amp;row=120&amp;col=9&amp;number=&amp;sourceID=3","")</f>
        <v/>
      </c>
      <c r="J120" s="4" t="str">
        <f>HYPERLINK("http://141.218.60.56/~jnz1568/getInfo.php?workbook=08_06.xlsx&amp;sheet=A0&amp;row=120&amp;col=10&amp;number=50625000&amp;sourceID=3","50625000")</f>
        <v>50625000</v>
      </c>
      <c r="K120" s="4" t="str">
        <f>HYPERLINK("http://141.218.60.56/~jnz1568/getInfo.php?workbook=08_06.xlsx&amp;sheet=A0&amp;row=120&amp;col=11&amp;number=&amp;sourceID=3","")</f>
        <v/>
      </c>
      <c r="L120" s="4" t="str">
        <f>HYPERLINK("http://141.218.60.56/~jnz1568/getInfo.php?workbook=08_06.xlsx&amp;sheet=A0&amp;row=120&amp;col=12&amp;number=&amp;sourceID=3","")</f>
        <v/>
      </c>
      <c r="M120" s="4" t="str">
        <f>HYPERLINK("http://141.218.60.56/~jnz1568/getInfo.php?workbook=08_06.xlsx&amp;sheet=A0&amp;row=120&amp;col=13&amp;number=&amp;sourceID=3","")</f>
        <v/>
      </c>
      <c r="N120" s="4" t="str">
        <f>HYPERLINK("http://141.218.60.56/~jnz1568/getInfo.php?workbook=08_06.xlsx&amp;sheet=A0&amp;row=120&amp;col=14&amp;number=55580000&amp;sourceID=7","55580000")</f>
        <v>55580000</v>
      </c>
      <c r="O120" s="4" t="str">
        <f>HYPERLINK("http://141.218.60.56/~jnz1568/getInfo.php?workbook=08_06.xlsx&amp;sheet=A0&amp;row=120&amp;col=15&amp;number=&amp;sourceID=5","")</f>
        <v/>
      </c>
      <c r="P120" s="4" t="str">
        <f>HYPERLINK("http://141.218.60.56/~jnz1568/getInfo.php?workbook=08_06.xlsx&amp;sheet=A0&amp;row=120&amp;col=16&amp;number=&amp;sourceID=5","")</f>
        <v/>
      </c>
      <c r="Q120" s="4" t="str">
        <f>HYPERLINK("http://141.218.60.56/~jnz1568/getInfo.php?workbook=08_06.xlsx&amp;sheet=A0&amp;row=120&amp;col=17&amp;number=&amp;sourceID=6","")</f>
        <v/>
      </c>
    </row>
    <row r="121" spans="1:17">
      <c r="A121" s="3">
        <v>8</v>
      </c>
      <c r="B121" s="3">
        <v>6</v>
      </c>
      <c r="C121" s="3">
        <v>20</v>
      </c>
      <c r="D121" s="3">
        <v>10</v>
      </c>
      <c r="E121" s="3">
        <f>((1/(INDEX(E0!J$4:J$49,C121,1)-INDEX(E0!J$4:J$49,D121,1))))*100000000</f>
        <v>0</v>
      </c>
      <c r="F121" s="4" t="str">
        <f>HYPERLINK("http://141.218.60.56/~jnz1568/getInfo.php?workbook=08_06.xlsx&amp;sheet=A0&amp;row=121&amp;col=6&amp;number=557020000&amp;sourceID=3","557020000")</f>
        <v>557020000</v>
      </c>
      <c r="G121" s="4" t="str">
        <f>HYPERLINK("http://141.218.60.56/~jnz1568/getInfo.php?workbook=08_06.xlsx&amp;sheet=A0&amp;row=121&amp;col=7&amp;number=&amp;sourceID=3","")</f>
        <v/>
      </c>
      <c r="H121" s="4" t="str">
        <f>HYPERLINK("http://141.218.60.56/~jnz1568/getInfo.php?workbook=08_06.xlsx&amp;sheet=A0&amp;row=121&amp;col=8&amp;number=&amp;sourceID=3","")</f>
        <v/>
      </c>
      <c r="I121" s="4" t="str">
        <f>HYPERLINK("http://141.218.60.56/~jnz1568/getInfo.php?workbook=08_06.xlsx&amp;sheet=A0&amp;row=121&amp;col=9&amp;number=&amp;sourceID=3","")</f>
        <v/>
      </c>
      <c r="J121" s="4" t="str">
        <f>HYPERLINK("http://141.218.60.56/~jnz1568/getInfo.php?workbook=08_06.xlsx&amp;sheet=A0&amp;row=121&amp;col=10&amp;number=560540000&amp;sourceID=3","560540000")</f>
        <v>560540000</v>
      </c>
      <c r="K121" s="4" t="str">
        <f>HYPERLINK("http://141.218.60.56/~jnz1568/getInfo.php?workbook=08_06.xlsx&amp;sheet=A0&amp;row=121&amp;col=11&amp;number=&amp;sourceID=3","")</f>
        <v/>
      </c>
      <c r="L121" s="4" t="str">
        <f>HYPERLINK("http://141.218.60.56/~jnz1568/getInfo.php?workbook=08_06.xlsx&amp;sheet=A0&amp;row=121&amp;col=12&amp;number=&amp;sourceID=3","")</f>
        <v/>
      </c>
      <c r="M121" s="4" t="str">
        <f>HYPERLINK("http://141.218.60.56/~jnz1568/getInfo.php?workbook=08_06.xlsx&amp;sheet=A0&amp;row=121&amp;col=13&amp;number=&amp;sourceID=3","")</f>
        <v/>
      </c>
      <c r="N121" s="4" t="str">
        <f>HYPERLINK("http://141.218.60.56/~jnz1568/getInfo.php?workbook=08_06.xlsx&amp;sheet=A0&amp;row=121&amp;col=14&amp;number=529700000&amp;sourceID=7","529700000")</f>
        <v>529700000</v>
      </c>
      <c r="O121" s="4" t="str">
        <f>HYPERLINK("http://141.218.60.56/~jnz1568/getInfo.php?workbook=08_06.xlsx&amp;sheet=A0&amp;row=121&amp;col=15&amp;number=&amp;sourceID=5","")</f>
        <v/>
      </c>
      <c r="P121" s="4" t="str">
        <f>HYPERLINK("http://141.218.60.56/~jnz1568/getInfo.php?workbook=08_06.xlsx&amp;sheet=A0&amp;row=121&amp;col=16&amp;number=&amp;sourceID=5","")</f>
        <v/>
      </c>
      <c r="Q121" s="4" t="str">
        <f>HYPERLINK("http://141.218.60.56/~jnz1568/getInfo.php?workbook=08_06.xlsx&amp;sheet=A0&amp;row=121&amp;col=17&amp;number=&amp;sourceID=6","")</f>
        <v/>
      </c>
    </row>
    <row r="122" spans="1:17">
      <c r="A122" s="3">
        <v>8</v>
      </c>
      <c r="B122" s="3">
        <v>6</v>
      </c>
      <c r="C122" s="3">
        <v>20</v>
      </c>
      <c r="D122" s="3">
        <v>11</v>
      </c>
      <c r="E122" s="3">
        <f>((1/(INDEX(E0!J$4:J$49,C122,1)-INDEX(E0!J$4:J$49,D122,1))))*100000000</f>
        <v>0</v>
      </c>
      <c r="F122" s="4" t="str">
        <f>HYPERLINK("http://141.218.60.56/~jnz1568/getInfo.php?workbook=08_06.xlsx&amp;sheet=A0&amp;row=122&amp;col=6&amp;number=190340000&amp;sourceID=3","190340000")</f>
        <v>190340000</v>
      </c>
      <c r="G122" s="4" t="str">
        <f>HYPERLINK("http://141.218.60.56/~jnz1568/getInfo.php?workbook=08_06.xlsx&amp;sheet=A0&amp;row=122&amp;col=7&amp;number=&amp;sourceID=3","")</f>
        <v/>
      </c>
      <c r="H122" s="4" t="str">
        <f>HYPERLINK("http://141.218.60.56/~jnz1568/getInfo.php?workbook=08_06.xlsx&amp;sheet=A0&amp;row=122&amp;col=8&amp;number=&amp;sourceID=3","")</f>
        <v/>
      </c>
      <c r="I122" s="4" t="str">
        <f>HYPERLINK("http://141.218.60.56/~jnz1568/getInfo.php?workbook=08_06.xlsx&amp;sheet=A0&amp;row=122&amp;col=9&amp;number=&amp;sourceID=3","")</f>
        <v/>
      </c>
      <c r="J122" s="4" t="str">
        <f>HYPERLINK("http://141.218.60.56/~jnz1568/getInfo.php?workbook=08_06.xlsx&amp;sheet=A0&amp;row=122&amp;col=10&amp;number=191560000&amp;sourceID=3","191560000")</f>
        <v>191560000</v>
      </c>
      <c r="K122" s="4" t="str">
        <f>HYPERLINK("http://141.218.60.56/~jnz1568/getInfo.php?workbook=08_06.xlsx&amp;sheet=A0&amp;row=122&amp;col=11&amp;number=&amp;sourceID=3","")</f>
        <v/>
      </c>
      <c r="L122" s="4" t="str">
        <f>HYPERLINK("http://141.218.60.56/~jnz1568/getInfo.php?workbook=08_06.xlsx&amp;sheet=A0&amp;row=122&amp;col=12&amp;number=&amp;sourceID=3","")</f>
        <v/>
      </c>
      <c r="M122" s="4" t="str">
        <f>HYPERLINK("http://141.218.60.56/~jnz1568/getInfo.php?workbook=08_06.xlsx&amp;sheet=A0&amp;row=122&amp;col=13&amp;number=&amp;sourceID=3","")</f>
        <v/>
      </c>
      <c r="N122" s="4" t="str">
        <f>HYPERLINK("http://141.218.60.56/~jnz1568/getInfo.php?workbook=08_06.xlsx&amp;sheet=A0&amp;row=122&amp;col=14&amp;number=181000000&amp;sourceID=7","181000000")</f>
        <v>181000000</v>
      </c>
      <c r="O122" s="4" t="str">
        <f>HYPERLINK("http://141.218.60.56/~jnz1568/getInfo.php?workbook=08_06.xlsx&amp;sheet=A0&amp;row=122&amp;col=15&amp;number=&amp;sourceID=5","")</f>
        <v/>
      </c>
      <c r="P122" s="4" t="str">
        <f>HYPERLINK("http://141.218.60.56/~jnz1568/getInfo.php?workbook=08_06.xlsx&amp;sheet=A0&amp;row=122&amp;col=16&amp;number=&amp;sourceID=5","")</f>
        <v/>
      </c>
      <c r="Q122" s="4" t="str">
        <f>HYPERLINK("http://141.218.60.56/~jnz1568/getInfo.php?workbook=08_06.xlsx&amp;sheet=A0&amp;row=122&amp;col=17&amp;number=&amp;sourceID=6","")</f>
        <v/>
      </c>
    </row>
    <row r="123" spans="1:17">
      <c r="A123" s="3">
        <v>8</v>
      </c>
      <c r="B123" s="3">
        <v>6</v>
      </c>
      <c r="C123" s="3">
        <v>20</v>
      </c>
      <c r="D123" s="3">
        <v>13</v>
      </c>
      <c r="E123" s="3">
        <f>((1/(INDEX(E0!J$4:J$49,C123,1)-INDEX(E0!J$4:J$49,D123,1))))*100000000</f>
        <v>0</v>
      </c>
      <c r="F123" s="4" t="str">
        <f>HYPERLINK("http://141.218.60.56/~jnz1568/getInfo.php?workbook=08_06.xlsx&amp;sheet=A0&amp;row=123&amp;col=6&amp;number=98629&amp;sourceID=3","98629")</f>
        <v>98629</v>
      </c>
      <c r="G123" s="4" t="str">
        <f>HYPERLINK("http://141.218.60.56/~jnz1568/getInfo.php?workbook=08_06.xlsx&amp;sheet=A0&amp;row=123&amp;col=7&amp;number=&amp;sourceID=3","")</f>
        <v/>
      </c>
      <c r="H123" s="4" t="str">
        <f>HYPERLINK("http://141.218.60.56/~jnz1568/getInfo.php?workbook=08_06.xlsx&amp;sheet=A0&amp;row=123&amp;col=8&amp;number=&amp;sourceID=3","")</f>
        <v/>
      </c>
      <c r="I123" s="4" t="str">
        <f>HYPERLINK("http://141.218.60.56/~jnz1568/getInfo.php?workbook=08_06.xlsx&amp;sheet=A0&amp;row=123&amp;col=9&amp;number=&amp;sourceID=3","")</f>
        <v/>
      </c>
      <c r="J123" s="4" t="str">
        <f>HYPERLINK("http://141.218.60.56/~jnz1568/getInfo.php?workbook=08_06.xlsx&amp;sheet=A0&amp;row=123&amp;col=10&amp;number=97053&amp;sourceID=3","97053")</f>
        <v>97053</v>
      </c>
      <c r="K123" s="4" t="str">
        <f>HYPERLINK("http://141.218.60.56/~jnz1568/getInfo.php?workbook=08_06.xlsx&amp;sheet=A0&amp;row=123&amp;col=11&amp;number=&amp;sourceID=3","")</f>
        <v/>
      </c>
      <c r="L123" s="4" t="str">
        <f>HYPERLINK("http://141.218.60.56/~jnz1568/getInfo.php?workbook=08_06.xlsx&amp;sheet=A0&amp;row=123&amp;col=12&amp;number=&amp;sourceID=3","")</f>
        <v/>
      </c>
      <c r="M123" s="4" t="str">
        <f>HYPERLINK("http://141.218.60.56/~jnz1568/getInfo.php?workbook=08_06.xlsx&amp;sheet=A0&amp;row=123&amp;col=13&amp;number=&amp;sourceID=3","")</f>
        <v/>
      </c>
      <c r="N123" s="4" t="str">
        <f>HYPERLINK("http://141.218.60.56/~jnz1568/getInfo.php?workbook=08_06.xlsx&amp;sheet=A0&amp;row=123&amp;col=14&amp;number=79550&amp;sourceID=7","79550")</f>
        <v>79550</v>
      </c>
      <c r="O123" s="4" t="str">
        <f>HYPERLINK("http://141.218.60.56/~jnz1568/getInfo.php?workbook=08_06.xlsx&amp;sheet=A0&amp;row=123&amp;col=15&amp;number=&amp;sourceID=5","")</f>
        <v/>
      </c>
      <c r="P123" s="4" t="str">
        <f>HYPERLINK("http://141.218.60.56/~jnz1568/getInfo.php?workbook=08_06.xlsx&amp;sheet=A0&amp;row=123&amp;col=16&amp;number=&amp;sourceID=5","")</f>
        <v/>
      </c>
      <c r="Q123" s="4" t="str">
        <f>HYPERLINK("http://141.218.60.56/~jnz1568/getInfo.php?workbook=08_06.xlsx&amp;sheet=A0&amp;row=123&amp;col=17&amp;number=&amp;sourceID=6","")</f>
        <v/>
      </c>
    </row>
    <row r="124" spans="1:17">
      <c r="A124" s="3">
        <v>8</v>
      </c>
      <c r="B124" s="3">
        <v>6</v>
      </c>
      <c r="C124" s="3">
        <v>20</v>
      </c>
      <c r="D124" s="3">
        <v>14</v>
      </c>
      <c r="E124" s="3">
        <f>((1/(INDEX(E0!J$4:J$49,C124,1)-INDEX(E0!J$4:J$49,D124,1))))*100000000</f>
        <v>0</v>
      </c>
      <c r="F124" s="4" t="str">
        <f>HYPERLINK("http://141.218.60.56/~jnz1568/getInfo.php?workbook=08_06.xlsx&amp;sheet=A0&amp;row=124&amp;col=6&amp;number=431290000&amp;sourceID=3","431290000")</f>
        <v>431290000</v>
      </c>
      <c r="G124" s="4" t="str">
        <f>HYPERLINK("http://141.218.60.56/~jnz1568/getInfo.php?workbook=08_06.xlsx&amp;sheet=A0&amp;row=124&amp;col=7&amp;number=&amp;sourceID=3","")</f>
        <v/>
      </c>
      <c r="H124" s="4" t="str">
        <f>HYPERLINK("http://141.218.60.56/~jnz1568/getInfo.php?workbook=08_06.xlsx&amp;sheet=A0&amp;row=124&amp;col=8&amp;number=&amp;sourceID=3","")</f>
        <v/>
      </c>
      <c r="I124" s="4" t="str">
        <f>HYPERLINK("http://141.218.60.56/~jnz1568/getInfo.php?workbook=08_06.xlsx&amp;sheet=A0&amp;row=124&amp;col=9&amp;number=&amp;sourceID=3","")</f>
        <v/>
      </c>
      <c r="J124" s="4" t="str">
        <f>HYPERLINK("http://141.218.60.56/~jnz1568/getInfo.php?workbook=08_06.xlsx&amp;sheet=A0&amp;row=124&amp;col=10&amp;number=437630000&amp;sourceID=3","437630000")</f>
        <v>437630000</v>
      </c>
      <c r="K124" s="4" t="str">
        <f>HYPERLINK("http://141.218.60.56/~jnz1568/getInfo.php?workbook=08_06.xlsx&amp;sheet=A0&amp;row=124&amp;col=11&amp;number=&amp;sourceID=3","")</f>
        <v/>
      </c>
      <c r="L124" s="4" t="str">
        <f>HYPERLINK("http://141.218.60.56/~jnz1568/getInfo.php?workbook=08_06.xlsx&amp;sheet=A0&amp;row=124&amp;col=12&amp;number=&amp;sourceID=3","")</f>
        <v/>
      </c>
      <c r="M124" s="4" t="str">
        <f>HYPERLINK("http://141.218.60.56/~jnz1568/getInfo.php?workbook=08_06.xlsx&amp;sheet=A0&amp;row=124&amp;col=13&amp;number=&amp;sourceID=3","")</f>
        <v/>
      </c>
      <c r="N124" s="4" t="str">
        <f>HYPERLINK("http://141.218.60.56/~jnz1568/getInfo.php?workbook=08_06.xlsx&amp;sheet=A0&amp;row=124&amp;col=14&amp;number=448400000&amp;sourceID=7","448400000")</f>
        <v>448400000</v>
      </c>
      <c r="O124" s="4" t="str">
        <f>HYPERLINK("http://141.218.60.56/~jnz1568/getInfo.php?workbook=08_06.xlsx&amp;sheet=A0&amp;row=124&amp;col=15&amp;number=&amp;sourceID=5","")</f>
        <v/>
      </c>
      <c r="P124" s="4" t="str">
        <f>HYPERLINK("http://141.218.60.56/~jnz1568/getInfo.php?workbook=08_06.xlsx&amp;sheet=A0&amp;row=124&amp;col=16&amp;number=&amp;sourceID=5","")</f>
        <v/>
      </c>
      <c r="Q124" s="4" t="str">
        <f>HYPERLINK("http://141.218.60.56/~jnz1568/getInfo.php?workbook=08_06.xlsx&amp;sheet=A0&amp;row=124&amp;col=17&amp;number=&amp;sourceID=6","")</f>
        <v/>
      </c>
    </row>
    <row r="125" spans="1:17">
      <c r="A125" s="3">
        <v>8</v>
      </c>
      <c r="B125" s="3">
        <v>6</v>
      </c>
      <c r="C125" s="3">
        <v>20</v>
      </c>
      <c r="D125" s="3">
        <v>15</v>
      </c>
      <c r="E125" s="3">
        <f>((1/(INDEX(E0!J$4:J$49,C125,1)-INDEX(E0!J$4:J$49,D125,1))))*100000000</f>
        <v>0</v>
      </c>
      <c r="F125" s="4" t="str">
        <f>HYPERLINK("http://141.218.60.56/~jnz1568/getInfo.php?workbook=08_06.xlsx&amp;sheet=A0&amp;row=125&amp;col=6&amp;number=14647&amp;sourceID=3","14647")</f>
        <v>14647</v>
      </c>
      <c r="G125" s="4" t="str">
        <f>HYPERLINK("http://141.218.60.56/~jnz1568/getInfo.php?workbook=08_06.xlsx&amp;sheet=A0&amp;row=125&amp;col=7&amp;number=&amp;sourceID=3","")</f>
        <v/>
      </c>
      <c r="H125" s="4" t="str">
        <f>HYPERLINK("http://141.218.60.56/~jnz1568/getInfo.php?workbook=08_06.xlsx&amp;sheet=A0&amp;row=125&amp;col=8&amp;number=&amp;sourceID=3","")</f>
        <v/>
      </c>
      <c r="I125" s="4" t="str">
        <f>HYPERLINK("http://141.218.60.56/~jnz1568/getInfo.php?workbook=08_06.xlsx&amp;sheet=A0&amp;row=125&amp;col=9&amp;number=&amp;sourceID=3","")</f>
        <v/>
      </c>
      <c r="J125" s="4" t="str">
        <f>HYPERLINK("http://141.218.60.56/~jnz1568/getInfo.php?workbook=08_06.xlsx&amp;sheet=A0&amp;row=125&amp;col=10&amp;number=14191&amp;sourceID=3","14191")</f>
        <v>14191</v>
      </c>
      <c r="K125" s="4" t="str">
        <f>HYPERLINK("http://141.218.60.56/~jnz1568/getInfo.php?workbook=08_06.xlsx&amp;sheet=A0&amp;row=125&amp;col=11&amp;number=&amp;sourceID=3","")</f>
        <v/>
      </c>
      <c r="L125" s="4" t="str">
        <f>HYPERLINK("http://141.218.60.56/~jnz1568/getInfo.php?workbook=08_06.xlsx&amp;sheet=A0&amp;row=125&amp;col=12&amp;number=&amp;sourceID=3","")</f>
        <v/>
      </c>
      <c r="M125" s="4" t="str">
        <f>HYPERLINK("http://141.218.60.56/~jnz1568/getInfo.php?workbook=08_06.xlsx&amp;sheet=A0&amp;row=125&amp;col=13&amp;number=&amp;sourceID=3","")</f>
        <v/>
      </c>
      <c r="N125" s="4" t="str">
        <f>HYPERLINK("http://141.218.60.56/~jnz1568/getInfo.php?workbook=08_06.xlsx&amp;sheet=A0&amp;row=125&amp;col=14&amp;number=4272&amp;sourceID=7","4272")</f>
        <v>4272</v>
      </c>
      <c r="O125" s="4" t="str">
        <f>HYPERLINK("http://141.218.60.56/~jnz1568/getInfo.php?workbook=08_06.xlsx&amp;sheet=A0&amp;row=125&amp;col=15&amp;number=&amp;sourceID=5","")</f>
        <v/>
      </c>
      <c r="P125" s="4" t="str">
        <f>HYPERLINK("http://141.218.60.56/~jnz1568/getInfo.php?workbook=08_06.xlsx&amp;sheet=A0&amp;row=125&amp;col=16&amp;number=&amp;sourceID=5","")</f>
        <v/>
      </c>
      <c r="Q125" s="4" t="str">
        <f>HYPERLINK("http://141.218.60.56/~jnz1568/getInfo.php?workbook=08_06.xlsx&amp;sheet=A0&amp;row=125&amp;col=17&amp;number=&amp;sourceID=6","")</f>
        <v/>
      </c>
    </row>
    <row r="126" spans="1:17">
      <c r="A126" s="3">
        <v>8</v>
      </c>
      <c r="B126" s="3">
        <v>6</v>
      </c>
      <c r="C126" s="3">
        <v>20</v>
      </c>
      <c r="D126" s="3">
        <v>17</v>
      </c>
      <c r="E126" s="3">
        <f>((1/(INDEX(E0!J$4:J$49,C126,1)-INDEX(E0!J$4:J$49,D126,1))))*100000000</f>
        <v>0</v>
      </c>
      <c r="F126" s="4" t="str">
        <f>HYPERLINK("http://141.218.60.56/~jnz1568/getInfo.php?workbook=08_06.xlsx&amp;sheet=A0&amp;row=126&amp;col=6&amp;number=19030&amp;sourceID=3","19030")</f>
        <v>19030</v>
      </c>
      <c r="G126" s="4" t="str">
        <f>HYPERLINK("http://141.218.60.56/~jnz1568/getInfo.php?workbook=08_06.xlsx&amp;sheet=A0&amp;row=126&amp;col=7&amp;number=&amp;sourceID=3","")</f>
        <v/>
      </c>
      <c r="H126" s="4" t="str">
        <f>HYPERLINK("http://141.218.60.56/~jnz1568/getInfo.php?workbook=08_06.xlsx&amp;sheet=A0&amp;row=126&amp;col=8&amp;number=&amp;sourceID=3","")</f>
        <v/>
      </c>
      <c r="I126" s="4" t="str">
        <f>HYPERLINK("http://141.218.60.56/~jnz1568/getInfo.php?workbook=08_06.xlsx&amp;sheet=A0&amp;row=126&amp;col=9&amp;number=&amp;sourceID=3","")</f>
        <v/>
      </c>
      <c r="J126" s="4" t="str">
        <f>HYPERLINK("http://141.218.60.56/~jnz1568/getInfo.php?workbook=08_06.xlsx&amp;sheet=A0&amp;row=126&amp;col=10&amp;number=23480&amp;sourceID=3","23480")</f>
        <v>23480</v>
      </c>
      <c r="K126" s="4" t="str">
        <f>HYPERLINK("http://141.218.60.56/~jnz1568/getInfo.php?workbook=08_06.xlsx&amp;sheet=A0&amp;row=126&amp;col=11&amp;number=&amp;sourceID=3","")</f>
        <v/>
      </c>
      <c r="L126" s="4" t="str">
        <f>HYPERLINK("http://141.218.60.56/~jnz1568/getInfo.php?workbook=08_06.xlsx&amp;sheet=A0&amp;row=126&amp;col=12&amp;number=&amp;sourceID=3","")</f>
        <v/>
      </c>
      <c r="M126" s="4" t="str">
        <f>HYPERLINK("http://141.218.60.56/~jnz1568/getInfo.php?workbook=08_06.xlsx&amp;sheet=A0&amp;row=126&amp;col=13&amp;number=&amp;sourceID=3","")</f>
        <v/>
      </c>
      <c r="N126" s="4" t="str">
        <f>HYPERLINK("http://141.218.60.56/~jnz1568/getInfo.php?workbook=08_06.xlsx&amp;sheet=A0&amp;row=126&amp;col=14&amp;number=69800&amp;sourceID=7","69800")</f>
        <v>69800</v>
      </c>
      <c r="O126" s="4" t="str">
        <f>HYPERLINK("http://141.218.60.56/~jnz1568/getInfo.php?workbook=08_06.xlsx&amp;sheet=A0&amp;row=126&amp;col=15&amp;number=&amp;sourceID=5","")</f>
        <v/>
      </c>
      <c r="P126" s="4" t="str">
        <f>HYPERLINK("http://141.218.60.56/~jnz1568/getInfo.php?workbook=08_06.xlsx&amp;sheet=A0&amp;row=126&amp;col=16&amp;number=&amp;sourceID=5","")</f>
        <v/>
      </c>
      <c r="Q126" s="4" t="str">
        <f>HYPERLINK("http://141.218.60.56/~jnz1568/getInfo.php?workbook=08_06.xlsx&amp;sheet=A0&amp;row=126&amp;col=17&amp;number=&amp;sourceID=6","")</f>
        <v/>
      </c>
    </row>
    <row r="127" spans="1:17">
      <c r="A127" s="3">
        <v>8</v>
      </c>
      <c r="B127" s="3">
        <v>6</v>
      </c>
      <c r="C127" s="3">
        <v>20</v>
      </c>
      <c r="D127" s="3">
        <v>18</v>
      </c>
      <c r="E127" s="3">
        <f>((1/(INDEX(E0!J$4:J$49,C127,1)-INDEX(E0!J$4:J$49,D127,1))))*100000000</f>
        <v>0</v>
      </c>
      <c r="F127" s="4" t="str">
        <f>HYPERLINK("http://141.218.60.56/~jnz1568/getInfo.php?workbook=08_06.xlsx&amp;sheet=A0&amp;row=127&amp;col=6&amp;number=52813&amp;sourceID=3","52813")</f>
        <v>52813</v>
      </c>
      <c r="G127" s="4" t="str">
        <f>HYPERLINK("http://141.218.60.56/~jnz1568/getInfo.php?workbook=08_06.xlsx&amp;sheet=A0&amp;row=127&amp;col=7&amp;number=&amp;sourceID=3","")</f>
        <v/>
      </c>
      <c r="H127" s="4" t="str">
        <f>HYPERLINK("http://141.218.60.56/~jnz1568/getInfo.php?workbook=08_06.xlsx&amp;sheet=A0&amp;row=127&amp;col=8&amp;number=&amp;sourceID=3","")</f>
        <v/>
      </c>
      <c r="I127" s="4" t="str">
        <f>HYPERLINK("http://141.218.60.56/~jnz1568/getInfo.php?workbook=08_06.xlsx&amp;sheet=A0&amp;row=127&amp;col=9&amp;number=&amp;sourceID=3","")</f>
        <v/>
      </c>
      <c r="J127" s="4" t="str">
        <f>HYPERLINK("http://141.218.60.56/~jnz1568/getInfo.php?workbook=08_06.xlsx&amp;sheet=A0&amp;row=127&amp;col=10&amp;number=64675&amp;sourceID=3","64675")</f>
        <v>64675</v>
      </c>
      <c r="K127" s="4" t="str">
        <f>HYPERLINK("http://141.218.60.56/~jnz1568/getInfo.php?workbook=08_06.xlsx&amp;sheet=A0&amp;row=127&amp;col=11&amp;number=&amp;sourceID=3","")</f>
        <v/>
      </c>
      <c r="L127" s="4" t="str">
        <f>HYPERLINK("http://141.218.60.56/~jnz1568/getInfo.php?workbook=08_06.xlsx&amp;sheet=A0&amp;row=127&amp;col=12&amp;number=&amp;sourceID=3","")</f>
        <v/>
      </c>
      <c r="M127" s="4" t="str">
        <f>HYPERLINK("http://141.218.60.56/~jnz1568/getInfo.php?workbook=08_06.xlsx&amp;sheet=A0&amp;row=127&amp;col=13&amp;number=&amp;sourceID=3","")</f>
        <v/>
      </c>
      <c r="N127" s="4" t="str">
        <f>HYPERLINK("http://141.218.60.56/~jnz1568/getInfo.php?workbook=08_06.xlsx&amp;sheet=A0&amp;row=127&amp;col=14&amp;number=188600&amp;sourceID=7","188600")</f>
        <v>188600</v>
      </c>
      <c r="O127" s="4" t="str">
        <f>HYPERLINK("http://141.218.60.56/~jnz1568/getInfo.php?workbook=08_06.xlsx&amp;sheet=A0&amp;row=127&amp;col=15&amp;number=&amp;sourceID=5","")</f>
        <v/>
      </c>
      <c r="P127" s="4" t="str">
        <f>HYPERLINK("http://141.218.60.56/~jnz1568/getInfo.php?workbook=08_06.xlsx&amp;sheet=A0&amp;row=127&amp;col=16&amp;number=&amp;sourceID=5","")</f>
        <v/>
      </c>
      <c r="Q127" s="4" t="str">
        <f>HYPERLINK("http://141.218.60.56/~jnz1568/getInfo.php?workbook=08_06.xlsx&amp;sheet=A0&amp;row=127&amp;col=17&amp;number=&amp;sourceID=6","")</f>
        <v/>
      </c>
    </row>
    <row r="128" spans="1:17">
      <c r="A128" s="3">
        <v>8</v>
      </c>
      <c r="B128" s="3">
        <v>6</v>
      </c>
      <c r="C128" s="3">
        <v>20</v>
      </c>
      <c r="D128" s="3">
        <v>19</v>
      </c>
      <c r="E128" s="3">
        <f>((1/(INDEX(E0!J$4:J$49,C128,1)-INDEX(E0!J$4:J$49,D128,1))))*100000000</f>
        <v>0</v>
      </c>
      <c r="F128" s="4" t="str">
        <f>HYPERLINK("http://141.218.60.56/~jnz1568/getInfo.php?workbook=08_06.xlsx&amp;sheet=A0&amp;row=128&amp;col=6&amp;number=3.6896&amp;sourceID=3","3.6896")</f>
        <v>3.6896</v>
      </c>
      <c r="G128" s="4" t="str">
        <f>HYPERLINK("http://141.218.60.56/~jnz1568/getInfo.php?workbook=08_06.xlsx&amp;sheet=A0&amp;row=128&amp;col=7&amp;number=&amp;sourceID=3","")</f>
        <v/>
      </c>
      <c r="H128" s="4" t="str">
        <f>HYPERLINK("http://141.218.60.56/~jnz1568/getInfo.php?workbook=08_06.xlsx&amp;sheet=A0&amp;row=128&amp;col=8&amp;number=&amp;sourceID=3","")</f>
        <v/>
      </c>
      <c r="I128" s="4" t="str">
        <f>HYPERLINK("http://141.218.60.56/~jnz1568/getInfo.php?workbook=08_06.xlsx&amp;sheet=A0&amp;row=128&amp;col=9&amp;number=&amp;sourceID=3","")</f>
        <v/>
      </c>
      <c r="J128" s="4" t="str">
        <f>HYPERLINK("http://141.218.60.56/~jnz1568/getInfo.php?workbook=08_06.xlsx&amp;sheet=A0&amp;row=128&amp;col=10&amp;number=4.0483&amp;sourceID=3","4.0483")</f>
        <v>4.0483</v>
      </c>
      <c r="K128" s="4" t="str">
        <f>HYPERLINK("http://141.218.60.56/~jnz1568/getInfo.php?workbook=08_06.xlsx&amp;sheet=A0&amp;row=128&amp;col=11&amp;number=&amp;sourceID=3","")</f>
        <v/>
      </c>
      <c r="L128" s="4" t="str">
        <f>HYPERLINK("http://141.218.60.56/~jnz1568/getInfo.php?workbook=08_06.xlsx&amp;sheet=A0&amp;row=128&amp;col=12&amp;number=&amp;sourceID=3","")</f>
        <v/>
      </c>
      <c r="M128" s="4" t="str">
        <f>HYPERLINK("http://141.218.60.56/~jnz1568/getInfo.php?workbook=08_06.xlsx&amp;sheet=A0&amp;row=128&amp;col=13&amp;number=&amp;sourceID=3","")</f>
        <v/>
      </c>
      <c r="N128" s="4" t="str">
        <f>HYPERLINK("http://141.218.60.56/~jnz1568/getInfo.php?workbook=08_06.xlsx&amp;sheet=A0&amp;row=128&amp;col=14&amp;number=2.143&amp;sourceID=7","2.143")</f>
        <v>2.143</v>
      </c>
      <c r="O128" s="4" t="str">
        <f>HYPERLINK("http://141.218.60.56/~jnz1568/getInfo.php?workbook=08_06.xlsx&amp;sheet=A0&amp;row=128&amp;col=15&amp;number=&amp;sourceID=5","")</f>
        <v/>
      </c>
      <c r="P128" s="4" t="str">
        <f>HYPERLINK("http://141.218.60.56/~jnz1568/getInfo.php?workbook=08_06.xlsx&amp;sheet=A0&amp;row=128&amp;col=16&amp;number=&amp;sourceID=5","")</f>
        <v/>
      </c>
      <c r="Q128" s="4" t="str">
        <f>HYPERLINK("http://141.218.60.56/~jnz1568/getInfo.php?workbook=08_06.xlsx&amp;sheet=A0&amp;row=128&amp;col=17&amp;number=&amp;sourceID=6","")</f>
        <v/>
      </c>
    </row>
    <row r="129" spans="1:17">
      <c r="A129" s="3">
        <v>8</v>
      </c>
      <c r="B129" s="3">
        <v>6</v>
      </c>
      <c r="C129" s="3">
        <v>21</v>
      </c>
      <c r="D129" s="3">
        <v>6</v>
      </c>
      <c r="E129" s="3">
        <f>((1/(INDEX(E0!J$4:J$49,C129,1)-INDEX(E0!J$4:J$49,D129,1))))*100000000</f>
        <v>0</v>
      </c>
      <c r="F129" s="4" t="str">
        <f>HYPERLINK("http://141.218.60.56/~jnz1568/getInfo.php?workbook=08_06.xlsx&amp;sheet=A0&amp;row=129&amp;col=6&amp;number=7840.9&amp;sourceID=3","7840.9")</f>
        <v>7840.9</v>
      </c>
      <c r="G129" s="4" t="str">
        <f>HYPERLINK("http://141.218.60.56/~jnz1568/getInfo.php?workbook=08_06.xlsx&amp;sheet=A0&amp;row=129&amp;col=7&amp;number=&amp;sourceID=3","")</f>
        <v/>
      </c>
      <c r="H129" s="4" t="str">
        <f>HYPERLINK("http://141.218.60.56/~jnz1568/getInfo.php?workbook=08_06.xlsx&amp;sheet=A0&amp;row=129&amp;col=8&amp;number=&amp;sourceID=3","")</f>
        <v/>
      </c>
      <c r="I129" s="4" t="str">
        <f>HYPERLINK("http://141.218.60.56/~jnz1568/getInfo.php?workbook=08_06.xlsx&amp;sheet=A0&amp;row=129&amp;col=9&amp;number=&amp;sourceID=3","")</f>
        <v/>
      </c>
      <c r="J129" s="4" t="str">
        <f>HYPERLINK("http://141.218.60.56/~jnz1568/getInfo.php?workbook=08_06.xlsx&amp;sheet=A0&amp;row=129&amp;col=10&amp;number=7851&amp;sourceID=3","7851")</f>
        <v>7851</v>
      </c>
      <c r="K129" s="4" t="str">
        <f>HYPERLINK("http://141.218.60.56/~jnz1568/getInfo.php?workbook=08_06.xlsx&amp;sheet=A0&amp;row=129&amp;col=11&amp;number=&amp;sourceID=3","")</f>
        <v/>
      </c>
      <c r="L129" s="4" t="str">
        <f>HYPERLINK("http://141.218.60.56/~jnz1568/getInfo.php?workbook=08_06.xlsx&amp;sheet=A0&amp;row=129&amp;col=12&amp;number=&amp;sourceID=3","")</f>
        <v/>
      </c>
      <c r="M129" s="4" t="str">
        <f>HYPERLINK("http://141.218.60.56/~jnz1568/getInfo.php?workbook=08_06.xlsx&amp;sheet=A0&amp;row=129&amp;col=13&amp;number=&amp;sourceID=3","")</f>
        <v/>
      </c>
      <c r="N129" s="4" t="str">
        <f>HYPERLINK("http://141.218.60.56/~jnz1568/getInfo.php?workbook=08_06.xlsx&amp;sheet=A0&amp;row=129&amp;col=14&amp;number=6406&amp;sourceID=7","6406")</f>
        <v>6406</v>
      </c>
      <c r="O129" s="4" t="str">
        <f>HYPERLINK("http://141.218.60.56/~jnz1568/getInfo.php?workbook=08_06.xlsx&amp;sheet=A0&amp;row=129&amp;col=15&amp;number=&amp;sourceID=5","")</f>
        <v/>
      </c>
      <c r="P129" s="4" t="str">
        <f>HYPERLINK("http://141.218.60.56/~jnz1568/getInfo.php?workbook=08_06.xlsx&amp;sheet=A0&amp;row=129&amp;col=16&amp;number=&amp;sourceID=5","")</f>
        <v/>
      </c>
      <c r="Q129" s="4" t="str">
        <f>HYPERLINK("http://141.218.60.56/~jnz1568/getInfo.php?workbook=08_06.xlsx&amp;sheet=A0&amp;row=129&amp;col=17&amp;number=&amp;sourceID=6","")</f>
        <v/>
      </c>
    </row>
    <row r="130" spans="1:17">
      <c r="A130" s="3">
        <v>8</v>
      </c>
      <c r="B130" s="3">
        <v>6</v>
      </c>
      <c r="C130" s="3">
        <v>21</v>
      </c>
      <c r="D130" s="3">
        <v>8</v>
      </c>
      <c r="E130" s="3">
        <f>((1/(INDEX(E0!J$4:J$49,C130,1)-INDEX(E0!J$4:J$49,D130,1))))*100000000</f>
        <v>0</v>
      </c>
      <c r="F130" s="4" t="str">
        <f>HYPERLINK("http://141.218.60.56/~jnz1568/getInfo.php?workbook=08_06.xlsx&amp;sheet=A0&amp;row=130&amp;col=6&amp;number=3634800000&amp;sourceID=3","3634800000")</f>
        <v>3634800000</v>
      </c>
      <c r="G130" s="4" t="str">
        <f>HYPERLINK("http://141.218.60.56/~jnz1568/getInfo.php?workbook=08_06.xlsx&amp;sheet=A0&amp;row=130&amp;col=7&amp;number=&amp;sourceID=3","")</f>
        <v/>
      </c>
      <c r="H130" s="4" t="str">
        <f>HYPERLINK("http://141.218.60.56/~jnz1568/getInfo.php?workbook=08_06.xlsx&amp;sheet=A0&amp;row=130&amp;col=8&amp;number=&amp;sourceID=3","")</f>
        <v/>
      </c>
      <c r="I130" s="4" t="str">
        <f>HYPERLINK("http://141.218.60.56/~jnz1568/getInfo.php?workbook=08_06.xlsx&amp;sheet=A0&amp;row=130&amp;col=9&amp;number=&amp;sourceID=3","")</f>
        <v/>
      </c>
      <c r="J130" s="4" t="str">
        <f>HYPERLINK("http://141.218.60.56/~jnz1568/getInfo.php?workbook=08_06.xlsx&amp;sheet=A0&amp;row=130&amp;col=10&amp;number=3672200000&amp;sourceID=3","3672200000")</f>
        <v>3672200000</v>
      </c>
      <c r="K130" s="4" t="str">
        <f>HYPERLINK("http://141.218.60.56/~jnz1568/getInfo.php?workbook=08_06.xlsx&amp;sheet=A0&amp;row=130&amp;col=11&amp;number=&amp;sourceID=3","")</f>
        <v/>
      </c>
      <c r="L130" s="4" t="str">
        <f>HYPERLINK("http://141.218.60.56/~jnz1568/getInfo.php?workbook=08_06.xlsx&amp;sheet=A0&amp;row=130&amp;col=12&amp;number=&amp;sourceID=3","")</f>
        <v/>
      </c>
      <c r="M130" s="4" t="str">
        <f>HYPERLINK("http://141.218.60.56/~jnz1568/getInfo.php?workbook=08_06.xlsx&amp;sheet=A0&amp;row=130&amp;col=13&amp;number=&amp;sourceID=3","")</f>
        <v/>
      </c>
      <c r="N130" s="4" t="str">
        <f>HYPERLINK("http://141.218.60.56/~jnz1568/getInfo.php?workbook=08_06.xlsx&amp;sheet=A0&amp;row=130&amp;col=14&amp;number=4063000000&amp;sourceID=7","4063000000")</f>
        <v>4063000000</v>
      </c>
      <c r="O130" s="4" t="str">
        <f>HYPERLINK("http://141.218.60.56/~jnz1568/getInfo.php?workbook=08_06.xlsx&amp;sheet=A0&amp;row=130&amp;col=15&amp;number=&amp;sourceID=5","")</f>
        <v/>
      </c>
      <c r="P130" s="4" t="str">
        <f>HYPERLINK("http://141.218.60.56/~jnz1568/getInfo.php?workbook=08_06.xlsx&amp;sheet=A0&amp;row=130&amp;col=16&amp;number=&amp;sourceID=5","")</f>
        <v/>
      </c>
      <c r="Q130" s="4" t="str">
        <f>HYPERLINK("http://141.218.60.56/~jnz1568/getInfo.php?workbook=08_06.xlsx&amp;sheet=A0&amp;row=130&amp;col=17&amp;number=&amp;sourceID=6","")</f>
        <v/>
      </c>
    </row>
    <row r="131" spans="1:17">
      <c r="A131" s="3">
        <v>8</v>
      </c>
      <c r="B131" s="3">
        <v>6</v>
      </c>
      <c r="C131" s="3">
        <v>21</v>
      </c>
      <c r="D131" s="3">
        <v>9</v>
      </c>
      <c r="E131" s="3">
        <f>((1/(INDEX(E0!J$4:J$49,C131,1)-INDEX(E0!J$4:J$49,D131,1))))*100000000</f>
        <v>0</v>
      </c>
      <c r="F131" s="4" t="str">
        <f>HYPERLINK("http://141.218.60.56/~jnz1568/getInfo.php?workbook=08_06.xlsx&amp;sheet=A0&amp;row=131&amp;col=6&amp;number=1226700000&amp;sourceID=3","1226700000")</f>
        <v>1226700000</v>
      </c>
      <c r="G131" s="4" t="str">
        <f>HYPERLINK("http://141.218.60.56/~jnz1568/getInfo.php?workbook=08_06.xlsx&amp;sheet=A0&amp;row=131&amp;col=7&amp;number=&amp;sourceID=3","")</f>
        <v/>
      </c>
      <c r="H131" s="4" t="str">
        <f>HYPERLINK("http://141.218.60.56/~jnz1568/getInfo.php?workbook=08_06.xlsx&amp;sheet=A0&amp;row=131&amp;col=8&amp;number=&amp;sourceID=3","")</f>
        <v/>
      </c>
      <c r="I131" s="4" t="str">
        <f>HYPERLINK("http://141.218.60.56/~jnz1568/getInfo.php?workbook=08_06.xlsx&amp;sheet=A0&amp;row=131&amp;col=9&amp;number=&amp;sourceID=3","")</f>
        <v/>
      </c>
      <c r="J131" s="4" t="str">
        <f>HYPERLINK("http://141.218.60.56/~jnz1568/getInfo.php?workbook=08_06.xlsx&amp;sheet=A0&amp;row=131&amp;col=10&amp;number=1239200000&amp;sourceID=3","1239200000")</f>
        <v>1239200000</v>
      </c>
      <c r="K131" s="4" t="str">
        <f>HYPERLINK("http://141.218.60.56/~jnz1568/getInfo.php?workbook=08_06.xlsx&amp;sheet=A0&amp;row=131&amp;col=11&amp;number=&amp;sourceID=3","")</f>
        <v/>
      </c>
      <c r="L131" s="4" t="str">
        <f>HYPERLINK("http://141.218.60.56/~jnz1568/getInfo.php?workbook=08_06.xlsx&amp;sheet=A0&amp;row=131&amp;col=12&amp;number=&amp;sourceID=3","")</f>
        <v/>
      </c>
      <c r="M131" s="4" t="str">
        <f>HYPERLINK("http://141.218.60.56/~jnz1568/getInfo.php?workbook=08_06.xlsx&amp;sheet=A0&amp;row=131&amp;col=13&amp;number=&amp;sourceID=3","")</f>
        <v/>
      </c>
      <c r="N131" s="4" t="str">
        <f>HYPERLINK("http://141.218.60.56/~jnz1568/getInfo.php?workbook=08_06.xlsx&amp;sheet=A0&amp;row=131&amp;col=14&amp;number=1367000000&amp;sourceID=7","1367000000")</f>
        <v>1367000000</v>
      </c>
      <c r="O131" s="4" t="str">
        <f>HYPERLINK("http://141.218.60.56/~jnz1568/getInfo.php?workbook=08_06.xlsx&amp;sheet=A0&amp;row=131&amp;col=15&amp;number=&amp;sourceID=5","")</f>
        <v/>
      </c>
      <c r="P131" s="4" t="str">
        <f>HYPERLINK("http://141.218.60.56/~jnz1568/getInfo.php?workbook=08_06.xlsx&amp;sheet=A0&amp;row=131&amp;col=16&amp;number=&amp;sourceID=5","")</f>
        <v/>
      </c>
      <c r="Q131" s="4" t="str">
        <f>HYPERLINK("http://141.218.60.56/~jnz1568/getInfo.php?workbook=08_06.xlsx&amp;sheet=A0&amp;row=131&amp;col=17&amp;number=&amp;sourceID=6","")</f>
        <v/>
      </c>
    </row>
    <row r="132" spans="1:17">
      <c r="A132" s="3">
        <v>8</v>
      </c>
      <c r="B132" s="3">
        <v>6</v>
      </c>
      <c r="C132" s="3">
        <v>21</v>
      </c>
      <c r="D132" s="3">
        <v>10</v>
      </c>
      <c r="E132" s="3">
        <f>((1/(INDEX(E0!J$4:J$49,C132,1)-INDEX(E0!J$4:J$49,D132,1))))*100000000</f>
        <v>0</v>
      </c>
      <c r="F132" s="4" t="str">
        <f>HYPERLINK("http://141.218.60.56/~jnz1568/getInfo.php?workbook=08_06.xlsx&amp;sheet=A0&amp;row=132&amp;col=6&amp;number=329300000&amp;sourceID=3","329300000")</f>
        <v>329300000</v>
      </c>
      <c r="G132" s="4" t="str">
        <f>HYPERLINK("http://141.218.60.56/~jnz1568/getInfo.php?workbook=08_06.xlsx&amp;sheet=A0&amp;row=132&amp;col=7&amp;number=&amp;sourceID=3","")</f>
        <v/>
      </c>
      <c r="H132" s="4" t="str">
        <f>HYPERLINK("http://141.218.60.56/~jnz1568/getInfo.php?workbook=08_06.xlsx&amp;sheet=A0&amp;row=132&amp;col=8&amp;number=&amp;sourceID=3","")</f>
        <v/>
      </c>
      <c r="I132" s="4" t="str">
        <f>HYPERLINK("http://141.218.60.56/~jnz1568/getInfo.php?workbook=08_06.xlsx&amp;sheet=A0&amp;row=132&amp;col=9&amp;number=&amp;sourceID=3","")</f>
        <v/>
      </c>
      <c r="J132" s="4" t="str">
        <f>HYPERLINK("http://141.218.60.56/~jnz1568/getInfo.php?workbook=08_06.xlsx&amp;sheet=A0&amp;row=132&amp;col=10&amp;number=331250000&amp;sourceID=3","331250000")</f>
        <v>331250000</v>
      </c>
      <c r="K132" s="4" t="str">
        <f>HYPERLINK("http://141.218.60.56/~jnz1568/getInfo.php?workbook=08_06.xlsx&amp;sheet=A0&amp;row=132&amp;col=11&amp;number=&amp;sourceID=3","")</f>
        <v/>
      </c>
      <c r="L132" s="4" t="str">
        <f>HYPERLINK("http://141.218.60.56/~jnz1568/getInfo.php?workbook=08_06.xlsx&amp;sheet=A0&amp;row=132&amp;col=12&amp;number=&amp;sourceID=3","")</f>
        <v/>
      </c>
      <c r="M132" s="4" t="str">
        <f>HYPERLINK("http://141.218.60.56/~jnz1568/getInfo.php?workbook=08_06.xlsx&amp;sheet=A0&amp;row=132&amp;col=13&amp;number=&amp;sourceID=3","")</f>
        <v/>
      </c>
      <c r="N132" s="4" t="str">
        <f>HYPERLINK("http://141.218.60.56/~jnz1568/getInfo.php?workbook=08_06.xlsx&amp;sheet=A0&amp;row=132&amp;col=14&amp;number=310800000&amp;sourceID=7","310800000")</f>
        <v>310800000</v>
      </c>
      <c r="O132" s="4" t="str">
        <f>HYPERLINK("http://141.218.60.56/~jnz1568/getInfo.php?workbook=08_06.xlsx&amp;sheet=A0&amp;row=132&amp;col=15&amp;number=&amp;sourceID=5","")</f>
        <v/>
      </c>
      <c r="P132" s="4" t="str">
        <f>HYPERLINK("http://141.218.60.56/~jnz1568/getInfo.php?workbook=08_06.xlsx&amp;sheet=A0&amp;row=132&amp;col=16&amp;number=&amp;sourceID=5","")</f>
        <v/>
      </c>
      <c r="Q132" s="4" t="str">
        <f>HYPERLINK("http://141.218.60.56/~jnz1568/getInfo.php?workbook=08_06.xlsx&amp;sheet=A0&amp;row=132&amp;col=17&amp;number=&amp;sourceID=6","")</f>
        <v/>
      </c>
    </row>
    <row r="133" spans="1:17">
      <c r="A133" s="3">
        <v>8</v>
      </c>
      <c r="B133" s="3">
        <v>6</v>
      </c>
      <c r="C133" s="3">
        <v>21</v>
      </c>
      <c r="D133" s="3">
        <v>11</v>
      </c>
      <c r="E133" s="3">
        <f>((1/(INDEX(E0!J$4:J$49,C133,1)-INDEX(E0!J$4:J$49,D133,1))))*100000000</f>
        <v>0</v>
      </c>
      <c r="F133" s="4" t="str">
        <f>HYPERLINK("http://141.218.60.56/~jnz1568/getInfo.php?workbook=08_06.xlsx&amp;sheet=A0&amp;row=133&amp;col=6&amp;number=181860000&amp;sourceID=3","181860000")</f>
        <v>181860000</v>
      </c>
      <c r="G133" s="4" t="str">
        <f>HYPERLINK("http://141.218.60.56/~jnz1568/getInfo.php?workbook=08_06.xlsx&amp;sheet=A0&amp;row=133&amp;col=7&amp;number=&amp;sourceID=3","")</f>
        <v/>
      </c>
      <c r="H133" s="4" t="str">
        <f>HYPERLINK("http://141.218.60.56/~jnz1568/getInfo.php?workbook=08_06.xlsx&amp;sheet=A0&amp;row=133&amp;col=8&amp;number=&amp;sourceID=3","")</f>
        <v/>
      </c>
      <c r="I133" s="4" t="str">
        <f>HYPERLINK("http://141.218.60.56/~jnz1568/getInfo.php?workbook=08_06.xlsx&amp;sheet=A0&amp;row=133&amp;col=9&amp;number=&amp;sourceID=3","")</f>
        <v/>
      </c>
      <c r="J133" s="4" t="str">
        <f>HYPERLINK("http://141.218.60.56/~jnz1568/getInfo.php?workbook=08_06.xlsx&amp;sheet=A0&amp;row=133&amp;col=10&amp;number=183010000&amp;sourceID=3","183010000")</f>
        <v>183010000</v>
      </c>
      <c r="K133" s="4" t="str">
        <f>HYPERLINK("http://141.218.60.56/~jnz1568/getInfo.php?workbook=08_06.xlsx&amp;sheet=A0&amp;row=133&amp;col=11&amp;number=&amp;sourceID=3","")</f>
        <v/>
      </c>
      <c r="L133" s="4" t="str">
        <f>HYPERLINK("http://141.218.60.56/~jnz1568/getInfo.php?workbook=08_06.xlsx&amp;sheet=A0&amp;row=133&amp;col=12&amp;number=&amp;sourceID=3","")</f>
        <v/>
      </c>
      <c r="M133" s="4" t="str">
        <f>HYPERLINK("http://141.218.60.56/~jnz1568/getInfo.php?workbook=08_06.xlsx&amp;sheet=A0&amp;row=133&amp;col=13&amp;number=&amp;sourceID=3","")</f>
        <v/>
      </c>
      <c r="N133" s="4" t="str">
        <f>HYPERLINK("http://141.218.60.56/~jnz1568/getInfo.php?workbook=08_06.xlsx&amp;sheet=A0&amp;row=133&amp;col=14&amp;number=173100000&amp;sourceID=7","173100000")</f>
        <v>173100000</v>
      </c>
      <c r="O133" s="4" t="str">
        <f>HYPERLINK("http://141.218.60.56/~jnz1568/getInfo.php?workbook=08_06.xlsx&amp;sheet=A0&amp;row=133&amp;col=15&amp;number=&amp;sourceID=5","")</f>
        <v/>
      </c>
      <c r="P133" s="4" t="str">
        <f>HYPERLINK("http://141.218.60.56/~jnz1568/getInfo.php?workbook=08_06.xlsx&amp;sheet=A0&amp;row=133&amp;col=16&amp;number=&amp;sourceID=5","")</f>
        <v/>
      </c>
      <c r="Q133" s="4" t="str">
        <f>HYPERLINK("http://141.218.60.56/~jnz1568/getInfo.php?workbook=08_06.xlsx&amp;sheet=A0&amp;row=133&amp;col=17&amp;number=&amp;sourceID=6","")</f>
        <v/>
      </c>
    </row>
    <row r="134" spans="1:17">
      <c r="A134" s="3">
        <v>8</v>
      </c>
      <c r="B134" s="3">
        <v>6</v>
      </c>
      <c r="C134" s="3">
        <v>21</v>
      </c>
      <c r="D134" s="3">
        <v>12</v>
      </c>
      <c r="E134" s="3">
        <f>((1/(INDEX(E0!J$4:J$49,C134,1)-INDEX(E0!J$4:J$49,D134,1))))*100000000</f>
        <v>0</v>
      </c>
      <c r="F134" s="4" t="str">
        <f>HYPERLINK("http://141.218.60.56/~jnz1568/getInfo.php?workbook=08_06.xlsx&amp;sheet=A0&amp;row=134&amp;col=6&amp;number=252280000&amp;sourceID=3","252280000")</f>
        <v>252280000</v>
      </c>
      <c r="G134" s="4" t="str">
        <f>HYPERLINK("http://141.218.60.56/~jnz1568/getInfo.php?workbook=08_06.xlsx&amp;sheet=A0&amp;row=134&amp;col=7&amp;number=&amp;sourceID=3","")</f>
        <v/>
      </c>
      <c r="H134" s="4" t="str">
        <f>HYPERLINK("http://141.218.60.56/~jnz1568/getInfo.php?workbook=08_06.xlsx&amp;sheet=A0&amp;row=134&amp;col=8&amp;number=&amp;sourceID=3","")</f>
        <v/>
      </c>
      <c r="I134" s="4" t="str">
        <f>HYPERLINK("http://141.218.60.56/~jnz1568/getInfo.php?workbook=08_06.xlsx&amp;sheet=A0&amp;row=134&amp;col=9&amp;number=&amp;sourceID=3","")</f>
        <v/>
      </c>
      <c r="J134" s="4" t="str">
        <f>HYPERLINK("http://141.218.60.56/~jnz1568/getInfo.php?workbook=08_06.xlsx&amp;sheet=A0&amp;row=134&amp;col=10&amp;number=253870000&amp;sourceID=3","253870000")</f>
        <v>253870000</v>
      </c>
      <c r="K134" s="4" t="str">
        <f>HYPERLINK("http://141.218.60.56/~jnz1568/getInfo.php?workbook=08_06.xlsx&amp;sheet=A0&amp;row=134&amp;col=11&amp;number=&amp;sourceID=3","")</f>
        <v/>
      </c>
      <c r="L134" s="4" t="str">
        <f>HYPERLINK("http://141.218.60.56/~jnz1568/getInfo.php?workbook=08_06.xlsx&amp;sheet=A0&amp;row=134&amp;col=12&amp;number=&amp;sourceID=3","")</f>
        <v/>
      </c>
      <c r="M134" s="4" t="str">
        <f>HYPERLINK("http://141.218.60.56/~jnz1568/getInfo.php?workbook=08_06.xlsx&amp;sheet=A0&amp;row=134&amp;col=13&amp;number=&amp;sourceID=3","")</f>
        <v/>
      </c>
      <c r="N134" s="4" t="str">
        <f>HYPERLINK("http://141.218.60.56/~jnz1568/getInfo.php?workbook=08_06.xlsx&amp;sheet=A0&amp;row=134&amp;col=14&amp;number=239600000&amp;sourceID=7","239600000")</f>
        <v>239600000</v>
      </c>
      <c r="O134" s="4" t="str">
        <f>HYPERLINK("http://141.218.60.56/~jnz1568/getInfo.php?workbook=08_06.xlsx&amp;sheet=A0&amp;row=134&amp;col=15&amp;number=&amp;sourceID=5","")</f>
        <v/>
      </c>
      <c r="P134" s="4" t="str">
        <f>HYPERLINK("http://141.218.60.56/~jnz1568/getInfo.php?workbook=08_06.xlsx&amp;sheet=A0&amp;row=134&amp;col=16&amp;number=&amp;sourceID=5","")</f>
        <v/>
      </c>
      <c r="Q134" s="4" t="str">
        <f>HYPERLINK("http://141.218.60.56/~jnz1568/getInfo.php?workbook=08_06.xlsx&amp;sheet=A0&amp;row=134&amp;col=17&amp;number=&amp;sourceID=6","")</f>
        <v/>
      </c>
    </row>
    <row r="135" spans="1:17">
      <c r="A135" s="3">
        <v>8</v>
      </c>
      <c r="B135" s="3">
        <v>6</v>
      </c>
      <c r="C135" s="3">
        <v>21</v>
      </c>
      <c r="D135" s="3">
        <v>13</v>
      </c>
      <c r="E135" s="3">
        <f>((1/(INDEX(E0!J$4:J$49,C135,1)-INDEX(E0!J$4:J$49,D135,1))))*100000000</f>
        <v>0</v>
      </c>
      <c r="F135" s="4" t="str">
        <f>HYPERLINK("http://141.218.60.56/~jnz1568/getInfo.php?workbook=08_06.xlsx&amp;sheet=A0&amp;row=135&amp;col=6&amp;number=1552.1&amp;sourceID=3","1552.1")</f>
        <v>1552.1</v>
      </c>
      <c r="G135" s="4" t="str">
        <f>HYPERLINK("http://141.218.60.56/~jnz1568/getInfo.php?workbook=08_06.xlsx&amp;sheet=A0&amp;row=135&amp;col=7&amp;number=&amp;sourceID=3","")</f>
        <v/>
      </c>
      <c r="H135" s="4" t="str">
        <f>HYPERLINK("http://141.218.60.56/~jnz1568/getInfo.php?workbook=08_06.xlsx&amp;sheet=A0&amp;row=135&amp;col=8&amp;number=&amp;sourceID=3","")</f>
        <v/>
      </c>
      <c r="I135" s="4" t="str">
        <f>HYPERLINK("http://141.218.60.56/~jnz1568/getInfo.php?workbook=08_06.xlsx&amp;sheet=A0&amp;row=135&amp;col=9&amp;number=&amp;sourceID=3","")</f>
        <v/>
      </c>
      <c r="J135" s="4" t="str">
        <f>HYPERLINK("http://141.218.60.56/~jnz1568/getInfo.php?workbook=08_06.xlsx&amp;sheet=A0&amp;row=135&amp;col=10&amp;number=1640.3&amp;sourceID=3","1640.3")</f>
        <v>1640.3</v>
      </c>
      <c r="K135" s="4" t="str">
        <f>HYPERLINK("http://141.218.60.56/~jnz1568/getInfo.php?workbook=08_06.xlsx&amp;sheet=A0&amp;row=135&amp;col=11&amp;number=&amp;sourceID=3","")</f>
        <v/>
      </c>
      <c r="L135" s="4" t="str">
        <f>HYPERLINK("http://141.218.60.56/~jnz1568/getInfo.php?workbook=08_06.xlsx&amp;sheet=A0&amp;row=135&amp;col=12&amp;number=&amp;sourceID=3","")</f>
        <v/>
      </c>
      <c r="M135" s="4" t="str">
        <f>HYPERLINK("http://141.218.60.56/~jnz1568/getInfo.php?workbook=08_06.xlsx&amp;sheet=A0&amp;row=135&amp;col=13&amp;number=&amp;sourceID=3","")</f>
        <v/>
      </c>
      <c r="N135" s="4" t="str">
        <f>HYPERLINK("http://141.218.60.56/~jnz1568/getInfo.php?workbook=08_06.xlsx&amp;sheet=A0&amp;row=135&amp;col=14&amp;number=5612&amp;sourceID=7","5612")</f>
        <v>5612</v>
      </c>
      <c r="O135" s="4" t="str">
        <f>HYPERLINK("http://141.218.60.56/~jnz1568/getInfo.php?workbook=08_06.xlsx&amp;sheet=A0&amp;row=135&amp;col=15&amp;number=&amp;sourceID=5","")</f>
        <v/>
      </c>
      <c r="P135" s="4" t="str">
        <f>HYPERLINK("http://141.218.60.56/~jnz1568/getInfo.php?workbook=08_06.xlsx&amp;sheet=A0&amp;row=135&amp;col=16&amp;number=&amp;sourceID=5","")</f>
        <v/>
      </c>
      <c r="Q135" s="4" t="str">
        <f>HYPERLINK("http://141.218.60.56/~jnz1568/getInfo.php?workbook=08_06.xlsx&amp;sheet=A0&amp;row=135&amp;col=17&amp;number=&amp;sourceID=6","")</f>
        <v/>
      </c>
    </row>
    <row r="136" spans="1:17">
      <c r="A136" s="3">
        <v>8</v>
      </c>
      <c r="B136" s="3">
        <v>6</v>
      </c>
      <c r="C136" s="3">
        <v>21</v>
      </c>
      <c r="D136" s="3">
        <v>14</v>
      </c>
      <c r="E136" s="3">
        <f>((1/(INDEX(E0!J$4:J$49,C136,1)-INDEX(E0!J$4:J$49,D136,1))))*100000000</f>
        <v>0</v>
      </c>
      <c r="F136" s="4" t="str">
        <f>HYPERLINK("http://141.218.60.56/~jnz1568/getInfo.php?workbook=08_06.xlsx&amp;sheet=A0&amp;row=136&amp;col=6&amp;number=435700000&amp;sourceID=3","435700000")</f>
        <v>435700000</v>
      </c>
      <c r="G136" s="4" t="str">
        <f>HYPERLINK("http://141.218.60.56/~jnz1568/getInfo.php?workbook=08_06.xlsx&amp;sheet=A0&amp;row=136&amp;col=7&amp;number=&amp;sourceID=3","")</f>
        <v/>
      </c>
      <c r="H136" s="4" t="str">
        <f>HYPERLINK("http://141.218.60.56/~jnz1568/getInfo.php?workbook=08_06.xlsx&amp;sheet=A0&amp;row=136&amp;col=8&amp;number=&amp;sourceID=3","")</f>
        <v/>
      </c>
      <c r="I136" s="4" t="str">
        <f>HYPERLINK("http://141.218.60.56/~jnz1568/getInfo.php?workbook=08_06.xlsx&amp;sheet=A0&amp;row=136&amp;col=9&amp;number=&amp;sourceID=3","")</f>
        <v/>
      </c>
      <c r="J136" s="4" t="str">
        <f>HYPERLINK("http://141.218.60.56/~jnz1568/getInfo.php?workbook=08_06.xlsx&amp;sheet=A0&amp;row=136&amp;col=10&amp;number=442080000&amp;sourceID=3","442080000")</f>
        <v>442080000</v>
      </c>
      <c r="K136" s="4" t="str">
        <f>HYPERLINK("http://141.218.60.56/~jnz1568/getInfo.php?workbook=08_06.xlsx&amp;sheet=A0&amp;row=136&amp;col=11&amp;number=&amp;sourceID=3","")</f>
        <v/>
      </c>
      <c r="L136" s="4" t="str">
        <f>HYPERLINK("http://141.218.60.56/~jnz1568/getInfo.php?workbook=08_06.xlsx&amp;sheet=A0&amp;row=136&amp;col=12&amp;number=&amp;sourceID=3","")</f>
        <v/>
      </c>
      <c r="M136" s="4" t="str">
        <f>HYPERLINK("http://141.218.60.56/~jnz1568/getInfo.php?workbook=08_06.xlsx&amp;sheet=A0&amp;row=136&amp;col=13&amp;number=&amp;sourceID=3","")</f>
        <v/>
      </c>
      <c r="N136" s="4" t="str">
        <f>HYPERLINK("http://141.218.60.56/~jnz1568/getInfo.php?workbook=08_06.xlsx&amp;sheet=A0&amp;row=136&amp;col=14&amp;number=452500000&amp;sourceID=7","452500000")</f>
        <v>452500000</v>
      </c>
      <c r="O136" s="4" t="str">
        <f>HYPERLINK("http://141.218.60.56/~jnz1568/getInfo.php?workbook=08_06.xlsx&amp;sheet=A0&amp;row=136&amp;col=15&amp;number=&amp;sourceID=5","")</f>
        <v/>
      </c>
      <c r="P136" s="4" t="str">
        <f>HYPERLINK("http://141.218.60.56/~jnz1568/getInfo.php?workbook=08_06.xlsx&amp;sheet=A0&amp;row=136&amp;col=16&amp;number=&amp;sourceID=5","")</f>
        <v/>
      </c>
      <c r="Q136" s="4" t="str">
        <f>HYPERLINK("http://141.218.60.56/~jnz1568/getInfo.php?workbook=08_06.xlsx&amp;sheet=A0&amp;row=136&amp;col=17&amp;number=&amp;sourceID=6","")</f>
        <v/>
      </c>
    </row>
    <row r="137" spans="1:17">
      <c r="A137" s="3">
        <v>8</v>
      </c>
      <c r="B137" s="3">
        <v>6</v>
      </c>
      <c r="C137" s="3">
        <v>21</v>
      </c>
      <c r="D137" s="3">
        <v>15</v>
      </c>
      <c r="E137" s="3">
        <f>((1/(INDEX(E0!J$4:J$49,C137,1)-INDEX(E0!J$4:J$49,D137,1))))*100000000</f>
        <v>0</v>
      </c>
      <c r="F137" s="4" t="str">
        <f>HYPERLINK("http://141.218.60.56/~jnz1568/getInfo.php?workbook=08_06.xlsx&amp;sheet=A0&amp;row=137&amp;col=6&amp;number=35898&amp;sourceID=3","35898")</f>
        <v>35898</v>
      </c>
      <c r="G137" s="4" t="str">
        <f>HYPERLINK("http://141.218.60.56/~jnz1568/getInfo.php?workbook=08_06.xlsx&amp;sheet=A0&amp;row=137&amp;col=7&amp;number=&amp;sourceID=3","")</f>
        <v/>
      </c>
      <c r="H137" s="4" t="str">
        <f>HYPERLINK("http://141.218.60.56/~jnz1568/getInfo.php?workbook=08_06.xlsx&amp;sheet=A0&amp;row=137&amp;col=8&amp;number=&amp;sourceID=3","")</f>
        <v/>
      </c>
      <c r="I137" s="4" t="str">
        <f>HYPERLINK("http://141.218.60.56/~jnz1568/getInfo.php?workbook=08_06.xlsx&amp;sheet=A0&amp;row=137&amp;col=9&amp;number=&amp;sourceID=3","")</f>
        <v/>
      </c>
      <c r="J137" s="4" t="str">
        <f>HYPERLINK("http://141.218.60.56/~jnz1568/getInfo.php?workbook=08_06.xlsx&amp;sheet=A0&amp;row=137&amp;col=10&amp;number=34511&amp;sourceID=3","34511")</f>
        <v>34511</v>
      </c>
      <c r="K137" s="4" t="str">
        <f>HYPERLINK("http://141.218.60.56/~jnz1568/getInfo.php?workbook=08_06.xlsx&amp;sheet=A0&amp;row=137&amp;col=11&amp;number=&amp;sourceID=3","")</f>
        <v/>
      </c>
      <c r="L137" s="4" t="str">
        <f>HYPERLINK("http://141.218.60.56/~jnz1568/getInfo.php?workbook=08_06.xlsx&amp;sheet=A0&amp;row=137&amp;col=12&amp;number=&amp;sourceID=3","")</f>
        <v/>
      </c>
      <c r="M137" s="4" t="str">
        <f>HYPERLINK("http://141.218.60.56/~jnz1568/getInfo.php?workbook=08_06.xlsx&amp;sheet=A0&amp;row=137&amp;col=13&amp;number=&amp;sourceID=3","")</f>
        <v/>
      </c>
      <c r="N137" s="4" t="str">
        <f>HYPERLINK("http://141.218.60.56/~jnz1568/getInfo.php?workbook=08_06.xlsx&amp;sheet=A0&amp;row=137&amp;col=14&amp;number=9579&amp;sourceID=7","9579")</f>
        <v>9579</v>
      </c>
      <c r="O137" s="4" t="str">
        <f>HYPERLINK("http://141.218.60.56/~jnz1568/getInfo.php?workbook=08_06.xlsx&amp;sheet=A0&amp;row=137&amp;col=15&amp;number=&amp;sourceID=5","")</f>
        <v/>
      </c>
      <c r="P137" s="4" t="str">
        <f>HYPERLINK("http://141.218.60.56/~jnz1568/getInfo.php?workbook=08_06.xlsx&amp;sheet=A0&amp;row=137&amp;col=16&amp;number=&amp;sourceID=5","")</f>
        <v/>
      </c>
      <c r="Q137" s="4" t="str">
        <f>HYPERLINK("http://141.218.60.56/~jnz1568/getInfo.php?workbook=08_06.xlsx&amp;sheet=A0&amp;row=137&amp;col=17&amp;number=&amp;sourceID=6","")</f>
        <v/>
      </c>
    </row>
    <row r="138" spans="1:17">
      <c r="A138" s="3">
        <v>8</v>
      </c>
      <c r="B138" s="3">
        <v>6</v>
      </c>
      <c r="C138" s="3">
        <v>21</v>
      </c>
      <c r="D138" s="3">
        <v>16</v>
      </c>
      <c r="E138" s="3">
        <f>((1/(INDEX(E0!J$4:J$49,C138,1)-INDEX(E0!J$4:J$49,D138,1))))*100000000</f>
        <v>0</v>
      </c>
      <c r="F138" s="4" t="str">
        <f>HYPERLINK("http://141.218.60.56/~jnz1568/getInfo.php?workbook=08_06.xlsx&amp;sheet=A0&amp;row=138&amp;col=6&amp;number=27874&amp;sourceID=3","27874")</f>
        <v>27874</v>
      </c>
      <c r="G138" s="4" t="str">
        <f>HYPERLINK("http://141.218.60.56/~jnz1568/getInfo.php?workbook=08_06.xlsx&amp;sheet=A0&amp;row=138&amp;col=7&amp;number=&amp;sourceID=3","")</f>
        <v/>
      </c>
      <c r="H138" s="4" t="str">
        <f>HYPERLINK("http://141.218.60.56/~jnz1568/getInfo.php?workbook=08_06.xlsx&amp;sheet=A0&amp;row=138&amp;col=8&amp;number=&amp;sourceID=3","")</f>
        <v/>
      </c>
      <c r="I138" s="4" t="str">
        <f>HYPERLINK("http://141.218.60.56/~jnz1568/getInfo.php?workbook=08_06.xlsx&amp;sheet=A0&amp;row=138&amp;col=9&amp;number=&amp;sourceID=3","")</f>
        <v/>
      </c>
      <c r="J138" s="4" t="str">
        <f>HYPERLINK("http://141.218.60.56/~jnz1568/getInfo.php?workbook=08_06.xlsx&amp;sheet=A0&amp;row=138&amp;col=10&amp;number=34551&amp;sourceID=3","34551")</f>
        <v>34551</v>
      </c>
      <c r="K138" s="4" t="str">
        <f>HYPERLINK("http://141.218.60.56/~jnz1568/getInfo.php?workbook=08_06.xlsx&amp;sheet=A0&amp;row=138&amp;col=11&amp;number=&amp;sourceID=3","")</f>
        <v/>
      </c>
      <c r="L138" s="4" t="str">
        <f>HYPERLINK("http://141.218.60.56/~jnz1568/getInfo.php?workbook=08_06.xlsx&amp;sheet=A0&amp;row=138&amp;col=12&amp;number=&amp;sourceID=3","")</f>
        <v/>
      </c>
      <c r="M138" s="4" t="str">
        <f>HYPERLINK("http://141.218.60.56/~jnz1568/getInfo.php?workbook=08_06.xlsx&amp;sheet=A0&amp;row=138&amp;col=13&amp;number=&amp;sourceID=3","")</f>
        <v/>
      </c>
      <c r="N138" s="4" t="str">
        <f>HYPERLINK("http://141.218.60.56/~jnz1568/getInfo.php?workbook=08_06.xlsx&amp;sheet=A0&amp;row=138&amp;col=14&amp;number=102300&amp;sourceID=7","102300")</f>
        <v>102300</v>
      </c>
      <c r="O138" s="4" t="str">
        <f>HYPERLINK("http://141.218.60.56/~jnz1568/getInfo.php?workbook=08_06.xlsx&amp;sheet=A0&amp;row=138&amp;col=15&amp;number=&amp;sourceID=5","")</f>
        <v/>
      </c>
      <c r="P138" s="4" t="str">
        <f>HYPERLINK("http://141.218.60.56/~jnz1568/getInfo.php?workbook=08_06.xlsx&amp;sheet=A0&amp;row=138&amp;col=16&amp;number=&amp;sourceID=5","")</f>
        <v/>
      </c>
      <c r="Q138" s="4" t="str">
        <f>HYPERLINK("http://141.218.60.56/~jnz1568/getInfo.php?workbook=08_06.xlsx&amp;sheet=A0&amp;row=138&amp;col=17&amp;number=&amp;sourceID=6","")</f>
        <v/>
      </c>
    </row>
    <row r="139" spans="1:17">
      <c r="A139" s="3">
        <v>8</v>
      </c>
      <c r="B139" s="3">
        <v>6</v>
      </c>
      <c r="C139" s="3">
        <v>21</v>
      </c>
      <c r="D139" s="3">
        <v>17</v>
      </c>
      <c r="E139" s="3">
        <f>((1/(INDEX(E0!J$4:J$49,C139,1)-INDEX(E0!J$4:J$49,D139,1))))*100000000</f>
        <v>0</v>
      </c>
      <c r="F139" s="4" t="str">
        <f>HYPERLINK("http://141.218.60.56/~jnz1568/getInfo.php?workbook=08_06.xlsx&amp;sheet=A0&amp;row=139&amp;col=6&amp;number=20098&amp;sourceID=3","20098")</f>
        <v>20098</v>
      </c>
      <c r="G139" s="4" t="str">
        <f>HYPERLINK("http://141.218.60.56/~jnz1568/getInfo.php?workbook=08_06.xlsx&amp;sheet=A0&amp;row=139&amp;col=7&amp;number=&amp;sourceID=3","")</f>
        <v/>
      </c>
      <c r="H139" s="4" t="str">
        <f>HYPERLINK("http://141.218.60.56/~jnz1568/getInfo.php?workbook=08_06.xlsx&amp;sheet=A0&amp;row=139&amp;col=8&amp;number=&amp;sourceID=3","")</f>
        <v/>
      </c>
      <c r="I139" s="4" t="str">
        <f>HYPERLINK("http://141.218.60.56/~jnz1568/getInfo.php?workbook=08_06.xlsx&amp;sheet=A0&amp;row=139&amp;col=9&amp;number=&amp;sourceID=3","")</f>
        <v/>
      </c>
      <c r="J139" s="4" t="str">
        <f>HYPERLINK("http://141.218.60.56/~jnz1568/getInfo.php?workbook=08_06.xlsx&amp;sheet=A0&amp;row=139&amp;col=10&amp;number=24802&amp;sourceID=3","24802")</f>
        <v>24802</v>
      </c>
      <c r="K139" s="4" t="str">
        <f>HYPERLINK("http://141.218.60.56/~jnz1568/getInfo.php?workbook=08_06.xlsx&amp;sheet=A0&amp;row=139&amp;col=11&amp;number=&amp;sourceID=3","")</f>
        <v/>
      </c>
      <c r="L139" s="4" t="str">
        <f>HYPERLINK("http://141.218.60.56/~jnz1568/getInfo.php?workbook=08_06.xlsx&amp;sheet=A0&amp;row=139&amp;col=12&amp;number=&amp;sourceID=3","")</f>
        <v/>
      </c>
      <c r="M139" s="4" t="str">
        <f>HYPERLINK("http://141.218.60.56/~jnz1568/getInfo.php?workbook=08_06.xlsx&amp;sheet=A0&amp;row=139&amp;col=13&amp;number=&amp;sourceID=3","")</f>
        <v/>
      </c>
      <c r="N139" s="4" t="str">
        <f>HYPERLINK("http://141.218.60.56/~jnz1568/getInfo.php?workbook=08_06.xlsx&amp;sheet=A0&amp;row=139&amp;col=14&amp;number=72630&amp;sourceID=7","72630")</f>
        <v>72630</v>
      </c>
      <c r="O139" s="4" t="str">
        <f>HYPERLINK("http://141.218.60.56/~jnz1568/getInfo.php?workbook=08_06.xlsx&amp;sheet=A0&amp;row=139&amp;col=15&amp;number=&amp;sourceID=5","")</f>
        <v/>
      </c>
      <c r="P139" s="4" t="str">
        <f>HYPERLINK("http://141.218.60.56/~jnz1568/getInfo.php?workbook=08_06.xlsx&amp;sheet=A0&amp;row=139&amp;col=16&amp;number=&amp;sourceID=5","")</f>
        <v/>
      </c>
      <c r="Q139" s="4" t="str">
        <f>HYPERLINK("http://141.218.60.56/~jnz1568/getInfo.php?workbook=08_06.xlsx&amp;sheet=A0&amp;row=139&amp;col=17&amp;number=&amp;sourceID=6","")</f>
        <v/>
      </c>
    </row>
    <row r="140" spans="1:17">
      <c r="A140" s="3">
        <v>8</v>
      </c>
      <c r="B140" s="3">
        <v>6</v>
      </c>
      <c r="C140" s="3">
        <v>21</v>
      </c>
      <c r="D140" s="3">
        <v>18</v>
      </c>
      <c r="E140" s="3">
        <f>((1/(INDEX(E0!J$4:J$49,C140,1)-INDEX(E0!J$4:J$49,D140,1))))*100000000</f>
        <v>0</v>
      </c>
      <c r="F140" s="4" t="str">
        <f>HYPERLINK("http://141.218.60.56/~jnz1568/getInfo.php?workbook=08_06.xlsx&amp;sheet=A0&amp;row=140&amp;col=6&amp;number=31282&amp;sourceID=3","31282")</f>
        <v>31282</v>
      </c>
      <c r="G140" s="4" t="str">
        <f>HYPERLINK("http://141.218.60.56/~jnz1568/getInfo.php?workbook=08_06.xlsx&amp;sheet=A0&amp;row=140&amp;col=7&amp;number=&amp;sourceID=3","")</f>
        <v/>
      </c>
      <c r="H140" s="4" t="str">
        <f>HYPERLINK("http://141.218.60.56/~jnz1568/getInfo.php?workbook=08_06.xlsx&amp;sheet=A0&amp;row=140&amp;col=8&amp;number=&amp;sourceID=3","")</f>
        <v/>
      </c>
      <c r="I140" s="4" t="str">
        <f>HYPERLINK("http://141.218.60.56/~jnz1568/getInfo.php?workbook=08_06.xlsx&amp;sheet=A0&amp;row=140&amp;col=9&amp;number=&amp;sourceID=3","")</f>
        <v/>
      </c>
      <c r="J140" s="4" t="str">
        <f>HYPERLINK("http://141.218.60.56/~jnz1568/getInfo.php?workbook=08_06.xlsx&amp;sheet=A0&amp;row=140&amp;col=10&amp;number=38439&amp;sourceID=3","38439")</f>
        <v>38439</v>
      </c>
      <c r="K140" s="4" t="str">
        <f>HYPERLINK("http://141.218.60.56/~jnz1568/getInfo.php?workbook=08_06.xlsx&amp;sheet=A0&amp;row=140&amp;col=11&amp;number=&amp;sourceID=3","")</f>
        <v/>
      </c>
      <c r="L140" s="4" t="str">
        <f>HYPERLINK("http://141.218.60.56/~jnz1568/getInfo.php?workbook=08_06.xlsx&amp;sheet=A0&amp;row=140&amp;col=12&amp;number=&amp;sourceID=3","")</f>
        <v/>
      </c>
      <c r="M140" s="4" t="str">
        <f>HYPERLINK("http://141.218.60.56/~jnz1568/getInfo.php?workbook=08_06.xlsx&amp;sheet=A0&amp;row=140&amp;col=13&amp;number=&amp;sourceID=3","")</f>
        <v/>
      </c>
      <c r="N140" s="4" t="str">
        <f>HYPERLINK("http://141.218.60.56/~jnz1568/getInfo.php?workbook=08_06.xlsx&amp;sheet=A0&amp;row=140&amp;col=14&amp;number=112900&amp;sourceID=7","112900")</f>
        <v>112900</v>
      </c>
      <c r="O140" s="4" t="str">
        <f>HYPERLINK("http://141.218.60.56/~jnz1568/getInfo.php?workbook=08_06.xlsx&amp;sheet=A0&amp;row=140&amp;col=15&amp;number=&amp;sourceID=5","")</f>
        <v/>
      </c>
      <c r="P140" s="4" t="str">
        <f>HYPERLINK("http://141.218.60.56/~jnz1568/getInfo.php?workbook=08_06.xlsx&amp;sheet=A0&amp;row=140&amp;col=16&amp;number=&amp;sourceID=5","")</f>
        <v/>
      </c>
      <c r="Q140" s="4" t="str">
        <f>HYPERLINK("http://141.218.60.56/~jnz1568/getInfo.php?workbook=08_06.xlsx&amp;sheet=A0&amp;row=140&amp;col=17&amp;number=&amp;sourceID=6","")</f>
        <v/>
      </c>
    </row>
    <row r="141" spans="1:17">
      <c r="A141" s="3">
        <v>8</v>
      </c>
      <c r="B141" s="3">
        <v>6</v>
      </c>
      <c r="C141" s="3">
        <v>21</v>
      </c>
      <c r="D141" s="3">
        <v>19</v>
      </c>
      <c r="E141" s="3">
        <f>((1/(INDEX(E0!J$4:J$49,C141,1)-INDEX(E0!J$4:J$49,D141,1))))*100000000</f>
        <v>0</v>
      </c>
      <c r="F141" s="4" t="str">
        <f>HYPERLINK("http://141.218.60.56/~jnz1568/getInfo.php?workbook=08_06.xlsx&amp;sheet=A0&amp;row=141&amp;col=6&amp;number=1.8097&amp;sourceID=3","1.8097")</f>
        <v>1.8097</v>
      </c>
      <c r="G141" s="4" t="str">
        <f>HYPERLINK("http://141.218.60.56/~jnz1568/getInfo.php?workbook=08_06.xlsx&amp;sheet=A0&amp;row=141&amp;col=7&amp;number=&amp;sourceID=3","")</f>
        <v/>
      </c>
      <c r="H141" s="4" t="str">
        <f>HYPERLINK("http://141.218.60.56/~jnz1568/getInfo.php?workbook=08_06.xlsx&amp;sheet=A0&amp;row=141&amp;col=8&amp;number=&amp;sourceID=3","")</f>
        <v/>
      </c>
      <c r="I141" s="4" t="str">
        <f>HYPERLINK("http://141.218.60.56/~jnz1568/getInfo.php?workbook=08_06.xlsx&amp;sheet=A0&amp;row=141&amp;col=9&amp;number=&amp;sourceID=3","")</f>
        <v/>
      </c>
      <c r="J141" s="4" t="str">
        <f>HYPERLINK("http://141.218.60.56/~jnz1568/getInfo.php?workbook=08_06.xlsx&amp;sheet=A0&amp;row=141&amp;col=10&amp;number=1.1063&amp;sourceID=3","1.1063")</f>
        <v>1.1063</v>
      </c>
      <c r="K141" s="4" t="str">
        <f>HYPERLINK("http://141.218.60.56/~jnz1568/getInfo.php?workbook=08_06.xlsx&amp;sheet=A0&amp;row=141&amp;col=11&amp;number=&amp;sourceID=3","")</f>
        <v/>
      </c>
      <c r="L141" s="4" t="str">
        <f>HYPERLINK("http://141.218.60.56/~jnz1568/getInfo.php?workbook=08_06.xlsx&amp;sheet=A0&amp;row=141&amp;col=12&amp;number=&amp;sourceID=3","")</f>
        <v/>
      </c>
      <c r="M141" s="4" t="str">
        <f>HYPERLINK("http://141.218.60.56/~jnz1568/getInfo.php?workbook=08_06.xlsx&amp;sheet=A0&amp;row=141&amp;col=13&amp;number=&amp;sourceID=3","")</f>
        <v/>
      </c>
      <c r="N141" s="4" t="str">
        <f>HYPERLINK("http://141.218.60.56/~jnz1568/getInfo.php?workbook=08_06.xlsx&amp;sheet=A0&amp;row=141&amp;col=14&amp;number=81.08&amp;sourceID=7","81.08")</f>
        <v>81.08</v>
      </c>
      <c r="O141" s="4" t="str">
        <f>HYPERLINK("http://141.218.60.56/~jnz1568/getInfo.php?workbook=08_06.xlsx&amp;sheet=A0&amp;row=141&amp;col=15&amp;number=&amp;sourceID=5","")</f>
        <v/>
      </c>
      <c r="P141" s="4" t="str">
        <f>HYPERLINK("http://141.218.60.56/~jnz1568/getInfo.php?workbook=08_06.xlsx&amp;sheet=A0&amp;row=141&amp;col=16&amp;number=&amp;sourceID=5","")</f>
        <v/>
      </c>
      <c r="Q141" s="4" t="str">
        <f>HYPERLINK("http://141.218.60.56/~jnz1568/getInfo.php?workbook=08_06.xlsx&amp;sheet=A0&amp;row=141&amp;col=17&amp;number=&amp;sourceID=6","")</f>
        <v/>
      </c>
    </row>
    <row r="142" spans="1:17">
      <c r="A142" s="3">
        <v>8</v>
      </c>
      <c r="B142" s="3">
        <v>6</v>
      </c>
      <c r="C142" s="3">
        <v>22</v>
      </c>
      <c r="D142" s="3">
        <v>9</v>
      </c>
      <c r="E142" s="3">
        <f>((1/(INDEX(E0!J$4:J$49,C142,1)-INDEX(E0!J$4:J$49,D142,1))))*100000000</f>
        <v>0</v>
      </c>
      <c r="F142" s="4" t="str">
        <f>HYPERLINK("http://141.218.60.56/~jnz1568/getInfo.php?workbook=08_06.xlsx&amp;sheet=A0&amp;row=142&amp;col=6&amp;number=4857000000&amp;sourceID=3","4857000000")</f>
        <v>4857000000</v>
      </c>
      <c r="G142" s="4" t="str">
        <f>HYPERLINK("http://141.218.60.56/~jnz1568/getInfo.php?workbook=08_06.xlsx&amp;sheet=A0&amp;row=142&amp;col=7&amp;number=&amp;sourceID=3","")</f>
        <v/>
      </c>
      <c r="H142" s="4" t="str">
        <f>HYPERLINK("http://141.218.60.56/~jnz1568/getInfo.php?workbook=08_06.xlsx&amp;sheet=A0&amp;row=142&amp;col=8&amp;number=&amp;sourceID=3","")</f>
        <v/>
      </c>
      <c r="I142" s="4" t="str">
        <f>HYPERLINK("http://141.218.60.56/~jnz1568/getInfo.php?workbook=08_06.xlsx&amp;sheet=A0&amp;row=142&amp;col=9&amp;number=&amp;sourceID=3","")</f>
        <v/>
      </c>
      <c r="J142" s="4" t="str">
        <f>HYPERLINK("http://141.218.60.56/~jnz1568/getInfo.php?workbook=08_06.xlsx&amp;sheet=A0&amp;row=142&amp;col=10&amp;number=4907000000&amp;sourceID=3","4907000000")</f>
        <v>4907000000</v>
      </c>
      <c r="K142" s="4" t="str">
        <f>HYPERLINK("http://141.218.60.56/~jnz1568/getInfo.php?workbook=08_06.xlsx&amp;sheet=A0&amp;row=142&amp;col=11&amp;number=&amp;sourceID=3","")</f>
        <v/>
      </c>
      <c r="L142" s="4" t="str">
        <f>HYPERLINK("http://141.218.60.56/~jnz1568/getInfo.php?workbook=08_06.xlsx&amp;sheet=A0&amp;row=142&amp;col=12&amp;number=&amp;sourceID=3","")</f>
        <v/>
      </c>
      <c r="M142" s="4" t="str">
        <f>HYPERLINK("http://141.218.60.56/~jnz1568/getInfo.php?workbook=08_06.xlsx&amp;sheet=A0&amp;row=142&amp;col=13&amp;number=&amp;sourceID=3","")</f>
        <v/>
      </c>
      <c r="N142" s="4" t="str">
        <f>HYPERLINK("http://141.218.60.56/~jnz1568/getInfo.php?workbook=08_06.xlsx&amp;sheet=A0&amp;row=142&amp;col=14&amp;number=5429000000&amp;sourceID=7","5429000000")</f>
        <v>5429000000</v>
      </c>
      <c r="O142" s="4" t="str">
        <f>HYPERLINK("http://141.218.60.56/~jnz1568/getInfo.php?workbook=08_06.xlsx&amp;sheet=A0&amp;row=142&amp;col=15&amp;number=&amp;sourceID=5","")</f>
        <v/>
      </c>
      <c r="P142" s="4" t="str">
        <f>HYPERLINK("http://141.218.60.56/~jnz1568/getInfo.php?workbook=08_06.xlsx&amp;sheet=A0&amp;row=142&amp;col=16&amp;number=&amp;sourceID=5","")</f>
        <v/>
      </c>
      <c r="Q142" s="4" t="str">
        <f>HYPERLINK("http://141.218.60.56/~jnz1568/getInfo.php?workbook=08_06.xlsx&amp;sheet=A0&amp;row=142&amp;col=17&amp;number=&amp;sourceID=6","")</f>
        <v/>
      </c>
    </row>
    <row r="143" spans="1:17">
      <c r="A143" s="3">
        <v>8</v>
      </c>
      <c r="B143" s="3">
        <v>6</v>
      </c>
      <c r="C143" s="3">
        <v>22</v>
      </c>
      <c r="D143" s="3">
        <v>11</v>
      </c>
      <c r="E143" s="3">
        <f>((1/(INDEX(E0!J$4:J$49,C143,1)-INDEX(E0!J$4:J$49,D143,1))))*100000000</f>
        <v>0</v>
      </c>
      <c r="F143" s="4" t="str">
        <f>HYPERLINK("http://141.218.60.56/~jnz1568/getInfo.php?workbook=08_06.xlsx&amp;sheet=A0&amp;row=143&amp;col=6&amp;number=771060000&amp;sourceID=3","771060000")</f>
        <v>771060000</v>
      </c>
      <c r="G143" s="4" t="str">
        <f>HYPERLINK("http://141.218.60.56/~jnz1568/getInfo.php?workbook=08_06.xlsx&amp;sheet=A0&amp;row=143&amp;col=7&amp;number=&amp;sourceID=3","")</f>
        <v/>
      </c>
      <c r="H143" s="4" t="str">
        <f>HYPERLINK("http://141.218.60.56/~jnz1568/getInfo.php?workbook=08_06.xlsx&amp;sheet=A0&amp;row=143&amp;col=8&amp;number=&amp;sourceID=3","")</f>
        <v/>
      </c>
      <c r="I143" s="4" t="str">
        <f>HYPERLINK("http://141.218.60.56/~jnz1568/getInfo.php?workbook=08_06.xlsx&amp;sheet=A0&amp;row=143&amp;col=9&amp;number=&amp;sourceID=3","")</f>
        <v/>
      </c>
      <c r="J143" s="4" t="str">
        <f>HYPERLINK("http://141.218.60.56/~jnz1568/getInfo.php?workbook=08_06.xlsx&amp;sheet=A0&amp;row=143&amp;col=10&amp;number=775750000&amp;sourceID=3","775750000")</f>
        <v>775750000</v>
      </c>
      <c r="K143" s="4" t="str">
        <f>HYPERLINK("http://141.218.60.56/~jnz1568/getInfo.php?workbook=08_06.xlsx&amp;sheet=A0&amp;row=143&amp;col=11&amp;number=&amp;sourceID=3","")</f>
        <v/>
      </c>
      <c r="L143" s="4" t="str">
        <f>HYPERLINK("http://141.218.60.56/~jnz1568/getInfo.php?workbook=08_06.xlsx&amp;sheet=A0&amp;row=143&amp;col=12&amp;number=&amp;sourceID=3","")</f>
        <v/>
      </c>
      <c r="M143" s="4" t="str">
        <f>HYPERLINK("http://141.218.60.56/~jnz1568/getInfo.php?workbook=08_06.xlsx&amp;sheet=A0&amp;row=143&amp;col=13&amp;number=&amp;sourceID=3","")</f>
        <v/>
      </c>
      <c r="N143" s="4" t="str">
        <f>HYPERLINK("http://141.218.60.56/~jnz1568/getInfo.php?workbook=08_06.xlsx&amp;sheet=A0&amp;row=143&amp;col=14&amp;number=729700000&amp;sourceID=7","729700000")</f>
        <v>729700000</v>
      </c>
      <c r="O143" s="4" t="str">
        <f>HYPERLINK("http://141.218.60.56/~jnz1568/getInfo.php?workbook=08_06.xlsx&amp;sheet=A0&amp;row=143&amp;col=15&amp;number=&amp;sourceID=5","")</f>
        <v/>
      </c>
      <c r="P143" s="4" t="str">
        <f>HYPERLINK("http://141.218.60.56/~jnz1568/getInfo.php?workbook=08_06.xlsx&amp;sheet=A0&amp;row=143&amp;col=16&amp;number=&amp;sourceID=5","")</f>
        <v/>
      </c>
      <c r="Q143" s="4" t="str">
        <f>HYPERLINK("http://141.218.60.56/~jnz1568/getInfo.php?workbook=08_06.xlsx&amp;sheet=A0&amp;row=143&amp;col=17&amp;number=&amp;sourceID=6","")</f>
        <v/>
      </c>
    </row>
    <row r="144" spans="1:17">
      <c r="A144" s="3">
        <v>8</v>
      </c>
      <c r="B144" s="3">
        <v>6</v>
      </c>
      <c r="C144" s="3">
        <v>22</v>
      </c>
      <c r="D144" s="3">
        <v>14</v>
      </c>
      <c r="E144" s="3">
        <f>((1/(INDEX(E0!J$4:J$49,C144,1)-INDEX(E0!J$4:J$49,D144,1))))*100000000</f>
        <v>0</v>
      </c>
      <c r="F144" s="4" t="str">
        <f>HYPERLINK("http://141.218.60.56/~jnz1568/getInfo.php?workbook=08_06.xlsx&amp;sheet=A0&amp;row=144&amp;col=6&amp;number=437700000&amp;sourceID=3","437700000")</f>
        <v>437700000</v>
      </c>
      <c r="G144" s="4" t="str">
        <f>HYPERLINK("http://141.218.60.56/~jnz1568/getInfo.php?workbook=08_06.xlsx&amp;sheet=A0&amp;row=144&amp;col=7&amp;number=&amp;sourceID=3","")</f>
        <v/>
      </c>
      <c r="H144" s="4" t="str">
        <f>HYPERLINK("http://141.218.60.56/~jnz1568/getInfo.php?workbook=08_06.xlsx&amp;sheet=A0&amp;row=144&amp;col=8&amp;number=&amp;sourceID=3","")</f>
        <v/>
      </c>
      <c r="I144" s="4" t="str">
        <f>HYPERLINK("http://141.218.60.56/~jnz1568/getInfo.php?workbook=08_06.xlsx&amp;sheet=A0&amp;row=144&amp;col=9&amp;number=&amp;sourceID=3","")</f>
        <v/>
      </c>
      <c r="J144" s="4" t="str">
        <f>HYPERLINK("http://141.218.60.56/~jnz1568/getInfo.php?workbook=08_06.xlsx&amp;sheet=A0&amp;row=144&amp;col=10&amp;number=444090000&amp;sourceID=3","444090000")</f>
        <v>444090000</v>
      </c>
      <c r="K144" s="4" t="str">
        <f>HYPERLINK("http://141.218.60.56/~jnz1568/getInfo.php?workbook=08_06.xlsx&amp;sheet=A0&amp;row=144&amp;col=11&amp;number=&amp;sourceID=3","")</f>
        <v/>
      </c>
      <c r="L144" s="4" t="str">
        <f>HYPERLINK("http://141.218.60.56/~jnz1568/getInfo.php?workbook=08_06.xlsx&amp;sheet=A0&amp;row=144&amp;col=12&amp;number=&amp;sourceID=3","")</f>
        <v/>
      </c>
      <c r="M144" s="4" t="str">
        <f>HYPERLINK("http://141.218.60.56/~jnz1568/getInfo.php?workbook=08_06.xlsx&amp;sheet=A0&amp;row=144&amp;col=13&amp;number=&amp;sourceID=3","")</f>
        <v/>
      </c>
      <c r="N144" s="4" t="str">
        <f>HYPERLINK("http://141.218.60.56/~jnz1568/getInfo.php?workbook=08_06.xlsx&amp;sheet=A0&amp;row=144&amp;col=14&amp;number=454200000&amp;sourceID=7","454200000")</f>
        <v>454200000</v>
      </c>
      <c r="O144" s="4" t="str">
        <f>HYPERLINK("http://141.218.60.56/~jnz1568/getInfo.php?workbook=08_06.xlsx&amp;sheet=A0&amp;row=144&amp;col=15&amp;number=&amp;sourceID=5","")</f>
        <v/>
      </c>
      <c r="P144" s="4" t="str">
        <f>HYPERLINK("http://141.218.60.56/~jnz1568/getInfo.php?workbook=08_06.xlsx&amp;sheet=A0&amp;row=144&amp;col=16&amp;number=&amp;sourceID=5","")</f>
        <v/>
      </c>
      <c r="Q144" s="4" t="str">
        <f>HYPERLINK("http://141.218.60.56/~jnz1568/getInfo.php?workbook=08_06.xlsx&amp;sheet=A0&amp;row=144&amp;col=17&amp;number=&amp;sourceID=6","")</f>
        <v/>
      </c>
    </row>
    <row r="145" spans="1:17">
      <c r="A145" s="3">
        <v>8</v>
      </c>
      <c r="B145" s="3">
        <v>6</v>
      </c>
      <c r="C145" s="3">
        <v>22</v>
      </c>
      <c r="D145" s="3">
        <v>15</v>
      </c>
      <c r="E145" s="3">
        <f>((1/(INDEX(E0!J$4:J$49,C145,1)-INDEX(E0!J$4:J$49,D145,1))))*100000000</f>
        <v>0</v>
      </c>
      <c r="F145" s="4" t="str">
        <f>HYPERLINK("http://141.218.60.56/~jnz1568/getInfo.php?workbook=08_06.xlsx&amp;sheet=A0&amp;row=145&amp;col=6&amp;number=8458.3&amp;sourceID=3","8458.3")</f>
        <v>8458.3</v>
      </c>
      <c r="G145" s="4" t="str">
        <f>HYPERLINK("http://141.218.60.56/~jnz1568/getInfo.php?workbook=08_06.xlsx&amp;sheet=A0&amp;row=145&amp;col=7&amp;number=&amp;sourceID=3","")</f>
        <v/>
      </c>
      <c r="H145" s="4" t="str">
        <f>HYPERLINK("http://141.218.60.56/~jnz1568/getInfo.php?workbook=08_06.xlsx&amp;sheet=A0&amp;row=145&amp;col=8&amp;number=&amp;sourceID=3","")</f>
        <v/>
      </c>
      <c r="I145" s="4" t="str">
        <f>HYPERLINK("http://141.218.60.56/~jnz1568/getInfo.php?workbook=08_06.xlsx&amp;sheet=A0&amp;row=145&amp;col=9&amp;number=&amp;sourceID=3","")</f>
        <v/>
      </c>
      <c r="J145" s="4" t="str">
        <f>HYPERLINK("http://141.218.60.56/~jnz1568/getInfo.php?workbook=08_06.xlsx&amp;sheet=A0&amp;row=145&amp;col=10&amp;number=8008&amp;sourceID=3","8008")</f>
        <v>8008</v>
      </c>
      <c r="K145" s="4" t="str">
        <f>HYPERLINK("http://141.218.60.56/~jnz1568/getInfo.php?workbook=08_06.xlsx&amp;sheet=A0&amp;row=145&amp;col=11&amp;number=&amp;sourceID=3","")</f>
        <v/>
      </c>
      <c r="L145" s="4" t="str">
        <f>HYPERLINK("http://141.218.60.56/~jnz1568/getInfo.php?workbook=08_06.xlsx&amp;sheet=A0&amp;row=145&amp;col=12&amp;number=&amp;sourceID=3","")</f>
        <v/>
      </c>
      <c r="M145" s="4" t="str">
        <f>HYPERLINK("http://141.218.60.56/~jnz1568/getInfo.php?workbook=08_06.xlsx&amp;sheet=A0&amp;row=145&amp;col=13&amp;number=&amp;sourceID=3","")</f>
        <v/>
      </c>
      <c r="N145" s="4" t="str">
        <f>HYPERLINK("http://141.218.60.56/~jnz1568/getInfo.php?workbook=08_06.xlsx&amp;sheet=A0&amp;row=145&amp;col=14&amp;number=1662&amp;sourceID=7","1662")</f>
        <v>1662</v>
      </c>
      <c r="O145" s="4" t="str">
        <f>HYPERLINK("http://141.218.60.56/~jnz1568/getInfo.php?workbook=08_06.xlsx&amp;sheet=A0&amp;row=145&amp;col=15&amp;number=&amp;sourceID=5","")</f>
        <v/>
      </c>
      <c r="P145" s="4" t="str">
        <f>HYPERLINK("http://141.218.60.56/~jnz1568/getInfo.php?workbook=08_06.xlsx&amp;sheet=A0&amp;row=145&amp;col=16&amp;number=&amp;sourceID=5","")</f>
        <v/>
      </c>
      <c r="Q145" s="4" t="str">
        <f>HYPERLINK("http://141.218.60.56/~jnz1568/getInfo.php?workbook=08_06.xlsx&amp;sheet=A0&amp;row=145&amp;col=17&amp;number=&amp;sourceID=6","")</f>
        <v/>
      </c>
    </row>
    <row r="146" spans="1:17">
      <c r="A146" s="3">
        <v>8</v>
      </c>
      <c r="B146" s="3">
        <v>6</v>
      </c>
      <c r="C146" s="3">
        <v>22</v>
      </c>
      <c r="D146" s="3">
        <v>17</v>
      </c>
      <c r="E146" s="3">
        <f>((1/(INDEX(E0!J$4:J$49,C146,1)-INDEX(E0!J$4:J$49,D146,1))))*100000000</f>
        <v>0</v>
      </c>
      <c r="F146" s="4" t="str">
        <f>HYPERLINK("http://141.218.60.56/~jnz1568/getInfo.php?workbook=08_06.xlsx&amp;sheet=A0&amp;row=146&amp;col=6&amp;number=82882&amp;sourceID=3","82882")</f>
        <v>82882</v>
      </c>
      <c r="G146" s="4" t="str">
        <f>HYPERLINK("http://141.218.60.56/~jnz1568/getInfo.php?workbook=08_06.xlsx&amp;sheet=A0&amp;row=146&amp;col=7&amp;number=&amp;sourceID=3","")</f>
        <v/>
      </c>
      <c r="H146" s="4" t="str">
        <f>HYPERLINK("http://141.218.60.56/~jnz1568/getInfo.php?workbook=08_06.xlsx&amp;sheet=A0&amp;row=146&amp;col=8&amp;number=&amp;sourceID=3","")</f>
        <v/>
      </c>
      <c r="I146" s="4" t="str">
        <f>HYPERLINK("http://141.218.60.56/~jnz1568/getInfo.php?workbook=08_06.xlsx&amp;sheet=A0&amp;row=146&amp;col=9&amp;number=&amp;sourceID=3","")</f>
        <v/>
      </c>
      <c r="J146" s="4" t="str">
        <f>HYPERLINK("http://141.218.60.56/~jnz1568/getInfo.php?workbook=08_06.xlsx&amp;sheet=A0&amp;row=146&amp;col=10&amp;number=102500&amp;sourceID=3","102500")</f>
        <v>102500</v>
      </c>
      <c r="K146" s="4" t="str">
        <f>HYPERLINK("http://141.218.60.56/~jnz1568/getInfo.php?workbook=08_06.xlsx&amp;sheet=A0&amp;row=146&amp;col=11&amp;number=&amp;sourceID=3","")</f>
        <v/>
      </c>
      <c r="L146" s="4" t="str">
        <f>HYPERLINK("http://141.218.60.56/~jnz1568/getInfo.php?workbook=08_06.xlsx&amp;sheet=A0&amp;row=146&amp;col=12&amp;number=&amp;sourceID=3","")</f>
        <v/>
      </c>
      <c r="M146" s="4" t="str">
        <f>HYPERLINK("http://141.218.60.56/~jnz1568/getInfo.php?workbook=08_06.xlsx&amp;sheet=A0&amp;row=146&amp;col=13&amp;number=&amp;sourceID=3","")</f>
        <v/>
      </c>
      <c r="N146" s="4" t="str">
        <f>HYPERLINK("http://141.218.60.56/~jnz1568/getInfo.php?workbook=08_06.xlsx&amp;sheet=A0&amp;row=146&amp;col=14&amp;number=301800&amp;sourceID=7","301800")</f>
        <v>301800</v>
      </c>
      <c r="O146" s="4" t="str">
        <f>HYPERLINK("http://141.218.60.56/~jnz1568/getInfo.php?workbook=08_06.xlsx&amp;sheet=A0&amp;row=146&amp;col=15&amp;number=&amp;sourceID=5","")</f>
        <v/>
      </c>
      <c r="P146" s="4" t="str">
        <f>HYPERLINK("http://141.218.60.56/~jnz1568/getInfo.php?workbook=08_06.xlsx&amp;sheet=A0&amp;row=146&amp;col=16&amp;number=&amp;sourceID=5","")</f>
        <v/>
      </c>
      <c r="Q146" s="4" t="str">
        <f>HYPERLINK("http://141.218.60.56/~jnz1568/getInfo.php?workbook=08_06.xlsx&amp;sheet=A0&amp;row=146&amp;col=17&amp;number=&amp;sourceID=6","")</f>
        <v/>
      </c>
    </row>
    <row r="147" spans="1:17">
      <c r="A147" s="3">
        <v>8</v>
      </c>
      <c r="B147" s="3">
        <v>6</v>
      </c>
      <c r="C147" s="3">
        <v>22</v>
      </c>
      <c r="D147" s="3">
        <v>19</v>
      </c>
      <c r="E147" s="3">
        <f>((1/(INDEX(E0!J$4:J$49,C147,1)-INDEX(E0!J$4:J$49,D147,1))))*100000000</f>
        <v>0</v>
      </c>
      <c r="F147" s="4" t="str">
        <f>HYPERLINK("http://141.218.60.56/~jnz1568/getInfo.php?workbook=08_06.xlsx&amp;sheet=A0&amp;row=147&amp;col=6&amp;number=15.912&amp;sourceID=3","15.912")</f>
        <v>15.912</v>
      </c>
      <c r="G147" s="4" t="str">
        <f>HYPERLINK("http://141.218.60.56/~jnz1568/getInfo.php?workbook=08_06.xlsx&amp;sheet=A0&amp;row=147&amp;col=7&amp;number=&amp;sourceID=3","")</f>
        <v/>
      </c>
      <c r="H147" s="4" t="str">
        <f>HYPERLINK("http://141.218.60.56/~jnz1568/getInfo.php?workbook=08_06.xlsx&amp;sheet=A0&amp;row=147&amp;col=8&amp;number=&amp;sourceID=3","")</f>
        <v/>
      </c>
      <c r="I147" s="4" t="str">
        <f>HYPERLINK("http://141.218.60.56/~jnz1568/getInfo.php?workbook=08_06.xlsx&amp;sheet=A0&amp;row=147&amp;col=9&amp;number=&amp;sourceID=3","")</f>
        <v/>
      </c>
      <c r="J147" s="4" t="str">
        <f>HYPERLINK("http://141.218.60.56/~jnz1568/getInfo.php?workbook=08_06.xlsx&amp;sheet=A0&amp;row=147&amp;col=10&amp;number=18.228&amp;sourceID=3","18.228")</f>
        <v>18.228</v>
      </c>
      <c r="K147" s="4" t="str">
        <f>HYPERLINK("http://141.218.60.56/~jnz1568/getInfo.php?workbook=08_06.xlsx&amp;sheet=A0&amp;row=147&amp;col=11&amp;number=&amp;sourceID=3","")</f>
        <v/>
      </c>
      <c r="L147" s="4" t="str">
        <f>HYPERLINK("http://141.218.60.56/~jnz1568/getInfo.php?workbook=08_06.xlsx&amp;sheet=A0&amp;row=147&amp;col=12&amp;number=&amp;sourceID=3","")</f>
        <v/>
      </c>
      <c r="M147" s="4" t="str">
        <f>HYPERLINK("http://141.218.60.56/~jnz1568/getInfo.php?workbook=08_06.xlsx&amp;sheet=A0&amp;row=147&amp;col=13&amp;number=&amp;sourceID=3","")</f>
        <v/>
      </c>
      <c r="N147" s="4" t="str">
        <f>HYPERLINK("http://141.218.60.56/~jnz1568/getInfo.php?workbook=08_06.xlsx&amp;sheet=A0&amp;row=147&amp;col=14&amp;number=10.75&amp;sourceID=7","10.75")</f>
        <v>10.75</v>
      </c>
      <c r="O147" s="4" t="str">
        <f>HYPERLINK("http://141.218.60.56/~jnz1568/getInfo.php?workbook=08_06.xlsx&amp;sheet=A0&amp;row=147&amp;col=15&amp;number=&amp;sourceID=5","")</f>
        <v/>
      </c>
      <c r="P147" s="4" t="str">
        <f>HYPERLINK("http://141.218.60.56/~jnz1568/getInfo.php?workbook=08_06.xlsx&amp;sheet=A0&amp;row=147&amp;col=16&amp;number=&amp;sourceID=5","")</f>
        <v/>
      </c>
      <c r="Q147" s="4" t="str">
        <f>HYPERLINK("http://141.218.60.56/~jnz1568/getInfo.php?workbook=08_06.xlsx&amp;sheet=A0&amp;row=147&amp;col=17&amp;number=&amp;sourceID=6","")</f>
        <v/>
      </c>
    </row>
    <row r="148" spans="1:17">
      <c r="A148" s="3">
        <v>8</v>
      </c>
      <c r="B148" s="3">
        <v>6</v>
      </c>
      <c r="C148" s="3">
        <v>23</v>
      </c>
      <c r="D148" s="3">
        <v>6</v>
      </c>
      <c r="E148" s="3">
        <f>((1/(INDEX(E0!J$4:J$49,C148,1)-INDEX(E0!J$4:J$49,D148,1))))*100000000</f>
        <v>0</v>
      </c>
      <c r="F148" s="4" t="str">
        <f>HYPERLINK("http://141.218.60.56/~jnz1568/getInfo.php?workbook=08_06.xlsx&amp;sheet=A0&amp;row=148&amp;col=6&amp;number=0.0004494&amp;sourceID=3","0.0004494")</f>
        <v>0.0004494</v>
      </c>
      <c r="G148" s="4" t="str">
        <f>HYPERLINK("http://141.218.60.56/~jnz1568/getInfo.php?workbook=08_06.xlsx&amp;sheet=A0&amp;row=148&amp;col=7&amp;number=&amp;sourceID=3","")</f>
        <v/>
      </c>
      <c r="H148" s="4" t="str">
        <f>HYPERLINK("http://141.218.60.56/~jnz1568/getInfo.php?workbook=08_06.xlsx&amp;sheet=A0&amp;row=148&amp;col=8&amp;number=&amp;sourceID=3","")</f>
        <v/>
      </c>
      <c r="I148" s="4" t="str">
        <f>HYPERLINK("http://141.218.60.56/~jnz1568/getInfo.php?workbook=08_06.xlsx&amp;sheet=A0&amp;row=148&amp;col=9&amp;number=&amp;sourceID=3","")</f>
        <v/>
      </c>
      <c r="J148" s="4" t="str">
        <f>HYPERLINK("http://141.218.60.56/~jnz1568/getInfo.php?workbook=08_06.xlsx&amp;sheet=A0&amp;row=148&amp;col=10&amp;number=0.0006838&amp;sourceID=3","0.0006838")</f>
        <v>0.0006838</v>
      </c>
      <c r="K148" s="4" t="str">
        <f>HYPERLINK("http://141.218.60.56/~jnz1568/getInfo.php?workbook=08_06.xlsx&amp;sheet=A0&amp;row=148&amp;col=11&amp;number=&amp;sourceID=3","")</f>
        <v/>
      </c>
      <c r="L148" s="4" t="str">
        <f>HYPERLINK("http://141.218.60.56/~jnz1568/getInfo.php?workbook=08_06.xlsx&amp;sheet=A0&amp;row=148&amp;col=12&amp;number=&amp;sourceID=3","")</f>
        <v/>
      </c>
      <c r="M148" s="4" t="str">
        <f>HYPERLINK("http://141.218.60.56/~jnz1568/getInfo.php?workbook=08_06.xlsx&amp;sheet=A0&amp;row=148&amp;col=13&amp;number=&amp;sourceID=3","")</f>
        <v/>
      </c>
      <c r="N148" s="4" t="str">
        <f>HYPERLINK("http://141.218.60.56/~jnz1568/getInfo.php?workbook=08_06.xlsx&amp;sheet=A0&amp;row=148&amp;col=14&amp;number=0.02006&amp;sourceID=7","0.02006")</f>
        <v>0.02006</v>
      </c>
      <c r="O148" s="4" t="str">
        <f>HYPERLINK("http://141.218.60.56/~jnz1568/getInfo.php?workbook=08_06.xlsx&amp;sheet=A0&amp;row=148&amp;col=15&amp;number=&amp;sourceID=5","")</f>
        <v/>
      </c>
      <c r="P148" s="4" t="str">
        <f>HYPERLINK("http://141.218.60.56/~jnz1568/getInfo.php?workbook=08_06.xlsx&amp;sheet=A0&amp;row=148&amp;col=16&amp;number=&amp;sourceID=5","")</f>
        <v/>
      </c>
      <c r="Q148" s="4" t="str">
        <f>HYPERLINK("http://141.218.60.56/~jnz1568/getInfo.php?workbook=08_06.xlsx&amp;sheet=A0&amp;row=148&amp;col=17&amp;number=&amp;sourceID=6","")</f>
        <v/>
      </c>
    </row>
    <row r="149" spans="1:17">
      <c r="A149" s="3">
        <v>8</v>
      </c>
      <c r="B149" s="3">
        <v>6</v>
      </c>
      <c r="C149" s="3">
        <v>23</v>
      </c>
      <c r="D149" s="3">
        <v>8</v>
      </c>
      <c r="E149" s="3">
        <f>((1/(INDEX(E0!J$4:J$49,C149,1)-INDEX(E0!J$4:J$49,D149,1))))*100000000</f>
        <v>0</v>
      </c>
      <c r="F149" s="4" t="str">
        <f>HYPERLINK("http://141.218.60.56/~jnz1568/getInfo.php?workbook=08_06.xlsx&amp;sheet=A0&amp;row=149&amp;col=6&amp;number=8368.8&amp;sourceID=3","8368.8")</f>
        <v>8368.8</v>
      </c>
      <c r="G149" s="4" t="str">
        <f>HYPERLINK("http://141.218.60.56/~jnz1568/getInfo.php?workbook=08_06.xlsx&amp;sheet=A0&amp;row=149&amp;col=7&amp;number=&amp;sourceID=3","")</f>
        <v/>
      </c>
      <c r="H149" s="4" t="str">
        <f>HYPERLINK("http://141.218.60.56/~jnz1568/getInfo.php?workbook=08_06.xlsx&amp;sheet=A0&amp;row=149&amp;col=8&amp;number=&amp;sourceID=3","")</f>
        <v/>
      </c>
      <c r="I149" s="4" t="str">
        <f>HYPERLINK("http://141.218.60.56/~jnz1568/getInfo.php?workbook=08_06.xlsx&amp;sheet=A0&amp;row=149&amp;col=9&amp;number=&amp;sourceID=3","")</f>
        <v/>
      </c>
      <c r="J149" s="4" t="str">
        <f>HYPERLINK("http://141.218.60.56/~jnz1568/getInfo.php?workbook=08_06.xlsx&amp;sheet=A0&amp;row=149&amp;col=10&amp;number=8575&amp;sourceID=3","8575")</f>
        <v>8575</v>
      </c>
      <c r="K149" s="4" t="str">
        <f>HYPERLINK("http://141.218.60.56/~jnz1568/getInfo.php?workbook=08_06.xlsx&amp;sheet=A0&amp;row=149&amp;col=11&amp;number=&amp;sourceID=3","")</f>
        <v/>
      </c>
      <c r="L149" s="4" t="str">
        <f>HYPERLINK("http://141.218.60.56/~jnz1568/getInfo.php?workbook=08_06.xlsx&amp;sheet=A0&amp;row=149&amp;col=12&amp;number=&amp;sourceID=3","")</f>
        <v/>
      </c>
      <c r="M149" s="4" t="str">
        <f>HYPERLINK("http://141.218.60.56/~jnz1568/getInfo.php?workbook=08_06.xlsx&amp;sheet=A0&amp;row=149&amp;col=13&amp;number=&amp;sourceID=3","")</f>
        <v/>
      </c>
      <c r="N149" s="4" t="str">
        <f>HYPERLINK("http://141.218.60.56/~jnz1568/getInfo.php?workbook=08_06.xlsx&amp;sheet=A0&amp;row=149&amp;col=14&amp;number=114200&amp;sourceID=7","114200")</f>
        <v>114200</v>
      </c>
      <c r="O149" s="4" t="str">
        <f>HYPERLINK("http://141.218.60.56/~jnz1568/getInfo.php?workbook=08_06.xlsx&amp;sheet=A0&amp;row=149&amp;col=15&amp;number=&amp;sourceID=5","")</f>
        <v/>
      </c>
      <c r="P149" s="4" t="str">
        <f>HYPERLINK("http://141.218.60.56/~jnz1568/getInfo.php?workbook=08_06.xlsx&amp;sheet=A0&amp;row=149&amp;col=16&amp;number=&amp;sourceID=5","")</f>
        <v/>
      </c>
      <c r="Q149" s="4" t="str">
        <f>HYPERLINK("http://141.218.60.56/~jnz1568/getInfo.php?workbook=08_06.xlsx&amp;sheet=A0&amp;row=149&amp;col=17&amp;number=&amp;sourceID=6","")</f>
        <v/>
      </c>
    </row>
    <row r="150" spans="1:17">
      <c r="A150" s="3">
        <v>8</v>
      </c>
      <c r="B150" s="3">
        <v>6</v>
      </c>
      <c r="C150" s="3">
        <v>23</v>
      </c>
      <c r="D150" s="3">
        <v>9</v>
      </c>
      <c r="E150" s="3">
        <f>((1/(INDEX(E0!J$4:J$49,C150,1)-INDEX(E0!J$4:J$49,D150,1))))*100000000</f>
        <v>0</v>
      </c>
      <c r="F150" s="4" t="str">
        <f>HYPERLINK("http://141.218.60.56/~jnz1568/getInfo.php?workbook=08_06.xlsx&amp;sheet=A0&amp;row=150&amp;col=6&amp;number=52011&amp;sourceID=3","52011")</f>
        <v>52011</v>
      </c>
      <c r="G150" s="4" t="str">
        <f>HYPERLINK("http://141.218.60.56/~jnz1568/getInfo.php?workbook=08_06.xlsx&amp;sheet=A0&amp;row=150&amp;col=7&amp;number=&amp;sourceID=3","")</f>
        <v/>
      </c>
      <c r="H150" s="4" t="str">
        <f>HYPERLINK("http://141.218.60.56/~jnz1568/getInfo.php?workbook=08_06.xlsx&amp;sheet=A0&amp;row=150&amp;col=8&amp;number=&amp;sourceID=3","")</f>
        <v/>
      </c>
      <c r="I150" s="4" t="str">
        <f>HYPERLINK("http://141.218.60.56/~jnz1568/getInfo.php?workbook=08_06.xlsx&amp;sheet=A0&amp;row=150&amp;col=9&amp;number=&amp;sourceID=3","")</f>
        <v/>
      </c>
      <c r="J150" s="4" t="str">
        <f>HYPERLINK("http://141.218.60.56/~jnz1568/getInfo.php?workbook=08_06.xlsx&amp;sheet=A0&amp;row=150&amp;col=10&amp;number=52343&amp;sourceID=3","52343")</f>
        <v>52343</v>
      </c>
      <c r="K150" s="4" t="str">
        <f>HYPERLINK("http://141.218.60.56/~jnz1568/getInfo.php?workbook=08_06.xlsx&amp;sheet=A0&amp;row=150&amp;col=11&amp;number=&amp;sourceID=3","")</f>
        <v/>
      </c>
      <c r="L150" s="4" t="str">
        <f>HYPERLINK("http://141.218.60.56/~jnz1568/getInfo.php?workbook=08_06.xlsx&amp;sheet=A0&amp;row=150&amp;col=12&amp;number=&amp;sourceID=3","")</f>
        <v/>
      </c>
      <c r="M150" s="4" t="str">
        <f>HYPERLINK("http://141.218.60.56/~jnz1568/getInfo.php?workbook=08_06.xlsx&amp;sheet=A0&amp;row=150&amp;col=13&amp;number=&amp;sourceID=3","")</f>
        <v/>
      </c>
      <c r="N150" s="4" t="str">
        <f>HYPERLINK("http://141.218.60.56/~jnz1568/getInfo.php?workbook=08_06.xlsx&amp;sheet=A0&amp;row=150&amp;col=14&amp;number=1081&amp;sourceID=7","1081")</f>
        <v>1081</v>
      </c>
      <c r="O150" s="4" t="str">
        <f>HYPERLINK("http://141.218.60.56/~jnz1568/getInfo.php?workbook=08_06.xlsx&amp;sheet=A0&amp;row=150&amp;col=15&amp;number=&amp;sourceID=5","")</f>
        <v/>
      </c>
      <c r="P150" s="4" t="str">
        <f>HYPERLINK("http://141.218.60.56/~jnz1568/getInfo.php?workbook=08_06.xlsx&amp;sheet=A0&amp;row=150&amp;col=16&amp;number=&amp;sourceID=5","")</f>
        <v/>
      </c>
      <c r="Q150" s="4" t="str">
        <f>HYPERLINK("http://141.218.60.56/~jnz1568/getInfo.php?workbook=08_06.xlsx&amp;sheet=A0&amp;row=150&amp;col=17&amp;number=&amp;sourceID=6","")</f>
        <v/>
      </c>
    </row>
    <row r="151" spans="1:17">
      <c r="A151" s="3">
        <v>8</v>
      </c>
      <c r="B151" s="3">
        <v>6</v>
      </c>
      <c r="C151" s="3">
        <v>23</v>
      </c>
      <c r="D151" s="3">
        <v>10</v>
      </c>
      <c r="E151" s="3">
        <f>((1/(INDEX(E0!J$4:J$49,C151,1)-INDEX(E0!J$4:J$49,D151,1))))*100000000</f>
        <v>0</v>
      </c>
      <c r="F151" s="4" t="str">
        <f>HYPERLINK("http://141.218.60.56/~jnz1568/getInfo.php?workbook=08_06.xlsx&amp;sheet=A0&amp;row=151&amp;col=6&amp;number=51750&amp;sourceID=3","51750")</f>
        <v>51750</v>
      </c>
      <c r="G151" s="4" t="str">
        <f>HYPERLINK("http://141.218.60.56/~jnz1568/getInfo.php?workbook=08_06.xlsx&amp;sheet=A0&amp;row=151&amp;col=7&amp;number=&amp;sourceID=3","")</f>
        <v/>
      </c>
      <c r="H151" s="4" t="str">
        <f>HYPERLINK("http://141.218.60.56/~jnz1568/getInfo.php?workbook=08_06.xlsx&amp;sheet=A0&amp;row=151&amp;col=8&amp;number=&amp;sourceID=3","")</f>
        <v/>
      </c>
      <c r="I151" s="4" t="str">
        <f>HYPERLINK("http://141.218.60.56/~jnz1568/getInfo.php?workbook=08_06.xlsx&amp;sheet=A0&amp;row=151&amp;col=9&amp;number=&amp;sourceID=3","")</f>
        <v/>
      </c>
      <c r="J151" s="4" t="str">
        <f>HYPERLINK("http://141.218.60.56/~jnz1568/getInfo.php?workbook=08_06.xlsx&amp;sheet=A0&amp;row=151&amp;col=10&amp;number=52675&amp;sourceID=3","52675")</f>
        <v>52675</v>
      </c>
      <c r="K151" s="4" t="str">
        <f>HYPERLINK("http://141.218.60.56/~jnz1568/getInfo.php?workbook=08_06.xlsx&amp;sheet=A0&amp;row=151&amp;col=11&amp;number=&amp;sourceID=3","")</f>
        <v/>
      </c>
      <c r="L151" s="4" t="str">
        <f>HYPERLINK("http://141.218.60.56/~jnz1568/getInfo.php?workbook=08_06.xlsx&amp;sheet=A0&amp;row=151&amp;col=12&amp;number=&amp;sourceID=3","")</f>
        <v/>
      </c>
      <c r="M151" s="4" t="str">
        <f>HYPERLINK("http://141.218.60.56/~jnz1568/getInfo.php?workbook=08_06.xlsx&amp;sheet=A0&amp;row=151&amp;col=13&amp;number=&amp;sourceID=3","")</f>
        <v/>
      </c>
      <c r="N151" s="4" t="str">
        <f>HYPERLINK("http://141.218.60.56/~jnz1568/getInfo.php?workbook=08_06.xlsx&amp;sheet=A0&amp;row=151&amp;col=14&amp;number=72720&amp;sourceID=7","72720")</f>
        <v>72720</v>
      </c>
      <c r="O151" s="4" t="str">
        <f>HYPERLINK("http://141.218.60.56/~jnz1568/getInfo.php?workbook=08_06.xlsx&amp;sheet=A0&amp;row=151&amp;col=15&amp;number=&amp;sourceID=5","")</f>
        <v/>
      </c>
      <c r="P151" s="4" t="str">
        <f>HYPERLINK("http://141.218.60.56/~jnz1568/getInfo.php?workbook=08_06.xlsx&amp;sheet=A0&amp;row=151&amp;col=16&amp;number=&amp;sourceID=5","")</f>
        <v/>
      </c>
      <c r="Q151" s="4" t="str">
        <f>HYPERLINK("http://141.218.60.56/~jnz1568/getInfo.php?workbook=08_06.xlsx&amp;sheet=A0&amp;row=151&amp;col=17&amp;number=&amp;sourceID=6","")</f>
        <v/>
      </c>
    </row>
    <row r="152" spans="1:17">
      <c r="A152" s="3">
        <v>8</v>
      </c>
      <c r="B152" s="3">
        <v>6</v>
      </c>
      <c r="C152" s="3">
        <v>23</v>
      </c>
      <c r="D152" s="3">
        <v>11</v>
      </c>
      <c r="E152" s="3">
        <f>((1/(INDEX(E0!J$4:J$49,C152,1)-INDEX(E0!J$4:J$49,D152,1))))*100000000</f>
        <v>0</v>
      </c>
      <c r="F152" s="4" t="str">
        <f>HYPERLINK("http://141.218.60.56/~jnz1568/getInfo.php?workbook=08_06.xlsx&amp;sheet=A0&amp;row=152&amp;col=6&amp;number=139060&amp;sourceID=3","139060")</f>
        <v>139060</v>
      </c>
      <c r="G152" s="4" t="str">
        <f>HYPERLINK("http://141.218.60.56/~jnz1568/getInfo.php?workbook=08_06.xlsx&amp;sheet=A0&amp;row=152&amp;col=7&amp;number=&amp;sourceID=3","")</f>
        <v/>
      </c>
      <c r="H152" s="4" t="str">
        <f>HYPERLINK("http://141.218.60.56/~jnz1568/getInfo.php?workbook=08_06.xlsx&amp;sheet=A0&amp;row=152&amp;col=8&amp;number=&amp;sourceID=3","")</f>
        <v/>
      </c>
      <c r="I152" s="4" t="str">
        <f>HYPERLINK("http://141.218.60.56/~jnz1568/getInfo.php?workbook=08_06.xlsx&amp;sheet=A0&amp;row=152&amp;col=9&amp;number=&amp;sourceID=3","")</f>
        <v/>
      </c>
      <c r="J152" s="4" t="str">
        <f>HYPERLINK("http://141.218.60.56/~jnz1568/getInfo.php?workbook=08_06.xlsx&amp;sheet=A0&amp;row=152&amp;col=10&amp;number=140550&amp;sourceID=3","140550")</f>
        <v>140550</v>
      </c>
      <c r="K152" s="4" t="str">
        <f>HYPERLINK("http://141.218.60.56/~jnz1568/getInfo.php?workbook=08_06.xlsx&amp;sheet=A0&amp;row=152&amp;col=11&amp;number=&amp;sourceID=3","")</f>
        <v/>
      </c>
      <c r="L152" s="4" t="str">
        <f>HYPERLINK("http://141.218.60.56/~jnz1568/getInfo.php?workbook=08_06.xlsx&amp;sheet=A0&amp;row=152&amp;col=12&amp;number=&amp;sourceID=3","")</f>
        <v/>
      </c>
      <c r="M152" s="4" t="str">
        <f>HYPERLINK("http://141.218.60.56/~jnz1568/getInfo.php?workbook=08_06.xlsx&amp;sheet=A0&amp;row=152&amp;col=13&amp;number=&amp;sourceID=3","")</f>
        <v/>
      </c>
      <c r="N152" s="4" t="str">
        <f>HYPERLINK("http://141.218.60.56/~jnz1568/getInfo.php?workbook=08_06.xlsx&amp;sheet=A0&amp;row=152&amp;col=14&amp;number=55120&amp;sourceID=7","55120")</f>
        <v>55120</v>
      </c>
      <c r="O152" s="4" t="str">
        <f>HYPERLINK("http://141.218.60.56/~jnz1568/getInfo.php?workbook=08_06.xlsx&amp;sheet=A0&amp;row=152&amp;col=15&amp;number=&amp;sourceID=5","")</f>
        <v/>
      </c>
      <c r="P152" s="4" t="str">
        <f>HYPERLINK("http://141.218.60.56/~jnz1568/getInfo.php?workbook=08_06.xlsx&amp;sheet=A0&amp;row=152&amp;col=16&amp;number=&amp;sourceID=5","")</f>
        <v/>
      </c>
      <c r="Q152" s="4" t="str">
        <f>HYPERLINK("http://141.218.60.56/~jnz1568/getInfo.php?workbook=08_06.xlsx&amp;sheet=A0&amp;row=152&amp;col=17&amp;number=&amp;sourceID=6","")</f>
        <v/>
      </c>
    </row>
    <row r="153" spans="1:17">
      <c r="A153" s="3">
        <v>8</v>
      </c>
      <c r="B153" s="3">
        <v>6</v>
      </c>
      <c r="C153" s="3">
        <v>23</v>
      </c>
      <c r="D153" s="3">
        <v>12</v>
      </c>
      <c r="E153" s="3">
        <f>((1/(INDEX(E0!J$4:J$49,C153,1)-INDEX(E0!J$4:J$49,D153,1))))*100000000</f>
        <v>0</v>
      </c>
      <c r="F153" s="4" t="str">
        <f>HYPERLINK("http://141.218.60.56/~jnz1568/getInfo.php?workbook=08_06.xlsx&amp;sheet=A0&amp;row=153&amp;col=6&amp;number=32334&amp;sourceID=3","32334")</f>
        <v>32334</v>
      </c>
      <c r="G153" s="4" t="str">
        <f>HYPERLINK("http://141.218.60.56/~jnz1568/getInfo.php?workbook=08_06.xlsx&amp;sheet=A0&amp;row=153&amp;col=7&amp;number=&amp;sourceID=3","")</f>
        <v/>
      </c>
      <c r="H153" s="4" t="str">
        <f>HYPERLINK("http://141.218.60.56/~jnz1568/getInfo.php?workbook=08_06.xlsx&amp;sheet=A0&amp;row=153&amp;col=8&amp;number=&amp;sourceID=3","")</f>
        <v/>
      </c>
      <c r="I153" s="4" t="str">
        <f>HYPERLINK("http://141.218.60.56/~jnz1568/getInfo.php?workbook=08_06.xlsx&amp;sheet=A0&amp;row=153&amp;col=9&amp;number=&amp;sourceID=3","")</f>
        <v/>
      </c>
      <c r="J153" s="4" t="str">
        <f>HYPERLINK("http://141.218.60.56/~jnz1568/getInfo.php?workbook=08_06.xlsx&amp;sheet=A0&amp;row=153&amp;col=10&amp;number=32525&amp;sourceID=3","32525")</f>
        <v>32525</v>
      </c>
      <c r="K153" s="4" t="str">
        <f>HYPERLINK("http://141.218.60.56/~jnz1568/getInfo.php?workbook=08_06.xlsx&amp;sheet=A0&amp;row=153&amp;col=11&amp;number=&amp;sourceID=3","")</f>
        <v/>
      </c>
      <c r="L153" s="4" t="str">
        <f>HYPERLINK("http://141.218.60.56/~jnz1568/getInfo.php?workbook=08_06.xlsx&amp;sheet=A0&amp;row=153&amp;col=12&amp;number=&amp;sourceID=3","")</f>
        <v/>
      </c>
      <c r="M153" s="4" t="str">
        <f>HYPERLINK("http://141.218.60.56/~jnz1568/getInfo.php?workbook=08_06.xlsx&amp;sheet=A0&amp;row=153&amp;col=13&amp;number=&amp;sourceID=3","")</f>
        <v/>
      </c>
      <c r="N153" s="4" t="str">
        <f>HYPERLINK("http://141.218.60.56/~jnz1568/getInfo.php?workbook=08_06.xlsx&amp;sheet=A0&amp;row=153&amp;col=14&amp;number=35550&amp;sourceID=7","35550")</f>
        <v>35550</v>
      </c>
      <c r="O153" s="4" t="str">
        <f>HYPERLINK("http://141.218.60.56/~jnz1568/getInfo.php?workbook=08_06.xlsx&amp;sheet=A0&amp;row=153&amp;col=15&amp;number=&amp;sourceID=5","")</f>
        <v/>
      </c>
      <c r="P153" s="4" t="str">
        <f>HYPERLINK("http://141.218.60.56/~jnz1568/getInfo.php?workbook=08_06.xlsx&amp;sheet=A0&amp;row=153&amp;col=16&amp;number=&amp;sourceID=5","")</f>
        <v/>
      </c>
      <c r="Q153" s="4" t="str">
        <f>HYPERLINK("http://141.218.60.56/~jnz1568/getInfo.php?workbook=08_06.xlsx&amp;sheet=A0&amp;row=153&amp;col=17&amp;number=&amp;sourceID=6","")</f>
        <v/>
      </c>
    </row>
    <row r="154" spans="1:17">
      <c r="A154" s="3">
        <v>8</v>
      </c>
      <c r="B154" s="3">
        <v>6</v>
      </c>
      <c r="C154" s="3">
        <v>23</v>
      </c>
      <c r="D154" s="3">
        <v>13</v>
      </c>
      <c r="E154" s="3">
        <f>((1/(INDEX(E0!J$4:J$49,C154,1)-INDEX(E0!J$4:J$49,D154,1))))*100000000</f>
        <v>0</v>
      </c>
      <c r="F154" s="4" t="str">
        <f>HYPERLINK("http://141.218.60.56/~jnz1568/getInfo.php?workbook=08_06.xlsx&amp;sheet=A0&amp;row=154&amp;col=6&amp;number=56819000&amp;sourceID=3","56819000")</f>
        <v>56819000</v>
      </c>
      <c r="G154" s="4" t="str">
        <f>HYPERLINK("http://141.218.60.56/~jnz1568/getInfo.php?workbook=08_06.xlsx&amp;sheet=A0&amp;row=154&amp;col=7&amp;number=&amp;sourceID=3","")</f>
        <v/>
      </c>
      <c r="H154" s="4" t="str">
        <f>HYPERLINK("http://141.218.60.56/~jnz1568/getInfo.php?workbook=08_06.xlsx&amp;sheet=A0&amp;row=154&amp;col=8&amp;number=&amp;sourceID=3","")</f>
        <v/>
      </c>
      <c r="I154" s="4" t="str">
        <f>HYPERLINK("http://141.218.60.56/~jnz1568/getInfo.php?workbook=08_06.xlsx&amp;sheet=A0&amp;row=154&amp;col=9&amp;number=&amp;sourceID=3","")</f>
        <v/>
      </c>
      <c r="J154" s="4" t="str">
        <f>HYPERLINK("http://141.218.60.56/~jnz1568/getInfo.php?workbook=08_06.xlsx&amp;sheet=A0&amp;row=154&amp;col=10&amp;number=57030000&amp;sourceID=3","57030000")</f>
        <v>57030000</v>
      </c>
      <c r="K154" s="4" t="str">
        <f>HYPERLINK("http://141.218.60.56/~jnz1568/getInfo.php?workbook=08_06.xlsx&amp;sheet=A0&amp;row=154&amp;col=11&amp;number=&amp;sourceID=3","")</f>
        <v/>
      </c>
      <c r="L154" s="4" t="str">
        <f>HYPERLINK("http://141.218.60.56/~jnz1568/getInfo.php?workbook=08_06.xlsx&amp;sheet=A0&amp;row=154&amp;col=12&amp;number=&amp;sourceID=3","")</f>
        <v/>
      </c>
      <c r="M154" s="4" t="str">
        <f>HYPERLINK("http://141.218.60.56/~jnz1568/getInfo.php?workbook=08_06.xlsx&amp;sheet=A0&amp;row=154&amp;col=13&amp;number=&amp;sourceID=3","")</f>
        <v/>
      </c>
      <c r="N154" s="4" t="str">
        <f>HYPERLINK("http://141.218.60.56/~jnz1568/getInfo.php?workbook=08_06.xlsx&amp;sheet=A0&amp;row=154&amp;col=14&amp;number=77160000&amp;sourceID=7","77160000")</f>
        <v>77160000</v>
      </c>
      <c r="O154" s="4" t="str">
        <f>HYPERLINK("http://141.218.60.56/~jnz1568/getInfo.php?workbook=08_06.xlsx&amp;sheet=A0&amp;row=154&amp;col=15&amp;number=&amp;sourceID=5","")</f>
        <v/>
      </c>
      <c r="P154" s="4" t="str">
        <f>HYPERLINK("http://141.218.60.56/~jnz1568/getInfo.php?workbook=08_06.xlsx&amp;sheet=A0&amp;row=154&amp;col=16&amp;number=&amp;sourceID=5","")</f>
        <v/>
      </c>
      <c r="Q154" s="4" t="str">
        <f>HYPERLINK("http://141.218.60.56/~jnz1568/getInfo.php?workbook=08_06.xlsx&amp;sheet=A0&amp;row=154&amp;col=17&amp;number=&amp;sourceID=6","")</f>
        <v/>
      </c>
    </row>
    <row r="155" spans="1:17">
      <c r="A155" s="3">
        <v>8</v>
      </c>
      <c r="B155" s="3">
        <v>6</v>
      </c>
      <c r="C155" s="3">
        <v>23</v>
      </c>
      <c r="D155" s="3">
        <v>14</v>
      </c>
      <c r="E155" s="3">
        <f>((1/(INDEX(E0!J$4:J$49,C155,1)-INDEX(E0!J$4:J$49,D155,1))))*100000000</f>
        <v>0</v>
      </c>
      <c r="F155" s="4" t="str">
        <f>HYPERLINK("http://141.218.60.56/~jnz1568/getInfo.php?workbook=08_06.xlsx&amp;sheet=A0&amp;row=155&amp;col=6&amp;number=3000&amp;sourceID=3","3000")</f>
        <v>3000</v>
      </c>
      <c r="G155" s="4" t="str">
        <f>HYPERLINK("http://141.218.60.56/~jnz1568/getInfo.php?workbook=08_06.xlsx&amp;sheet=A0&amp;row=155&amp;col=7&amp;number=&amp;sourceID=3","")</f>
        <v/>
      </c>
      <c r="H155" s="4" t="str">
        <f>HYPERLINK("http://141.218.60.56/~jnz1568/getInfo.php?workbook=08_06.xlsx&amp;sheet=A0&amp;row=155&amp;col=8&amp;number=&amp;sourceID=3","")</f>
        <v/>
      </c>
      <c r="I155" s="4" t="str">
        <f>HYPERLINK("http://141.218.60.56/~jnz1568/getInfo.php?workbook=08_06.xlsx&amp;sheet=A0&amp;row=155&amp;col=9&amp;number=&amp;sourceID=3","")</f>
        <v/>
      </c>
      <c r="J155" s="4" t="str">
        <f>HYPERLINK("http://141.218.60.56/~jnz1568/getInfo.php?workbook=08_06.xlsx&amp;sheet=A0&amp;row=155&amp;col=10&amp;number=2828&amp;sourceID=3","2828")</f>
        <v>2828</v>
      </c>
      <c r="K155" s="4" t="str">
        <f>HYPERLINK("http://141.218.60.56/~jnz1568/getInfo.php?workbook=08_06.xlsx&amp;sheet=A0&amp;row=155&amp;col=11&amp;number=&amp;sourceID=3","")</f>
        <v/>
      </c>
      <c r="L155" s="4" t="str">
        <f>HYPERLINK("http://141.218.60.56/~jnz1568/getInfo.php?workbook=08_06.xlsx&amp;sheet=A0&amp;row=155&amp;col=12&amp;number=&amp;sourceID=3","")</f>
        <v/>
      </c>
      <c r="M155" s="4" t="str">
        <f>HYPERLINK("http://141.218.60.56/~jnz1568/getInfo.php?workbook=08_06.xlsx&amp;sheet=A0&amp;row=155&amp;col=13&amp;number=&amp;sourceID=3","")</f>
        <v/>
      </c>
      <c r="N155" s="4" t="str">
        <f>HYPERLINK("http://141.218.60.56/~jnz1568/getInfo.php?workbook=08_06.xlsx&amp;sheet=A0&amp;row=155&amp;col=14&amp;number=2238&amp;sourceID=7","2238")</f>
        <v>2238</v>
      </c>
      <c r="O155" s="4" t="str">
        <f>HYPERLINK("http://141.218.60.56/~jnz1568/getInfo.php?workbook=08_06.xlsx&amp;sheet=A0&amp;row=155&amp;col=15&amp;number=&amp;sourceID=5","")</f>
        <v/>
      </c>
      <c r="P155" s="4" t="str">
        <f>HYPERLINK("http://141.218.60.56/~jnz1568/getInfo.php?workbook=08_06.xlsx&amp;sheet=A0&amp;row=155&amp;col=16&amp;number=&amp;sourceID=5","")</f>
        <v/>
      </c>
      <c r="Q155" s="4" t="str">
        <f>HYPERLINK("http://141.218.60.56/~jnz1568/getInfo.php?workbook=08_06.xlsx&amp;sheet=A0&amp;row=155&amp;col=17&amp;number=&amp;sourceID=6","")</f>
        <v/>
      </c>
    </row>
    <row r="156" spans="1:17">
      <c r="A156" s="3">
        <v>8</v>
      </c>
      <c r="B156" s="3">
        <v>6</v>
      </c>
      <c r="C156" s="3">
        <v>23</v>
      </c>
      <c r="D156" s="3">
        <v>15</v>
      </c>
      <c r="E156" s="3">
        <f>((1/(INDEX(E0!J$4:J$49,C156,1)-INDEX(E0!J$4:J$49,D156,1))))*100000000</f>
        <v>0</v>
      </c>
      <c r="F156" s="4" t="str">
        <f>HYPERLINK("http://141.218.60.56/~jnz1568/getInfo.php?workbook=08_06.xlsx&amp;sheet=A0&amp;row=156&amp;col=6&amp;number=26121000&amp;sourceID=3","26121000")</f>
        <v>26121000</v>
      </c>
      <c r="G156" s="4" t="str">
        <f>HYPERLINK("http://141.218.60.56/~jnz1568/getInfo.php?workbook=08_06.xlsx&amp;sheet=A0&amp;row=156&amp;col=7&amp;number=&amp;sourceID=3","")</f>
        <v/>
      </c>
      <c r="H156" s="4" t="str">
        <f>HYPERLINK("http://141.218.60.56/~jnz1568/getInfo.php?workbook=08_06.xlsx&amp;sheet=A0&amp;row=156&amp;col=8&amp;number=&amp;sourceID=3","")</f>
        <v/>
      </c>
      <c r="I156" s="4" t="str">
        <f>HYPERLINK("http://141.218.60.56/~jnz1568/getInfo.php?workbook=08_06.xlsx&amp;sheet=A0&amp;row=156&amp;col=9&amp;number=&amp;sourceID=3","")</f>
        <v/>
      </c>
      <c r="J156" s="4" t="str">
        <f>HYPERLINK("http://141.218.60.56/~jnz1568/getInfo.php?workbook=08_06.xlsx&amp;sheet=A0&amp;row=156&amp;col=10&amp;number=26152000&amp;sourceID=3","26152000")</f>
        <v>26152000</v>
      </c>
      <c r="K156" s="4" t="str">
        <f>HYPERLINK("http://141.218.60.56/~jnz1568/getInfo.php?workbook=08_06.xlsx&amp;sheet=A0&amp;row=156&amp;col=11&amp;number=&amp;sourceID=3","")</f>
        <v/>
      </c>
      <c r="L156" s="4" t="str">
        <f>HYPERLINK("http://141.218.60.56/~jnz1568/getInfo.php?workbook=08_06.xlsx&amp;sheet=A0&amp;row=156&amp;col=12&amp;number=&amp;sourceID=3","")</f>
        <v/>
      </c>
      <c r="M156" s="4" t="str">
        <f>HYPERLINK("http://141.218.60.56/~jnz1568/getInfo.php?workbook=08_06.xlsx&amp;sheet=A0&amp;row=156&amp;col=13&amp;number=&amp;sourceID=3","")</f>
        <v/>
      </c>
      <c r="N156" s="4" t="str">
        <f>HYPERLINK("http://141.218.60.56/~jnz1568/getInfo.php?workbook=08_06.xlsx&amp;sheet=A0&amp;row=156&amp;col=14&amp;number=25700000&amp;sourceID=7","25700000")</f>
        <v>25700000</v>
      </c>
      <c r="O156" s="4" t="str">
        <f>HYPERLINK("http://141.218.60.56/~jnz1568/getInfo.php?workbook=08_06.xlsx&amp;sheet=A0&amp;row=156&amp;col=15&amp;number=&amp;sourceID=5","")</f>
        <v/>
      </c>
      <c r="P156" s="4" t="str">
        <f>HYPERLINK("http://141.218.60.56/~jnz1568/getInfo.php?workbook=08_06.xlsx&amp;sheet=A0&amp;row=156&amp;col=16&amp;number=&amp;sourceID=5","")</f>
        <v/>
      </c>
      <c r="Q156" s="4" t="str">
        <f>HYPERLINK("http://141.218.60.56/~jnz1568/getInfo.php?workbook=08_06.xlsx&amp;sheet=A0&amp;row=156&amp;col=17&amp;number=&amp;sourceID=6","")</f>
        <v/>
      </c>
    </row>
    <row r="157" spans="1:17">
      <c r="A157" s="3">
        <v>8</v>
      </c>
      <c r="B157" s="3">
        <v>6</v>
      </c>
      <c r="C157" s="3">
        <v>23</v>
      </c>
      <c r="D157" s="3">
        <v>16</v>
      </c>
      <c r="E157" s="3">
        <f>((1/(INDEX(E0!J$4:J$49,C157,1)-INDEX(E0!J$4:J$49,D157,1))))*100000000</f>
        <v>0</v>
      </c>
      <c r="F157" s="4" t="str">
        <f>HYPERLINK("http://141.218.60.56/~jnz1568/getInfo.php?workbook=08_06.xlsx&amp;sheet=A0&amp;row=157&amp;col=6&amp;number=37203&amp;sourceID=3","37203")</f>
        <v>37203</v>
      </c>
      <c r="G157" s="4" t="str">
        <f>HYPERLINK("http://141.218.60.56/~jnz1568/getInfo.php?workbook=08_06.xlsx&amp;sheet=A0&amp;row=157&amp;col=7&amp;number=&amp;sourceID=3","")</f>
        <v/>
      </c>
      <c r="H157" s="4" t="str">
        <f>HYPERLINK("http://141.218.60.56/~jnz1568/getInfo.php?workbook=08_06.xlsx&amp;sheet=A0&amp;row=157&amp;col=8&amp;number=&amp;sourceID=3","")</f>
        <v/>
      </c>
      <c r="I157" s="4" t="str">
        <f>HYPERLINK("http://141.218.60.56/~jnz1568/getInfo.php?workbook=08_06.xlsx&amp;sheet=A0&amp;row=157&amp;col=9&amp;number=&amp;sourceID=3","")</f>
        <v/>
      </c>
      <c r="J157" s="4" t="str">
        <f>HYPERLINK("http://141.218.60.56/~jnz1568/getInfo.php?workbook=08_06.xlsx&amp;sheet=A0&amp;row=157&amp;col=10&amp;number=37853&amp;sourceID=3","37853")</f>
        <v>37853</v>
      </c>
      <c r="K157" s="4" t="str">
        <f>HYPERLINK("http://141.218.60.56/~jnz1568/getInfo.php?workbook=08_06.xlsx&amp;sheet=A0&amp;row=157&amp;col=11&amp;number=&amp;sourceID=3","")</f>
        <v/>
      </c>
      <c r="L157" s="4" t="str">
        <f>HYPERLINK("http://141.218.60.56/~jnz1568/getInfo.php?workbook=08_06.xlsx&amp;sheet=A0&amp;row=157&amp;col=12&amp;number=&amp;sourceID=3","")</f>
        <v/>
      </c>
      <c r="M157" s="4" t="str">
        <f>HYPERLINK("http://141.218.60.56/~jnz1568/getInfo.php?workbook=08_06.xlsx&amp;sheet=A0&amp;row=157&amp;col=13&amp;number=&amp;sourceID=3","")</f>
        <v/>
      </c>
      <c r="N157" s="4" t="str">
        <f>HYPERLINK("http://141.218.60.56/~jnz1568/getInfo.php?workbook=08_06.xlsx&amp;sheet=A0&amp;row=157&amp;col=14&amp;number=11970&amp;sourceID=7","11970")</f>
        <v>11970</v>
      </c>
      <c r="O157" s="4" t="str">
        <f>HYPERLINK("http://141.218.60.56/~jnz1568/getInfo.php?workbook=08_06.xlsx&amp;sheet=A0&amp;row=157&amp;col=15&amp;number=&amp;sourceID=5","")</f>
        <v/>
      </c>
      <c r="P157" s="4" t="str">
        <f>HYPERLINK("http://141.218.60.56/~jnz1568/getInfo.php?workbook=08_06.xlsx&amp;sheet=A0&amp;row=157&amp;col=16&amp;number=&amp;sourceID=5","")</f>
        <v/>
      </c>
      <c r="Q157" s="4" t="str">
        <f>HYPERLINK("http://141.218.60.56/~jnz1568/getInfo.php?workbook=08_06.xlsx&amp;sheet=A0&amp;row=157&amp;col=17&amp;number=&amp;sourceID=6","")</f>
        <v/>
      </c>
    </row>
    <row r="158" spans="1:17">
      <c r="A158" s="3">
        <v>8</v>
      </c>
      <c r="B158" s="3">
        <v>6</v>
      </c>
      <c r="C158" s="3">
        <v>23</v>
      </c>
      <c r="D158" s="3">
        <v>17</v>
      </c>
      <c r="E158" s="3">
        <f>((1/(INDEX(E0!J$4:J$49,C158,1)-INDEX(E0!J$4:J$49,D158,1))))*100000000</f>
        <v>0</v>
      </c>
      <c r="F158" s="4" t="str">
        <f>HYPERLINK("http://141.218.60.56/~jnz1568/getInfo.php?workbook=08_06.xlsx&amp;sheet=A0&amp;row=158&amp;col=6&amp;number=377060&amp;sourceID=3","377060")</f>
        <v>377060</v>
      </c>
      <c r="G158" s="4" t="str">
        <f>HYPERLINK("http://141.218.60.56/~jnz1568/getInfo.php?workbook=08_06.xlsx&amp;sheet=A0&amp;row=158&amp;col=7&amp;number=&amp;sourceID=3","")</f>
        <v/>
      </c>
      <c r="H158" s="4" t="str">
        <f>HYPERLINK("http://141.218.60.56/~jnz1568/getInfo.php?workbook=08_06.xlsx&amp;sheet=A0&amp;row=158&amp;col=8&amp;number=&amp;sourceID=3","")</f>
        <v/>
      </c>
      <c r="I158" s="4" t="str">
        <f>HYPERLINK("http://141.218.60.56/~jnz1568/getInfo.php?workbook=08_06.xlsx&amp;sheet=A0&amp;row=158&amp;col=9&amp;number=&amp;sourceID=3","")</f>
        <v/>
      </c>
      <c r="J158" s="4" t="str">
        <f>HYPERLINK("http://141.218.60.56/~jnz1568/getInfo.php?workbook=08_06.xlsx&amp;sheet=A0&amp;row=158&amp;col=10&amp;number=381760&amp;sourceID=3","381760")</f>
        <v>381760</v>
      </c>
      <c r="K158" s="4" t="str">
        <f>HYPERLINK("http://141.218.60.56/~jnz1568/getInfo.php?workbook=08_06.xlsx&amp;sheet=A0&amp;row=158&amp;col=11&amp;number=&amp;sourceID=3","")</f>
        <v/>
      </c>
      <c r="L158" s="4" t="str">
        <f>HYPERLINK("http://141.218.60.56/~jnz1568/getInfo.php?workbook=08_06.xlsx&amp;sheet=A0&amp;row=158&amp;col=12&amp;number=&amp;sourceID=3","")</f>
        <v/>
      </c>
      <c r="M158" s="4" t="str">
        <f>HYPERLINK("http://141.218.60.56/~jnz1568/getInfo.php?workbook=08_06.xlsx&amp;sheet=A0&amp;row=158&amp;col=13&amp;number=&amp;sourceID=3","")</f>
        <v/>
      </c>
      <c r="N158" s="4" t="str">
        <f>HYPERLINK("http://141.218.60.56/~jnz1568/getInfo.php?workbook=08_06.xlsx&amp;sheet=A0&amp;row=158&amp;col=14&amp;number=103800&amp;sourceID=7","103800")</f>
        <v>103800</v>
      </c>
      <c r="O158" s="4" t="str">
        <f>HYPERLINK("http://141.218.60.56/~jnz1568/getInfo.php?workbook=08_06.xlsx&amp;sheet=A0&amp;row=158&amp;col=15&amp;number=&amp;sourceID=5","")</f>
        <v/>
      </c>
      <c r="P158" s="4" t="str">
        <f>HYPERLINK("http://141.218.60.56/~jnz1568/getInfo.php?workbook=08_06.xlsx&amp;sheet=A0&amp;row=158&amp;col=16&amp;number=&amp;sourceID=5","")</f>
        <v/>
      </c>
      <c r="Q158" s="4" t="str">
        <f>HYPERLINK("http://141.218.60.56/~jnz1568/getInfo.php?workbook=08_06.xlsx&amp;sheet=A0&amp;row=158&amp;col=17&amp;number=&amp;sourceID=6","")</f>
        <v/>
      </c>
    </row>
    <row r="159" spans="1:17">
      <c r="A159" s="3">
        <v>8</v>
      </c>
      <c r="B159" s="3">
        <v>6</v>
      </c>
      <c r="C159" s="3">
        <v>23</v>
      </c>
      <c r="D159" s="3">
        <v>18</v>
      </c>
      <c r="E159" s="3">
        <f>((1/(INDEX(E0!J$4:J$49,C159,1)-INDEX(E0!J$4:J$49,D159,1))))*100000000</f>
        <v>0</v>
      </c>
      <c r="F159" s="4" t="str">
        <f>HYPERLINK("http://141.218.60.56/~jnz1568/getInfo.php?workbook=08_06.xlsx&amp;sheet=A0&amp;row=159&amp;col=6&amp;number=1.5517&amp;sourceID=3","1.5517")</f>
        <v>1.5517</v>
      </c>
      <c r="G159" s="4" t="str">
        <f>HYPERLINK("http://141.218.60.56/~jnz1568/getInfo.php?workbook=08_06.xlsx&amp;sheet=A0&amp;row=159&amp;col=7&amp;number=&amp;sourceID=3","")</f>
        <v/>
      </c>
      <c r="H159" s="4" t="str">
        <f>HYPERLINK("http://141.218.60.56/~jnz1568/getInfo.php?workbook=08_06.xlsx&amp;sheet=A0&amp;row=159&amp;col=8&amp;number=&amp;sourceID=3","")</f>
        <v/>
      </c>
      <c r="I159" s="4" t="str">
        <f>HYPERLINK("http://141.218.60.56/~jnz1568/getInfo.php?workbook=08_06.xlsx&amp;sheet=A0&amp;row=159&amp;col=9&amp;number=&amp;sourceID=3","")</f>
        <v/>
      </c>
      <c r="J159" s="4" t="str">
        <f>HYPERLINK("http://141.218.60.56/~jnz1568/getInfo.php?workbook=08_06.xlsx&amp;sheet=A0&amp;row=159&amp;col=10&amp;number=0.91352&amp;sourceID=3","0.91352")</f>
        <v>0.91352</v>
      </c>
      <c r="K159" s="4" t="str">
        <f>HYPERLINK("http://141.218.60.56/~jnz1568/getInfo.php?workbook=08_06.xlsx&amp;sheet=A0&amp;row=159&amp;col=11&amp;number=&amp;sourceID=3","")</f>
        <v/>
      </c>
      <c r="L159" s="4" t="str">
        <f>HYPERLINK("http://141.218.60.56/~jnz1568/getInfo.php?workbook=08_06.xlsx&amp;sheet=A0&amp;row=159&amp;col=12&amp;number=&amp;sourceID=3","")</f>
        <v/>
      </c>
      <c r="M159" s="4" t="str">
        <f>HYPERLINK("http://141.218.60.56/~jnz1568/getInfo.php?workbook=08_06.xlsx&amp;sheet=A0&amp;row=159&amp;col=13&amp;number=&amp;sourceID=3","")</f>
        <v/>
      </c>
      <c r="N159" s="4" t="str">
        <f>HYPERLINK("http://141.218.60.56/~jnz1568/getInfo.php?workbook=08_06.xlsx&amp;sheet=A0&amp;row=159&amp;col=14&amp;number=19.05&amp;sourceID=7","19.05")</f>
        <v>19.05</v>
      </c>
      <c r="O159" s="4" t="str">
        <f>HYPERLINK("http://141.218.60.56/~jnz1568/getInfo.php?workbook=08_06.xlsx&amp;sheet=A0&amp;row=159&amp;col=15&amp;number=&amp;sourceID=5","")</f>
        <v/>
      </c>
      <c r="P159" s="4" t="str">
        <f>HYPERLINK("http://141.218.60.56/~jnz1568/getInfo.php?workbook=08_06.xlsx&amp;sheet=A0&amp;row=159&amp;col=16&amp;number=&amp;sourceID=5","")</f>
        <v/>
      </c>
      <c r="Q159" s="4" t="str">
        <f>HYPERLINK("http://141.218.60.56/~jnz1568/getInfo.php?workbook=08_06.xlsx&amp;sheet=A0&amp;row=159&amp;col=17&amp;number=&amp;sourceID=6","")</f>
        <v/>
      </c>
    </row>
    <row r="160" spans="1:17">
      <c r="A160" s="3">
        <v>8</v>
      </c>
      <c r="B160" s="3">
        <v>6</v>
      </c>
      <c r="C160" s="3">
        <v>23</v>
      </c>
      <c r="D160" s="3">
        <v>19</v>
      </c>
      <c r="E160" s="3">
        <f>((1/(INDEX(E0!J$4:J$49,C160,1)-INDEX(E0!J$4:J$49,D160,1))))*100000000</f>
        <v>0</v>
      </c>
      <c r="F160" s="4" t="str">
        <f>HYPERLINK("http://141.218.60.56/~jnz1568/getInfo.php?workbook=08_06.xlsx&amp;sheet=A0&amp;row=160&amp;col=6&amp;number=30926000&amp;sourceID=3","30926000")</f>
        <v>30926000</v>
      </c>
      <c r="G160" s="4" t="str">
        <f>HYPERLINK("http://141.218.60.56/~jnz1568/getInfo.php?workbook=08_06.xlsx&amp;sheet=A0&amp;row=160&amp;col=7&amp;number=&amp;sourceID=3","")</f>
        <v/>
      </c>
      <c r="H160" s="4" t="str">
        <f>HYPERLINK("http://141.218.60.56/~jnz1568/getInfo.php?workbook=08_06.xlsx&amp;sheet=A0&amp;row=160&amp;col=8&amp;number=&amp;sourceID=3","")</f>
        <v/>
      </c>
      <c r="I160" s="4" t="str">
        <f>HYPERLINK("http://141.218.60.56/~jnz1568/getInfo.php?workbook=08_06.xlsx&amp;sheet=A0&amp;row=160&amp;col=9&amp;number=&amp;sourceID=3","")</f>
        <v/>
      </c>
      <c r="J160" s="4" t="str">
        <f>HYPERLINK("http://141.218.60.56/~jnz1568/getInfo.php?workbook=08_06.xlsx&amp;sheet=A0&amp;row=160&amp;col=10&amp;number=31330000&amp;sourceID=3","31330000")</f>
        <v>31330000</v>
      </c>
      <c r="K160" s="4" t="str">
        <f>HYPERLINK("http://141.218.60.56/~jnz1568/getInfo.php?workbook=08_06.xlsx&amp;sheet=A0&amp;row=160&amp;col=11&amp;number=&amp;sourceID=3","")</f>
        <v/>
      </c>
      <c r="L160" s="4" t="str">
        <f>HYPERLINK("http://141.218.60.56/~jnz1568/getInfo.php?workbook=08_06.xlsx&amp;sheet=A0&amp;row=160&amp;col=12&amp;number=&amp;sourceID=3","")</f>
        <v/>
      </c>
      <c r="M160" s="4" t="str">
        <f>HYPERLINK("http://141.218.60.56/~jnz1568/getInfo.php?workbook=08_06.xlsx&amp;sheet=A0&amp;row=160&amp;col=13&amp;number=&amp;sourceID=3","")</f>
        <v/>
      </c>
      <c r="N160" s="4" t="str">
        <f>HYPERLINK("http://141.218.60.56/~jnz1568/getInfo.php?workbook=08_06.xlsx&amp;sheet=A0&amp;row=160&amp;col=14&amp;number=9267000&amp;sourceID=7","9267000")</f>
        <v>9267000</v>
      </c>
      <c r="O160" s="4" t="str">
        <f>HYPERLINK("http://141.218.60.56/~jnz1568/getInfo.php?workbook=08_06.xlsx&amp;sheet=A0&amp;row=160&amp;col=15&amp;number=&amp;sourceID=5","")</f>
        <v/>
      </c>
      <c r="P160" s="4" t="str">
        <f>HYPERLINK("http://141.218.60.56/~jnz1568/getInfo.php?workbook=08_06.xlsx&amp;sheet=A0&amp;row=160&amp;col=16&amp;number=&amp;sourceID=5","")</f>
        <v/>
      </c>
      <c r="Q160" s="4" t="str">
        <f>HYPERLINK("http://141.218.60.56/~jnz1568/getInfo.php?workbook=08_06.xlsx&amp;sheet=A0&amp;row=160&amp;col=17&amp;number=&amp;sourceID=6","")</f>
        <v/>
      </c>
    </row>
    <row r="161" spans="1:17">
      <c r="A161" s="3">
        <v>8</v>
      </c>
      <c r="B161" s="3">
        <v>6</v>
      </c>
      <c r="C161" s="3">
        <v>24</v>
      </c>
      <c r="D161" s="3">
        <v>6</v>
      </c>
      <c r="E161" s="3">
        <f>((1/(INDEX(E0!J$4:J$49,C161,1)-INDEX(E0!J$4:J$49,D161,1))))*100000000</f>
        <v>0</v>
      </c>
      <c r="F161" s="4" t="str">
        <f>HYPERLINK("http://141.218.60.56/~jnz1568/getInfo.php?workbook=08_06.xlsx&amp;sheet=A0&amp;row=161&amp;col=6&amp;number=26.029&amp;sourceID=3","26.029")</f>
        <v>26.029</v>
      </c>
      <c r="G161" s="4" t="str">
        <f>HYPERLINK("http://141.218.60.56/~jnz1568/getInfo.php?workbook=08_06.xlsx&amp;sheet=A0&amp;row=161&amp;col=7&amp;number=&amp;sourceID=3","")</f>
        <v/>
      </c>
      <c r="H161" s="4" t="str">
        <f>HYPERLINK("http://141.218.60.56/~jnz1568/getInfo.php?workbook=08_06.xlsx&amp;sheet=A0&amp;row=161&amp;col=8&amp;number=&amp;sourceID=3","")</f>
        <v/>
      </c>
      <c r="I161" s="4" t="str">
        <f>HYPERLINK("http://141.218.60.56/~jnz1568/getInfo.php?workbook=08_06.xlsx&amp;sheet=A0&amp;row=161&amp;col=9&amp;number=&amp;sourceID=3","")</f>
        <v/>
      </c>
      <c r="J161" s="4" t="str">
        <f>HYPERLINK("http://141.218.60.56/~jnz1568/getInfo.php?workbook=08_06.xlsx&amp;sheet=A0&amp;row=161&amp;col=10&amp;number=25.943&amp;sourceID=3","25.943")</f>
        <v>25.943</v>
      </c>
      <c r="K161" s="4" t="str">
        <f>HYPERLINK("http://141.218.60.56/~jnz1568/getInfo.php?workbook=08_06.xlsx&amp;sheet=A0&amp;row=161&amp;col=11&amp;number=&amp;sourceID=3","")</f>
        <v/>
      </c>
      <c r="L161" s="4" t="str">
        <f>HYPERLINK("http://141.218.60.56/~jnz1568/getInfo.php?workbook=08_06.xlsx&amp;sheet=A0&amp;row=161&amp;col=12&amp;number=&amp;sourceID=3","")</f>
        <v/>
      </c>
      <c r="M161" s="4" t="str">
        <f>HYPERLINK("http://141.218.60.56/~jnz1568/getInfo.php?workbook=08_06.xlsx&amp;sheet=A0&amp;row=161&amp;col=13&amp;number=&amp;sourceID=3","")</f>
        <v/>
      </c>
      <c r="N161" s="4" t="str">
        <f>HYPERLINK("http://141.218.60.56/~jnz1568/getInfo.php?workbook=08_06.xlsx&amp;sheet=A0&amp;row=161&amp;col=14&amp;number=20.46&amp;sourceID=7","20.46")</f>
        <v>20.46</v>
      </c>
      <c r="O161" s="4" t="str">
        <f>HYPERLINK("http://141.218.60.56/~jnz1568/getInfo.php?workbook=08_06.xlsx&amp;sheet=A0&amp;row=161&amp;col=15&amp;number=&amp;sourceID=5","")</f>
        <v/>
      </c>
      <c r="P161" s="4" t="str">
        <f>HYPERLINK("http://141.218.60.56/~jnz1568/getInfo.php?workbook=08_06.xlsx&amp;sheet=A0&amp;row=161&amp;col=16&amp;number=&amp;sourceID=5","")</f>
        <v/>
      </c>
      <c r="Q161" s="4" t="str">
        <f>HYPERLINK("http://141.218.60.56/~jnz1568/getInfo.php?workbook=08_06.xlsx&amp;sheet=A0&amp;row=161&amp;col=17&amp;number=&amp;sourceID=6","")</f>
        <v/>
      </c>
    </row>
    <row r="162" spans="1:17">
      <c r="A162" s="3">
        <v>8</v>
      </c>
      <c r="B162" s="3">
        <v>6</v>
      </c>
      <c r="C162" s="3">
        <v>24</v>
      </c>
      <c r="D162" s="3">
        <v>8</v>
      </c>
      <c r="E162" s="3">
        <f>((1/(INDEX(E0!J$4:J$49,C162,1)-INDEX(E0!J$4:J$49,D162,1))))*100000000</f>
        <v>0</v>
      </c>
      <c r="F162" s="4" t="str">
        <f>HYPERLINK("http://141.218.60.56/~jnz1568/getInfo.php?workbook=08_06.xlsx&amp;sheet=A0&amp;row=162&amp;col=6&amp;number=8683700&amp;sourceID=3","8683700")</f>
        <v>8683700</v>
      </c>
      <c r="G162" s="4" t="str">
        <f>HYPERLINK("http://141.218.60.56/~jnz1568/getInfo.php?workbook=08_06.xlsx&amp;sheet=A0&amp;row=162&amp;col=7&amp;number=&amp;sourceID=3","")</f>
        <v/>
      </c>
      <c r="H162" s="4" t="str">
        <f>HYPERLINK("http://141.218.60.56/~jnz1568/getInfo.php?workbook=08_06.xlsx&amp;sheet=A0&amp;row=162&amp;col=8&amp;number=&amp;sourceID=3","")</f>
        <v/>
      </c>
      <c r="I162" s="4" t="str">
        <f>HYPERLINK("http://141.218.60.56/~jnz1568/getInfo.php?workbook=08_06.xlsx&amp;sheet=A0&amp;row=162&amp;col=9&amp;number=&amp;sourceID=3","")</f>
        <v/>
      </c>
      <c r="J162" s="4" t="str">
        <f>HYPERLINK("http://141.218.60.56/~jnz1568/getInfo.php?workbook=08_06.xlsx&amp;sheet=A0&amp;row=162&amp;col=10&amp;number=8725900&amp;sourceID=3","8725900")</f>
        <v>8725900</v>
      </c>
      <c r="K162" s="4" t="str">
        <f>HYPERLINK("http://141.218.60.56/~jnz1568/getInfo.php?workbook=08_06.xlsx&amp;sheet=A0&amp;row=162&amp;col=11&amp;number=&amp;sourceID=3","")</f>
        <v/>
      </c>
      <c r="L162" s="4" t="str">
        <f>HYPERLINK("http://141.218.60.56/~jnz1568/getInfo.php?workbook=08_06.xlsx&amp;sheet=A0&amp;row=162&amp;col=12&amp;number=&amp;sourceID=3","")</f>
        <v/>
      </c>
      <c r="M162" s="4" t="str">
        <f>HYPERLINK("http://141.218.60.56/~jnz1568/getInfo.php?workbook=08_06.xlsx&amp;sheet=A0&amp;row=162&amp;col=13&amp;number=&amp;sourceID=3","")</f>
        <v/>
      </c>
      <c r="N162" s="4" t="str">
        <f>HYPERLINK("http://141.218.60.56/~jnz1568/getInfo.php?workbook=08_06.xlsx&amp;sheet=A0&amp;row=162&amp;col=14&amp;number=9711000&amp;sourceID=7","9711000")</f>
        <v>9711000</v>
      </c>
      <c r="O162" s="4" t="str">
        <f>HYPERLINK("http://141.218.60.56/~jnz1568/getInfo.php?workbook=08_06.xlsx&amp;sheet=A0&amp;row=162&amp;col=15&amp;number=&amp;sourceID=5","")</f>
        <v/>
      </c>
      <c r="P162" s="4" t="str">
        <f>HYPERLINK("http://141.218.60.56/~jnz1568/getInfo.php?workbook=08_06.xlsx&amp;sheet=A0&amp;row=162&amp;col=16&amp;number=&amp;sourceID=5","")</f>
        <v/>
      </c>
      <c r="Q162" s="4" t="str">
        <f>HYPERLINK("http://141.218.60.56/~jnz1568/getInfo.php?workbook=08_06.xlsx&amp;sheet=A0&amp;row=162&amp;col=17&amp;number=&amp;sourceID=6","")</f>
        <v/>
      </c>
    </row>
    <row r="163" spans="1:17">
      <c r="A163" s="3">
        <v>8</v>
      </c>
      <c r="B163" s="3">
        <v>6</v>
      </c>
      <c r="C163" s="3">
        <v>24</v>
      </c>
      <c r="D163" s="3">
        <v>9</v>
      </c>
      <c r="E163" s="3">
        <f>((1/(INDEX(E0!J$4:J$49,C163,1)-INDEX(E0!J$4:J$49,D163,1))))*100000000</f>
        <v>0</v>
      </c>
      <c r="F163" s="4" t="str">
        <f>HYPERLINK("http://141.218.60.56/~jnz1568/getInfo.php?workbook=08_06.xlsx&amp;sheet=A0&amp;row=163&amp;col=6&amp;number=24391000&amp;sourceID=3","24391000")</f>
        <v>24391000</v>
      </c>
      <c r="G163" s="4" t="str">
        <f>HYPERLINK("http://141.218.60.56/~jnz1568/getInfo.php?workbook=08_06.xlsx&amp;sheet=A0&amp;row=163&amp;col=7&amp;number=&amp;sourceID=3","")</f>
        <v/>
      </c>
      <c r="H163" s="4" t="str">
        <f>HYPERLINK("http://141.218.60.56/~jnz1568/getInfo.php?workbook=08_06.xlsx&amp;sheet=A0&amp;row=163&amp;col=8&amp;number=&amp;sourceID=3","")</f>
        <v/>
      </c>
      <c r="I163" s="4" t="str">
        <f>HYPERLINK("http://141.218.60.56/~jnz1568/getInfo.php?workbook=08_06.xlsx&amp;sheet=A0&amp;row=163&amp;col=9&amp;number=&amp;sourceID=3","")</f>
        <v/>
      </c>
      <c r="J163" s="4" t="str">
        <f>HYPERLINK("http://141.218.60.56/~jnz1568/getInfo.php?workbook=08_06.xlsx&amp;sheet=A0&amp;row=163&amp;col=10&amp;number=24514000&amp;sourceID=3","24514000")</f>
        <v>24514000</v>
      </c>
      <c r="K163" s="4" t="str">
        <f>HYPERLINK("http://141.218.60.56/~jnz1568/getInfo.php?workbook=08_06.xlsx&amp;sheet=A0&amp;row=163&amp;col=11&amp;number=&amp;sourceID=3","")</f>
        <v/>
      </c>
      <c r="L163" s="4" t="str">
        <f>HYPERLINK("http://141.218.60.56/~jnz1568/getInfo.php?workbook=08_06.xlsx&amp;sheet=A0&amp;row=163&amp;col=12&amp;number=&amp;sourceID=3","")</f>
        <v/>
      </c>
      <c r="M163" s="4" t="str">
        <f>HYPERLINK("http://141.218.60.56/~jnz1568/getInfo.php?workbook=08_06.xlsx&amp;sheet=A0&amp;row=163&amp;col=13&amp;number=&amp;sourceID=3","")</f>
        <v/>
      </c>
      <c r="N163" s="4" t="str">
        <f>HYPERLINK("http://141.218.60.56/~jnz1568/getInfo.php?workbook=08_06.xlsx&amp;sheet=A0&amp;row=163&amp;col=14&amp;number=29690000&amp;sourceID=7","29690000")</f>
        <v>29690000</v>
      </c>
      <c r="O163" s="4" t="str">
        <f>HYPERLINK("http://141.218.60.56/~jnz1568/getInfo.php?workbook=08_06.xlsx&amp;sheet=A0&amp;row=163&amp;col=15&amp;number=&amp;sourceID=5","")</f>
        <v/>
      </c>
      <c r="P163" s="4" t="str">
        <f>HYPERLINK("http://141.218.60.56/~jnz1568/getInfo.php?workbook=08_06.xlsx&amp;sheet=A0&amp;row=163&amp;col=16&amp;number=&amp;sourceID=5","")</f>
        <v/>
      </c>
      <c r="Q163" s="4" t="str">
        <f>HYPERLINK("http://141.218.60.56/~jnz1568/getInfo.php?workbook=08_06.xlsx&amp;sheet=A0&amp;row=163&amp;col=17&amp;number=&amp;sourceID=6","")</f>
        <v/>
      </c>
    </row>
    <row r="164" spans="1:17">
      <c r="A164" s="3">
        <v>8</v>
      </c>
      <c r="B164" s="3">
        <v>6</v>
      </c>
      <c r="C164" s="3">
        <v>24</v>
      </c>
      <c r="D164" s="3">
        <v>10</v>
      </c>
      <c r="E164" s="3">
        <f>((1/(INDEX(E0!J$4:J$49,C164,1)-INDEX(E0!J$4:J$49,D164,1))))*100000000</f>
        <v>0</v>
      </c>
      <c r="F164" s="4" t="str">
        <f>HYPERLINK("http://141.218.60.56/~jnz1568/getInfo.php?workbook=08_06.xlsx&amp;sheet=A0&amp;row=164&amp;col=6&amp;number=1685900&amp;sourceID=3","1685900")</f>
        <v>1685900</v>
      </c>
      <c r="G164" s="4" t="str">
        <f>HYPERLINK("http://141.218.60.56/~jnz1568/getInfo.php?workbook=08_06.xlsx&amp;sheet=A0&amp;row=164&amp;col=7&amp;number=&amp;sourceID=3","")</f>
        <v/>
      </c>
      <c r="H164" s="4" t="str">
        <f>HYPERLINK("http://141.218.60.56/~jnz1568/getInfo.php?workbook=08_06.xlsx&amp;sheet=A0&amp;row=164&amp;col=8&amp;number=&amp;sourceID=3","")</f>
        <v/>
      </c>
      <c r="I164" s="4" t="str">
        <f>HYPERLINK("http://141.218.60.56/~jnz1568/getInfo.php?workbook=08_06.xlsx&amp;sheet=A0&amp;row=164&amp;col=9&amp;number=&amp;sourceID=3","")</f>
        <v/>
      </c>
      <c r="J164" s="4" t="str">
        <f>HYPERLINK("http://141.218.60.56/~jnz1568/getInfo.php?workbook=08_06.xlsx&amp;sheet=A0&amp;row=164&amp;col=10&amp;number=1694300&amp;sourceID=3","1694300")</f>
        <v>1694300</v>
      </c>
      <c r="K164" s="4" t="str">
        <f>HYPERLINK("http://141.218.60.56/~jnz1568/getInfo.php?workbook=08_06.xlsx&amp;sheet=A0&amp;row=164&amp;col=11&amp;number=&amp;sourceID=3","")</f>
        <v/>
      </c>
      <c r="L164" s="4" t="str">
        <f>HYPERLINK("http://141.218.60.56/~jnz1568/getInfo.php?workbook=08_06.xlsx&amp;sheet=A0&amp;row=164&amp;col=12&amp;number=&amp;sourceID=3","")</f>
        <v/>
      </c>
      <c r="M164" s="4" t="str">
        <f>HYPERLINK("http://141.218.60.56/~jnz1568/getInfo.php?workbook=08_06.xlsx&amp;sheet=A0&amp;row=164&amp;col=13&amp;number=&amp;sourceID=3","")</f>
        <v/>
      </c>
      <c r="N164" s="4" t="str">
        <f>HYPERLINK("http://141.218.60.56/~jnz1568/getInfo.php?workbook=08_06.xlsx&amp;sheet=A0&amp;row=164&amp;col=14&amp;number=1637000&amp;sourceID=7","1637000")</f>
        <v>1637000</v>
      </c>
      <c r="O164" s="4" t="str">
        <f>HYPERLINK("http://141.218.60.56/~jnz1568/getInfo.php?workbook=08_06.xlsx&amp;sheet=A0&amp;row=164&amp;col=15&amp;number=&amp;sourceID=5","")</f>
        <v/>
      </c>
      <c r="P164" s="4" t="str">
        <f>HYPERLINK("http://141.218.60.56/~jnz1568/getInfo.php?workbook=08_06.xlsx&amp;sheet=A0&amp;row=164&amp;col=16&amp;number=&amp;sourceID=5","")</f>
        <v/>
      </c>
      <c r="Q164" s="4" t="str">
        <f>HYPERLINK("http://141.218.60.56/~jnz1568/getInfo.php?workbook=08_06.xlsx&amp;sheet=A0&amp;row=164&amp;col=17&amp;number=&amp;sourceID=6","")</f>
        <v/>
      </c>
    </row>
    <row r="165" spans="1:17">
      <c r="A165" s="3">
        <v>8</v>
      </c>
      <c r="B165" s="3">
        <v>6</v>
      </c>
      <c r="C165" s="3">
        <v>24</v>
      </c>
      <c r="D165" s="3">
        <v>11</v>
      </c>
      <c r="E165" s="3">
        <f>((1/(INDEX(E0!J$4:J$49,C165,1)-INDEX(E0!J$4:J$49,D165,1))))*100000000</f>
        <v>0</v>
      </c>
      <c r="F165" s="4" t="str">
        <f>HYPERLINK("http://141.218.60.56/~jnz1568/getInfo.php?workbook=08_06.xlsx&amp;sheet=A0&amp;row=165&amp;col=6&amp;number=23797000&amp;sourceID=3","23797000")</f>
        <v>23797000</v>
      </c>
      <c r="G165" s="4" t="str">
        <f>HYPERLINK("http://141.218.60.56/~jnz1568/getInfo.php?workbook=08_06.xlsx&amp;sheet=A0&amp;row=165&amp;col=7&amp;number=&amp;sourceID=3","")</f>
        <v/>
      </c>
      <c r="H165" s="4" t="str">
        <f>HYPERLINK("http://141.218.60.56/~jnz1568/getInfo.php?workbook=08_06.xlsx&amp;sheet=A0&amp;row=165&amp;col=8&amp;number=&amp;sourceID=3","")</f>
        <v/>
      </c>
      <c r="I165" s="4" t="str">
        <f>HYPERLINK("http://141.218.60.56/~jnz1568/getInfo.php?workbook=08_06.xlsx&amp;sheet=A0&amp;row=165&amp;col=9&amp;number=&amp;sourceID=3","")</f>
        <v/>
      </c>
      <c r="J165" s="4" t="str">
        <f>HYPERLINK("http://141.218.60.56/~jnz1568/getInfo.php?workbook=08_06.xlsx&amp;sheet=A0&amp;row=165&amp;col=10&amp;number=23890000&amp;sourceID=3","23890000")</f>
        <v>23890000</v>
      </c>
      <c r="K165" s="4" t="str">
        <f>HYPERLINK("http://141.218.60.56/~jnz1568/getInfo.php?workbook=08_06.xlsx&amp;sheet=A0&amp;row=165&amp;col=11&amp;number=&amp;sourceID=3","")</f>
        <v/>
      </c>
      <c r="L165" s="4" t="str">
        <f>HYPERLINK("http://141.218.60.56/~jnz1568/getInfo.php?workbook=08_06.xlsx&amp;sheet=A0&amp;row=165&amp;col=12&amp;number=&amp;sourceID=3","")</f>
        <v/>
      </c>
      <c r="M165" s="4" t="str">
        <f>HYPERLINK("http://141.218.60.56/~jnz1568/getInfo.php?workbook=08_06.xlsx&amp;sheet=A0&amp;row=165&amp;col=13&amp;number=&amp;sourceID=3","")</f>
        <v/>
      </c>
      <c r="N165" s="4" t="str">
        <f>HYPERLINK("http://141.218.60.56/~jnz1568/getInfo.php?workbook=08_06.xlsx&amp;sheet=A0&amp;row=165&amp;col=14&amp;number=22990000&amp;sourceID=7","22990000")</f>
        <v>22990000</v>
      </c>
      <c r="O165" s="4" t="str">
        <f>HYPERLINK("http://141.218.60.56/~jnz1568/getInfo.php?workbook=08_06.xlsx&amp;sheet=A0&amp;row=165&amp;col=15&amp;number=&amp;sourceID=5","")</f>
        <v/>
      </c>
      <c r="P165" s="4" t="str">
        <f>HYPERLINK("http://141.218.60.56/~jnz1568/getInfo.php?workbook=08_06.xlsx&amp;sheet=A0&amp;row=165&amp;col=16&amp;number=&amp;sourceID=5","")</f>
        <v/>
      </c>
      <c r="Q165" s="4" t="str">
        <f>HYPERLINK("http://141.218.60.56/~jnz1568/getInfo.php?workbook=08_06.xlsx&amp;sheet=A0&amp;row=165&amp;col=17&amp;number=&amp;sourceID=6","")</f>
        <v/>
      </c>
    </row>
    <row r="166" spans="1:17">
      <c r="A166" s="3">
        <v>8</v>
      </c>
      <c r="B166" s="3">
        <v>6</v>
      </c>
      <c r="C166" s="3">
        <v>24</v>
      </c>
      <c r="D166" s="3">
        <v>12</v>
      </c>
      <c r="E166" s="3">
        <f>((1/(INDEX(E0!J$4:J$49,C166,1)-INDEX(E0!J$4:J$49,D166,1))))*100000000</f>
        <v>0</v>
      </c>
      <c r="F166" s="4" t="str">
        <f>HYPERLINK("http://141.218.60.56/~jnz1568/getInfo.php?workbook=08_06.xlsx&amp;sheet=A0&amp;row=166&amp;col=6&amp;number=31780000&amp;sourceID=3","31780000")</f>
        <v>31780000</v>
      </c>
      <c r="G166" s="4" t="str">
        <f>HYPERLINK("http://141.218.60.56/~jnz1568/getInfo.php?workbook=08_06.xlsx&amp;sheet=A0&amp;row=166&amp;col=7&amp;number=&amp;sourceID=3","")</f>
        <v/>
      </c>
      <c r="H166" s="4" t="str">
        <f>HYPERLINK("http://141.218.60.56/~jnz1568/getInfo.php?workbook=08_06.xlsx&amp;sheet=A0&amp;row=166&amp;col=8&amp;number=&amp;sourceID=3","")</f>
        <v/>
      </c>
      <c r="I166" s="4" t="str">
        <f>HYPERLINK("http://141.218.60.56/~jnz1568/getInfo.php?workbook=08_06.xlsx&amp;sheet=A0&amp;row=166&amp;col=9&amp;number=&amp;sourceID=3","")</f>
        <v/>
      </c>
      <c r="J166" s="4" t="str">
        <f>HYPERLINK("http://141.218.60.56/~jnz1568/getInfo.php?workbook=08_06.xlsx&amp;sheet=A0&amp;row=166&amp;col=10&amp;number=31901000&amp;sourceID=3","31901000")</f>
        <v>31901000</v>
      </c>
      <c r="K166" s="4" t="str">
        <f>HYPERLINK("http://141.218.60.56/~jnz1568/getInfo.php?workbook=08_06.xlsx&amp;sheet=A0&amp;row=166&amp;col=11&amp;number=&amp;sourceID=3","")</f>
        <v/>
      </c>
      <c r="L166" s="4" t="str">
        <f>HYPERLINK("http://141.218.60.56/~jnz1568/getInfo.php?workbook=08_06.xlsx&amp;sheet=A0&amp;row=166&amp;col=12&amp;number=&amp;sourceID=3","")</f>
        <v/>
      </c>
      <c r="M166" s="4" t="str">
        <f>HYPERLINK("http://141.218.60.56/~jnz1568/getInfo.php?workbook=08_06.xlsx&amp;sheet=A0&amp;row=166&amp;col=13&amp;number=&amp;sourceID=3","")</f>
        <v/>
      </c>
      <c r="N166" s="4" t="str">
        <f>HYPERLINK("http://141.218.60.56/~jnz1568/getInfo.php?workbook=08_06.xlsx&amp;sheet=A0&amp;row=166&amp;col=14&amp;number=30290000&amp;sourceID=7","30290000")</f>
        <v>30290000</v>
      </c>
      <c r="O166" s="4" t="str">
        <f>HYPERLINK("http://141.218.60.56/~jnz1568/getInfo.php?workbook=08_06.xlsx&amp;sheet=A0&amp;row=166&amp;col=15&amp;number=&amp;sourceID=5","")</f>
        <v/>
      </c>
      <c r="P166" s="4" t="str">
        <f>HYPERLINK("http://141.218.60.56/~jnz1568/getInfo.php?workbook=08_06.xlsx&amp;sheet=A0&amp;row=166&amp;col=16&amp;number=&amp;sourceID=5","")</f>
        <v/>
      </c>
      <c r="Q166" s="4" t="str">
        <f>HYPERLINK("http://141.218.60.56/~jnz1568/getInfo.php?workbook=08_06.xlsx&amp;sheet=A0&amp;row=166&amp;col=17&amp;number=&amp;sourceID=6","")</f>
        <v/>
      </c>
    </row>
    <row r="167" spans="1:17">
      <c r="A167" s="3">
        <v>8</v>
      </c>
      <c r="B167" s="3">
        <v>6</v>
      </c>
      <c r="C167" s="3">
        <v>24</v>
      </c>
      <c r="D167" s="3">
        <v>13</v>
      </c>
      <c r="E167" s="3">
        <f>((1/(INDEX(E0!J$4:J$49,C167,1)-INDEX(E0!J$4:J$49,D167,1))))*100000000</f>
        <v>0</v>
      </c>
      <c r="F167" s="4" t="str">
        <f>HYPERLINK("http://141.218.60.56/~jnz1568/getInfo.php?workbook=08_06.xlsx&amp;sheet=A0&amp;row=167&amp;col=6&amp;number=121360&amp;sourceID=3","121360")</f>
        <v>121360</v>
      </c>
      <c r="G167" s="4" t="str">
        <f>HYPERLINK("http://141.218.60.56/~jnz1568/getInfo.php?workbook=08_06.xlsx&amp;sheet=A0&amp;row=167&amp;col=7&amp;number=&amp;sourceID=3","")</f>
        <v/>
      </c>
      <c r="H167" s="4" t="str">
        <f>HYPERLINK("http://141.218.60.56/~jnz1568/getInfo.php?workbook=08_06.xlsx&amp;sheet=A0&amp;row=167&amp;col=8&amp;number=&amp;sourceID=3","")</f>
        <v/>
      </c>
      <c r="I167" s="4" t="str">
        <f>HYPERLINK("http://141.218.60.56/~jnz1568/getInfo.php?workbook=08_06.xlsx&amp;sheet=A0&amp;row=167&amp;col=9&amp;number=&amp;sourceID=3","")</f>
        <v/>
      </c>
      <c r="J167" s="4" t="str">
        <f>HYPERLINK("http://141.218.60.56/~jnz1568/getInfo.php?workbook=08_06.xlsx&amp;sheet=A0&amp;row=167&amp;col=10&amp;number=122260&amp;sourceID=3","122260")</f>
        <v>122260</v>
      </c>
      <c r="K167" s="4" t="str">
        <f>HYPERLINK("http://141.218.60.56/~jnz1568/getInfo.php?workbook=08_06.xlsx&amp;sheet=A0&amp;row=167&amp;col=11&amp;number=&amp;sourceID=3","")</f>
        <v/>
      </c>
      <c r="L167" s="4" t="str">
        <f>HYPERLINK("http://141.218.60.56/~jnz1568/getInfo.php?workbook=08_06.xlsx&amp;sheet=A0&amp;row=167&amp;col=12&amp;number=&amp;sourceID=3","")</f>
        <v/>
      </c>
      <c r="M167" s="4" t="str">
        <f>HYPERLINK("http://141.218.60.56/~jnz1568/getInfo.php?workbook=08_06.xlsx&amp;sheet=A0&amp;row=167&amp;col=13&amp;number=&amp;sourceID=3","")</f>
        <v/>
      </c>
      <c r="N167" s="4" t="str">
        <f>HYPERLINK("http://141.218.60.56/~jnz1568/getInfo.php?workbook=08_06.xlsx&amp;sheet=A0&amp;row=167&amp;col=14&amp;number=92980&amp;sourceID=7","92980")</f>
        <v>92980</v>
      </c>
      <c r="O167" s="4" t="str">
        <f>HYPERLINK("http://141.218.60.56/~jnz1568/getInfo.php?workbook=08_06.xlsx&amp;sheet=A0&amp;row=167&amp;col=15&amp;number=&amp;sourceID=5","")</f>
        <v/>
      </c>
      <c r="P167" s="4" t="str">
        <f>HYPERLINK("http://141.218.60.56/~jnz1568/getInfo.php?workbook=08_06.xlsx&amp;sheet=A0&amp;row=167&amp;col=16&amp;number=&amp;sourceID=5","")</f>
        <v/>
      </c>
      <c r="Q167" s="4" t="str">
        <f>HYPERLINK("http://141.218.60.56/~jnz1568/getInfo.php?workbook=08_06.xlsx&amp;sheet=A0&amp;row=167&amp;col=17&amp;number=&amp;sourceID=6","")</f>
        <v/>
      </c>
    </row>
    <row r="168" spans="1:17">
      <c r="A168" s="3">
        <v>8</v>
      </c>
      <c r="B168" s="3">
        <v>6</v>
      </c>
      <c r="C168" s="3">
        <v>24</v>
      </c>
      <c r="D168" s="3">
        <v>14</v>
      </c>
      <c r="E168" s="3">
        <f>((1/(INDEX(E0!J$4:J$49,C168,1)-INDEX(E0!J$4:J$49,D168,1))))*100000000</f>
        <v>0</v>
      </c>
      <c r="F168" s="4" t="str">
        <f>HYPERLINK("http://141.218.60.56/~jnz1568/getInfo.php?workbook=08_06.xlsx&amp;sheet=A0&amp;row=168&amp;col=6&amp;number=547.93&amp;sourceID=3","547.93")</f>
        <v>547.93</v>
      </c>
      <c r="G168" s="4" t="str">
        <f>HYPERLINK("http://141.218.60.56/~jnz1568/getInfo.php?workbook=08_06.xlsx&amp;sheet=A0&amp;row=168&amp;col=7&amp;number=&amp;sourceID=3","")</f>
        <v/>
      </c>
      <c r="H168" s="4" t="str">
        <f>HYPERLINK("http://141.218.60.56/~jnz1568/getInfo.php?workbook=08_06.xlsx&amp;sheet=A0&amp;row=168&amp;col=8&amp;number=&amp;sourceID=3","")</f>
        <v/>
      </c>
      <c r="I168" s="4" t="str">
        <f>HYPERLINK("http://141.218.60.56/~jnz1568/getInfo.php?workbook=08_06.xlsx&amp;sheet=A0&amp;row=168&amp;col=9&amp;number=&amp;sourceID=3","")</f>
        <v/>
      </c>
      <c r="J168" s="4" t="str">
        <f>HYPERLINK("http://141.218.60.56/~jnz1568/getInfo.php?workbook=08_06.xlsx&amp;sheet=A0&amp;row=168&amp;col=10&amp;number=571.58&amp;sourceID=3","571.58")</f>
        <v>571.58</v>
      </c>
      <c r="K168" s="4" t="str">
        <f>HYPERLINK("http://141.218.60.56/~jnz1568/getInfo.php?workbook=08_06.xlsx&amp;sheet=A0&amp;row=168&amp;col=11&amp;number=&amp;sourceID=3","")</f>
        <v/>
      </c>
      <c r="L168" s="4" t="str">
        <f>HYPERLINK("http://141.218.60.56/~jnz1568/getInfo.php?workbook=08_06.xlsx&amp;sheet=A0&amp;row=168&amp;col=12&amp;number=&amp;sourceID=3","")</f>
        <v/>
      </c>
      <c r="M168" s="4" t="str">
        <f>HYPERLINK("http://141.218.60.56/~jnz1568/getInfo.php?workbook=08_06.xlsx&amp;sheet=A0&amp;row=168&amp;col=13&amp;number=&amp;sourceID=3","")</f>
        <v/>
      </c>
      <c r="N168" s="4" t="str">
        <f>HYPERLINK("http://141.218.60.56/~jnz1568/getInfo.php?workbook=08_06.xlsx&amp;sheet=A0&amp;row=168&amp;col=14&amp;number=2057&amp;sourceID=7","2057")</f>
        <v>2057</v>
      </c>
      <c r="O168" s="4" t="str">
        <f>HYPERLINK("http://141.218.60.56/~jnz1568/getInfo.php?workbook=08_06.xlsx&amp;sheet=A0&amp;row=168&amp;col=15&amp;number=&amp;sourceID=5","")</f>
        <v/>
      </c>
      <c r="P168" s="4" t="str">
        <f>HYPERLINK("http://141.218.60.56/~jnz1568/getInfo.php?workbook=08_06.xlsx&amp;sheet=A0&amp;row=168&amp;col=16&amp;number=&amp;sourceID=5","")</f>
        <v/>
      </c>
      <c r="Q168" s="4" t="str">
        <f>HYPERLINK("http://141.218.60.56/~jnz1568/getInfo.php?workbook=08_06.xlsx&amp;sheet=A0&amp;row=168&amp;col=17&amp;number=&amp;sourceID=6","")</f>
        <v/>
      </c>
    </row>
    <row r="169" spans="1:17">
      <c r="A169" s="3">
        <v>8</v>
      </c>
      <c r="B169" s="3">
        <v>6</v>
      </c>
      <c r="C169" s="3">
        <v>24</v>
      </c>
      <c r="D169" s="3">
        <v>15</v>
      </c>
      <c r="E169" s="3">
        <f>((1/(INDEX(E0!J$4:J$49,C169,1)-INDEX(E0!J$4:J$49,D169,1))))*100000000</f>
        <v>0</v>
      </c>
      <c r="F169" s="4" t="str">
        <f>HYPERLINK("http://141.218.60.56/~jnz1568/getInfo.php?workbook=08_06.xlsx&amp;sheet=A0&amp;row=169&amp;col=6&amp;number=53331&amp;sourceID=3","53331")</f>
        <v>53331</v>
      </c>
      <c r="G169" s="4" t="str">
        <f>HYPERLINK("http://141.218.60.56/~jnz1568/getInfo.php?workbook=08_06.xlsx&amp;sheet=A0&amp;row=169&amp;col=7&amp;number=&amp;sourceID=3","")</f>
        <v/>
      </c>
      <c r="H169" s="4" t="str">
        <f>HYPERLINK("http://141.218.60.56/~jnz1568/getInfo.php?workbook=08_06.xlsx&amp;sheet=A0&amp;row=169&amp;col=8&amp;number=&amp;sourceID=3","")</f>
        <v/>
      </c>
      <c r="I169" s="4" t="str">
        <f>HYPERLINK("http://141.218.60.56/~jnz1568/getInfo.php?workbook=08_06.xlsx&amp;sheet=A0&amp;row=169&amp;col=9&amp;number=&amp;sourceID=3","")</f>
        <v/>
      </c>
      <c r="J169" s="4" t="str">
        <f>HYPERLINK("http://141.218.60.56/~jnz1568/getInfo.php?workbook=08_06.xlsx&amp;sheet=A0&amp;row=169&amp;col=10&amp;number=53585&amp;sourceID=3","53585")</f>
        <v>53585</v>
      </c>
      <c r="K169" s="4" t="str">
        <f>HYPERLINK("http://141.218.60.56/~jnz1568/getInfo.php?workbook=08_06.xlsx&amp;sheet=A0&amp;row=169&amp;col=11&amp;number=&amp;sourceID=3","")</f>
        <v/>
      </c>
      <c r="L169" s="4" t="str">
        <f>HYPERLINK("http://141.218.60.56/~jnz1568/getInfo.php?workbook=08_06.xlsx&amp;sheet=A0&amp;row=169&amp;col=12&amp;number=&amp;sourceID=3","")</f>
        <v/>
      </c>
      <c r="M169" s="4" t="str">
        <f>HYPERLINK("http://141.218.60.56/~jnz1568/getInfo.php?workbook=08_06.xlsx&amp;sheet=A0&amp;row=169&amp;col=13&amp;number=&amp;sourceID=3","")</f>
        <v/>
      </c>
      <c r="N169" s="4" t="str">
        <f>HYPERLINK("http://141.218.60.56/~jnz1568/getInfo.php?workbook=08_06.xlsx&amp;sheet=A0&amp;row=169&amp;col=14&amp;number=29970&amp;sourceID=7","29970")</f>
        <v>29970</v>
      </c>
      <c r="O169" s="4" t="str">
        <f>HYPERLINK("http://141.218.60.56/~jnz1568/getInfo.php?workbook=08_06.xlsx&amp;sheet=A0&amp;row=169&amp;col=15&amp;number=&amp;sourceID=5","")</f>
        <v/>
      </c>
      <c r="P169" s="4" t="str">
        <f>HYPERLINK("http://141.218.60.56/~jnz1568/getInfo.php?workbook=08_06.xlsx&amp;sheet=A0&amp;row=169&amp;col=16&amp;number=&amp;sourceID=5","")</f>
        <v/>
      </c>
      <c r="Q169" s="4" t="str">
        <f>HYPERLINK("http://141.218.60.56/~jnz1568/getInfo.php?workbook=08_06.xlsx&amp;sheet=A0&amp;row=169&amp;col=17&amp;number=&amp;sourceID=6","")</f>
        <v/>
      </c>
    </row>
    <row r="170" spans="1:17">
      <c r="A170" s="3">
        <v>8</v>
      </c>
      <c r="B170" s="3">
        <v>6</v>
      </c>
      <c r="C170" s="3">
        <v>24</v>
      </c>
      <c r="D170" s="3">
        <v>16</v>
      </c>
      <c r="E170" s="3">
        <f>((1/(INDEX(E0!J$4:J$49,C170,1)-INDEX(E0!J$4:J$49,D170,1))))*100000000</f>
        <v>0</v>
      </c>
      <c r="F170" s="4" t="str">
        <f>HYPERLINK("http://141.218.60.56/~jnz1568/getInfo.php?workbook=08_06.xlsx&amp;sheet=A0&amp;row=170&amp;col=6&amp;number=54437000&amp;sourceID=3","54437000")</f>
        <v>54437000</v>
      </c>
      <c r="G170" s="4" t="str">
        <f>HYPERLINK("http://141.218.60.56/~jnz1568/getInfo.php?workbook=08_06.xlsx&amp;sheet=A0&amp;row=170&amp;col=7&amp;number=&amp;sourceID=3","")</f>
        <v/>
      </c>
      <c r="H170" s="4" t="str">
        <f>HYPERLINK("http://141.218.60.56/~jnz1568/getInfo.php?workbook=08_06.xlsx&amp;sheet=A0&amp;row=170&amp;col=8&amp;number=&amp;sourceID=3","")</f>
        <v/>
      </c>
      <c r="I170" s="4" t="str">
        <f>HYPERLINK("http://141.218.60.56/~jnz1568/getInfo.php?workbook=08_06.xlsx&amp;sheet=A0&amp;row=170&amp;col=9&amp;number=&amp;sourceID=3","")</f>
        <v/>
      </c>
      <c r="J170" s="4" t="str">
        <f>HYPERLINK("http://141.218.60.56/~jnz1568/getInfo.php?workbook=08_06.xlsx&amp;sheet=A0&amp;row=170&amp;col=10&amp;number=55224000&amp;sourceID=3","55224000")</f>
        <v>55224000</v>
      </c>
      <c r="K170" s="4" t="str">
        <f>HYPERLINK("http://141.218.60.56/~jnz1568/getInfo.php?workbook=08_06.xlsx&amp;sheet=A0&amp;row=170&amp;col=11&amp;number=&amp;sourceID=3","")</f>
        <v/>
      </c>
      <c r="L170" s="4" t="str">
        <f>HYPERLINK("http://141.218.60.56/~jnz1568/getInfo.php?workbook=08_06.xlsx&amp;sheet=A0&amp;row=170&amp;col=12&amp;number=&amp;sourceID=3","")</f>
        <v/>
      </c>
      <c r="M170" s="4" t="str">
        <f>HYPERLINK("http://141.218.60.56/~jnz1568/getInfo.php?workbook=08_06.xlsx&amp;sheet=A0&amp;row=170&amp;col=13&amp;number=&amp;sourceID=3","")</f>
        <v/>
      </c>
      <c r="N170" s="4" t="str">
        <f>HYPERLINK("http://141.218.60.56/~jnz1568/getInfo.php?workbook=08_06.xlsx&amp;sheet=A0&amp;row=170&amp;col=14&amp;number=34090000&amp;sourceID=7","34090000")</f>
        <v>34090000</v>
      </c>
      <c r="O170" s="4" t="str">
        <f>HYPERLINK("http://141.218.60.56/~jnz1568/getInfo.php?workbook=08_06.xlsx&amp;sheet=A0&amp;row=170&amp;col=15&amp;number=&amp;sourceID=5","")</f>
        <v/>
      </c>
      <c r="P170" s="4" t="str">
        <f>HYPERLINK("http://141.218.60.56/~jnz1568/getInfo.php?workbook=08_06.xlsx&amp;sheet=A0&amp;row=170&amp;col=16&amp;number=&amp;sourceID=5","")</f>
        <v/>
      </c>
      <c r="Q170" s="4" t="str">
        <f>HYPERLINK("http://141.218.60.56/~jnz1568/getInfo.php?workbook=08_06.xlsx&amp;sheet=A0&amp;row=170&amp;col=17&amp;number=&amp;sourceID=6","")</f>
        <v/>
      </c>
    </row>
    <row r="171" spans="1:17">
      <c r="A171" s="3">
        <v>8</v>
      </c>
      <c r="B171" s="3">
        <v>6</v>
      </c>
      <c r="C171" s="3">
        <v>24</v>
      </c>
      <c r="D171" s="3">
        <v>17</v>
      </c>
      <c r="E171" s="3">
        <f>((1/(INDEX(E0!J$4:J$49,C171,1)-INDEX(E0!J$4:J$49,D171,1))))*100000000</f>
        <v>0</v>
      </c>
      <c r="F171" s="4" t="str">
        <f>HYPERLINK("http://141.218.60.56/~jnz1568/getInfo.php?workbook=08_06.xlsx&amp;sheet=A0&amp;row=171&amp;col=6&amp;number=38465000&amp;sourceID=3","38465000")</f>
        <v>38465000</v>
      </c>
      <c r="G171" s="4" t="str">
        <f>HYPERLINK("http://141.218.60.56/~jnz1568/getInfo.php?workbook=08_06.xlsx&amp;sheet=A0&amp;row=171&amp;col=7&amp;number=&amp;sourceID=3","")</f>
        <v/>
      </c>
      <c r="H171" s="4" t="str">
        <f>HYPERLINK("http://141.218.60.56/~jnz1568/getInfo.php?workbook=08_06.xlsx&amp;sheet=A0&amp;row=171&amp;col=8&amp;number=&amp;sourceID=3","")</f>
        <v/>
      </c>
      <c r="I171" s="4" t="str">
        <f>HYPERLINK("http://141.218.60.56/~jnz1568/getInfo.php?workbook=08_06.xlsx&amp;sheet=A0&amp;row=171&amp;col=9&amp;number=&amp;sourceID=3","")</f>
        <v/>
      </c>
      <c r="J171" s="4" t="str">
        <f>HYPERLINK("http://141.218.60.56/~jnz1568/getInfo.php?workbook=08_06.xlsx&amp;sheet=A0&amp;row=171&amp;col=10&amp;number=39014000&amp;sourceID=3","39014000")</f>
        <v>39014000</v>
      </c>
      <c r="K171" s="4" t="str">
        <f>HYPERLINK("http://141.218.60.56/~jnz1568/getInfo.php?workbook=08_06.xlsx&amp;sheet=A0&amp;row=171&amp;col=11&amp;number=&amp;sourceID=3","")</f>
        <v/>
      </c>
      <c r="L171" s="4" t="str">
        <f>HYPERLINK("http://141.218.60.56/~jnz1568/getInfo.php?workbook=08_06.xlsx&amp;sheet=A0&amp;row=171&amp;col=12&amp;number=&amp;sourceID=3","")</f>
        <v/>
      </c>
      <c r="M171" s="4" t="str">
        <f>HYPERLINK("http://141.218.60.56/~jnz1568/getInfo.php?workbook=08_06.xlsx&amp;sheet=A0&amp;row=171&amp;col=13&amp;number=&amp;sourceID=3","")</f>
        <v/>
      </c>
      <c r="N171" s="4" t="str">
        <f>HYPERLINK("http://141.218.60.56/~jnz1568/getInfo.php?workbook=08_06.xlsx&amp;sheet=A0&amp;row=171&amp;col=14&amp;number=24480000&amp;sourceID=7","24480000")</f>
        <v>24480000</v>
      </c>
      <c r="O171" s="4" t="str">
        <f>HYPERLINK("http://141.218.60.56/~jnz1568/getInfo.php?workbook=08_06.xlsx&amp;sheet=A0&amp;row=171&amp;col=15&amp;number=&amp;sourceID=5","")</f>
        <v/>
      </c>
      <c r="P171" s="4" t="str">
        <f>HYPERLINK("http://141.218.60.56/~jnz1568/getInfo.php?workbook=08_06.xlsx&amp;sheet=A0&amp;row=171&amp;col=16&amp;number=&amp;sourceID=5","")</f>
        <v/>
      </c>
      <c r="Q171" s="4" t="str">
        <f>HYPERLINK("http://141.218.60.56/~jnz1568/getInfo.php?workbook=08_06.xlsx&amp;sheet=A0&amp;row=171&amp;col=17&amp;number=&amp;sourceID=6","")</f>
        <v/>
      </c>
    </row>
    <row r="172" spans="1:17">
      <c r="A172" s="3">
        <v>8</v>
      </c>
      <c r="B172" s="3">
        <v>6</v>
      </c>
      <c r="C172" s="3">
        <v>24</v>
      </c>
      <c r="D172" s="3">
        <v>18</v>
      </c>
      <c r="E172" s="3">
        <f>((1/(INDEX(E0!J$4:J$49,C172,1)-INDEX(E0!J$4:J$49,D172,1))))*100000000</f>
        <v>0</v>
      </c>
      <c r="F172" s="4" t="str">
        <f>HYPERLINK("http://141.218.60.56/~jnz1568/getInfo.php?workbook=08_06.xlsx&amp;sheet=A0&amp;row=172&amp;col=6&amp;number=2367700&amp;sourceID=3","2367700")</f>
        <v>2367700</v>
      </c>
      <c r="G172" s="4" t="str">
        <f>HYPERLINK("http://141.218.60.56/~jnz1568/getInfo.php?workbook=08_06.xlsx&amp;sheet=A0&amp;row=172&amp;col=7&amp;number=&amp;sourceID=3","")</f>
        <v/>
      </c>
      <c r="H172" s="4" t="str">
        <f>HYPERLINK("http://141.218.60.56/~jnz1568/getInfo.php?workbook=08_06.xlsx&amp;sheet=A0&amp;row=172&amp;col=8&amp;number=&amp;sourceID=3","")</f>
        <v/>
      </c>
      <c r="I172" s="4" t="str">
        <f>HYPERLINK("http://141.218.60.56/~jnz1568/getInfo.php?workbook=08_06.xlsx&amp;sheet=A0&amp;row=172&amp;col=9&amp;number=&amp;sourceID=3","")</f>
        <v/>
      </c>
      <c r="J172" s="4" t="str">
        <f>HYPERLINK("http://141.218.60.56/~jnz1568/getInfo.php?workbook=08_06.xlsx&amp;sheet=A0&amp;row=172&amp;col=10&amp;number=2401000&amp;sourceID=3","2401000")</f>
        <v>2401000</v>
      </c>
      <c r="K172" s="4" t="str">
        <f>HYPERLINK("http://141.218.60.56/~jnz1568/getInfo.php?workbook=08_06.xlsx&amp;sheet=A0&amp;row=172&amp;col=11&amp;number=&amp;sourceID=3","")</f>
        <v/>
      </c>
      <c r="L172" s="4" t="str">
        <f>HYPERLINK("http://141.218.60.56/~jnz1568/getInfo.php?workbook=08_06.xlsx&amp;sheet=A0&amp;row=172&amp;col=12&amp;number=&amp;sourceID=3","")</f>
        <v/>
      </c>
      <c r="M172" s="4" t="str">
        <f>HYPERLINK("http://141.218.60.56/~jnz1568/getInfo.php?workbook=08_06.xlsx&amp;sheet=A0&amp;row=172&amp;col=13&amp;number=&amp;sourceID=3","")</f>
        <v/>
      </c>
      <c r="N172" s="4" t="str">
        <f>HYPERLINK("http://141.218.60.56/~jnz1568/getInfo.php?workbook=08_06.xlsx&amp;sheet=A0&amp;row=172&amp;col=14&amp;number=1527000&amp;sourceID=7","1527000")</f>
        <v>1527000</v>
      </c>
      <c r="O172" s="4" t="str">
        <f>HYPERLINK("http://141.218.60.56/~jnz1568/getInfo.php?workbook=08_06.xlsx&amp;sheet=A0&amp;row=172&amp;col=15&amp;number=&amp;sourceID=5","")</f>
        <v/>
      </c>
      <c r="P172" s="4" t="str">
        <f>HYPERLINK("http://141.218.60.56/~jnz1568/getInfo.php?workbook=08_06.xlsx&amp;sheet=A0&amp;row=172&amp;col=16&amp;number=&amp;sourceID=5","")</f>
        <v/>
      </c>
      <c r="Q172" s="4" t="str">
        <f>HYPERLINK("http://141.218.60.56/~jnz1568/getInfo.php?workbook=08_06.xlsx&amp;sheet=A0&amp;row=172&amp;col=17&amp;number=&amp;sourceID=6","")</f>
        <v/>
      </c>
    </row>
    <row r="173" spans="1:17">
      <c r="A173" s="3">
        <v>8</v>
      </c>
      <c r="B173" s="3">
        <v>6</v>
      </c>
      <c r="C173" s="3">
        <v>24</v>
      </c>
      <c r="D173" s="3">
        <v>19</v>
      </c>
      <c r="E173" s="3">
        <f>((1/(INDEX(E0!J$4:J$49,C173,1)-INDEX(E0!J$4:J$49,D173,1))))*100000000</f>
        <v>0</v>
      </c>
      <c r="F173" s="4" t="str">
        <f>HYPERLINK("http://141.218.60.56/~jnz1568/getInfo.php?workbook=08_06.xlsx&amp;sheet=A0&amp;row=173&amp;col=6&amp;number=202830&amp;sourceID=3","202830")</f>
        <v>202830</v>
      </c>
      <c r="G173" s="4" t="str">
        <f>HYPERLINK("http://141.218.60.56/~jnz1568/getInfo.php?workbook=08_06.xlsx&amp;sheet=A0&amp;row=173&amp;col=7&amp;number=&amp;sourceID=3","")</f>
        <v/>
      </c>
      <c r="H173" s="4" t="str">
        <f>HYPERLINK("http://141.218.60.56/~jnz1568/getInfo.php?workbook=08_06.xlsx&amp;sheet=A0&amp;row=173&amp;col=8&amp;number=&amp;sourceID=3","")</f>
        <v/>
      </c>
      <c r="I173" s="4" t="str">
        <f>HYPERLINK("http://141.218.60.56/~jnz1568/getInfo.php?workbook=08_06.xlsx&amp;sheet=A0&amp;row=173&amp;col=9&amp;number=&amp;sourceID=3","")</f>
        <v/>
      </c>
      <c r="J173" s="4" t="str">
        <f>HYPERLINK("http://141.218.60.56/~jnz1568/getInfo.php?workbook=08_06.xlsx&amp;sheet=A0&amp;row=173&amp;col=10&amp;number=204260&amp;sourceID=3","204260")</f>
        <v>204260</v>
      </c>
      <c r="K173" s="4" t="str">
        <f>HYPERLINK("http://141.218.60.56/~jnz1568/getInfo.php?workbook=08_06.xlsx&amp;sheet=A0&amp;row=173&amp;col=11&amp;number=&amp;sourceID=3","")</f>
        <v/>
      </c>
      <c r="L173" s="4" t="str">
        <f>HYPERLINK("http://141.218.60.56/~jnz1568/getInfo.php?workbook=08_06.xlsx&amp;sheet=A0&amp;row=173&amp;col=12&amp;number=&amp;sourceID=3","")</f>
        <v/>
      </c>
      <c r="M173" s="4" t="str">
        <f>HYPERLINK("http://141.218.60.56/~jnz1568/getInfo.php?workbook=08_06.xlsx&amp;sheet=A0&amp;row=173&amp;col=13&amp;number=&amp;sourceID=3","")</f>
        <v/>
      </c>
      <c r="N173" s="4" t="str">
        <f>HYPERLINK("http://141.218.60.56/~jnz1568/getInfo.php?workbook=08_06.xlsx&amp;sheet=A0&amp;row=173&amp;col=14&amp;number=41410&amp;sourceID=7","41410")</f>
        <v>41410</v>
      </c>
      <c r="O173" s="4" t="str">
        <f>HYPERLINK("http://141.218.60.56/~jnz1568/getInfo.php?workbook=08_06.xlsx&amp;sheet=A0&amp;row=173&amp;col=15&amp;number=&amp;sourceID=5","")</f>
        <v/>
      </c>
      <c r="P173" s="4" t="str">
        <f>HYPERLINK("http://141.218.60.56/~jnz1568/getInfo.php?workbook=08_06.xlsx&amp;sheet=A0&amp;row=173&amp;col=16&amp;number=&amp;sourceID=5","")</f>
        <v/>
      </c>
      <c r="Q173" s="4" t="str">
        <f>HYPERLINK("http://141.218.60.56/~jnz1568/getInfo.php?workbook=08_06.xlsx&amp;sheet=A0&amp;row=173&amp;col=17&amp;number=&amp;sourceID=6","")</f>
        <v/>
      </c>
    </row>
    <row r="174" spans="1:17">
      <c r="A174" s="3">
        <v>8</v>
      </c>
      <c r="B174" s="3">
        <v>6</v>
      </c>
      <c r="C174" s="3">
        <v>25</v>
      </c>
      <c r="D174" s="3">
        <v>6</v>
      </c>
      <c r="E174" s="3">
        <f>((1/(INDEX(E0!J$4:J$49,C174,1)-INDEX(E0!J$4:J$49,D174,1))))*100000000</f>
        <v>0</v>
      </c>
      <c r="F174" s="4" t="str">
        <f>HYPERLINK("http://141.218.60.56/~jnz1568/getInfo.php?workbook=08_06.xlsx&amp;sheet=A0&amp;row=174&amp;col=6&amp;number=200.52&amp;sourceID=3","200.52")</f>
        <v>200.52</v>
      </c>
      <c r="G174" s="4" t="str">
        <f>HYPERLINK("http://141.218.60.56/~jnz1568/getInfo.php?workbook=08_06.xlsx&amp;sheet=A0&amp;row=174&amp;col=7&amp;number=&amp;sourceID=3","")</f>
        <v/>
      </c>
      <c r="H174" s="4" t="str">
        <f>HYPERLINK("http://141.218.60.56/~jnz1568/getInfo.php?workbook=08_06.xlsx&amp;sheet=A0&amp;row=174&amp;col=8&amp;number=&amp;sourceID=3","")</f>
        <v/>
      </c>
      <c r="I174" s="4" t="str">
        <f>HYPERLINK("http://141.218.60.56/~jnz1568/getInfo.php?workbook=08_06.xlsx&amp;sheet=A0&amp;row=174&amp;col=9&amp;number=&amp;sourceID=3","")</f>
        <v/>
      </c>
      <c r="J174" s="4" t="str">
        <f>HYPERLINK("http://141.218.60.56/~jnz1568/getInfo.php?workbook=08_06.xlsx&amp;sheet=A0&amp;row=174&amp;col=10&amp;number=199.69&amp;sourceID=3","199.69")</f>
        <v>199.69</v>
      </c>
      <c r="K174" s="4" t="str">
        <f>HYPERLINK("http://141.218.60.56/~jnz1568/getInfo.php?workbook=08_06.xlsx&amp;sheet=A0&amp;row=174&amp;col=11&amp;number=&amp;sourceID=3","")</f>
        <v/>
      </c>
      <c r="L174" s="4" t="str">
        <f>HYPERLINK("http://141.218.60.56/~jnz1568/getInfo.php?workbook=08_06.xlsx&amp;sheet=A0&amp;row=174&amp;col=12&amp;number=&amp;sourceID=3","")</f>
        <v/>
      </c>
      <c r="M174" s="4" t="str">
        <f>HYPERLINK("http://141.218.60.56/~jnz1568/getInfo.php?workbook=08_06.xlsx&amp;sheet=A0&amp;row=174&amp;col=13&amp;number=&amp;sourceID=3","")</f>
        <v/>
      </c>
      <c r="N174" s="4" t="str">
        <f>HYPERLINK("http://141.218.60.56/~jnz1568/getInfo.php?workbook=08_06.xlsx&amp;sheet=A0&amp;row=174&amp;col=14&amp;number=157.8&amp;sourceID=7","157.8")</f>
        <v>157.8</v>
      </c>
      <c r="O174" s="4" t="str">
        <f>HYPERLINK("http://141.218.60.56/~jnz1568/getInfo.php?workbook=08_06.xlsx&amp;sheet=A0&amp;row=174&amp;col=15&amp;number=&amp;sourceID=5","")</f>
        <v/>
      </c>
      <c r="P174" s="4" t="str">
        <f>HYPERLINK("http://141.218.60.56/~jnz1568/getInfo.php?workbook=08_06.xlsx&amp;sheet=A0&amp;row=174&amp;col=16&amp;number=&amp;sourceID=5","")</f>
        <v/>
      </c>
      <c r="Q174" s="4" t="str">
        <f>HYPERLINK("http://141.218.60.56/~jnz1568/getInfo.php?workbook=08_06.xlsx&amp;sheet=A0&amp;row=174&amp;col=17&amp;number=&amp;sourceID=6","")</f>
        <v/>
      </c>
    </row>
    <row r="175" spans="1:17">
      <c r="A175" s="3">
        <v>8</v>
      </c>
      <c r="B175" s="3">
        <v>6</v>
      </c>
      <c r="C175" s="3">
        <v>25</v>
      </c>
      <c r="D175" s="3">
        <v>7</v>
      </c>
      <c r="E175" s="3">
        <f>((1/(INDEX(E0!J$4:J$49,C175,1)-INDEX(E0!J$4:J$49,D175,1))))*100000000</f>
        <v>0</v>
      </c>
      <c r="F175" s="4" t="str">
        <f>HYPERLINK("http://141.218.60.56/~jnz1568/getInfo.php?workbook=08_06.xlsx&amp;sheet=A0&amp;row=175&amp;col=6&amp;number=5601700&amp;sourceID=3","5601700")</f>
        <v>5601700</v>
      </c>
      <c r="G175" s="4" t="str">
        <f>HYPERLINK("http://141.218.60.56/~jnz1568/getInfo.php?workbook=08_06.xlsx&amp;sheet=A0&amp;row=175&amp;col=7&amp;number=&amp;sourceID=3","")</f>
        <v/>
      </c>
      <c r="H175" s="4" t="str">
        <f>HYPERLINK("http://141.218.60.56/~jnz1568/getInfo.php?workbook=08_06.xlsx&amp;sheet=A0&amp;row=175&amp;col=8&amp;number=&amp;sourceID=3","")</f>
        <v/>
      </c>
      <c r="I175" s="4" t="str">
        <f>HYPERLINK("http://141.218.60.56/~jnz1568/getInfo.php?workbook=08_06.xlsx&amp;sheet=A0&amp;row=175&amp;col=9&amp;number=&amp;sourceID=3","")</f>
        <v/>
      </c>
      <c r="J175" s="4" t="str">
        <f>HYPERLINK("http://141.218.60.56/~jnz1568/getInfo.php?workbook=08_06.xlsx&amp;sheet=A0&amp;row=175&amp;col=10&amp;number=5628800&amp;sourceID=3","5628800")</f>
        <v>5628800</v>
      </c>
      <c r="K175" s="4" t="str">
        <f>HYPERLINK("http://141.218.60.56/~jnz1568/getInfo.php?workbook=08_06.xlsx&amp;sheet=A0&amp;row=175&amp;col=11&amp;number=&amp;sourceID=3","")</f>
        <v/>
      </c>
      <c r="L175" s="4" t="str">
        <f>HYPERLINK("http://141.218.60.56/~jnz1568/getInfo.php?workbook=08_06.xlsx&amp;sheet=A0&amp;row=175&amp;col=12&amp;number=&amp;sourceID=3","")</f>
        <v/>
      </c>
      <c r="M175" s="4" t="str">
        <f>HYPERLINK("http://141.218.60.56/~jnz1568/getInfo.php?workbook=08_06.xlsx&amp;sheet=A0&amp;row=175&amp;col=13&amp;number=&amp;sourceID=3","")</f>
        <v/>
      </c>
      <c r="N175" s="4" t="str">
        <f>HYPERLINK("http://141.218.60.56/~jnz1568/getInfo.php?workbook=08_06.xlsx&amp;sheet=A0&amp;row=175&amp;col=14&amp;number=6011000&amp;sourceID=7","6011000")</f>
        <v>6011000</v>
      </c>
      <c r="O175" s="4" t="str">
        <f>HYPERLINK("http://141.218.60.56/~jnz1568/getInfo.php?workbook=08_06.xlsx&amp;sheet=A0&amp;row=175&amp;col=15&amp;number=&amp;sourceID=5","")</f>
        <v/>
      </c>
      <c r="P175" s="4" t="str">
        <f>HYPERLINK("http://141.218.60.56/~jnz1568/getInfo.php?workbook=08_06.xlsx&amp;sheet=A0&amp;row=175&amp;col=16&amp;number=&amp;sourceID=5","")</f>
        <v/>
      </c>
      <c r="Q175" s="4" t="str">
        <f>HYPERLINK("http://141.218.60.56/~jnz1568/getInfo.php?workbook=08_06.xlsx&amp;sheet=A0&amp;row=175&amp;col=17&amp;number=&amp;sourceID=6","")</f>
        <v/>
      </c>
    </row>
    <row r="176" spans="1:17">
      <c r="A176" s="3">
        <v>8</v>
      </c>
      <c r="B176" s="3">
        <v>6</v>
      </c>
      <c r="C176" s="3">
        <v>25</v>
      </c>
      <c r="D176" s="3">
        <v>8</v>
      </c>
      <c r="E176" s="3">
        <f>((1/(INDEX(E0!J$4:J$49,C176,1)-INDEX(E0!J$4:J$49,D176,1))))*100000000</f>
        <v>0</v>
      </c>
      <c r="F176" s="4" t="str">
        <f>HYPERLINK("http://141.218.60.56/~jnz1568/getInfo.php?workbook=08_06.xlsx&amp;sheet=A0&amp;row=176&amp;col=6&amp;number=22656000&amp;sourceID=3","22656000")</f>
        <v>22656000</v>
      </c>
      <c r="G176" s="4" t="str">
        <f>HYPERLINK("http://141.218.60.56/~jnz1568/getInfo.php?workbook=08_06.xlsx&amp;sheet=A0&amp;row=176&amp;col=7&amp;number=&amp;sourceID=3","")</f>
        <v/>
      </c>
      <c r="H176" s="4" t="str">
        <f>HYPERLINK("http://141.218.60.56/~jnz1568/getInfo.php?workbook=08_06.xlsx&amp;sheet=A0&amp;row=176&amp;col=8&amp;number=&amp;sourceID=3","")</f>
        <v/>
      </c>
      <c r="I176" s="4" t="str">
        <f>HYPERLINK("http://141.218.60.56/~jnz1568/getInfo.php?workbook=08_06.xlsx&amp;sheet=A0&amp;row=176&amp;col=9&amp;number=&amp;sourceID=3","")</f>
        <v/>
      </c>
      <c r="J176" s="4" t="str">
        <f>HYPERLINK("http://141.218.60.56/~jnz1568/getInfo.php?workbook=08_06.xlsx&amp;sheet=A0&amp;row=176&amp;col=10&amp;number=22769000&amp;sourceID=3","22769000")</f>
        <v>22769000</v>
      </c>
      <c r="K176" s="4" t="str">
        <f>HYPERLINK("http://141.218.60.56/~jnz1568/getInfo.php?workbook=08_06.xlsx&amp;sheet=A0&amp;row=176&amp;col=11&amp;number=&amp;sourceID=3","")</f>
        <v/>
      </c>
      <c r="L176" s="4" t="str">
        <f>HYPERLINK("http://141.218.60.56/~jnz1568/getInfo.php?workbook=08_06.xlsx&amp;sheet=A0&amp;row=176&amp;col=12&amp;number=&amp;sourceID=3","")</f>
        <v/>
      </c>
      <c r="M176" s="4" t="str">
        <f>HYPERLINK("http://141.218.60.56/~jnz1568/getInfo.php?workbook=08_06.xlsx&amp;sheet=A0&amp;row=176&amp;col=13&amp;number=&amp;sourceID=3","")</f>
        <v/>
      </c>
      <c r="N176" s="4" t="str">
        <f>HYPERLINK("http://141.218.60.56/~jnz1568/getInfo.php?workbook=08_06.xlsx&amp;sheet=A0&amp;row=176&amp;col=14&amp;number=27530000&amp;sourceID=7","27530000")</f>
        <v>27530000</v>
      </c>
      <c r="O176" s="4" t="str">
        <f>HYPERLINK("http://141.218.60.56/~jnz1568/getInfo.php?workbook=08_06.xlsx&amp;sheet=A0&amp;row=176&amp;col=15&amp;number=&amp;sourceID=5","")</f>
        <v/>
      </c>
      <c r="P176" s="4" t="str">
        <f>HYPERLINK("http://141.218.60.56/~jnz1568/getInfo.php?workbook=08_06.xlsx&amp;sheet=A0&amp;row=176&amp;col=16&amp;number=&amp;sourceID=5","")</f>
        <v/>
      </c>
      <c r="Q176" s="4" t="str">
        <f>HYPERLINK("http://141.218.60.56/~jnz1568/getInfo.php?workbook=08_06.xlsx&amp;sheet=A0&amp;row=176&amp;col=17&amp;number=&amp;sourceID=6","")</f>
        <v/>
      </c>
    </row>
    <row r="177" spans="1:17">
      <c r="A177" s="3">
        <v>8</v>
      </c>
      <c r="B177" s="3">
        <v>6</v>
      </c>
      <c r="C177" s="3">
        <v>25</v>
      </c>
      <c r="D177" s="3">
        <v>9</v>
      </c>
      <c r="E177" s="3">
        <f>((1/(INDEX(E0!J$4:J$49,C177,1)-INDEX(E0!J$4:J$49,D177,1))))*100000000</f>
        <v>0</v>
      </c>
      <c r="F177" s="4" t="str">
        <f>HYPERLINK("http://141.218.60.56/~jnz1568/getInfo.php?workbook=08_06.xlsx&amp;sheet=A0&amp;row=177&amp;col=6&amp;number=4660500&amp;sourceID=3","4660500")</f>
        <v>4660500</v>
      </c>
      <c r="G177" s="4" t="str">
        <f>HYPERLINK("http://141.218.60.56/~jnz1568/getInfo.php?workbook=08_06.xlsx&amp;sheet=A0&amp;row=177&amp;col=7&amp;number=&amp;sourceID=3","")</f>
        <v/>
      </c>
      <c r="H177" s="4" t="str">
        <f>HYPERLINK("http://141.218.60.56/~jnz1568/getInfo.php?workbook=08_06.xlsx&amp;sheet=A0&amp;row=177&amp;col=8&amp;number=&amp;sourceID=3","")</f>
        <v/>
      </c>
      <c r="I177" s="4" t="str">
        <f>HYPERLINK("http://141.218.60.56/~jnz1568/getInfo.php?workbook=08_06.xlsx&amp;sheet=A0&amp;row=177&amp;col=9&amp;number=&amp;sourceID=3","")</f>
        <v/>
      </c>
      <c r="J177" s="4" t="str">
        <f>HYPERLINK("http://141.218.60.56/~jnz1568/getInfo.php?workbook=08_06.xlsx&amp;sheet=A0&amp;row=177&amp;col=10&amp;number=4685100&amp;sourceID=3","4685100")</f>
        <v>4685100</v>
      </c>
      <c r="K177" s="4" t="str">
        <f>HYPERLINK("http://141.218.60.56/~jnz1568/getInfo.php?workbook=08_06.xlsx&amp;sheet=A0&amp;row=177&amp;col=11&amp;number=&amp;sourceID=3","")</f>
        <v/>
      </c>
      <c r="L177" s="4" t="str">
        <f>HYPERLINK("http://141.218.60.56/~jnz1568/getInfo.php?workbook=08_06.xlsx&amp;sheet=A0&amp;row=177&amp;col=12&amp;number=&amp;sourceID=3","")</f>
        <v/>
      </c>
      <c r="M177" s="4" t="str">
        <f>HYPERLINK("http://141.218.60.56/~jnz1568/getInfo.php?workbook=08_06.xlsx&amp;sheet=A0&amp;row=177&amp;col=13&amp;number=&amp;sourceID=3","")</f>
        <v/>
      </c>
      <c r="N177" s="4" t="str">
        <f>HYPERLINK("http://141.218.60.56/~jnz1568/getInfo.php?workbook=08_06.xlsx&amp;sheet=A0&amp;row=177&amp;col=14&amp;number=5680000&amp;sourceID=7","5680000")</f>
        <v>5680000</v>
      </c>
      <c r="O177" s="4" t="str">
        <f>HYPERLINK("http://141.218.60.56/~jnz1568/getInfo.php?workbook=08_06.xlsx&amp;sheet=A0&amp;row=177&amp;col=15&amp;number=&amp;sourceID=5","")</f>
        <v/>
      </c>
      <c r="P177" s="4" t="str">
        <f>HYPERLINK("http://141.218.60.56/~jnz1568/getInfo.php?workbook=08_06.xlsx&amp;sheet=A0&amp;row=177&amp;col=16&amp;number=&amp;sourceID=5","")</f>
        <v/>
      </c>
      <c r="Q177" s="4" t="str">
        <f>HYPERLINK("http://141.218.60.56/~jnz1568/getInfo.php?workbook=08_06.xlsx&amp;sheet=A0&amp;row=177&amp;col=17&amp;number=&amp;sourceID=6","")</f>
        <v/>
      </c>
    </row>
    <row r="178" spans="1:17">
      <c r="A178" s="3">
        <v>8</v>
      </c>
      <c r="B178" s="3">
        <v>6</v>
      </c>
      <c r="C178" s="3">
        <v>25</v>
      </c>
      <c r="D178" s="3">
        <v>10</v>
      </c>
      <c r="E178" s="3">
        <f>((1/(INDEX(E0!J$4:J$49,C178,1)-INDEX(E0!J$4:J$49,D178,1))))*100000000</f>
        <v>0</v>
      </c>
      <c r="F178" s="4" t="str">
        <f>HYPERLINK("http://141.218.60.56/~jnz1568/getInfo.php?workbook=08_06.xlsx&amp;sheet=A0&amp;row=178&amp;col=6&amp;number=14584000&amp;sourceID=3","14584000")</f>
        <v>14584000</v>
      </c>
      <c r="G178" s="4" t="str">
        <f>HYPERLINK("http://141.218.60.56/~jnz1568/getInfo.php?workbook=08_06.xlsx&amp;sheet=A0&amp;row=178&amp;col=7&amp;number=&amp;sourceID=3","")</f>
        <v/>
      </c>
      <c r="H178" s="4" t="str">
        <f>HYPERLINK("http://141.218.60.56/~jnz1568/getInfo.php?workbook=08_06.xlsx&amp;sheet=A0&amp;row=178&amp;col=8&amp;number=&amp;sourceID=3","")</f>
        <v/>
      </c>
      <c r="I178" s="4" t="str">
        <f>HYPERLINK("http://141.218.60.56/~jnz1568/getInfo.php?workbook=08_06.xlsx&amp;sheet=A0&amp;row=178&amp;col=9&amp;number=&amp;sourceID=3","")</f>
        <v/>
      </c>
      <c r="J178" s="4" t="str">
        <f>HYPERLINK("http://141.218.60.56/~jnz1568/getInfo.php?workbook=08_06.xlsx&amp;sheet=A0&amp;row=178&amp;col=10&amp;number=14646000&amp;sourceID=3","14646000")</f>
        <v>14646000</v>
      </c>
      <c r="K178" s="4" t="str">
        <f>HYPERLINK("http://141.218.60.56/~jnz1568/getInfo.php?workbook=08_06.xlsx&amp;sheet=A0&amp;row=178&amp;col=11&amp;number=&amp;sourceID=3","")</f>
        <v/>
      </c>
      <c r="L178" s="4" t="str">
        <f>HYPERLINK("http://141.218.60.56/~jnz1568/getInfo.php?workbook=08_06.xlsx&amp;sheet=A0&amp;row=178&amp;col=12&amp;number=&amp;sourceID=3","")</f>
        <v/>
      </c>
      <c r="M178" s="4" t="str">
        <f>HYPERLINK("http://141.218.60.56/~jnz1568/getInfo.php?workbook=08_06.xlsx&amp;sheet=A0&amp;row=178&amp;col=13&amp;number=&amp;sourceID=3","")</f>
        <v/>
      </c>
      <c r="N178" s="4" t="str">
        <f>HYPERLINK("http://141.218.60.56/~jnz1568/getInfo.php?workbook=08_06.xlsx&amp;sheet=A0&amp;row=178&amp;col=14&amp;number=14160000&amp;sourceID=7","14160000")</f>
        <v>14160000</v>
      </c>
      <c r="O178" s="4" t="str">
        <f>HYPERLINK("http://141.218.60.56/~jnz1568/getInfo.php?workbook=08_06.xlsx&amp;sheet=A0&amp;row=178&amp;col=15&amp;number=&amp;sourceID=5","")</f>
        <v/>
      </c>
      <c r="P178" s="4" t="str">
        <f>HYPERLINK("http://141.218.60.56/~jnz1568/getInfo.php?workbook=08_06.xlsx&amp;sheet=A0&amp;row=178&amp;col=16&amp;number=&amp;sourceID=5","")</f>
        <v/>
      </c>
      <c r="Q178" s="4" t="str">
        <f>HYPERLINK("http://141.218.60.56/~jnz1568/getInfo.php?workbook=08_06.xlsx&amp;sheet=A0&amp;row=178&amp;col=17&amp;number=&amp;sourceID=6","")</f>
        <v/>
      </c>
    </row>
    <row r="179" spans="1:17">
      <c r="A179" s="3">
        <v>8</v>
      </c>
      <c r="B179" s="3">
        <v>6</v>
      </c>
      <c r="C179" s="3">
        <v>25</v>
      </c>
      <c r="D179" s="3">
        <v>11</v>
      </c>
      <c r="E179" s="3">
        <f>((1/(INDEX(E0!J$4:J$49,C179,1)-INDEX(E0!J$4:J$49,D179,1))))*100000000</f>
        <v>0</v>
      </c>
      <c r="F179" s="4" t="str">
        <f>HYPERLINK("http://141.218.60.56/~jnz1568/getInfo.php?workbook=08_06.xlsx&amp;sheet=A0&amp;row=179&amp;col=6&amp;number=43078000&amp;sourceID=3","43078000")</f>
        <v>43078000</v>
      </c>
      <c r="G179" s="4" t="str">
        <f>HYPERLINK("http://141.218.60.56/~jnz1568/getInfo.php?workbook=08_06.xlsx&amp;sheet=A0&amp;row=179&amp;col=7&amp;number=&amp;sourceID=3","")</f>
        <v/>
      </c>
      <c r="H179" s="4" t="str">
        <f>HYPERLINK("http://141.218.60.56/~jnz1568/getInfo.php?workbook=08_06.xlsx&amp;sheet=A0&amp;row=179&amp;col=8&amp;number=&amp;sourceID=3","")</f>
        <v/>
      </c>
      <c r="I179" s="4" t="str">
        <f>HYPERLINK("http://141.218.60.56/~jnz1568/getInfo.php?workbook=08_06.xlsx&amp;sheet=A0&amp;row=179&amp;col=9&amp;number=&amp;sourceID=3","")</f>
        <v/>
      </c>
      <c r="J179" s="4" t="str">
        <f>HYPERLINK("http://141.218.60.56/~jnz1568/getInfo.php?workbook=08_06.xlsx&amp;sheet=A0&amp;row=179&amp;col=10&amp;number=43240000&amp;sourceID=3","43240000")</f>
        <v>43240000</v>
      </c>
      <c r="K179" s="4" t="str">
        <f>HYPERLINK("http://141.218.60.56/~jnz1568/getInfo.php?workbook=08_06.xlsx&amp;sheet=A0&amp;row=179&amp;col=11&amp;number=&amp;sourceID=3","")</f>
        <v/>
      </c>
      <c r="L179" s="4" t="str">
        <f>HYPERLINK("http://141.218.60.56/~jnz1568/getInfo.php?workbook=08_06.xlsx&amp;sheet=A0&amp;row=179&amp;col=12&amp;number=&amp;sourceID=3","")</f>
        <v/>
      </c>
      <c r="M179" s="4" t="str">
        <f>HYPERLINK("http://141.218.60.56/~jnz1568/getInfo.php?workbook=08_06.xlsx&amp;sheet=A0&amp;row=179&amp;col=13&amp;number=&amp;sourceID=3","")</f>
        <v/>
      </c>
      <c r="N179" s="4" t="str">
        <f>HYPERLINK("http://141.218.60.56/~jnz1568/getInfo.php?workbook=08_06.xlsx&amp;sheet=A0&amp;row=179&amp;col=14&amp;number=41090000&amp;sourceID=7","41090000")</f>
        <v>41090000</v>
      </c>
      <c r="O179" s="4" t="str">
        <f>HYPERLINK("http://141.218.60.56/~jnz1568/getInfo.php?workbook=08_06.xlsx&amp;sheet=A0&amp;row=179&amp;col=15&amp;number=&amp;sourceID=5","")</f>
        <v/>
      </c>
      <c r="P179" s="4" t="str">
        <f>HYPERLINK("http://141.218.60.56/~jnz1568/getInfo.php?workbook=08_06.xlsx&amp;sheet=A0&amp;row=179&amp;col=16&amp;number=&amp;sourceID=5","")</f>
        <v/>
      </c>
      <c r="Q179" s="4" t="str">
        <f>HYPERLINK("http://141.218.60.56/~jnz1568/getInfo.php?workbook=08_06.xlsx&amp;sheet=A0&amp;row=179&amp;col=17&amp;number=&amp;sourceID=6","")</f>
        <v/>
      </c>
    </row>
    <row r="180" spans="1:17">
      <c r="A180" s="3">
        <v>8</v>
      </c>
      <c r="B180" s="3">
        <v>6</v>
      </c>
      <c r="C180" s="3">
        <v>25</v>
      </c>
      <c r="D180" s="3">
        <v>13</v>
      </c>
      <c r="E180" s="3">
        <f>((1/(INDEX(E0!J$4:J$49,C180,1)-INDEX(E0!J$4:J$49,D180,1))))*100000000</f>
        <v>0</v>
      </c>
      <c r="F180" s="4" t="str">
        <f>HYPERLINK("http://141.218.60.56/~jnz1568/getInfo.php?workbook=08_06.xlsx&amp;sheet=A0&amp;row=180&amp;col=6&amp;number=4490.7&amp;sourceID=3","4490.7")</f>
        <v>4490.7</v>
      </c>
      <c r="G180" s="4" t="str">
        <f>HYPERLINK("http://141.218.60.56/~jnz1568/getInfo.php?workbook=08_06.xlsx&amp;sheet=A0&amp;row=180&amp;col=7&amp;number=&amp;sourceID=3","")</f>
        <v/>
      </c>
      <c r="H180" s="4" t="str">
        <f>HYPERLINK("http://141.218.60.56/~jnz1568/getInfo.php?workbook=08_06.xlsx&amp;sheet=A0&amp;row=180&amp;col=8&amp;number=&amp;sourceID=3","")</f>
        <v/>
      </c>
      <c r="I180" s="4" t="str">
        <f>HYPERLINK("http://141.218.60.56/~jnz1568/getInfo.php?workbook=08_06.xlsx&amp;sheet=A0&amp;row=180&amp;col=9&amp;number=&amp;sourceID=3","")</f>
        <v/>
      </c>
      <c r="J180" s="4" t="str">
        <f>HYPERLINK("http://141.218.60.56/~jnz1568/getInfo.php?workbook=08_06.xlsx&amp;sheet=A0&amp;row=180&amp;col=10&amp;number=4358.1&amp;sourceID=3","4358.1")</f>
        <v>4358.1</v>
      </c>
      <c r="K180" s="4" t="str">
        <f>HYPERLINK("http://141.218.60.56/~jnz1568/getInfo.php?workbook=08_06.xlsx&amp;sheet=A0&amp;row=180&amp;col=11&amp;number=&amp;sourceID=3","")</f>
        <v/>
      </c>
      <c r="L180" s="4" t="str">
        <f>HYPERLINK("http://141.218.60.56/~jnz1568/getInfo.php?workbook=08_06.xlsx&amp;sheet=A0&amp;row=180&amp;col=12&amp;number=&amp;sourceID=3","")</f>
        <v/>
      </c>
      <c r="M180" s="4" t="str">
        <f>HYPERLINK("http://141.218.60.56/~jnz1568/getInfo.php?workbook=08_06.xlsx&amp;sheet=A0&amp;row=180&amp;col=13&amp;number=&amp;sourceID=3","")</f>
        <v/>
      </c>
      <c r="N180" s="4" t="str">
        <f>HYPERLINK("http://141.218.60.56/~jnz1568/getInfo.php?workbook=08_06.xlsx&amp;sheet=A0&amp;row=180&amp;col=14&amp;number=1149&amp;sourceID=7","1149")</f>
        <v>1149</v>
      </c>
      <c r="O180" s="4" t="str">
        <f>HYPERLINK("http://141.218.60.56/~jnz1568/getInfo.php?workbook=08_06.xlsx&amp;sheet=A0&amp;row=180&amp;col=15&amp;number=&amp;sourceID=5","")</f>
        <v/>
      </c>
      <c r="P180" s="4" t="str">
        <f>HYPERLINK("http://141.218.60.56/~jnz1568/getInfo.php?workbook=08_06.xlsx&amp;sheet=A0&amp;row=180&amp;col=16&amp;number=&amp;sourceID=5","")</f>
        <v/>
      </c>
      <c r="Q180" s="4" t="str">
        <f>HYPERLINK("http://141.218.60.56/~jnz1568/getInfo.php?workbook=08_06.xlsx&amp;sheet=A0&amp;row=180&amp;col=17&amp;number=&amp;sourceID=6","")</f>
        <v/>
      </c>
    </row>
    <row r="181" spans="1:17">
      <c r="A181" s="3">
        <v>8</v>
      </c>
      <c r="B181" s="3">
        <v>6</v>
      </c>
      <c r="C181" s="3">
        <v>25</v>
      </c>
      <c r="D181" s="3">
        <v>14</v>
      </c>
      <c r="E181" s="3">
        <f>((1/(INDEX(E0!J$4:J$49,C181,1)-INDEX(E0!J$4:J$49,D181,1))))*100000000</f>
        <v>0</v>
      </c>
      <c r="F181" s="4" t="str">
        <f>HYPERLINK("http://141.218.60.56/~jnz1568/getInfo.php?workbook=08_06.xlsx&amp;sheet=A0&amp;row=181&amp;col=6&amp;number=1190.5&amp;sourceID=3","1190.5")</f>
        <v>1190.5</v>
      </c>
      <c r="G181" s="4" t="str">
        <f>HYPERLINK("http://141.218.60.56/~jnz1568/getInfo.php?workbook=08_06.xlsx&amp;sheet=A0&amp;row=181&amp;col=7&amp;number=&amp;sourceID=3","")</f>
        <v/>
      </c>
      <c r="H181" s="4" t="str">
        <f>HYPERLINK("http://141.218.60.56/~jnz1568/getInfo.php?workbook=08_06.xlsx&amp;sheet=A0&amp;row=181&amp;col=8&amp;number=&amp;sourceID=3","")</f>
        <v/>
      </c>
      <c r="I181" s="4" t="str">
        <f>HYPERLINK("http://141.218.60.56/~jnz1568/getInfo.php?workbook=08_06.xlsx&amp;sheet=A0&amp;row=181&amp;col=9&amp;number=&amp;sourceID=3","")</f>
        <v/>
      </c>
      <c r="J181" s="4" t="str">
        <f>HYPERLINK("http://141.218.60.56/~jnz1568/getInfo.php?workbook=08_06.xlsx&amp;sheet=A0&amp;row=181&amp;col=10&amp;number=1227.4&amp;sourceID=3","1227.4")</f>
        <v>1227.4</v>
      </c>
      <c r="K181" s="4" t="str">
        <f>HYPERLINK("http://141.218.60.56/~jnz1568/getInfo.php?workbook=08_06.xlsx&amp;sheet=A0&amp;row=181&amp;col=11&amp;number=&amp;sourceID=3","")</f>
        <v/>
      </c>
      <c r="L181" s="4" t="str">
        <f>HYPERLINK("http://141.218.60.56/~jnz1568/getInfo.php?workbook=08_06.xlsx&amp;sheet=A0&amp;row=181&amp;col=12&amp;number=&amp;sourceID=3","")</f>
        <v/>
      </c>
      <c r="M181" s="4" t="str">
        <f>HYPERLINK("http://141.218.60.56/~jnz1568/getInfo.php?workbook=08_06.xlsx&amp;sheet=A0&amp;row=181&amp;col=13&amp;number=&amp;sourceID=3","")</f>
        <v/>
      </c>
      <c r="N181" s="4" t="str">
        <f>HYPERLINK("http://141.218.60.56/~jnz1568/getInfo.php?workbook=08_06.xlsx&amp;sheet=A0&amp;row=181&amp;col=14&amp;number=3430&amp;sourceID=7","3430")</f>
        <v>3430</v>
      </c>
      <c r="O181" s="4" t="str">
        <f>HYPERLINK("http://141.218.60.56/~jnz1568/getInfo.php?workbook=08_06.xlsx&amp;sheet=A0&amp;row=181&amp;col=15&amp;number=&amp;sourceID=5","")</f>
        <v/>
      </c>
      <c r="P181" s="4" t="str">
        <f>HYPERLINK("http://141.218.60.56/~jnz1568/getInfo.php?workbook=08_06.xlsx&amp;sheet=A0&amp;row=181&amp;col=16&amp;number=&amp;sourceID=5","")</f>
        <v/>
      </c>
      <c r="Q181" s="4" t="str">
        <f>HYPERLINK("http://141.218.60.56/~jnz1568/getInfo.php?workbook=08_06.xlsx&amp;sheet=A0&amp;row=181&amp;col=17&amp;number=&amp;sourceID=6","")</f>
        <v/>
      </c>
    </row>
    <row r="182" spans="1:17">
      <c r="A182" s="3">
        <v>8</v>
      </c>
      <c r="B182" s="3">
        <v>6</v>
      </c>
      <c r="C182" s="3">
        <v>25</v>
      </c>
      <c r="D182" s="3">
        <v>15</v>
      </c>
      <c r="E182" s="3">
        <f>((1/(INDEX(E0!J$4:J$49,C182,1)-INDEX(E0!J$4:J$49,D182,1))))*100000000</f>
        <v>0</v>
      </c>
      <c r="F182" s="4" t="str">
        <f>HYPERLINK("http://141.218.60.56/~jnz1568/getInfo.php?workbook=08_06.xlsx&amp;sheet=A0&amp;row=182&amp;col=6&amp;number=8715.2&amp;sourceID=3","8715.2")</f>
        <v>8715.2</v>
      </c>
      <c r="G182" s="4" t="str">
        <f>HYPERLINK("http://141.218.60.56/~jnz1568/getInfo.php?workbook=08_06.xlsx&amp;sheet=A0&amp;row=182&amp;col=7&amp;number=&amp;sourceID=3","")</f>
        <v/>
      </c>
      <c r="H182" s="4" t="str">
        <f>HYPERLINK("http://141.218.60.56/~jnz1568/getInfo.php?workbook=08_06.xlsx&amp;sheet=A0&amp;row=182&amp;col=8&amp;number=&amp;sourceID=3","")</f>
        <v/>
      </c>
      <c r="I182" s="4" t="str">
        <f>HYPERLINK("http://141.218.60.56/~jnz1568/getInfo.php?workbook=08_06.xlsx&amp;sheet=A0&amp;row=182&amp;col=9&amp;number=&amp;sourceID=3","")</f>
        <v/>
      </c>
      <c r="J182" s="4" t="str">
        <f>HYPERLINK("http://141.218.60.56/~jnz1568/getInfo.php?workbook=08_06.xlsx&amp;sheet=A0&amp;row=182&amp;col=10&amp;number=8644.3&amp;sourceID=3","8644.3")</f>
        <v>8644.3</v>
      </c>
      <c r="K182" s="4" t="str">
        <f>HYPERLINK("http://141.218.60.56/~jnz1568/getInfo.php?workbook=08_06.xlsx&amp;sheet=A0&amp;row=182&amp;col=11&amp;number=&amp;sourceID=3","")</f>
        <v/>
      </c>
      <c r="L182" s="4" t="str">
        <f>HYPERLINK("http://141.218.60.56/~jnz1568/getInfo.php?workbook=08_06.xlsx&amp;sheet=A0&amp;row=182&amp;col=12&amp;number=&amp;sourceID=3","")</f>
        <v/>
      </c>
      <c r="M182" s="4" t="str">
        <f>HYPERLINK("http://141.218.60.56/~jnz1568/getInfo.php?workbook=08_06.xlsx&amp;sheet=A0&amp;row=182&amp;col=13&amp;number=&amp;sourceID=3","")</f>
        <v/>
      </c>
      <c r="N182" s="4" t="str">
        <f>HYPERLINK("http://141.218.60.56/~jnz1568/getInfo.php?workbook=08_06.xlsx&amp;sheet=A0&amp;row=182&amp;col=14&amp;number=4147&amp;sourceID=7","4147")</f>
        <v>4147</v>
      </c>
      <c r="O182" s="4" t="str">
        <f>HYPERLINK("http://141.218.60.56/~jnz1568/getInfo.php?workbook=08_06.xlsx&amp;sheet=A0&amp;row=182&amp;col=15&amp;number=&amp;sourceID=5","")</f>
        <v/>
      </c>
      <c r="P182" s="4" t="str">
        <f>HYPERLINK("http://141.218.60.56/~jnz1568/getInfo.php?workbook=08_06.xlsx&amp;sheet=A0&amp;row=182&amp;col=16&amp;number=&amp;sourceID=5","")</f>
        <v/>
      </c>
      <c r="Q182" s="4" t="str">
        <f>HYPERLINK("http://141.218.60.56/~jnz1568/getInfo.php?workbook=08_06.xlsx&amp;sheet=A0&amp;row=182&amp;col=17&amp;number=&amp;sourceID=6","")</f>
        <v/>
      </c>
    </row>
    <row r="183" spans="1:17">
      <c r="A183" s="3">
        <v>8</v>
      </c>
      <c r="B183" s="3">
        <v>6</v>
      </c>
      <c r="C183" s="3">
        <v>25</v>
      </c>
      <c r="D183" s="3">
        <v>17</v>
      </c>
      <c r="E183" s="3">
        <f>((1/(INDEX(E0!J$4:J$49,C183,1)-INDEX(E0!J$4:J$49,D183,1))))*100000000</f>
        <v>0</v>
      </c>
      <c r="F183" s="4" t="str">
        <f>HYPERLINK("http://141.218.60.56/~jnz1568/getInfo.php?workbook=08_06.xlsx&amp;sheet=A0&amp;row=183&amp;col=6&amp;number=73600000&amp;sourceID=3","73600000")</f>
        <v>73600000</v>
      </c>
      <c r="G183" s="4" t="str">
        <f>HYPERLINK("http://141.218.60.56/~jnz1568/getInfo.php?workbook=08_06.xlsx&amp;sheet=A0&amp;row=183&amp;col=7&amp;number=&amp;sourceID=3","")</f>
        <v/>
      </c>
      <c r="H183" s="4" t="str">
        <f>HYPERLINK("http://141.218.60.56/~jnz1568/getInfo.php?workbook=08_06.xlsx&amp;sheet=A0&amp;row=183&amp;col=8&amp;number=&amp;sourceID=3","")</f>
        <v/>
      </c>
      <c r="I183" s="4" t="str">
        <f>HYPERLINK("http://141.218.60.56/~jnz1568/getInfo.php?workbook=08_06.xlsx&amp;sheet=A0&amp;row=183&amp;col=9&amp;number=&amp;sourceID=3","")</f>
        <v/>
      </c>
      <c r="J183" s="4" t="str">
        <f>HYPERLINK("http://141.218.60.56/~jnz1568/getInfo.php?workbook=08_06.xlsx&amp;sheet=A0&amp;row=183&amp;col=10&amp;number=74661000&amp;sourceID=3","74661000")</f>
        <v>74661000</v>
      </c>
      <c r="K183" s="4" t="str">
        <f>HYPERLINK("http://141.218.60.56/~jnz1568/getInfo.php?workbook=08_06.xlsx&amp;sheet=A0&amp;row=183&amp;col=11&amp;number=&amp;sourceID=3","")</f>
        <v/>
      </c>
      <c r="L183" s="4" t="str">
        <f>HYPERLINK("http://141.218.60.56/~jnz1568/getInfo.php?workbook=08_06.xlsx&amp;sheet=A0&amp;row=183&amp;col=12&amp;number=&amp;sourceID=3","")</f>
        <v/>
      </c>
      <c r="M183" s="4" t="str">
        <f>HYPERLINK("http://141.218.60.56/~jnz1568/getInfo.php?workbook=08_06.xlsx&amp;sheet=A0&amp;row=183&amp;col=13&amp;number=&amp;sourceID=3","")</f>
        <v/>
      </c>
      <c r="N183" s="4" t="str">
        <f>HYPERLINK("http://141.218.60.56/~jnz1568/getInfo.php?workbook=08_06.xlsx&amp;sheet=A0&amp;row=183&amp;col=14&amp;number=46130000&amp;sourceID=7","46130000")</f>
        <v>46130000</v>
      </c>
      <c r="O183" s="4" t="str">
        <f>HYPERLINK("http://141.218.60.56/~jnz1568/getInfo.php?workbook=08_06.xlsx&amp;sheet=A0&amp;row=183&amp;col=15&amp;number=&amp;sourceID=5","")</f>
        <v/>
      </c>
      <c r="P183" s="4" t="str">
        <f>HYPERLINK("http://141.218.60.56/~jnz1568/getInfo.php?workbook=08_06.xlsx&amp;sheet=A0&amp;row=183&amp;col=16&amp;number=&amp;sourceID=5","")</f>
        <v/>
      </c>
      <c r="Q183" s="4" t="str">
        <f>HYPERLINK("http://141.218.60.56/~jnz1568/getInfo.php?workbook=08_06.xlsx&amp;sheet=A0&amp;row=183&amp;col=17&amp;number=&amp;sourceID=6","")</f>
        <v/>
      </c>
    </row>
    <row r="184" spans="1:17">
      <c r="A184" s="3">
        <v>8</v>
      </c>
      <c r="B184" s="3">
        <v>6</v>
      </c>
      <c r="C184" s="3">
        <v>25</v>
      </c>
      <c r="D184" s="3">
        <v>18</v>
      </c>
      <c r="E184" s="3">
        <f>((1/(INDEX(E0!J$4:J$49,C184,1)-INDEX(E0!J$4:J$49,D184,1))))*100000000</f>
        <v>0</v>
      </c>
      <c r="F184" s="4" t="str">
        <f>HYPERLINK("http://141.218.60.56/~jnz1568/getInfo.php?workbook=08_06.xlsx&amp;sheet=A0&amp;row=184&amp;col=6&amp;number=22217000&amp;sourceID=3","22217000")</f>
        <v>22217000</v>
      </c>
      <c r="G184" s="4" t="str">
        <f>HYPERLINK("http://141.218.60.56/~jnz1568/getInfo.php?workbook=08_06.xlsx&amp;sheet=A0&amp;row=184&amp;col=7&amp;number=&amp;sourceID=3","")</f>
        <v/>
      </c>
      <c r="H184" s="4" t="str">
        <f>HYPERLINK("http://141.218.60.56/~jnz1568/getInfo.php?workbook=08_06.xlsx&amp;sheet=A0&amp;row=184&amp;col=8&amp;number=&amp;sourceID=3","")</f>
        <v/>
      </c>
      <c r="I184" s="4" t="str">
        <f>HYPERLINK("http://141.218.60.56/~jnz1568/getInfo.php?workbook=08_06.xlsx&amp;sheet=A0&amp;row=184&amp;col=9&amp;number=&amp;sourceID=3","")</f>
        <v/>
      </c>
      <c r="J184" s="4" t="str">
        <f>HYPERLINK("http://141.218.60.56/~jnz1568/getInfo.php?workbook=08_06.xlsx&amp;sheet=A0&amp;row=184&amp;col=10&amp;number=22531000&amp;sourceID=3","22531000")</f>
        <v>22531000</v>
      </c>
      <c r="K184" s="4" t="str">
        <f>HYPERLINK("http://141.218.60.56/~jnz1568/getInfo.php?workbook=08_06.xlsx&amp;sheet=A0&amp;row=184&amp;col=11&amp;number=&amp;sourceID=3","")</f>
        <v/>
      </c>
      <c r="L184" s="4" t="str">
        <f>HYPERLINK("http://141.218.60.56/~jnz1568/getInfo.php?workbook=08_06.xlsx&amp;sheet=A0&amp;row=184&amp;col=12&amp;number=&amp;sourceID=3","")</f>
        <v/>
      </c>
      <c r="M184" s="4" t="str">
        <f>HYPERLINK("http://141.218.60.56/~jnz1568/getInfo.php?workbook=08_06.xlsx&amp;sheet=A0&amp;row=184&amp;col=13&amp;number=&amp;sourceID=3","")</f>
        <v/>
      </c>
      <c r="N184" s="4" t="str">
        <f>HYPERLINK("http://141.218.60.56/~jnz1568/getInfo.php?workbook=08_06.xlsx&amp;sheet=A0&amp;row=184&amp;col=14&amp;number=14230000&amp;sourceID=7","14230000")</f>
        <v>14230000</v>
      </c>
      <c r="O184" s="4" t="str">
        <f>HYPERLINK("http://141.218.60.56/~jnz1568/getInfo.php?workbook=08_06.xlsx&amp;sheet=A0&amp;row=184&amp;col=15&amp;number=&amp;sourceID=5","")</f>
        <v/>
      </c>
      <c r="P184" s="4" t="str">
        <f>HYPERLINK("http://141.218.60.56/~jnz1568/getInfo.php?workbook=08_06.xlsx&amp;sheet=A0&amp;row=184&amp;col=16&amp;number=&amp;sourceID=5","")</f>
        <v/>
      </c>
      <c r="Q184" s="4" t="str">
        <f>HYPERLINK("http://141.218.60.56/~jnz1568/getInfo.php?workbook=08_06.xlsx&amp;sheet=A0&amp;row=184&amp;col=17&amp;number=&amp;sourceID=6","")</f>
        <v/>
      </c>
    </row>
    <row r="185" spans="1:17">
      <c r="A185" s="3">
        <v>8</v>
      </c>
      <c r="B185" s="3">
        <v>6</v>
      </c>
      <c r="C185" s="3">
        <v>25</v>
      </c>
      <c r="D185" s="3">
        <v>19</v>
      </c>
      <c r="E185" s="3">
        <f>((1/(INDEX(E0!J$4:J$49,C185,1)-INDEX(E0!J$4:J$49,D185,1))))*100000000</f>
        <v>0</v>
      </c>
      <c r="F185" s="4" t="str">
        <f>HYPERLINK("http://141.218.60.56/~jnz1568/getInfo.php?workbook=08_06.xlsx&amp;sheet=A0&amp;row=185&amp;col=6&amp;number=12001&amp;sourceID=3","12001")</f>
        <v>12001</v>
      </c>
      <c r="G185" s="4" t="str">
        <f>HYPERLINK("http://141.218.60.56/~jnz1568/getInfo.php?workbook=08_06.xlsx&amp;sheet=A0&amp;row=185&amp;col=7&amp;number=&amp;sourceID=3","")</f>
        <v/>
      </c>
      <c r="H185" s="4" t="str">
        <f>HYPERLINK("http://141.218.60.56/~jnz1568/getInfo.php?workbook=08_06.xlsx&amp;sheet=A0&amp;row=185&amp;col=8&amp;number=&amp;sourceID=3","")</f>
        <v/>
      </c>
      <c r="I185" s="4" t="str">
        <f>HYPERLINK("http://141.218.60.56/~jnz1568/getInfo.php?workbook=08_06.xlsx&amp;sheet=A0&amp;row=185&amp;col=9&amp;number=&amp;sourceID=3","")</f>
        <v/>
      </c>
      <c r="J185" s="4" t="str">
        <f>HYPERLINK("http://141.218.60.56/~jnz1568/getInfo.php?workbook=08_06.xlsx&amp;sheet=A0&amp;row=185&amp;col=10&amp;number=11772&amp;sourceID=3","11772")</f>
        <v>11772</v>
      </c>
      <c r="K185" s="4" t="str">
        <f>HYPERLINK("http://141.218.60.56/~jnz1568/getInfo.php?workbook=08_06.xlsx&amp;sheet=A0&amp;row=185&amp;col=11&amp;number=&amp;sourceID=3","")</f>
        <v/>
      </c>
      <c r="L185" s="4" t="str">
        <f>HYPERLINK("http://141.218.60.56/~jnz1568/getInfo.php?workbook=08_06.xlsx&amp;sheet=A0&amp;row=185&amp;col=12&amp;number=&amp;sourceID=3","")</f>
        <v/>
      </c>
      <c r="M185" s="4" t="str">
        <f>HYPERLINK("http://141.218.60.56/~jnz1568/getInfo.php?workbook=08_06.xlsx&amp;sheet=A0&amp;row=185&amp;col=13&amp;number=&amp;sourceID=3","")</f>
        <v/>
      </c>
      <c r="N185" s="4" t="str">
        <f>HYPERLINK("http://141.218.60.56/~jnz1568/getInfo.php?workbook=08_06.xlsx&amp;sheet=A0&amp;row=185&amp;col=14&amp;number=1435&amp;sourceID=7","1435")</f>
        <v>1435</v>
      </c>
      <c r="O185" s="4" t="str">
        <f>HYPERLINK("http://141.218.60.56/~jnz1568/getInfo.php?workbook=08_06.xlsx&amp;sheet=A0&amp;row=185&amp;col=15&amp;number=&amp;sourceID=5","")</f>
        <v/>
      </c>
      <c r="P185" s="4" t="str">
        <f>HYPERLINK("http://141.218.60.56/~jnz1568/getInfo.php?workbook=08_06.xlsx&amp;sheet=A0&amp;row=185&amp;col=16&amp;number=&amp;sourceID=5","")</f>
        <v/>
      </c>
      <c r="Q185" s="4" t="str">
        <f>HYPERLINK("http://141.218.60.56/~jnz1568/getInfo.php?workbook=08_06.xlsx&amp;sheet=A0&amp;row=185&amp;col=17&amp;number=&amp;sourceID=6","")</f>
        <v/>
      </c>
    </row>
    <row r="186" spans="1:17">
      <c r="A186" s="3">
        <v>8</v>
      </c>
      <c r="B186" s="3">
        <v>6</v>
      </c>
      <c r="C186" s="3">
        <v>26</v>
      </c>
      <c r="D186" s="3">
        <v>6</v>
      </c>
      <c r="E186" s="3">
        <f>((1/(INDEX(E0!J$4:J$49,C186,1)-INDEX(E0!J$4:J$49,D186,1))))*100000000</f>
        <v>0</v>
      </c>
      <c r="F186" s="4" t="str">
        <f>HYPERLINK("http://141.218.60.56/~jnz1568/getInfo.php?workbook=08_06.xlsx&amp;sheet=A0&amp;row=186&amp;col=6&amp;number=655.86&amp;sourceID=3","655.86")</f>
        <v>655.86</v>
      </c>
      <c r="G186" s="4" t="str">
        <f>HYPERLINK("http://141.218.60.56/~jnz1568/getInfo.php?workbook=08_06.xlsx&amp;sheet=A0&amp;row=186&amp;col=7&amp;number=&amp;sourceID=3","")</f>
        <v/>
      </c>
      <c r="H186" s="4" t="str">
        <f>HYPERLINK("http://141.218.60.56/~jnz1568/getInfo.php?workbook=08_06.xlsx&amp;sheet=A0&amp;row=186&amp;col=8&amp;number=&amp;sourceID=3","")</f>
        <v/>
      </c>
      <c r="I186" s="4" t="str">
        <f>HYPERLINK("http://141.218.60.56/~jnz1568/getInfo.php?workbook=08_06.xlsx&amp;sheet=A0&amp;row=186&amp;col=9&amp;number=&amp;sourceID=3","")</f>
        <v/>
      </c>
      <c r="J186" s="4" t="str">
        <f>HYPERLINK("http://141.218.60.56/~jnz1568/getInfo.php?workbook=08_06.xlsx&amp;sheet=A0&amp;row=186&amp;col=10&amp;number=652.73&amp;sourceID=3","652.73")</f>
        <v>652.73</v>
      </c>
      <c r="K186" s="4" t="str">
        <f>HYPERLINK("http://141.218.60.56/~jnz1568/getInfo.php?workbook=08_06.xlsx&amp;sheet=A0&amp;row=186&amp;col=11&amp;number=&amp;sourceID=3","")</f>
        <v/>
      </c>
      <c r="L186" s="4" t="str">
        <f>HYPERLINK("http://141.218.60.56/~jnz1568/getInfo.php?workbook=08_06.xlsx&amp;sheet=A0&amp;row=186&amp;col=12&amp;number=&amp;sourceID=3","")</f>
        <v/>
      </c>
      <c r="M186" s="4" t="str">
        <f>HYPERLINK("http://141.218.60.56/~jnz1568/getInfo.php?workbook=08_06.xlsx&amp;sheet=A0&amp;row=186&amp;col=13&amp;number=&amp;sourceID=3","")</f>
        <v/>
      </c>
      <c r="N186" s="4" t="str">
        <f>HYPERLINK("http://141.218.60.56/~jnz1568/getInfo.php?workbook=08_06.xlsx&amp;sheet=A0&amp;row=186&amp;col=14&amp;number=504.6&amp;sourceID=7","504.6")</f>
        <v>504.6</v>
      </c>
      <c r="O186" s="4" t="str">
        <f>HYPERLINK("http://141.218.60.56/~jnz1568/getInfo.php?workbook=08_06.xlsx&amp;sheet=A0&amp;row=186&amp;col=15&amp;number=&amp;sourceID=5","")</f>
        <v/>
      </c>
      <c r="P186" s="4" t="str">
        <f>HYPERLINK("http://141.218.60.56/~jnz1568/getInfo.php?workbook=08_06.xlsx&amp;sheet=A0&amp;row=186&amp;col=16&amp;number=&amp;sourceID=5","")</f>
        <v/>
      </c>
      <c r="Q186" s="4" t="str">
        <f>HYPERLINK("http://141.218.60.56/~jnz1568/getInfo.php?workbook=08_06.xlsx&amp;sheet=A0&amp;row=186&amp;col=17&amp;number=&amp;sourceID=6","")</f>
        <v/>
      </c>
    </row>
    <row r="187" spans="1:17">
      <c r="A187" s="3">
        <v>8</v>
      </c>
      <c r="B187" s="3">
        <v>6</v>
      </c>
      <c r="C187" s="3">
        <v>26</v>
      </c>
      <c r="D187" s="3">
        <v>7</v>
      </c>
      <c r="E187" s="3">
        <f>((1/(INDEX(E0!J$4:J$49,C187,1)-INDEX(E0!J$4:J$49,D187,1))))*100000000</f>
        <v>0</v>
      </c>
      <c r="F187" s="4" t="str">
        <f>HYPERLINK("http://141.218.60.56/~jnz1568/getInfo.php?workbook=08_06.xlsx&amp;sheet=A0&amp;row=187&amp;col=6&amp;number=29227000&amp;sourceID=3","29227000")</f>
        <v>29227000</v>
      </c>
      <c r="G187" s="4" t="str">
        <f>HYPERLINK("http://141.218.60.56/~jnz1568/getInfo.php?workbook=08_06.xlsx&amp;sheet=A0&amp;row=187&amp;col=7&amp;number=&amp;sourceID=3","")</f>
        <v/>
      </c>
      <c r="H187" s="4" t="str">
        <f>HYPERLINK("http://141.218.60.56/~jnz1568/getInfo.php?workbook=08_06.xlsx&amp;sheet=A0&amp;row=187&amp;col=8&amp;number=&amp;sourceID=3","")</f>
        <v/>
      </c>
      <c r="I187" s="4" t="str">
        <f>HYPERLINK("http://141.218.60.56/~jnz1568/getInfo.php?workbook=08_06.xlsx&amp;sheet=A0&amp;row=187&amp;col=9&amp;number=&amp;sourceID=3","")</f>
        <v/>
      </c>
      <c r="J187" s="4" t="str">
        <f>HYPERLINK("http://141.218.60.56/~jnz1568/getInfo.php?workbook=08_06.xlsx&amp;sheet=A0&amp;row=187&amp;col=10&amp;number=29374000&amp;sourceID=3","29374000")</f>
        <v>29374000</v>
      </c>
      <c r="K187" s="4" t="str">
        <f>HYPERLINK("http://141.218.60.56/~jnz1568/getInfo.php?workbook=08_06.xlsx&amp;sheet=A0&amp;row=187&amp;col=11&amp;number=&amp;sourceID=3","")</f>
        <v/>
      </c>
      <c r="L187" s="4" t="str">
        <f>HYPERLINK("http://141.218.60.56/~jnz1568/getInfo.php?workbook=08_06.xlsx&amp;sheet=A0&amp;row=187&amp;col=12&amp;number=&amp;sourceID=3","")</f>
        <v/>
      </c>
      <c r="M187" s="4" t="str">
        <f>HYPERLINK("http://141.218.60.56/~jnz1568/getInfo.php?workbook=08_06.xlsx&amp;sheet=A0&amp;row=187&amp;col=13&amp;number=&amp;sourceID=3","")</f>
        <v/>
      </c>
      <c r="N187" s="4" t="str">
        <f>HYPERLINK("http://141.218.60.56/~jnz1568/getInfo.php?workbook=08_06.xlsx&amp;sheet=A0&amp;row=187&amp;col=14&amp;number=34840000&amp;sourceID=7","34840000")</f>
        <v>34840000</v>
      </c>
      <c r="O187" s="4" t="str">
        <f>HYPERLINK("http://141.218.60.56/~jnz1568/getInfo.php?workbook=08_06.xlsx&amp;sheet=A0&amp;row=187&amp;col=15&amp;number=&amp;sourceID=5","")</f>
        <v/>
      </c>
      <c r="P187" s="4" t="str">
        <f>HYPERLINK("http://141.218.60.56/~jnz1568/getInfo.php?workbook=08_06.xlsx&amp;sheet=A0&amp;row=187&amp;col=16&amp;number=&amp;sourceID=5","")</f>
        <v/>
      </c>
      <c r="Q187" s="4" t="str">
        <f>HYPERLINK("http://141.218.60.56/~jnz1568/getInfo.php?workbook=08_06.xlsx&amp;sheet=A0&amp;row=187&amp;col=17&amp;number=&amp;sourceID=6","")</f>
        <v/>
      </c>
    </row>
    <row r="188" spans="1:17">
      <c r="A188" s="3">
        <v>8</v>
      </c>
      <c r="B188" s="3">
        <v>6</v>
      </c>
      <c r="C188" s="3">
        <v>26</v>
      </c>
      <c r="D188" s="3">
        <v>8</v>
      </c>
      <c r="E188" s="3">
        <f>((1/(INDEX(E0!J$4:J$49,C188,1)-INDEX(E0!J$4:J$49,D188,1))))*100000000</f>
        <v>0</v>
      </c>
      <c r="F188" s="4" t="str">
        <f>HYPERLINK("http://141.218.60.56/~jnz1568/getInfo.php?workbook=08_06.xlsx&amp;sheet=A0&amp;row=188&amp;col=6&amp;number=3380100&amp;sourceID=3","3380100")</f>
        <v>3380100</v>
      </c>
      <c r="G188" s="4" t="str">
        <f>HYPERLINK("http://141.218.60.56/~jnz1568/getInfo.php?workbook=08_06.xlsx&amp;sheet=A0&amp;row=188&amp;col=7&amp;number=&amp;sourceID=3","")</f>
        <v/>
      </c>
      <c r="H188" s="4" t="str">
        <f>HYPERLINK("http://141.218.60.56/~jnz1568/getInfo.php?workbook=08_06.xlsx&amp;sheet=A0&amp;row=188&amp;col=8&amp;number=&amp;sourceID=3","")</f>
        <v/>
      </c>
      <c r="I188" s="4" t="str">
        <f>HYPERLINK("http://141.218.60.56/~jnz1568/getInfo.php?workbook=08_06.xlsx&amp;sheet=A0&amp;row=188&amp;col=9&amp;number=&amp;sourceID=3","")</f>
        <v/>
      </c>
      <c r="J188" s="4" t="str">
        <f>HYPERLINK("http://141.218.60.56/~jnz1568/getInfo.php?workbook=08_06.xlsx&amp;sheet=A0&amp;row=188&amp;col=10&amp;number=3398400&amp;sourceID=3","3398400")</f>
        <v>3398400</v>
      </c>
      <c r="K188" s="4" t="str">
        <f>HYPERLINK("http://141.218.60.56/~jnz1568/getInfo.php?workbook=08_06.xlsx&amp;sheet=A0&amp;row=188&amp;col=11&amp;number=&amp;sourceID=3","")</f>
        <v/>
      </c>
      <c r="L188" s="4" t="str">
        <f>HYPERLINK("http://141.218.60.56/~jnz1568/getInfo.php?workbook=08_06.xlsx&amp;sheet=A0&amp;row=188&amp;col=12&amp;number=&amp;sourceID=3","")</f>
        <v/>
      </c>
      <c r="M188" s="4" t="str">
        <f>HYPERLINK("http://141.218.60.56/~jnz1568/getInfo.php?workbook=08_06.xlsx&amp;sheet=A0&amp;row=188&amp;col=13&amp;number=&amp;sourceID=3","")</f>
        <v/>
      </c>
      <c r="N188" s="4" t="str">
        <f>HYPERLINK("http://141.218.60.56/~jnz1568/getInfo.php?workbook=08_06.xlsx&amp;sheet=A0&amp;row=188&amp;col=14&amp;number=4097000&amp;sourceID=7","4097000")</f>
        <v>4097000</v>
      </c>
      <c r="O188" s="4" t="str">
        <f>HYPERLINK("http://141.218.60.56/~jnz1568/getInfo.php?workbook=08_06.xlsx&amp;sheet=A0&amp;row=188&amp;col=15&amp;number=&amp;sourceID=5","")</f>
        <v/>
      </c>
      <c r="P188" s="4" t="str">
        <f>HYPERLINK("http://141.218.60.56/~jnz1568/getInfo.php?workbook=08_06.xlsx&amp;sheet=A0&amp;row=188&amp;col=16&amp;number=&amp;sourceID=5","")</f>
        <v/>
      </c>
      <c r="Q188" s="4" t="str">
        <f>HYPERLINK("http://141.218.60.56/~jnz1568/getInfo.php?workbook=08_06.xlsx&amp;sheet=A0&amp;row=188&amp;col=17&amp;number=&amp;sourceID=6","")</f>
        <v/>
      </c>
    </row>
    <row r="189" spans="1:17">
      <c r="A189" s="3">
        <v>8</v>
      </c>
      <c r="B189" s="3">
        <v>6</v>
      </c>
      <c r="C189" s="3">
        <v>26</v>
      </c>
      <c r="D189" s="3">
        <v>10</v>
      </c>
      <c r="E189" s="3">
        <f>((1/(INDEX(E0!J$4:J$49,C189,1)-INDEX(E0!J$4:J$49,D189,1))))*100000000</f>
        <v>0</v>
      </c>
      <c r="F189" s="4" t="str">
        <f>HYPERLINK("http://141.218.60.56/~jnz1568/getInfo.php?workbook=08_06.xlsx&amp;sheet=A0&amp;row=189&amp;col=6&amp;number=58127000&amp;sourceID=3","58127000")</f>
        <v>58127000</v>
      </c>
      <c r="G189" s="4" t="str">
        <f>HYPERLINK("http://141.218.60.56/~jnz1568/getInfo.php?workbook=08_06.xlsx&amp;sheet=A0&amp;row=189&amp;col=7&amp;number=&amp;sourceID=3","")</f>
        <v/>
      </c>
      <c r="H189" s="4" t="str">
        <f>HYPERLINK("http://141.218.60.56/~jnz1568/getInfo.php?workbook=08_06.xlsx&amp;sheet=A0&amp;row=189&amp;col=8&amp;number=&amp;sourceID=3","")</f>
        <v/>
      </c>
      <c r="I189" s="4" t="str">
        <f>HYPERLINK("http://141.218.60.56/~jnz1568/getInfo.php?workbook=08_06.xlsx&amp;sheet=A0&amp;row=189&amp;col=9&amp;number=&amp;sourceID=3","")</f>
        <v/>
      </c>
      <c r="J189" s="4" t="str">
        <f>HYPERLINK("http://141.218.60.56/~jnz1568/getInfo.php?workbook=08_06.xlsx&amp;sheet=A0&amp;row=189&amp;col=10&amp;number=58350000&amp;sourceID=3","58350000")</f>
        <v>58350000</v>
      </c>
      <c r="K189" s="4" t="str">
        <f>HYPERLINK("http://141.218.60.56/~jnz1568/getInfo.php?workbook=08_06.xlsx&amp;sheet=A0&amp;row=189&amp;col=11&amp;number=&amp;sourceID=3","")</f>
        <v/>
      </c>
      <c r="L189" s="4" t="str">
        <f>HYPERLINK("http://141.218.60.56/~jnz1568/getInfo.php?workbook=08_06.xlsx&amp;sheet=A0&amp;row=189&amp;col=12&amp;number=&amp;sourceID=3","")</f>
        <v/>
      </c>
      <c r="M189" s="4" t="str">
        <f>HYPERLINK("http://141.218.60.56/~jnz1568/getInfo.php?workbook=08_06.xlsx&amp;sheet=A0&amp;row=189&amp;col=13&amp;number=&amp;sourceID=3","")</f>
        <v/>
      </c>
      <c r="N189" s="4" t="str">
        <f>HYPERLINK("http://141.218.60.56/~jnz1568/getInfo.php?workbook=08_06.xlsx&amp;sheet=A0&amp;row=189&amp;col=14&amp;number=55670000&amp;sourceID=7","55670000")</f>
        <v>55670000</v>
      </c>
      <c r="O189" s="4" t="str">
        <f>HYPERLINK("http://141.218.60.56/~jnz1568/getInfo.php?workbook=08_06.xlsx&amp;sheet=A0&amp;row=189&amp;col=15&amp;number=&amp;sourceID=5","")</f>
        <v/>
      </c>
      <c r="P189" s="4" t="str">
        <f>HYPERLINK("http://141.218.60.56/~jnz1568/getInfo.php?workbook=08_06.xlsx&amp;sheet=A0&amp;row=189&amp;col=16&amp;number=&amp;sourceID=5","")</f>
        <v/>
      </c>
      <c r="Q189" s="4" t="str">
        <f>HYPERLINK("http://141.218.60.56/~jnz1568/getInfo.php?workbook=08_06.xlsx&amp;sheet=A0&amp;row=189&amp;col=17&amp;number=&amp;sourceID=6","")</f>
        <v/>
      </c>
    </row>
    <row r="190" spans="1:17">
      <c r="A190" s="3">
        <v>8</v>
      </c>
      <c r="B190" s="3">
        <v>6</v>
      </c>
      <c r="C190" s="3">
        <v>26</v>
      </c>
      <c r="D190" s="3">
        <v>13</v>
      </c>
      <c r="E190" s="3">
        <f>((1/(INDEX(E0!J$4:J$49,C190,1)-INDEX(E0!J$4:J$49,D190,1))))*100000000</f>
        <v>0</v>
      </c>
      <c r="F190" s="4" t="str">
        <f>HYPERLINK("http://141.218.60.56/~jnz1568/getInfo.php?workbook=08_06.xlsx&amp;sheet=A0&amp;row=190&amp;col=6&amp;number=280.7&amp;sourceID=3","280.7")</f>
        <v>280.7</v>
      </c>
      <c r="G190" s="4" t="str">
        <f>HYPERLINK("http://141.218.60.56/~jnz1568/getInfo.php?workbook=08_06.xlsx&amp;sheet=A0&amp;row=190&amp;col=7&amp;number=&amp;sourceID=3","")</f>
        <v/>
      </c>
      <c r="H190" s="4" t="str">
        <f>HYPERLINK("http://141.218.60.56/~jnz1568/getInfo.php?workbook=08_06.xlsx&amp;sheet=A0&amp;row=190&amp;col=8&amp;number=&amp;sourceID=3","")</f>
        <v/>
      </c>
      <c r="I190" s="4" t="str">
        <f>HYPERLINK("http://141.218.60.56/~jnz1568/getInfo.php?workbook=08_06.xlsx&amp;sheet=A0&amp;row=190&amp;col=9&amp;number=&amp;sourceID=3","")</f>
        <v/>
      </c>
      <c r="J190" s="4" t="str">
        <f>HYPERLINK("http://141.218.60.56/~jnz1568/getInfo.php?workbook=08_06.xlsx&amp;sheet=A0&amp;row=190&amp;col=10&amp;number=280.23&amp;sourceID=3","280.23")</f>
        <v>280.23</v>
      </c>
      <c r="K190" s="4" t="str">
        <f>HYPERLINK("http://141.218.60.56/~jnz1568/getInfo.php?workbook=08_06.xlsx&amp;sheet=A0&amp;row=190&amp;col=11&amp;number=&amp;sourceID=3","")</f>
        <v/>
      </c>
      <c r="L190" s="4" t="str">
        <f>HYPERLINK("http://141.218.60.56/~jnz1568/getInfo.php?workbook=08_06.xlsx&amp;sheet=A0&amp;row=190&amp;col=12&amp;number=&amp;sourceID=3","")</f>
        <v/>
      </c>
      <c r="M190" s="4" t="str">
        <f>HYPERLINK("http://141.218.60.56/~jnz1568/getInfo.php?workbook=08_06.xlsx&amp;sheet=A0&amp;row=190&amp;col=13&amp;number=&amp;sourceID=3","")</f>
        <v/>
      </c>
      <c r="N190" s="4" t="str">
        <f>HYPERLINK("http://141.218.60.56/~jnz1568/getInfo.php?workbook=08_06.xlsx&amp;sheet=A0&amp;row=190&amp;col=14&amp;number=247.4&amp;sourceID=7","247.4")</f>
        <v>247.4</v>
      </c>
      <c r="O190" s="4" t="str">
        <f>HYPERLINK("http://141.218.60.56/~jnz1568/getInfo.php?workbook=08_06.xlsx&amp;sheet=A0&amp;row=190&amp;col=15&amp;number=&amp;sourceID=5","")</f>
        <v/>
      </c>
      <c r="P190" s="4" t="str">
        <f>HYPERLINK("http://141.218.60.56/~jnz1568/getInfo.php?workbook=08_06.xlsx&amp;sheet=A0&amp;row=190&amp;col=16&amp;number=&amp;sourceID=5","")</f>
        <v/>
      </c>
      <c r="Q190" s="4" t="str">
        <f>HYPERLINK("http://141.218.60.56/~jnz1568/getInfo.php?workbook=08_06.xlsx&amp;sheet=A0&amp;row=190&amp;col=17&amp;number=&amp;sourceID=6","")</f>
        <v/>
      </c>
    </row>
    <row r="191" spans="1:17">
      <c r="A191" s="3">
        <v>8</v>
      </c>
      <c r="B191" s="3">
        <v>6</v>
      </c>
      <c r="C191" s="3">
        <v>26</v>
      </c>
      <c r="D191" s="3">
        <v>18</v>
      </c>
      <c r="E191" s="3">
        <f>((1/(INDEX(E0!J$4:J$49,C191,1)-INDEX(E0!J$4:J$49,D191,1))))*100000000</f>
        <v>0</v>
      </c>
      <c r="F191" s="4" t="str">
        <f>HYPERLINK("http://141.218.60.56/~jnz1568/getInfo.php?workbook=08_06.xlsx&amp;sheet=A0&amp;row=191&amp;col=6&amp;number=96090000&amp;sourceID=3","96090000")</f>
        <v>96090000</v>
      </c>
      <c r="G191" s="4" t="str">
        <f>HYPERLINK("http://141.218.60.56/~jnz1568/getInfo.php?workbook=08_06.xlsx&amp;sheet=A0&amp;row=191&amp;col=7&amp;number=&amp;sourceID=3","")</f>
        <v/>
      </c>
      <c r="H191" s="4" t="str">
        <f>HYPERLINK("http://141.218.60.56/~jnz1568/getInfo.php?workbook=08_06.xlsx&amp;sheet=A0&amp;row=191&amp;col=8&amp;number=&amp;sourceID=3","")</f>
        <v/>
      </c>
      <c r="I191" s="4" t="str">
        <f>HYPERLINK("http://141.218.60.56/~jnz1568/getInfo.php?workbook=08_06.xlsx&amp;sheet=A0&amp;row=191&amp;col=9&amp;number=&amp;sourceID=3","")</f>
        <v/>
      </c>
      <c r="J191" s="4" t="str">
        <f>HYPERLINK("http://141.218.60.56/~jnz1568/getInfo.php?workbook=08_06.xlsx&amp;sheet=A0&amp;row=191&amp;col=10&amp;number=97466000&amp;sourceID=3","97466000")</f>
        <v>97466000</v>
      </c>
      <c r="K191" s="4" t="str">
        <f>HYPERLINK("http://141.218.60.56/~jnz1568/getInfo.php?workbook=08_06.xlsx&amp;sheet=A0&amp;row=191&amp;col=11&amp;number=&amp;sourceID=3","")</f>
        <v/>
      </c>
      <c r="L191" s="4" t="str">
        <f>HYPERLINK("http://141.218.60.56/~jnz1568/getInfo.php?workbook=08_06.xlsx&amp;sheet=A0&amp;row=191&amp;col=12&amp;number=&amp;sourceID=3","")</f>
        <v/>
      </c>
      <c r="M191" s="4" t="str">
        <f>HYPERLINK("http://141.218.60.56/~jnz1568/getInfo.php?workbook=08_06.xlsx&amp;sheet=A0&amp;row=191&amp;col=13&amp;number=&amp;sourceID=3","")</f>
        <v/>
      </c>
      <c r="N191" s="4" t="str">
        <f>HYPERLINK("http://141.218.60.56/~jnz1568/getInfo.php?workbook=08_06.xlsx&amp;sheet=A0&amp;row=191&amp;col=14&amp;number=60580000&amp;sourceID=7","60580000")</f>
        <v>60580000</v>
      </c>
      <c r="O191" s="4" t="str">
        <f>HYPERLINK("http://141.218.60.56/~jnz1568/getInfo.php?workbook=08_06.xlsx&amp;sheet=A0&amp;row=191&amp;col=15&amp;number=&amp;sourceID=5","")</f>
        <v/>
      </c>
      <c r="P191" s="4" t="str">
        <f>HYPERLINK("http://141.218.60.56/~jnz1568/getInfo.php?workbook=08_06.xlsx&amp;sheet=A0&amp;row=191&amp;col=16&amp;number=&amp;sourceID=5","")</f>
        <v/>
      </c>
      <c r="Q191" s="4" t="str">
        <f>HYPERLINK("http://141.218.60.56/~jnz1568/getInfo.php?workbook=08_06.xlsx&amp;sheet=A0&amp;row=191&amp;col=17&amp;number=&amp;sourceID=6","")</f>
        <v/>
      </c>
    </row>
    <row r="192" spans="1:17">
      <c r="A192" s="3">
        <v>8</v>
      </c>
      <c r="B192" s="3">
        <v>6</v>
      </c>
      <c r="C192" s="3">
        <v>27</v>
      </c>
      <c r="D192" s="3">
        <v>6</v>
      </c>
      <c r="E192" s="3">
        <f>((1/(INDEX(E0!J$4:J$49,C192,1)-INDEX(E0!J$4:J$49,D192,1))))*100000000</f>
        <v>0</v>
      </c>
      <c r="F192" s="4" t="str">
        <f>HYPERLINK("http://141.218.60.56/~jnz1568/getInfo.php?workbook=08_06.xlsx&amp;sheet=A0&amp;row=192&amp;col=6&amp;number=2220.1&amp;sourceID=3","2220.1")</f>
        <v>2220.1</v>
      </c>
      <c r="G192" s="4" t="str">
        <f>HYPERLINK("http://141.218.60.56/~jnz1568/getInfo.php?workbook=08_06.xlsx&amp;sheet=A0&amp;row=192&amp;col=7&amp;number=&amp;sourceID=3","")</f>
        <v/>
      </c>
      <c r="H192" s="4" t="str">
        <f>HYPERLINK("http://141.218.60.56/~jnz1568/getInfo.php?workbook=08_06.xlsx&amp;sheet=A0&amp;row=192&amp;col=8&amp;number=&amp;sourceID=3","")</f>
        <v/>
      </c>
      <c r="I192" s="4" t="str">
        <f>HYPERLINK("http://141.218.60.56/~jnz1568/getInfo.php?workbook=08_06.xlsx&amp;sheet=A0&amp;row=192&amp;col=9&amp;number=&amp;sourceID=3","")</f>
        <v/>
      </c>
      <c r="J192" s="4" t="str">
        <f>HYPERLINK("http://141.218.60.56/~jnz1568/getInfo.php?workbook=08_06.xlsx&amp;sheet=A0&amp;row=192&amp;col=10&amp;number=2209.9&amp;sourceID=3","2209.9")</f>
        <v>2209.9</v>
      </c>
      <c r="K192" s="4" t="str">
        <f>HYPERLINK("http://141.218.60.56/~jnz1568/getInfo.php?workbook=08_06.xlsx&amp;sheet=A0&amp;row=192&amp;col=11&amp;number=&amp;sourceID=3","")</f>
        <v/>
      </c>
      <c r="L192" s="4" t="str">
        <f>HYPERLINK("http://141.218.60.56/~jnz1568/getInfo.php?workbook=08_06.xlsx&amp;sheet=A0&amp;row=192&amp;col=12&amp;number=&amp;sourceID=3","")</f>
        <v/>
      </c>
      <c r="M192" s="4" t="str">
        <f>HYPERLINK("http://141.218.60.56/~jnz1568/getInfo.php?workbook=08_06.xlsx&amp;sheet=A0&amp;row=192&amp;col=13&amp;number=&amp;sourceID=3","")</f>
        <v/>
      </c>
      <c r="N192" s="4" t="str">
        <f>HYPERLINK("http://141.218.60.56/~jnz1568/getInfo.php?workbook=08_06.xlsx&amp;sheet=A0&amp;row=192&amp;col=14&amp;number=1780&amp;sourceID=7","1780")</f>
        <v>1780</v>
      </c>
      <c r="O192" s="4" t="str">
        <f>HYPERLINK("http://141.218.60.56/~jnz1568/getInfo.php?workbook=08_06.xlsx&amp;sheet=A0&amp;row=192&amp;col=15&amp;number=&amp;sourceID=5","")</f>
        <v/>
      </c>
      <c r="P192" s="4" t="str">
        <f>HYPERLINK("http://141.218.60.56/~jnz1568/getInfo.php?workbook=08_06.xlsx&amp;sheet=A0&amp;row=192&amp;col=16&amp;number=&amp;sourceID=5","")</f>
        <v/>
      </c>
      <c r="Q192" s="4" t="str">
        <f>HYPERLINK("http://141.218.60.56/~jnz1568/getInfo.php?workbook=08_06.xlsx&amp;sheet=A0&amp;row=192&amp;col=17&amp;number=&amp;sourceID=6","")</f>
        <v/>
      </c>
    </row>
    <row r="193" spans="1:17">
      <c r="A193" s="3">
        <v>8</v>
      </c>
      <c r="B193" s="3">
        <v>6</v>
      </c>
      <c r="C193" s="3">
        <v>27</v>
      </c>
      <c r="D193" s="3">
        <v>8</v>
      </c>
      <c r="E193" s="3">
        <f>((1/(INDEX(E0!J$4:J$49,C193,1)-INDEX(E0!J$4:J$49,D193,1))))*100000000</f>
        <v>0</v>
      </c>
      <c r="F193" s="4" t="str">
        <f>HYPERLINK("http://141.218.60.56/~jnz1568/getInfo.php?workbook=08_06.xlsx&amp;sheet=A0&amp;row=193&amp;col=6&amp;number=256960&amp;sourceID=3","256960")</f>
        <v>256960</v>
      </c>
      <c r="G193" s="4" t="str">
        <f>HYPERLINK("http://141.218.60.56/~jnz1568/getInfo.php?workbook=08_06.xlsx&amp;sheet=A0&amp;row=193&amp;col=7&amp;number=&amp;sourceID=3","")</f>
        <v/>
      </c>
      <c r="H193" s="4" t="str">
        <f>HYPERLINK("http://141.218.60.56/~jnz1568/getInfo.php?workbook=08_06.xlsx&amp;sheet=A0&amp;row=193&amp;col=8&amp;number=&amp;sourceID=3","")</f>
        <v/>
      </c>
      <c r="I193" s="4" t="str">
        <f>HYPERLINK("http://141.218.60.56/~jnz1568/getInfo.php?workbook=08_06.xlsx&amp;sheet=A0&amp;row=193&amp;col=9&amp;number=&amp;sourceID=3","")</f>
        <v/>
      </c>
      <c r="J193" s="4" t="str">
        <f>HYPERLINK("http://141.218.60.56/~jnz1568/getInfo.php?workbook=08_06.xlsx&amp;sheet=A0&amp;row=193&amp;col=10&amp;number=255370&amp;sourceID=3","255370")</f>
        <v>255370</v>
      </c>
      <c r="K193" s="4" t="str">
        <f>HYPERLINK("http://141.218.60.56/~jnz1568/getInfo.php?workbook=08_06.xlsx&amp;sheet=A0&amp;row=193&amp;col=11&amp;number=&amp;sourceID=3","")</f>
        <v/>
      </c>
      <c r="L193" s="4" t="str">
        <f>HYPERLINK("http://141.218.60.56/~jnz1568/getInfo.php?workbook=08_06.xlsx&amp;sheet=A0&amp;row=193&amp;col=12&amp;number=&amp;sourceID=3","")</f>
        <v/>
      </c>
      <c r="M193" s="4" t="str">
        <f>HYPERLINK("http://141.218.60.56/~jnz1568/getInfo.php?workbook=08_06.xlsx&amp;sheet=A0&amp;row=193&amp;col=13&amp;number=&amp;sourceID=3","")</f>
        <v/>
      </c>
      <c r="N193" s="4" t="str">
        <f>HYPERLINK("http://141.218.60.56/~jnz1568/getInfo.php?workbook=08_06.xlsx&amp;sheet=A0&amp;row=193&amp;col=14&amp;number=56610&amp;sourceID=7","56610")</f>
        <v>56610</v>
      </c>
      <c r="O193" s="4" t="str">
        <f>HYPERLINK("http://141.218.60.56/~jnz1568/getInfo.php?workbook=08_06.xlsx&amp;sheet=A0&amp;row=193&amp;col=15&amp;number=&amp;sourceID=5","")</f>
        <v/>
      </c>
      <c r="P193" s="4" t="str">
        <f>HYPERLINK("http://141.218.60.56/~jnz1568/getInfo.php?workbook=08_06.xlsx&amp;sheet=A0&amp;row=193&amp;col=16&amp;number=&amp;sourceID=5","")</f>
        <v/>
      </c>
      <c r="Q193" s="4" t="str">
        <f>HYPERLINK("http://141.218.60.56/~jnz1568/getInfo.php?workbook=08_06.xlsx&amp;sheet=A0&amp;row=193&amp;col=17&amp;number=&amp;sourceID=6","")</f>
        <v/>
      </c>
    </row>
    <row r="194" spans="1:17">
      <c r="A194" s="3">
        <v>8</v>
      </c>
      <c r="B194" s="3">
        <v>6</v>
      </c>
      <c r="C194" s="3">
        <v>27</v>
      </c>
      <c r="D194" s="3">
        <v>9</v>
      </c>
      <c r="E194" s="3">
        <f>((1/(INDEX(E0!J$4:J$49,C194,1)-INDEX(E0!J$4:J$49,D194,1))))*100000000</f>
        <v>0</v>
      </c>
      <c r="F194" s="4" t="str">
        <f>HYPERLINK("http://141.218.60.56/~jnz1568/getInfo.php?workbook=08_06.xlsx&amp;sheet=A0&amp;row=194&amp;col=6&amp;number=90464&amp;sourceID=3","90464")</f>
        <v>90464</v>
      </c>
      <c r="G194" s="4" t="str">
        <f>HYPERLINK("http://141.218.60.56/~jnz1568/getInfo.php?workbook=08_06.xlsx&amp;sheet=A0&amp;row=194&amp;col=7&amp;number=&amp;sourceID=3","")</f>
        <v/>
      </c>
      <c r="H194" s="4" t="str">
        <f>HYPERLINK("http://141.218.60.56/~jnz1568/getInfo.php?workbook=08_06.xlsx&amp;sheet=A0&amp;row=194&amp;col=8&amp;number=&amp;sourceID=3","")</f>
        <v/>
      </c>
      <c r="I194" s="4" t="str">
        <f>HYPERLINK("http://141.218.60.56/~jnz1568/getInfo.php?workbook=08_06.xlsx&amp;sheet=A0&amp;row=194&amp;col=9&amp;number=&amp;sourceID=3","")</f>
        <v/>
      </c>
      <c r="J194" s="4" t="str">
        <f>HYPERLINK("http://141.218.60.56/~jnz1568/getInfo.php?workbook=08_06.xlsx&amp;sheet=A0&amp;row=194&amp;col=10&amp;number=90006&amp;sourceID=3","90006")</f>
        <v>90006</v>
      </c>
      <c r="K194" s="4" t="str">
        <f>HYPERLINK("http://141.218.60.56/~jnz1568/getInfo.php?workbook=08_06.xlsx&amp;sheet=A0&amp;row=194&amp;col=11&amp;number=&amp;sourceID=3","")</f>
        <v/>
      </c>
      <c r="L194" s="4" t="str">
        <f>HYPERLINK("http://141.218.60.56/~jnz1568/getInfo.php?workbook=08_06.xlsx&amp;sheet=A0&amp;row=194&amp;col=12&amp;number=&amp;sourceID=3","")</f>
        <v/>
      </c>
      <c r="M194" s="4" t="str">
        <f>HYPERLINK("http://141.218.60.56/~jnz1568/getInfo.php?workbook=08_06.xlsx&amp;sheet=A0&amp;row=194&amp;col=13&amp;number=&amp;sourceID=3","")</f>
        <v/>
      </c>
      <c r="N194" s="4" t="str">
        <f>HYPERLINK("http://141.218.60.56/~jnz1568/getInfo.php?workbook=08_06.xlsx&amp;sheet=A0&amp;row=194&amp;col=14&amp;number=20070&amp;sourceID=7","20070")</f>
        <v>20070</v>
      </c>
      <c r="O194" s="4" t="str">
        <f>HYPERLINK("http://141.218.60.56/~jnz1568/getInfo.php?workbook=08_06.xlsx&amp;sheet=A0&amp;row=194&amp;col=15&amp;number=&amp;sourceID=5","")</f>
        <v/>
      </c>
      <c r="P194" s="4" t="str">
        <f>HYPERLINK("http://141.218.60.56/~jnz1568/getInfo.php?workbook=08_06.xlsx&amp;sheet=A0&amp;row=194&amp;col=16&amp;number=&amp;sourceID=5","")</f>
        <v/>
      </c>
      <c r="Q194" s="4" t="str">
        <f>HYPERLINK("http://141.218.60.56/~jnz1568/getInfo.php?workbook=08_06.xlsx&amp;sheet=A0&amp;row=194&amp;col=17&amp;number=&amp;sourceID=6","")</f>
        <v/>
      </c>
    </row>
    <row r="195" spans="1:17">
      <c r="A195" s="3">
        <v>8</v>
      </c>
      <c r="B195" s="3">
        <v>6</v>
      </c>
      <c r="C195" s="3">
        <v>27</v>
      </c>
      <c r="D195" s="3">
        <v>10</v>
      </c>
      <c r="E195" s="3">
        <f>((1/(INDEX(E0!J$4:J$49,C195,1)-INDEX(E0!J$4:J$49,D195,1))))*100000000</f>
        <v>0</v>
      </c>
      <c r="F195" s="4" t="str">
        <f>HYPERLINK("http://141.218.60.56/~jnz1568/getInfo.php?workbook=08_06.xlsx&amp;sheet=A0&amp;row=195&amp;col=6&amp;number=166570000&amp;sourceID=3","166570000")</f>
        <v>166570000</v>
      </c>
      <c r="G195" s="4" t="str">
        <f>HYPERLINK("http://141.218.60.56/~jnz1568/getInfo.php?workbook=08_06.xlsx&amp;sheet=A0&amp;row=195&amp;col=7&amp;number=&amp;sourceID=3","")</f>
        <v/>
      </c>
      <c r="H195" s="4" t="str">
        <f>HYPERLINK("http://141.218.60.56/~jnz1568/getInfo.php?workbook=08_06.xlsx&amp;sheet=A0&amp;row=195&amp;col=8&amp;number=&amp;sourceID=3","")</f>
        <v/>
      </c>
      <c r="I195" s="4" t="str">
        <f>HYPERLINK("http://141.218.60.56/~jnz1568/getInfo.php?workbook=08_06.xlsx&amp;sheet=A0&amp;row=195&amp;col=9&amp;number=&amp;sourceID=3","")</f>
        <v/>
      </c>
      <c r="J195" s="4" t="str">
        <f>HYPERLINK("http://141.218.60.56/~jnz1568/getInfo.php?workbook=08_06.xlsx&amp;sheet=A0&amp;row=195&amp;col=10&amp;number=167080000&amp;sourceID=3","167080000")</f>
        <v>167080000</v>
      </c>
      <c r="K195" s="4" t="str">
        <f>HYPERLINK("http://141.218.60.56/~jnz1568/getInfo.php?workbook=08_06.xlsx&amp;sheet=A0&amp;row=195&amp;col=11&amp;number=&amp;sourceID=3","")</f>
        <v/>
      </c>
      <c r="L195" s="4" t="str">
        <f>HYPERLINK("http://141.218.60.56/~jnz1568/getInfo.php?workbook=08_06.xlsx&amp;sheet=A0&amp;row=195&amp;col=12&amp;number=&amp;sourceID=3","")</f>
        <v/>
      </c>
      <c r="M195" s="4" t="str">
        <f>HYPERLINK("http://141.218.60.56/~jnz1568/getInfo.php?workbook=08_06.xlsx&amp;sheet=A0&amp;row=195&amp;col=13&amp;number=&amp;sourceID=3","")</f>
        <v/>
      </c>
      <c r="N195" s="4" t="str">
        <f>HYPERLINK("http://141.218.60.56/~jnz1568/getInfo.php?workbook=08_06.xlsx&amp;sheet=A0&amp;row=195&amp;col=14&amp;number=176300000&amp;sourceID=7","176300000")</f>
        <v>176300000</v>
      </c>
      <c r="O195" s="4" t="str">
        <f>HYPERLINK("http://141.218.60.56/~jnz1568/getInfo.php?workbook=08_06.xlsx&amp;sheet=A0&amp;row=195&amp;col=15&amp;number=&amp;sourceID=5","")</f>
        <v/>
      </c>
      <c r="P195" s="4" t="str">
        <f>HYPERLINK("http://141.218.60.56/~jnz1568/getInfo.php?workbook=08_06.xlsx&amp;sheet=A0&amp;row=195&amp;col=16&amp;number=&amp;sourceID=5","")</f>
        <v/>
      </c>
      <c r="Q195" s="4" t="str">
        <f>HYPERLINK("http://141.218.60.56/~jnz1568/getInfo.php?workbook=08_06.xlsx&amp;sheet=A0&amp;row=195&amp;col=17&amp;number=&amp;sourceID=6","")</f>
        <v/>
      </c>
    </row>
    <row r="196" spans="1:17">
      <c r="A196" s="3">
        <v>8</v>
      </c>
      <c r="B196" s="3">
        <v>6</v>
      </c>
      <c r="C196" s="3">
        <v>27</v>
      </c>
      <c r="D196" s="3">
        <v>11</v>
      </c>
      <c r="E196" s="3">
        <f>((1/(INDEX(E0!J$4:J$49,C196,1)-INDEX(E0!J$4:J$49,D196,1))))*100000000</f>
        <v>0</v>
      </c>
      <c r="F196" s="4" t="str">
        <f>HYPERLINK("http://141.218.60.56/~jnz1568/getInfo.php?workbook=08_06.xlsx&amp;sheet=A0&amp;row=196&amp;col=6&amp;number=96668000&amp;sourceID=3","96668000")</f>
        <v>96668000</v>
      </c>
      <c r="G196" s="4" t="str">
        <f>HYPERLINK("http://141.218.60.56/~jnz1568/getInfo.php?workbook=08_06.xlsx&amp;sheet=A0&amp;row=196&amp;col=7&amp;number=&amp;sourceID=3","")</f>
        <v/>
      </c>
      <c r="H196" s="4" t="str">
        <f>HYPERLINK("http://141.218.60.56/~jnz1568/getInfo.php?workbook=08_06.xlsx&amp;sheet=A0&amp;row=196&amp;col=8&amp;number=&amp;sourceID=3","")</f>
        <v/>
      </c>
      <c r="I196" s="4" t="str">
        <f>HYPERLINK("http://141.218.60.56/~jnz1568/getInfo.php?workbook=08_06.xlsx&amp;sheet=A0&amp;row=196&amp;col=9&amp;number=&amp;sourceID=3","")</f>
        <v/>
      </c>
      <c r="J196" s="4" t="str">
        <f>HYPERLINK("http://141.218.60.56/~jnz1568/getInfo.php?workbook=08_06.xlsx&amp;sheet=A0&amp;row=196&amp;col=10&amp;number=96950000&amp;sourceID=3","96950000")</f>
        <v>96950000</v>
      </c>
      <c r="K196" s="4" t="str">
        <f>HYPERLINK("http://141.218.60.56/~jnz1568/getInfo.php?workbook=08_06.xlsx&amp;sheet=A0&amp;row=196&amp;col=11&amp;number=&amp;sourceID=3","")</f>
        <v/>
      </c>
      <c r="L196" s="4" t="str">
        <f>HYPERLINK("http://141.218.60.56/~jnz1568/getInfo.php?workbook=08_06.xlsx&amp;sheet=A0&amp;row=196&amp;col=12&amp;number=&amp;sourceID=3","")</f>
        <v/>
      </c>
      <c r="M196" s="4" t="str">
        <f>HYPERLINK("http://141.218.60.56/~jnz1568/getInfo.php?workbook=08_06.xlsx&amp;sheet=A0&amp;row=196&amp;col=13&amp;number=&amp;sourceID=3","")</f>
        <v/>
      </c>
      <c r="N196" s="4" t="str">
        <f>HYPERLINK("http://141.218.60.56/~jnz1568/getInfo.php?workbook=08_06.xlsx&amp;sheet=A0&amp;row=196&amp;col=14&amp;number=102400000&amp;sourceID=7","102400000")</f>
        <v>102400000</v>
      </c>
      <c r="O196" s="4" t="str">
        <f>HYPERLINK("http://141.218.60.56/~jnz1568/getInfo.php?workbook=08_06.xlsx&amp;sheet=A0&amp;row=196&amp;col=15&amp;number=&amp;sourceID=5","")</f>
        <v/>
      </c>
      <c r="P196" s="4" t="str">
        <f>HYPERLINK("http://141.218.60.56/~jnz1568/getInfo.php?workbook=08_06.xlsx&amp;sheet=A0&amp;row=196&amp;col=16&amp;number=&amp;sourceID=5","")</f>
        <v/>
      </c>
      <c r="Q196" s="4" t="str">
        <f>HYPERLINK("http://141.218.60.56/~jnz1568/getInfo.php?workbook=08_06.xlsx&amp;sheet=A0&amp;row=196&amp;col=17&amp;number=&amp;sourceID=6","")</f>
        <v/>
      </c>
    </row>
    <row r="197" spans="1:17">
      <c r="A197" s="3">
        <v>8</v>
      </c>
      <c r="B197" s="3">
        <v>6</v>
      </c>
      <c r="C197" s="3">
        <v>27</v>
      </c>
      <c r="D197" s="3">
        <v>12</v>
      </c>
      <c r="E197" s="3">
        <f>((1/(INDEX(E0!J$4:J$49,C197,1)-INDEX(E0!J$4:J$49,D197,1))))*100000000</f>
        <v>0</v>
      </c>
      <c r="F197" s="4" t="str">
        <f>HYPERLINK("http://141.218.60.56/~jnz1568/getInfo.php?workbook=08_06.xlsx&amp;sheet=A0&amp;row=197&amp;col=6&amp;number=31506000&amp;sourceID=3","31506000")</f>
        <v>31506000</v>
      </c>
      <c r="G197" s="4" t="str">
        <f>HYPERLINK("http://141.218.60.56/~jnz1568/getInfo.php?workbook=08_06.xlsx&amp;sheet=A0&amp;row=197&amp;col=7&amp;number=&amp;sourceID=3","")</f>
        <v/>
      </c>
      <c r="H197" s="4" t="str">
        <f>HYPERLINK("http://141.218.60.56/~jnz1568/getInfo.php?workbook=08_06.xlsx&amp;sheet=A0&amp;row=197&amp;col=8&amp;number=&amp;sourceID=3","")</f>
        <v/>
      </c>
      <c r="I197" s="4" t="str">
        <f>HYPERLINK("http://141.218.60.56/~jnz1568/getInfo.php?workbook=08_06.xlsx&amp;sheet=A0&amp;row=197&amp;col=9&amp;number=&amp;sourceID=3","")</f>
        <v/>
      </c>
      <c r="J197" s="4" t="str">
        <f>HYPERLINK("http://141.218.60.56/~jnz1568/getInfo.php?workbook=08_06.xlsx&amp;sheet=A0&amp;row=197&amp;col=10&amp;number=31593000&amp;sourceID=3","31593000")</f>
        <v>31593000</v>
      </c>
      <c r="K197" s="4" t="str">
        <f>HYPERLINK("http://141.218.60.56/~jnz1568/getInfo.php?workbook=08_06.xlsx&amp;sheet=A0&amp;row=197&amp;col=11&amp;number=&amp;sourceID=3","")</f>
        <v/>
      </c>
      <c r="L197" s="4" t="str">
        <f>HYPERLINK("http://141.218.60.56/~jnz1568/getInfo.php?workbook=08_06.xlsx&amp;sheet=A0&amp;row=197&amp;col=12&amp;number=&amp;sourceID=3","")</f>
        <v/>
      </c>
      <c r="M197" s="4" t="str">
        <f>HYPERLINK("http://141.218.60.56/~jnz1568/getInfo.php?workbook=08_06.xlsx&amp;sheet=A0&amp;row=197&amp;col=13&amp;number=&amp;sourceID=3","")</f>
        <v/>
      </c>
      <c r="N197" s="4" t="str">
        <f>HYPERLINK("http://141.218.60.56/~jnz1568/getInfo.php?workbook=08_06.xlsx&amp;sheet=A0&amp;row=197&amp;col=14&amp;number=33450000&amp;sourceID=7","33450000")</f>
        <v>33450000</v>
      </c>
      <c r="O197" s="4" t="str">
        <f>HYPERLINK("http://141.218.60.56/~jnz1568/getInfo.php?workbook=08_06.xlsx&amp;sheet=A0&amp;row=197&amp;col=15&amp;number=&amp;sourceID=5","")</f>
        <v/>
      </c>
      <c r="P197" s="4" t="str">
        <f>HYPERLINK("http://141.218.60.56/~jnz1568/getInfo.php?workbook=08_06.xlsx&amp;sheet=A0&amp;row=197&amp;col=16&amp;number=&amp;sourceID=5","")</f>
        <v/>
      </c>
      <c r="Q197" s="4" t="str">
        <f>HYPERLINK("http://141.218.60.56/~jnz1568/getInfo.php?workbook=08_06.xlsx&amp;sheet=A0&amp;row=197&amp;col=17&amp;number=&amp;sourceID=6","")</f>
        <v/>
      </c>
    </row>
    <row r="198" spans="1:17">
      <c r="A198" s="3">
        <v>8</v>
      </c>
      <c r="B198" s="3">
        <v>6</v>
      </c>
      <c r="C198" s="3">
        <v>27</v>
      </c>
      <c r="D198" s="3">
        <v>13</v>
      </c>
      <c r="E198" s="3">
        <f>((1/(INDEX(E0!J$4:J$49,C198,1)-INDEX(E0!J$4:J$49,D198,1))))*100000000</f>
        <v>0</v>
      </c>
      <c r="F198" s="4" t="str">
        <f>HYPERLINK("http://141.218.60.56/~jnz1568/getInfo.php?workbook=08_06.xlsx&amp;sheet=A0&amp;row=198&amp;col=6&amp;number=31300&amp;sourceID=3","31300")</f>
        <v>31300</v>
      </c>
      <c r="G198" s="4" t="str">
        <f>HYPERLINK("http://141.218.60.56/~jnz1568/getInfo.php?workbook=08_06.xlsx&amp;sheet=A0&amp;row=198&amp;col=7&amp;number=&amp;sourceID=3","")</f>
        <v/>
      </c>
      <c r="H198" s="4" t="str">
        <f>HYPERLINK("http://141.218.60.56/~jnz1568/getInfo.php?workbook=08_06.xlsx&amp;sheet=A0&amp;row=198&amp;col=8&amp;number=&amp;sourceID=3","")</f>
        <v/>
      </c>
      <c r="I198" s="4" t="str">
        <f>HYPERLINK("http://141.218.60.56/~jnz1568/getInfo.php?workbook=08_06.xlsx&amp;sheet=A0&amp;row=198&amp;col=9&amp;number=&amp;sourceID=3","")</f>
        <v/>
      </c>
      <c r="J198" s="4" t="str">
        <f>HYPERLINK("http://141.218.60.56/~jnz1568/getInfo.php?workbook=08_06.xlsx&amp;sheet=A0&amp;row=198&amp;col=10&amp;number=31702&amp;sourceID=3","31702")</f>
        <v>31702</v>
      </c>
      <c r="K198" s="4" t="str">
        <f>HYPERLINK("http://141.218.60.56/~jnz1568/getInfo.php?workbook=08_06.xlsx&amp;sheet=A0&amp;row=198&amp;col=11&amp;number=&amp;sourceID=3","")</f>
        <v/>
      </c>
      <c r="L198" s="4" t="str">
        <f>HYPERLINK("http://141.218.60.56/~jnz1568/getInfo.php?workbook=08_06.xlsx&amp;sheet=A0&amp;row=198&amp;col=12&amp;number=&amp;sourceID=3","")</f>
        <v/>
      </c>
      <c r="M198" s="4" t="str">
        <f>HYPERLINK("http://141.218.60.56/~jnz1568/getInfo.php?workbook=08_06.xlsx&amp;sheet=A0&amp;row=198&amp;col=13&amp;number=&amp;sourceID=3","")</f>
        <v/>
      </c>
      <c r="N198" s="4" t="str">
        <f>HYPERLINK("http://141.218.60.56/~jnz1568/getInfo.php?workbook=08_06.xlsx&amp;sheet=A0&amp;row=198&amp;col=14&amp;number=27530&amp;sourceID=7","27530")</f>
        <v>27530</v>
      </c>
      <c r="O198" s="4" t="str">
        <f>HYPERLINK("http://141.218.60.56/~jnz1568/getInfo.php?workbook=08_06.xlsx&amp;sheet=A0&amp;row=198&amp;col=15&amp;number=&amp;sourceID=5","")</f>
        <v/>
      </c>
      <c r="P198" s="4" t="str">
        <f>HYPERLINK("http://141.218.60.56/~jnz1568/getInfo.php?workbook=08_06.xlsx&amp;sheet=A0&amp;row=198&amp;col=16&amp;number=&amp;sourceID=5","")</f>
        <v/>
      </c>
      <c r="Q198" s="4" t="str">
        <f>HYPERLINK("http://141.218.60.56/~jnz1568/getInfo.php?workbook=08_06.xlsx&amp;sheet=A0&amp;row=198&amp;col=17&amp;number=&amp;sourceID=6","")</f>
        <v/>
      </c>
    </row>
    <row r="199" spans="1:17">
      <c r="A199" s="3">
        <v>8</v>
      </c>
      <c r="B199" s="3">
        <v>6</v>
      </c>
      <c r="C199" s="3">
        <v>27</v>
      </c>
      <c r="D199" s="3">
        <v>14</v>
      </c>
      <c r="E199" s="3">
        <f>((1/(INDEX(E0!J$4:J$49,C199,1)-INDEX(E0!J$4:J$49,D199,1))))*100000000</f>
        <v>0</v>
      </c>
      <c r="F199" s="4" t="str">
        <f>HYPERLINK("http://141.218.60.56/~jnz1568/getInfo.php?workbook=08_06.xlsx&amp;sheet=A0&amp;row=199&amp;col=6&amp;number=2249.2&amp;sourceID=3","2249.2")</f>
        <v>2249.2</v>
      </c>
      <c r="G199" s="4" t="str">
        <f>HYPERLINK("http://141.218.60.56/~jnz1568/getInfo.php?workbook=08_06.xlsx&amp;sheet=A0&amp;row=199&amp;col=7&amp;number=&amp;sourceID=3","")</f>
        <v/>
      </c>
      <c r="H199" s="4" t="str">
        <f>HYPERLINK("http://141.218.60.56/~jnz1568/getInfo.php?workbook=08_06.xlsx&amp;sheet=A0&amp;row=199&amp;col=8&amp;number=&amp;sourceID=3","")</f>
        <v/>
      </c>
      <c r="I199" s="4" t="str">
        <f>HYPERLINK("http://141.218.60.56/~jnz1568/getInfo.php?workbook=08_06.xlsx&amp;sheet=A0&amp;row=199&amp;col=9&amp;number=&amp;sourceID=3","")</f>
        <v/>
      </c>
      <c r="J199" s="4" t="str">
        <f>HYPERLINK("http://141.218.60.56/~jnz1568/getInfo.php?workbook=08_06.xlsx&amp;sheet=A0&amp;row=199&amp;col=10&amp;number=2336.5&amp;sourceID=3","2336.5")</f>
        <v>2336.5</v>
      </c>
      <c r="K199" s="4" t="str">
        <f>HYPERLINK("http://141.218.60.56/~jnz1568/getInfo.php?workbook=08_06.xlsx&amp;sheet=A0&amp;row=199&amp;col=11&amp;number=&amp;sourceID=3","")</f>
        <v/>
      </c>
      <c r="L199" s="4" t="str">
        <f>HYPERLINK("http://141.218.60.56/~jnz1568/getInfo.php?workbook=08_06.xlsx&amp;sheet=A0&amp;row=199&amp;col=12&amp;number=&amp;sourceID=3","")</f>
        <v/>
      </c>
      <c r="M199" s="4" t="str">
        <f>HYPERLINK("http://141.218.60.56/~jnz1568/getInfo.php?workbook=08_06.xlsx&amp;sheet=A0&amp;row=199&amp;col=13&amp;number=&amp;sourceID=3","")</f>
        <v/>
      </c>
      <c r="N199" s="4" t="str">
        <f>HYPERLINK("http://141.218.60.56/~jnz1568/getInfo.php?workbook=08_06.xlsx&amp;sheet=A0&amp;row=199&amp;col=14&amp;number=4502&amp;sourceID=7","4502")</f>
        <v>4502</v>
      </c>
      <c r="O199" s="4" t="str">
        <f>HYPERLINK("http://141.218.60.56/~jnz1568/getInfo.php?workbook=08_06.xlsx&amp;sheet=A0&amp;row=199&amp;col=15&amp;number=&amp;sourceID=5","")</f>
        <v/>
      </c>
      <c r="P199" s="4" t="str">
        <f>HYPERLINK("http://141.218.60.56/~jnz1568/getInfo.php?workbook=08_06.xlsx&amp;sheet=A0&amp;row=199&amp;col=16&amp;number=&amp;sourceID=5","")</f>
        <v/>
      </c>
      <c r="Q199" s="4" t="str">
        <f>HYPERLINK("http://141.218.60.56/~jnz1568/getInfo.php?workbook=08_06.xlsx&amp;sheet=A0&amp;row=199&amp;col=17&amp;number=&amp;sourceID=6","")</f>
        <v/>
      </c>
    </row>
    <row r="200" spans="1:17">
      <c r="A200" s="3">
        <v>8</v>
      </c>
      <c r="B200" s="3">
        <v>6</v>
      </c>
      <c r="C200" s="3">
        <v>27</v>
      </c>
      <c r="D200" s="3">
        <v>15</v>
      </c>
      <c r="E200" s="3">
        <f>((1/(INDEX(E0!J$4:J$49,C200,1)-INDEX(E0!J$4:J$49,D200,1))))*100000000</f>
        <v>0</v>
      </c>
      <c r="F200" s="4" t="str">
        <f>HYPERLINK("http://141.218.60.56/~jnz1568/getInfo.php?workbook=08_06.xlsx&amp;sheet=A0&amp;row=200&amp;col=6&amp;number=9757.8&amp;sourceID=3","9757.8")</f>
        <v>9757.8</v>
      </c>
      <c r="G200" s="4" t="str">
        <f>HYPERLINK("http://141.218.60.56/~jnz1568/getInfo.php?workbook=08_06.xlsx&amp;sheet=A0&amp;row=200&amp;col=7&amp;number=&amp;sourceID=3","")</f>
        <v/>
      </c>
      <c r="H200" s="4" t="str">
        <f>HYPERLINK("http://141.218.60.56/~jnz1568/getInfo.php?workbook=08_06.xlsx&amp;sheet=A0&amp;row=200&amp;col=8&amp;number=&amp;sourceID=3","")</f>
        <v/>
      </c>
      <c r="I200" s="4" t="str">
        <f>HYPERLINK("http://141.218.60.56/~jnz1568/getInfo.php?workbook=08_06.xlsx&amp;sheet=A0&amp;row=200&amp;col=9&amp;number=&amp;sourceID=3","")</f>
        <v/>
      </c>
      <c r="J200" s="4" t="str">
        <f>HYPERLINK("http://141.218.60.56/~jnz1568/getInfo.php?workbook=08_06.xlsx&amp;sheet=A0&amp;row=200&amp;col=10&amp;number=9884&amp;sourceID=3","9884")</f>
        <v>9884</v>
      </c>
      <c r="K200" s="4" t="str">
        <f>HYPERLINK("http://141.218.60.56/~jnz1568/getInfo.php?workbook=08_06.xlsx&amp;sheet=A0&amp;row=200&amp;col=11&amp;number=&amp;sourceID=3","")</f>
        <v/>
      </c>
      <c r="L200" s="4" t="str">
        <f>HYPERLINK("http://141.218.60.56/~jnz1568/getInfo.php?workbook=08_06.xlsx&amp;sheet=A0&amp;row=200&amp;col=12&amp;number=&amp;sourceID=3","")</f>
        <v/>
      </c>
      <c r="M200" s="4" t="str">
        <f>HYPERLINK("http://141.218.60.56/~jnz1568/getInfo.php?workbook=08_06.xlsx&amp;sheet=A0&amp;row=200&amp;col=13&amp;number=&amp;sourceID=3","")</f>
        <v/>
      </c>
      <c r="N200" s="4" t="str">
        <f>HYPERLINK("http://141.218.60.56/~jnz1568/getInfo.php?workbook=08_06.xlsx&amp;sheet=A0&amp;row=200&amp;col=14&amp;number=6181&amp;sourceID=7","6181")</f>
        <v>6181</v>
      </c>
      <c r="O200" s="4" t="str">
        <f>HYPERLINK("http://141.218.60.56/~jnz1568/getInfo.php?workbook=08_06.xlsx&amp;sheet=A0&amp;row=200&amp;col=15&amp;number=&amp;sourceID=5","")</f>
        <v/>
      </c>
      <c r="P200" s="4" t="str">
        <f>HYPERLINK("http://141.218.60.56/~jnz1568/getInfo.php?workbook=08_06.xlsx&amp;sheet=A0&amp;row=200&amp;col=16&amp;number=&amp;sourceID=5","")</f>
        <v/>
      </c>
      <c r="Q200" s="4" t="str">
        <f>HYPERLINK("http://141.218.60.56/~jnz1568/getInfo.php?workbook=08_06.xlsx&amp;sheet=A0&amp;row=200&amp;col=17&amp;number=&amp;sourceID=6","")</f>
        <v/>
      </c>
    </row>
    <row r="201" spans="1:17">
      <c r="A201" s="3">
        <v>8</v>
      </c>
      <c r="B201" s="3">
        <v>6</v>
      </c>
      <c r="C201" s="3">
        <v>27</v>
      </c>
      <c r="D201" s="3">
        <v>16</v>
      </c>
      <c r="E201" s="3">
        <f>((1/(INDEX(E0!J$4:J$49,C201,1)-INDEX(E0!J$4:J$49,D201,1))))*100000000</f>
        <v>0</v>
      </c>
      <c r="F201" s="4" t="str">
        <f>HYPERLINK("http://141.218.60.56/~jnz1568/getInfo.php?workbook=08_06.xlsx&amp;sheet=A0&amp;row=201&amp;col=6&amp;number=16760000&amp;sourceID=3","16760000")</f>
        <v>16760000</v>
      </c>
      <c r="G201" s="4" t="str">
        <f>HYPERLINK("http://141.218.60.56/~jnz1568/getInfo.php?workbook=08_06.xlsx&amp;sheet=A0&amp;row=201&amp;col=7&amp;number=&amp;sourceID=3","")</f>
        <v/>
      </c>
      <c r="H201" s="4" t="str">
        <f>HYPERLINK("http://141.218.60.56/~jnz1568/getInfo.php?workbook=08_06.xlsx&amp;sheet=A0&amp;row=201&amp;col=8&amp;number=&amp;sourceID=3","")</f>
        <v/>
      </c>
      <c r="I201" s="4" t="str">
        <f>HYPERLINK("http://141.218.60.56/~jnz1568/getInfo.php?workbook=08_06.xlsx&amp;sheet=A0&amp;row=201&amp;col=9&amp;number=&amp;sourceID=3","")</f>
        <v/>
      </c>
      <c r="J201" s="4" t="str">
        <f>HYPERLINK("http://141.218.60.56/~jnz1568/getInfo.php?workbook=08_06.xlsx&amp;sheet=A0&amp;row=201&amp;col=10&amp;number=16907000&amp;sourceID=3","16907000")</f>
        <v>16907000</v>
      </c>
      <c r="K201" s="4" t="str">
        <f>HYPERLINK("http://141.218.60.56/~jnz1568/getInfo.php?workbook=08_06.xlsx&amp;sheet=A0&amp;row=201&amp;col=11&amp;number=&amp;sourceID=3","")</f>
        <v/>
      </c>
      <c r="L201" s="4" t="str">
        <f>HYPERLINK("http://141.218.60.56/~jnz1568/getInfo.php?workbook=08_06.xlsx&amp;sheet=A0&amp;row=201&amp;col=12&amp;number=&amp;sourceID=3","")</f>
        <v/>
      </c>
      <c r="M201" s="4" t="str">
        <f>HYPERLINK("http://141.218.60.56/~jnz1568/getInfo.php?workbook=08_06.xlsx&amp;sheet=A0&amp;row=201&amp;col=13&amp;number=&amp;sourceID=3","")</f>
        <v/>
      </c>
      <c r="N201" s="4" t="str">
        <f>HYPERLINK("http://141.218.60.56/~jnz1568/getInfo.php?workbook=08_06.xlsx&amp;sheet=A0&amp;row=201&amp;col=14&amp;number=10540000&amp;sourceID=7","10540000")</f>
        <v>10540000</v>
      </c>
      <c r="O201" s="4" t="str">
        <f>HYPERLINK("http://141.218.60.56/~jnz1568/getInfo.php?workbook=08_06.xlsx&amp;sheet=A0&amp;row=201&amp;col=15&amp;number=&amp;sourceID=5","")</f>
        <v/>
      </c>
      <c r="P201" s="4" t="str">
        <f>HYPERLINK("http://141.218.60.56/~jnz1568/getInfo.php?workbook=08_06.xlsx&amp;sheet=A0&amp;row=201&amp;col=16&amp;number=&amp;sourceID=5","")</f>
        <v/>
      </c>
      <c r="Q201" s="4" t="str">
        <f>HYPERLINK("http://141.218.60.56/~jnz1568/getInfo.php?workbook=08_06.xlsx&amp;sheet=A0&amp;row=201&amp;col=17&amp;number=&amp;sourceID=6","")</f>
        <v/>
      </c>
    </row>
    <row r="202" spans="1:17">
      <c r="A202" s="3">
        <v>8</v>
      </c>
      <c r="B202" s="3">
        <v>6</v>
      </c>
      <c r="C202" s="3">
        <v>27</v>
      </c>
      <c r="D202" s="3">
        <v>17</v>
      </c>
      <c r="E202" s="3">
        <f>((1/(INDEX(E0!J$4:J$49,C202,1)-INDEX(E0!J$4:J$49,D202,1))))*100000000</f>
        <v>0</v>
      </c>
      <c r="F202" s="4" t="str">
        <f>HYPERLINK("http://141.218.60.56/~jnz1568/getInfo.php?workbook=08_06.xlsx&amp;sheet=A0&amp;row=202&amp;col=6&amp;number=46183000&amp;sourceID=3","46183000")</f>
        <v>46183000</v>
      </c>
      <c r="G202" s="4" t="str">
        <f>HYPERLINK("http://141.218.60.56/~jnz1568/getInfo.php?workbook=08_06.xlsx&amp;sheet=A0&amp;row=202&amp;col=7&amp;number=&amp;sourceID=3","")</f>
        <v/>
      </c>
      <c r="H202" s="4" t="str">
        <f>HYPERLINK("http://141.218.60.56/~jnz1568/getInfo.php?workbook=08_06.xlsx&amp;sheet=A0&amp;row=202&amp;col=8&amp;number=&amp;sourceID=3","")</f>
        <v/>
      </c>
      <c r="I202" s="4" t="str">
        <f>HYPERLINK("http://141.218.60.56/~jnz1568/getInfo.php?workbook=08_06.xlsx&amp;sheet=A0&amp;row=202&amp;col=9&amp;number=&amp;sourceID=3","")</f>
        <v/>
      </c>
      <c r="J202" s="4" t="str">
        <f>HYPERLINK("http://141.218.60.56/~jnz1568/getInfo.php?workbook=08_06.xlsx&amp;sheet=A0&amp;row=202&amp;col=10&amp;number=46594000&amp;sourceID=3","46594000")</f>
        <v>46594000</v>
      </c>
      <c r="K202" s="4" t="str">
        <f>HYPERLINK("http://141.218.60.56/~jnz1568/getInfo.php?workbook=08_06.xlsx&amp;sheet=A0&amp;row=202&amp;col=11&amp;number=&amp;sourceID=3","")</f>
        <v/>
      </c>
      <c r="L202" s="4" t="str">
        <f>HYPERLINK("http://141.218.60.56/~jnz1568/getInfo.php?workbook=08_06.xlsx&amp;sheet=A0&amp;row=202&amp;col=12&amp;number=&amp;sourceID=3","")</f>
        <v/>
      </c>
      <c r="M202" s="4" t="str">
        <f>HYPERLINK("http://141.218.60.56/~jnz1568/getInfo.php?workbook=08_06.xlsx&amp;sheet=A0&amp;row=202&amp;col=13&amp;number=&amp;sourceID=3","")</f>
        <v/>
      </c>
      <c r="N202" s="4" t="str">
        <f>HYPERLINK("http://141.218.60.56/~jnz1568/getInfo.php?workbook=08_06.xlsx&amp;sheet=A0&amp;row=202&amp;col=14&amp;number=29860000&amp;sourceID=7","29860000")</f>
        <v>29860000</v>
      </c>
      <c r="O202" s="4" t="str">
        <f>HYPERLINK("http://141.218.60.56/~jnz1568/getInfo.php?workbook=08_06.xlsx&amp;sheet=A0&amp;row=202&amp;col=15&amp;number=&amp;sourceID=5","")</f>
        <v/>
      </c>
      <c r="P202" s="4" t="str">
        <f>HYPERLINK("http://141.218.60.56/~jnz1568/getInfo.php?workbook=08_06.xlsx&amp;sheet=A0&amp;row=202&amp;col=16&amp;number=&amp;sourceID=5","")</f>
        <v/>
      </c>
      <c r="Q202" s="4" t="str">
        <f>HYPERLINK("http://141.218.60.56/~jnz1568/getInfo.php?workbook=08_06.xlsx&amp;sheet=A0&amp;row=202&amp;col=17&amp;number=&amp;sourceID=6","")</f>
        <v/>
      </c>
    </row>
    <row r="203" spans="1:17">
      <c r="A203" s="3">
        <v>8</v>
      </c>
      <c r="B203" s="3">
        <v>6</v>
      </c>
      <c r="C203" s="3">
        <v>27</v>
      </c>
      <c r="D203" s="3">
        <v>18</v>
      </c>
      <c r="E203" s="3">
        <f>((1/(INDEX(E0!J$4:J$49,C203,1)-INDEX(E0!J$4:J$49,D203,1))))*100000000</f>
        <v>0</v>
      </c>
      <c r="F203" s="4" t="str">
        <f>HYPERLINK("http://141.218.60.56/~jnz1568/getInfo.php?workbook=08_06.xlsx&amp;sheet=A0&amp;row=203&amp;col=6&amp;number=63264000&amp;sourceID=3","63264000")</f>
        <v>63264000</v>
      </c>
      <c r="G203" s="4" t="str">
        <f>HYPERLINK("http://141.218.60.56/~jnz1568/getInfo.php?workbook=08_06.xlsx&amp;sheet=A0&amp;row=203&amp;col=7&amp;number=&amp;sourceID=3","")</f>
        <v/>
      </c>
      <c r="H203" s="4" t="str">
        <f>HYPERLINK("http://141.218.60.56/~jnz1568/getInfo.php?workbook=08_06.xlsx&amp;sheet=A0&amp;row=203&amp;col=8&amp;number=&amp;sourceID=3","")</f>
        <v/>
      </c>
      <c r="I203" s="4" t="str">
        <f>HYPERLINK("http://141.218.60.56/~jnz1568/getInfo.php?workbook=08_06.xlsx&amp;sheet=A0&amp;row=203&amp;col=9&amp;number=&amp;sourceID=3","")</f>
        <v/>
      </c>
      <c r="J203" s="4" t="str">
        <f>HYPERLINK("http://141.218.60.56/~jnz1568/getInfo.php?workbook=08_06.xlsx&amp;sheet=A0&amp;row=203&amp;col=10&amp;number=63822000&amp;sourceID=3","63822000")</f>
        <v>63822000</v>
      </c>
      <c r="K203" s="4" t="str">
        <f>HYPERLINK("http://141.218.60.56/~jnz1568/getInfo.php?workbook=08_06.xlsx&amp;sheet=A0&amp;row=203&amp;col=11&amp;number=&amp;sourceID=3","")</f>
        <v/>
      </c>
      <c r="L203" s="4" t="str">
        <f>HYPERLINK("http://141.218.60.56/~jnz1568/getInfo.php?workbook=08_06.xlsx&amp;sheet=A0&amp;row=203&amp;col=12&amp;number=&amp;sourceID=3","")</f>
        <v/>
      </c>
      <c r="M203" s="4" t="str">
        <f>HYPERLINK("http://141.218.60.56/~jnz1568/getInfo.php?workbook=08_06.xlsx&amp;sheet=A0&amp;row=203&amp;col=13&amp;number=&amp;sourceID=3","")</f>
        <v/>
      </c>
      <c r="N203" s="4" t="str">
        <f>HYPERLINK("http://141.218.60.56/~jnz1568/getInfo.php?workbook=08_06.xlsx&amp;sheet=A0&amp;row=203&amp;col=14&amp;number=43730000&amp;sourceID=7","43730000")</f>
        <v>43730000</v>
      </c>
      <c r="O203" s="4" t="str">
        <f>HYPERLINK("http://141.218.60.56/~jnz1568/getInfo.php?workbook=08_06.xlsx&amp;sheet=A0&amp;row=203&amp;col=15&amp;number=&amp;sourceID=5","")</f>
        <v/>
      </c>
      <c r="P203" s="4" t="str">
        <f>HYPERLINK("http://141.218.60.56/~jnz1568/getInfo.php?workbook=08_06.xlsx&amp;sheet=A0&amp;row=203&amp;col=16&amp;number=&amp;sourceID=5","")</f>
        <v/>
      </c>
      <c r="Q203" s="4" t="str">
        <f>HYPERLINK("http://141.218.60.56/~jnz1568/getInfo.php?workbook=08_06.xlsx&amp;sheet=A0&amp;row=203&amp;col=17&amp;number=&amp;sourceID=6","")</f>
        <v/>
      </c>
    </row>
    <row r="204" spans="1:17">
      <c r="A204" s="3">
        <v>8</v>
      </c>
      <c r="B204" s="3">
        <v>6</v>
      </c>
      <c r="C204" s="3">
        <v>27</v>
      </c>
      <c r="D204" s="3">
        <v>19</v>
      </c>
      <c r="E204" s="3">
        <f>((1/(INDEX(E0!J$4:J$49,C204,1)-INDEX(E0!J$4:J$49,D204,1))))*100000000</f>
        <v>0</v>
      </c>
      <c r="F204" s="4" t="str">
        <f>HYPERLINK("http://141.218.60.56/~jnz1568/getInfo.php?workbook=08_06.xlsx&amp;sheet=A0&amp;row=204&amp;col=6&amp;number=100830&amp;sourceID=3","100830")</f>
        <v>100830</v>
      </c>
      <c r="G204" s="4" t="str">
        <f>HYPERLINK("http://141.218.60.56/~jnz1568/getInfo.php?workbook=08_06.xlsx&amp;sheet=A0&amp;row=204&amp;col=7&amp;number=&amp;sourceID=3","")</f>
        <v/>
      </c>
      <c r="H204" s="4" t="str">
        <f>HYPERLINK("http://141.218.60.56/~jnz1568/getInfo.php?workbook=08_06.xlsx&amp;sheet=A0&amp;row=204&amp;col=8&amp;number=&amp;sourceID=3","")</f>
        <v/>
      </c>
      <c r="I204" s="4" t="str">
        <f>HYPERLINK("http://141.218.60.56/~jnz1568/getInfo.php?workbook=08_06.xlsx&amp;sheet=A0&amp;row=204&amp;col=9&amp;number=&amp;sourceID=3","")</f>
        <v/>
      </c>
      <c r="J204" s="4" t="str">
        <f>HYPERLINK("http://141.218.60.56/~jnz1568/getInfo.php?workbook=08_06.xlsx&amp;sheet=A0&amp;row=204&amp;col=10&amp;number=100970&amp;sourceID=3","100970")</f>
        <v>100970</v>
      </c>
      <c r="K204" s="4" t="str">
        <f>HYPERLINK("http://141.218.60.56/~jnz1568/getInfo.php?workbook=08_06.xlsx&amp;sheet=A0&amp;row=204&amp;col=11&amp;number=&amp;sourceID=3","")</f>
        <v/>
      </c>
      <c r="L204" s="4" t="str">
        <f>HYPERLINK("http://141.218.60.56/~jnz1568/getInfo.php?workbook=08_06.xlsx&amp;sheet=A0&amp;row=204&amp;col=12&amp;number=&amp;sourceID=3","")</f>
        <v/>
      </c>
      <c r="M204" s="4" t="str">
        <f>HYPERLINK("http://141.218.60.56/~jnz1568/getInfo.php?workbook=08_06.xlsx&amp;sheet=A0&amp;row=204&amp;col=13&amp;number=&amp;sourceID=3","")</f>
        <v/>
      </c>
      <c r="N204" s="4" t="str">
        <f>HYPERLINK("http://141.218.60.56/~jnz1568/getInfo.php?workbook=08_06.xlsx&amp;sheet=A0&amp;row=204&amp;col=14&amp;number=23300&amp;sourceID=7","23300")</f>
        <v>23300</v>
      </c>
      <c r="O204" s="4" t="str">
        <f>HYPERLINK("http://141.218.60.56/~jnz1568/getInfo.php?workbook=08_06.xlsx&amp;sheet=A0&amp;row=204&amp;col=15&amp;number=&amp;sourceID=5","")</f>
        <v/>
      </c>
      <c r="P204" s="4" t="str">
        <f>HYPERLINK("http://141.218.60.56/~jnz1568/getInfo.php?workbook=08_06.xlsx&amp;sheet=A0&amp;row=204&amp;col=16&amp;number=&amp;sourceID=5","")</f>
        <v/>
      </c>
      <c r="Q204" s="4" t="str">
        <f>HYPERLINK("http://141.218.60.56/~jnz1568/getInfo.php?workbook=08_06.xlsx&amp;sheet=A0&amp;row=204&amp;col=17&amp;number=&amp;sourceID=6","")</f>
        <v/>
      </c>
    </row>
    <row r="205" spans="1:17">
      <c r="A205" s="3">
        <v>8</v>
      </c>
      <c r="B205" s="3">
        <v>6</v>
      </c>
      <c r="C205" s="3">
        <v>28</v>
      </c>
      <c r="D205" s="3">
        <v>6</v>
      </c>
      <c r="E205" s="3">
        <f>((1/(INDEX(E0!J$4:J$49,C205,1)-INDEX(E0!J$4:J$49,D205,1))))*100000000</f>
        <v>0</v>
      </c>
      <c r="F205" s="4" t="str">
        <f>HYPERLINK("http://141.218.60.56/~jnz1568/getInfo.php?workbook=08_06.xlsx&amp;sheet=A0&amp;row=205&amp;col=6&amp;number=0.75358&amp;sourceID=3","0.75358")</f>
        <v>0.75358</v>
      </c>
      <c r="G205" s="4" t="str">
        <f>HYPERLINK("http://141.218.60.56/~jnz1568/getInfo.php?workbook=08_06.xlsx&amp;sheet=A0&amp;row=205&amp;col=7&amp;number=&amp;sourceID=3","")</f>
        <v/>
      </c>
      <c r="H205" s="4" t="str">
        <f>HYPERLINK("http://141.218.60.56/~jnz1568/getInfo.php?workbook=08_06.xlsx&amp;sheet=A0&amp;row=205&amp;col=8&amp;number=&amp;sourceID=3","")</f>
        <v/>
      </c>
      <c r="I205" s="4" t="str">
        <f>HYPERLINK("http://141.218.60.56/~jnz1568/getInfo.php?workbook=08_06.xlsx&amp;sheet=A0&amp;row=205&amp;col=9&amp;number=&amp;sourceID=3","")</f>
        <v/>
      </c>
      <c r="J205" s="4" t="str">
        <f>HYPERLINK("http://141.218.60.56/~jnz1568/getInfo.php?workbook=08_06.xlsx&amp;sheet=A0&amp;row=205&amp;col=10&amp;number=0.65972&amp;sourceID=3","0.65972")</f>
        <v>0.65972</v>
      </c>
      <c r="K205" s="4" t="str">
        <f>HYPERLINK("http://141.218.60.56/~jnz1568/getInfo.php?workbook=08_06.xlsx&amp;sheet=A0&amp;row=205&amp;col=11&amp;number=&amp;sourceID=3","")</f>
        <v/>
      </c>
      <c r="L205" s="4" t="str">
        <f>HYPERLINK("http://141.218.60.56/~jnz1568/getInfo.php?workbook=08_06.xlsx&amp;sheet=A0&amp;row=205&amp;col=12&amp;number=&amp;sourceID=3","")</f>
        <v/>
      </c>
      <c r="M205" s="4" t="str">
        <f>HYPERLINK("http://141.218.60.56/~jnz1568/getInfo.php?workbook=08_06.xlsx&amp;sheet=A0&amp;row=205&amp;col=13&amp;number=&amp;sourceID=3","")</f>
        <v/>
      </c>
      <c r="N205" s="4" t="str">
        <f>HYPERLINK("http://141.218.60.56/~jnz1568/getInfo.php?workbook=08_06.xlsx&amp;sheet=A0&amp;row=205&amp;col=14&amp;number=0.4794&amp;sourceID=7","0.4794")</f>
        <v>0.4794</v>
      </c>
      <c r="O205" s="4" t="str">
        <f>HYPERLINK("http://141.218.60.56/~jnz1568/getInfo.php?workbook=08_06.xlsx&amp;sheet=A0&amp;row=205&amp;col=15&amp;number=&amp;sourceID=5","")</f>
        <v/>
      </c>
      <c r="P205" s="4" t="str">
        <f>HYPERLINK("http://141.218.60.56/~jnz1568/getInfo.php?workbook=08_06.xlsx&amp;sheet=A0&amp;row=205&amp;col=16&amp;number=&amp;sourceID=5","")</f>
        <v/>
      </c>
      <c r="Q205" s="4" t="str">
        <f>HYPERLINK("http://141.218.60.56/~jnz1568/getInfo.php?workbook=08_06.xlsx&amp;sheet=A0&amp;row=205&amp;col=17&amp;number=&amp;sourceID=6","")</f>
        <v/>
      </c>
    </row>
    <row r="206" spans="1:17">
      <c r="A206" s="3">
        <v>8</v>
      </c>
      <c r="B206" s="3">
        <v>6</v>
      </c>
      <c r="C206" s="3">
        <v>28</v>
      </c>
      <c r="D206" s="3">
        <v>7</v>
      </c>
      <c r="E206" s="3">
        <f>((1/(INDEX(E0!J$4:J$49,C206,1)-INDEX(E0!J$4:J$49,D206,1))))*100000000</f>
        <v>0</v>
      </c>
      <c r="F206" s="4" t="str">
        <f>HYPERLINK("http://141.218.60.56/~jnz1568/getInfo.php?workbook=08_06.xlsx&amp;sheet=A0&amp;row=206&amp;col=6&amp;number=539800&amp;sourceID=3","539800")</f>
        <v>539800</v>
      </c>
      <c r="G206" s="4" t="str">
        <f>HYPERLINK("http://141.218.60.56/~jnz1568/getInfo.php?workbook=08_06.xlsx&amp;sheet=A0&amp;row=206&amp;col=7&amp;number=&amp;sourceID=3","")</f>
        <v/>
      </c>
      <c r="H206" s="4" t="str">
        <f>HYPERLINK("http://141.218.60.56/~jnz1568/getInfo.php?workbook=08_06.xlsx&amp;sheet=A0&amp;row=206&amp;col=8&amp;number=&amp;sourceID=3","")</f>
        <v/>
      </c>
      <c r="I206" s="4" t="str">
        <f>HYPERLINK("http://141.218.60.56/~jnz1568/getInfo.php?workbook=08_06.xlsx&amp;sheet=A0&amp;row=206&amp;col=9&amp;number=&amp;sourceID=3","")</f>
        <v/>
      </c>
      <c r="J206" s="4" t="str">
        <f>HYPERLINK("http://141.218.60.56/~jnz1568/getInfo.php?workbook=08_06.xlsx&amp;sheet=A0&amp;row=206&amp;col=10&amp;number=605050&amp;sourceID=3","605050")</f>
        <v>605050</v>
      </c>
      <c r="K206" s="4" t="str">
        <f>HYPERLINK("http://141.218.60.56/~jnz1568/getInfo.php?workbook=08_06.xlsx&amp;sheet=A0&amp;row=206&amp;col=11&amp;number=&amp;sourceID=3","")</f>
        <v/>
      </c>
      <c r="L206" s="4" t="str">
        <f>HYPERLINK("http://141.218.60.56/~jnz1568/getInfo.php?workbook=08_06.xlsx&amp;sheet=A0&amp;row=206&amp;col=12&amp;number=&amp;sourceID=3","")</f>
        <v/>
      </c>
      <c r="M206" s="4" t="str">
        <f>HYPERLINK("http://141.218.60.56/~jnz1568/getInfo.php?workbook=08_06.xlsx&amp;sheet=A0&amp;row=206&amp;col=13&amp;number=&amp;sourceID=3","")</f>
        <v/>
      </c>
      <c r="N206" s="4" t="str">
        <f>HYPERLINK("http://141.218.60.56/~jnz1568/getInfo.php?workbook=08_06.xlsx&amp;sheet=A0&amp;row=206&amp;col=14&amp;number=371000&amp;sourceID=7","371000")</f>
        <v>371000</v>
      </c>
      <c r="O206" s="4" t="str">
        <f>HYPERLINK("http://141.218.60.56/~jnz1568/getInfo.php?workbook=08_06.xlsx&amp;sheet=A0&amp;row=206&amp;col=15&amp;number=&amp;sourceID=5","")</f>
        <v/>
      </c>
      <c r="P206" s="4" t="str">
        <f>HYPERLINK("http://141.218.60.56/~jnz1568/getInfo.php?workbook=08_06.xlsx&amp;sheet=A0&amp;row=206&amp;col=16&amp;number=&amp;sourceID=5","")</f>
        <v/>
      </c>
      <c r="Q206" s="4" t="str">
        <f>HYPERLINK("http://141.218.60.56/~jnz1568/getInfo.php?workbook=08_06.xlsx&amp;sheet=A0&amp;row=206&amp;col=17&amp;number=&amp;sourceID=6","")</f>
        <v/>
      </c>
    </row>
    <row r="207" spans="1:17">
      <c r="A207" s="3">
        <v>8</v>
      </c>
      <c r="B207" s="3">
        <v>6</v>
      </c>
      <c r="C207" s="3">
        <v>28</v>
      </c>
      <c r="D207" s="3">
        <v>8</v>
      </c>
      <c r="E207" s="3">
        <f>((1/(INDEX(E0!J$4:J$49,C207,1)-INDEX(E0!J$4:J$49,D207,1))))*100000000</f>
        <v>0</v>
      </c>
      <c r="F207" s="4" t="str">
        <f>HYPERLINK("http://141.218.60.56/~jnz1568/getInfo.php?workbook=08_06.xlsx&amp;sheet=A0&amp;row=207&amp;col=6&amp;number=105190&amp;sourceID=3","105190")</f>
        <v>105190</v>
      </c>
      <c r="G207" s="4" t="str">
        <f>HYPERLINK("http://141.218.60.56/~jnz1568/getInfo.php?workbook=08_06.xlsx&amp;sheet=A0&amp;row=207&amp;col=7&amp;number=&amp;sourceID=3","")</f>
        <v/>
      </c>
      <c r="H207" s="4" t="str">
        <f>HYPERLINK("http://141.218.60.56/~jnz1568/getInfo.php?workbook=08_06.xlsx&amp;sheet=A0&amp;row=207&amp;col=8&amp;number=&amp;sourceID=3","")</f>
        <v/>
      </c>
      <c r="I207" s="4" t="str">
        <f>HYPERLINK("http://141.218.60.56/~jnz1568/getInfo.php?workbook=08_06.xlsx&amp;sheet=A0&amp;row=207&amp;col=9&amp;number=&amp;sourceID=3","")</f>
        <v/>
      </c>
      <c r="J207" s="4" t="str">
        <f>HYPERLINK("http://141.218.60.56/~jnz1568/getInfo.php?workbook=08_06.xlsx&amp;sheet=A0&amp;row=207&amp;col=10&amp;number=114850&amp;sourceID=3","114850")</f>
        <v>114850</v>
      </c>
      <c r="K207" s="4" t="str">
        <f>HYPERLINK("http://141.218.60.56/~jnz1568/getInfo.php?workbook=08_06.xlsx&amp;sheet=A0&amp;row=207&amp;col=11&amp;number=&amp;sourceID=3","")</f>
        <v/>
      </c>
      <c r="L207" s="4" t="str">
        <f>HYPERLINK("http://141.218.60.56/~jnz1568/getInfo.php?workbook=08_06.xlsx&amp;sheet=A0&amp;row=207&amp;col=12&amp;number=&amp;sourceID=3","")</f>
        <v/>
      </c>
      <c r="M207" s="4" t="str">
        <f>HYPERLINK("http://141.218.60.56/~jnz1568/getInfo.php?workbook=08_06.xlsx&amp;sheet=A0&amp;row=207&amp;col=13&amp;number=&amp;sourceID=3","")</f>
        <v/>
      </c>
      <c r="N207" s="4" t="str">
        <f>HYPERLINK("http://141.218.60.56/~jnz1568/getInfo.php?workbook=08_06.xlsx&amp;sheet=A0&amp;row=207&amp;col=14&amp;number=71580&amp;sourceID=7","71580")</f>
        <v>71580</v>
      </c>
      <c r="O207" s="4" t="str">
        <f>HYPERLINK("http://141.218.60.56/~jnz1568/getInfo.php?workbook=08_06.xlsx&amp;sheet=A0&amp;row=207&amp;col=15&amp;number=&amp;sourceID=5","")</f>
        <v/>
      </c>
      <c r="P207" s="4" t="str">
        <f>HYPERLINK("http://141.218.60.56/~jnz1568/getInfo.php?workbook=08_06.xlsx&amp;sheet=A0&amp;row=207&amp;col=16&amp;number=&amp;sourceID=5","")</f>
        <v/>
      </c>
      <c r="Q207" s="4" t="str">
        <f>HYPERLINK("http://141.218.60.56/~jnz1568/getInfo.php?workbook=08_06.xlsx&amp;sheet=A0&amp;row=207&amp;col=17&amp;number=&amp;sourceID=6","")</f>
        <v/>
      </c>
    </row>
    <row r="208" spans="1:17">
      <c r="A208" s="3">
        <v>8</v>
      </c>
      <c r="B208" s="3">
        <v>6</v>
      </c>
      <c r="C208" s="3">
        <v>28</v>
      </c>
      <c r="D208" s="3">
        <v>9</v>
      </c>
      <c r="E208" s="3">
        <f>((1/(INDEX(E0!J$4:J$49,C208,1)-INDEX(E0!J$4:J$49,D208,1))))*100000000</f>
        <v>0</v>
      </c>
      <c r="F208" s="4" t="str">
        <f>HYPERLINK("http://141.218.60.56/~jnz1568/getInfo.php?workbook=08_06.xlsx&amp;sheet=A0&amp;row=208&amp;col=6&amp;number=99.069&amp;sourceID=3","99.069")</f>
        <v>99.069</v>
      </c>
      <c r="G208" s="4" t="str">
        <f>HYPERLINK("http://141.218.60.56/~jnz1568/getInfo.php?workbook=08_06.xlsx&amp;sheet=A0&amp;row=208&amp;col=7&amp;number=&amp;sourceID=3","")</f>
        <v/>
      </c>
      <c r="H208" s="4" t="str">
        <f>HYPERLINK("http://141.218.60.56/~jnz1568/getInfo.php?workbook=08_06.xlsx&amp;sheet=A0&amp;row=208&amp;col=8&amp;number=&amp;sourceID=3","")</f>
        <v/>
      </c>
      <c r="I208" s="4" t="str">
        <f>HYPERLINK("http://141.218.60.56/~jnz1568/getInfo.php?workbook=08_06.xlsx&amp;sheet=A0&amp;row=208&amp;col=9&amp;number=&amp;sourceID=3","")</f>
        <v/>
      </c>
      <c r="J208" s="4" t="str">
        <f>HYPERLINK("http://141.218.60.56/~jnz1568/getInfo.php?workbook=08_06.xlsx&amp;sheet=A0&amp;row=208&amp;col=10&amp;number=52.168&amp;sourceID=3","52.168")</f>
        <v>52.168</v>
      </c>
      <c r="K208" s="4" t="str">
        <f>HYPERLINK("http://141.218.60.56/~jnz1568/getInfo.php?workbook=08_06.xlsx&amp;sheet=A0&amp;row=208&amp;col=11&amp;number=&amp;sourceID=3","")</f>
        <v/>
      </c>
      <c r="L208" s="4" t="str">
        <f>HYPERLINK("http://141.218.60.56/~jnz1568/getInfo.php?workbook=08_06.xlsx&amp;sheet=A0&amp;row=208&amp;col=12&amp;number=&amp;sourceID=3","")</f>
        <v/>
      </c>
      <c r="M208" s="4" t="str">
        <f>HYPERLINK("http://141.218.60.56/~jnz1568/getInfo.php?workbook=08_06.xlsx&amp;sheet=A0&amp;row=208&amp;col=13&amp;number=&amp;sourceID=3","")</f>
        <v/>
      </c>
      <c r="N208" s="4" t="str">
        <f>HYPERLINK("http://141.218.60.56/~jnz1568/getInfo.php?workbook=08_06.xlsx&amp;sheet=A0&amp;row=208&amp;col=14&amp;number=426.5&amp;sourceID=7","426.5")</f>
        <v>426.5</v>
      </c>
      <c r="O208" s="4" t="str">
        <f>HYPERLINK("http://141.218.60.56/~jnz1568/getInfo.php?workbook=08_06.xlsx&amp;sheet=A0&amp;row=208&amp;col=15&amp;number=&amp;sourceID=5","")</f>
        <v/>
      </c>
      <c r="P208" s="4" t="str">
        <f>HYPERLINK("http://141.218.60.56/~jnz1568/getInfo.php?workbook=08_06.xlsx&amp;sheet=A0&amp;row=208&amp;col=16&amp;number=&amp;sourceID=5","")</f>
        <v/>
      </c>
      <c r="Q208" s="4" t="str">
        <f>HYPERLINK("http://141.218.60.56/~jnz1568/getInfo.php?workbook=08_06.xlsx&amp;sheet=A0&amp;row=208&amp;col=17&amp;number=&amp;sourceID=6","")</f>
        <v/>
      </c>
    </row>
    <row r="209" spans="1:17">
      <c r="A209" s="3">
        <v>8</v>
      </c>
      <c r="B209" s="3">
        <v>6</v>
      </c>
      <c r="C209" s="3">
        <v>28</v>
      </c>
      <c r="D209" s="3">
        <v>10</v>
      </c>
      <c r="E209" s="3">
        <f>((1/(INDEX(E0!J$4:J$49,C209,1)-INDEX(E0!J$4:J$49,D209,1))))*100000000</f>
        <v>0</v>
      </c>
      <c r="F209" s="4" t="str">
        <f>HYPERLINK("http://141.218.60.56/~jnz1568/getInfo.php?workbook=08_06.xlsx&amp;sheet=A0&amp;row=209&amp;col=6&amp;number=308.27&amp;sourceID=3","308.27")</f>
        <v>308.27</v>
      </c>
      <c r="G209" s="4" t="str">
        <f>HYPERLINK("http://141.218.60.56/~jnz1568/getInfo.php?workbook=08_06.xlsx&amp;sheet=A0&amp;row=209&amp;col=7&amp;number=&amp;sourceID=3","")</f>
        <v/>
      </c>
      <c r="H209" s="4" t="str">
        <f>HYPERLINK("http://141.218.60.56/~jnz1568/getInfo.php?workbook=08_06.xlsx&amp;sheet=A0&amp;row=209&amp;col=8&amp;number=&amp;sourceID=3","")</f>
        <v/>
      </c>
      <c r="I209" s="4" t="str">
        <f>HYPERLINK("http://141.218.60.56/~jnz1568/getInfo.php?workbook=08_06.xlsx&amp;sheet=A0&amp;row=209&amp;col=9&amp;number=&amp;sourceID=3","")</f>
        <v/>
      </c>
      <c r="J209" s="4" t="str">
        <f>HYPERLINK("http://141.218.60.56/~jnz1568/getInfo.php?workbook=08_06.xlsx&amp;sheet=A0&amp;row=209&amp;col=10&amp;number=1357&amp;sourceID=3","1357")</f>
        <v>1357</v>
      </c>
      <c r="K209" s="4" t="str">
        <f>HYPERLINK("http://141.218.60.56/~jnz1568/getInfo.php?workbook=08_06.xlsx&amp;sheet=A0&amp;row=209&amp;col=11&amp;number=&amp;sourceID=3","")</f>
        <v/>
      </c>
      <c r="L209" s="4" t="str">
        <f>HYPERLINK("http://141.218.60.56/~jnz1568/getInfo.php?workbook=08_06.xlsx&amp;sheet=A0&amp;row=209&amp;col=12&amp;number=&amp;sourceID=3","")</f>
        <v/>
      </c>
      <c r="M209" s="4" t="str">
        <f>HYPERLINK("http://141.218.60.56/~jnz1568/getInfo.php?workbook=08_06.xlsx&amp;sheet=A0&amp;row=209&amp;col=13&amp;number=&amp;sourceID=3","")</f>
        <v/>
      </c>
      <c r="N209" s="4" t="str">
        <f>HYPERLINK("http://141.218.60.56/~jnz1568/getInfo.php?workbook=08_06.xlsx&amp;sheet=A0&amp;row=209&amp;col=14&amp;number=107.5&amp;sourceID=7","107.5")</f>
        <v>107.5</v>
      </c>
      <c r="O209" s="4" t="str">
        <f>HYPERLINK("http://141.218.60.56/~jnz1568/getInfo.php?workbook=08_06.xlsx&amp;sheet=A0&amp;row=209&amp;col=15&amp;number=&amp;sourceID=5","")</f>
        <v/>
      </c>
      <c r="P209" s="4" t="str">
        <f>HYPERLINK("http://141.218.60.56/~jnz1568/getInfo.php?workbook=08_06.xlsx&amp;sheet=A0&amp;row=209&amp;col=16&amp;number=&amp;sourceID=5","")</f>
        <v/>
      </c>
      <c r="Q209" s="4" t="str">
        <f>HYPERLINK("http://141.218.60.56/~jnz1568/getInfo.php?workbook=08_06.xlsx&amp;sheet=A0&amp;row=209&amp;col=17&amp;number=&amp;sourceID=6","")</f>
        <v/>
      </c>
    </row>
    <row r="210" spans="1:17">
      <c r="A210" s="3">
        <v>8</v>
      </c>
      <c r="B210" s="3">
        <v>6</v>
      </c>
      <c r="C210" s="3">
        <v>28</v>
      </c>
      <c r="D210" s="3">
        <v>11</v>
      </c>
      <c r="E210" s="3">
        <f>((1/(INDEX(E0!J$4:J$49,C210,1)-INDEX(E0!J$4:J$49,D210,1))))*100000000</f>
        <v>0</v>
      </c>
      <c r="F210" s="4" t="str">
        <f>HYPERLINK("http://141.218.60.56/~jnz1568/getInfo.php?workbook=08_06.xlsx&amp;sheet=A0&amp;row=210&amp;col=6&amp;number=18483&amp;sourceID=3","18483")</f>
        <v>18483</v>
      </c>
      <c r="G210" s="4" t="str">
        <f>HYPERLINK("http://141.218.60.56/~jnz1568/getInfo.php?workbook=08_06.xlsx&amp;sheet=A0&amp;row=210&amp;col=7&amp;number=&amp;sourceID=3","")</f>
        <v/>
      </c>
      <c r="H210" s="4" t="str">
        <f>HYPERLINK("http://141.218.60.56/~jnz1568/getInfo.php?workbook=08_06.xlsx&amp;sheet=A0&amp;row=210&amp;col=8&amp;number=&amp;sourceID=3","")</f>
        <v/>
      </c>
      <c r="I210" s="4" t="str">
        <f>HYPERLINK("http://141.218.60.56/~jnz1568/getInfo.php?workbook=08_06.xlsx&amp;sheet=A0&amp;row=210&amp;col=9&amp;number=&amp;sourceID=3","")</f>
        <v/>
      </c>
      <c r="J210" s="4" t="str">
        <f>HYPERLINK("http://141.218.60.56/~jnz1568/getInfo.php?workbook=08_06.xlsx&amp;sheet=A0&amp;row=210&amp;col=10&amp;number=16894&amp;sourceID=3","16894")</f>
        <v>16894</v>
      </c>
      <c r="K210" s="4" t="str">
        <f>HYPERLINK("http://141.218.60.56/~jnz1568/getInfo.php?workbook=08_06.xlsx&amp;sheet=A0&amp;row=210&amp;col=11&amp;number=&amp;sourceID=3","")</f>
        <v/>
      </c>
      <c r="L210" s="4" t="str">
        <f>HYPERLINK("http://141.218.60.56/~jnz1568/getInfo.php?workbook=08_06.xlsx&amp;sheet=A0&amp;row=210&amp;col=12&amp;number=&amp;sourceID=3","")</f>
        <v/>
      </c>
      <c r="M210" s="4" t="str">
        <f>HYPERLINK("http://141.218.60.56/~jnz1568/getInfo.php?workbook=08_06.xlsx&amp;sheet=A0&amp;row=210&amp;col=13&amp;number=&amp;sourceID=3","")</f>
        <v/>
      </c>
      <c r="N210" s="4" t="str">
        <f>HYPERLINK("http://141.218.60.56/~jnz1568/getInfo.php?workbook=08_06.xlsx&amp;sheet=A0&amp;row=210&amp;col=14&amp;number=20490&amp;sourceID=7","20490")</f>
        <v>20490</v>
      </c>
      <c r="O210" s="4" t="str">
        <f>HYPERLINK("http://141.218.60.56/~jnz1568/getInfo.php?workbook=08_06.xlsx&amp;sheet=A0&amp;row=210&amp;col=15&amp;number=&amp;sourceID=5","")</f>
        <v/>
      </c>
      <c r="P210" s="4" t="str">
        <f>HYPERLINK("http://141.218.60.56/~jnz1568/getInfo.php?workbook=08_06.xlsx&amp;sheet=A0&amp;row=210&amp;col=16&amp;number=&amp;sourceID=5","")</f>
        <v/>
      </c>
      <c r="Q210" s="4" t="str">
        <f>HYPERLINK("http://141.218.60.56/~jnz1568/getInfo.php?workbook=08_06.xlsx&amp;sheet=A0&amp;row=210&amp;col=17&amp;number=&amp;sourceID=6","")</f>
        <v/>
      </c>
    </row>
    <row r="211" spans="1:17">
      <c r="A211" s="3">
        <v>8</v>
      </c>
      <c r="B211" s="3">
        <v>6</v>
      </c>
      <c r="C211" s="3">
        <v>28</v>
      </c>
      <c r="D211" s="3">
        <v>13</v>
      </c>
      <c r="E211" s="3">
        <f>((1/(INDEX(E0!J$4:J$49,C211,1)-INDEX(E0!J$4:J$49,D211,1))))*100000000</f>
        <v>0</v>
      </c>
      <c r="F211" s="4" t="str">
        <f>HYPERLINK("http://141.218.60.56/~jnz1568/getInfo.php?workbook=08_06.xlsx&amp;sheet=A0&amp;row=211&amp;col=6&amp;number=2164000000&amp;sourceID=3","2164000000")</f>
        <v>2164000000</v>
      </c>
      <c r="G211" s="4" t="str">
        <f>HYPERLINK("http://141.218.60.56/~jnz1568/getInfo.php?workbook=08_06.xlsx&amp;sheet=A0&amp;row=211&amp;col=7&amp;number=&amp;sourceID=3","")</f>
        <v/>
      </c>
      <c r="H211" s="4" t="str">
        <f>HYPERLINK("http://141.218.60.56/~jnz1568/getInfo.php?workbook=08_06.xlsx&amp;sheet=A0&amp;row=211&amp;col=8&amp;number=&amp;sourceID=3","")</f>
        <v/>
      </c>
      <c r="I211" s="4" t="str">
        <f>HYPERLINK("http://141.218.60.56/~jnz1568/getInfo.php?workbook=08_06.xlsx&amp;sheet=A0&amp;row=211&amp;col=9&amp;number=&amp;sourceID=3","")</f>
        <v/>
      </c>
      <c r="J211" s="4" t="str">
        <f>HYPERLINK("http://141.218.60.56/~jnz1568/getInfo.php?workbook=08_06.xlsx&amp;sheet=A0&amp;row=211&amp;col=10&amp;number=2196000000&amp;sourceID=3","2196000000")</f>
        <v>2196000000</v>
      </c>
      <c r="K211" s="4" t="str">
        <f>HYPERLINK("http://141.218.60.56/~jnz1568/getInfo.php?workbook=08_06.xlsx&amp;sheet=A0&amp;row=211&amp;col=11&amp;number=&amp;sourceID=3","")</f>
        <v/>
      </c>
      <c r="L211" s="4" t="str">
        <f>HYPERLINK("http://141.218.60.56/~jnz1568/getInfo.php?workbook=08_06.xlsx&amp;sheet=A0&amp;row=211&amp;col=12&amp;number=&amp;sourceID=3","")</f>
        <v/>
      </c>
      <c r="M211" s="4" t="str">
        <f>HYPERLINK("http://141.218.60.56/~jnz1568/getInfo.php?workbook=08_06.xlsx&amp;sheet=A0&amp;row=211&amp;col=13&amp;number=&amp;sourceID=3","")</f>
        <v/>
      </c>
      <c r="N211" s="4" t="str">
        <f>HYPERLINK("http://141.218.60.56/~jnz1568/getInfo.php?workbook=08_06.xlsx&amp;sheet=A0&amp;row=211&amp;col=14&amp;number=2298000000&amp;sourceID=7","2298000000")</f>
        <v>2298000000</v>
      </c>
      <c r="O211" s="4" t="str">
        <f>HYPERLINK("http://141.218.60.56/~jnz1568/getInfo.php?workbook=08_06.xlsx&amp;sheet=A0&amp;row=211&amp;col=15&amp;number=&amp;sourceID=5","")</f>
        <v/>
      </c>
      <c r="P211" s="4" t="str">
        <f>HYPERLINK("http://141.218.60.56/~jnz1568/getInfo.php?workbook=08_06.xlsx&amp;sheet=A0&amp;row=211&amp;col=16&amp;number=&amp;sourceID=5","")</f>
        <v/>
      </c>
      <c r="Q211" s="4" t="str">
        <f>HYPERLINK("http://141.218.60.56/~jnz1568/getInfo.php?workbook=08_06.xlsx&amp;sheet=A0&amp;row=211&amp;col=17&amp;number=&amp;sourceID=6","")</f>
        <v/>
      </c>
    </row>
    <row r="212" spans="1:17">
      <c r="A212" s="3">
        <v>8</v>
      </c>
      <c r="B212" s="3">
        <v>6</v>
      </c>
      <c r="C212" s="3">
        <v>28</v>
      </c>
      <c r="D212" s="3">
        <v>14</v>
      </c>
      <c r="E212" s="3">
        <f>((1/(INDEX(E0!J$4:J$49,C212,1)-INDEX(E0!J$4:J$49,D212,1))))*100000000</f>
        <v>0</v>
      </c>
      <c r="F212" s="4" t="str">
        <f>HYPERLINK("http://141.218.60.56/~jnz1568/getInfo.php?workbook=08_06.xlsx&amp;sheet=A0&amp;row=212&amp;col=6&amp;number=563.33&amp;sourceID=3","563.33")</f>
        <v>563.33</v>
      </c>
      <c r="G212" s="4" t="str">
        <f>HYPERLINK("http://141.218.60.56/~jnz1568/getInfo.php?workbook=08_06.xlsx&amp;sheet=A0&amp;row=212&amp;col=7&amp;number=&amp;sourceID=3","")</f>
        <v/>
      </c>
      <c r="H212" s="4" t="str">
        <f>HYPERLINK("http://141.218.60.56/~jnz1568/getInfo.php?workbook=08_06.xlsx&amp;sheet=A0&amp;row=212&amp;col=8&amp;number=&amp;sourceID=3","")</f>
        <v/>
      </c>
      <c r="I212" s="4" t="str">
        <f>HYPERLINK("http://141.218.60.56/~jnz1568/getInfo.php?workbook=08_06.xlsx&amp;sheet=A0&amp;row=212&amp;col=9&amp;number=&amp;sourceID=3","")</f>
        <v/>
      </c>
      <c r="J212" s="4" t="str">
        <f>HYPERLINK("http://141.218.60.56/~jnz1568/getInfo.php?workbook=08_06.xlsx&amp;sheet=A0&amp;row=212&amp;col=10&amp;number=361.95&amp;sourceID=3","361.95")</f>
        <v>361.95</v>
      </c>
      <c r="K212" s="4" t="str">
        <f>HYPERLINK("http://141.218.60.56/~jnz1568/getInfo.php?workbook=08_06.xlsx&amp;sheet=A0&amp;row=212&amp;col=11&amp;number=&amp;sourceID=3","")</f>
        <v/>
      </c>
      <c r="L212" s="4" t="str">
        <f>HYPERLINK("http://141.218.60.56/~jnz1568/getInfo.php?workbook=08_06.xlsx&amp;sheet=A0&amp;row=212&amp;col=12&amp;number=&amp;sourceID=3","")</f>
        <v/>
      </c>
      <c r="M212" s="4" t="str">
        <f>HYPERLINK("http://141.218.60.56/~jnz1568/getInfo.php?workbook=08_06.xlsx&amp;sheet=A0&amp;row=212&amp;col=13&amp;number=&amp;sourceID=3","")</f>
        <v/>
      </c>
      <c r="N212" s="4" t="str">
        <f>HYPERLINK("http://141.218.60.56/~jnz1568/getInfo.php?workbook=08_06.xlsx&amp;sheet=A0&amp;row=212&amp;col=14&amp;number=5015&amp;sourceID=7","5015")</f>
        <v>5015</v>
      </c>
      <c r="O212" s="4" t="str">
        <f>HYPERLINK("http://141.218.60.56/~jnz1568/getInfo.php?workbook=08_06.xlsx&amp;sheet=A0&amp;row=212&amp;col=15&amp;number=&amp;sourceID=5","")</f>
        <v/>
      </c>
      <c r="P212" s="4" t="str">
        <f>HYPERLINK("http://141.218.60.56/~jnz1568/getInfo.php?workbook=08_06.xlsx&amp;sheet=A0&amp;row=212&amp;col=16&amp;number=&amp;sourceID=5","")</f>
        <v/>
      </c>
      <c r="Q212" s="4" t="str">
        <f>HYPERLINK("http://141.218.60.56/~jnz1568/getInfo.php?workbook=08_06.xlsx&amp;sheet=A0&amp;row=212&amp;col=17&amp;number=&amp;sourceID=6","")</f>
        <v/>
      </c>
    </row>
    <row r="213" spans="1:17">
      <c r="A213" s="3">
        <v>8</v>
      </c>
      <c r="B213" s="3">
        <v>6</v>
      </c>
      <c r="C213" s="3">
        <v>28</v>
      </c>
      <c r="D213" s="3">
        <v>15</v>
      </c>
      <c r="E213" s="3">
        <f>((1/(INDEX(E0!J$4:J$49,C213,1)-INDEX(E0!J$4:J$49,D213,1))))*100000000</f>
        <v>0</v>
      </c>
      <c r="F213" s="4" t="str">
        <f>HYPERLINK("http://141.218.60.56/~jnz1568/getInfo.php?workbook=08_06.xlsx&amp;sheet=A0&amp;row=213&amp;col=6&amp;number=185100000&amp;sourceID=3","185100000")</f>
        <v>185100000</v>
      </c>
      <c r="G213" s="4" t="str">
        <f>HYPERLINK("http://141.218.60.56/~jnz1568/getInfo.php?workbook=08_06.xlsx&amp;sheet=A0&amp;row=213&amp;col=7&amp;number=&amp;sourceID=3","")</f>
        <v/>
      </c>
      <c r="H213" s="4" t="str">
        <f>HYPERLINK("http://141.218.60.56/~jnz1568/getInfo.php?workbook=08_06.xlsx&amp;sheet=A0&amp;row=213&amp;col=8&amp;number=&amp;sourceID=3","")</f>
        <v/>
      </c>
      <c r="I213" s="4" t="str">
        <f>HYPERLINK("http://141.218.60.56/~jnz1568/getInfo.php?workbook=08_06.xlsx&amp;sheet=A0&amp;row=213&amp;col=9&amp;number=&amp;sourceID=3","")</f>
        <v/>
      </c>
      <c r="J213" s="4" t="str">
        <f>HYPERLINK("http://141.218.60.56/~jnz1568/getInfo.php?workbook=08_06.xlsx&amp;sheet=A0&amp;row=213&amp;col=10&amp;number=189240000&amp;sourceID=3","189240000")</f>
        <v>189240000</v>
      </c>
      <c r="K213" s="4" t="str">
        <f>HYPERLINK("http://141.218.60.56/~jnz1568/getInfo.php?workbook=08_06.xlsx&amp;sheet=A0&amp;row=213&amp;col=11&amp;number=&amp;sourceID=3","")</f>
        <v/>
      </c>
      <c r="L213" s="4" t="str">
        <f>HYPERLINK("http://141.218.60.56/~jnz1568/getInfo.php?workbook=08_06.xlsx&amp;sheet=A0&amp;row=213&amp;col=12&amp;number=&amp;sourceID=3","")</f>
        <v/>
      </c>
      <c r="M213" s="4" t="str">
        <f>HYPERLINK("http://141.218.60.56/~jnz1568/getInfo.php?workbook=08_06.xlsx&amp;sheet=A0&amp;row=213&amp;col=13&amp;number=&amp;sourceID=3","")</f>
        <v/>
      </c>
      <c r="N213" s="4" t="str">
        <f>HYPERLINK("http://141.218.60.56/~jnz1568/getInfo.php?workbook=08_06.xlsx&amp;sheet=A0&amp;row=213&amp;col=14&amp;number=180000000&amp;sourceID=7","180000000")</f>
        <v>180000000</v>
      </c>
      <c r="O213" s="4" t="str">
        <f>HYPERLINK("http://141.218.60.56/~jnz1568/getInfo.php?workbook=08_06.xlsx&amp;sheet=A0&amp;row=213&amp;col=15&amp;number=&amp;sourceID=5","")</f>
        <v/>
      </c>
      <c r="P213" s="4" t="str">
        <f>HYPERLINK("http://141.218.60.56/~jnz1568/getInfo.php?workbook=08_06.xlsx&amp;sheet=A0&amp;row=213&amp;col=16&amp;number=&amp;sourceID=5","")</f>
        <v/>
      </c>
      <c r="Q213" s="4" t="str">
        <f>HYPERLINK("http://141.218.60.56/~jnz1568/getInfo.php?workbook=08_06.xlsx&amp;sheet=A0&amp;row=213&amp;col=17&amp;number=&amp;sourceID=6","")</f>
        <v/>
      </c>
    </row>
    <row r="214" spans="1:17">
      <c r="A214" s="3">
        <v>8</v>
      </c>
      <c r="B214" s="3">
        <v>6</v>
      </c>
      <c r="C214" s="3">
        <v>28</v>
      </c>
      <c r="D214" s="3">
        <v>17</v>
      </c>
      <c r="E214" s="3">
        <f>((1/(INDEX(E0!J$4:J$49,C214,1)-INDEX(E0!J$4:J$49,D214,1))))*100000000</f>
        <v>0</v>
      </c>
      <c r="F214" s="4" t="str">
        <f>HYPERLINK("http://141.218.60.56/~jnz1568/getInfo.php?workbook=08_06.xlsx&amp;sheet=A0&amp;row=214&amp;col=6&amp;number=65.46&amp;sourceID=3","65.46")</f>
        <v>65.46</v>
      </c>
      <c r="G214" s="4" t="str">
        <f>HYPERLINK("http://141.218.60.56/~jnz1568/getInfo.php?workbook=08_06.xlsx&amp;sheet=A0&amp;row=214&amp;col=7&amp;number=&amp;sourceID=3","")</f>
        <v/>
      </c>
      <c r="H214" s="4" t="str">
        <f>HYPERLINK("http://141.218.60.56/~jnz1568/getInfo.php?workbook=08_06.xlsx&amp;sheet=A0&amp;row=214&amp;col=8&amp;number=&amp;sourceID=3","")</f>
        <v/>
      </c>
      <c r="I214" s="4" t="str">
        <f>HYPERLINK("http://141.218.60.56/~jnz1568/getInfo.php?workbook=08_06.xlsx&amp;sheet=A0&amp;row=214&amp;col=9&amp;number=&amp;sourceID=3","")</f>
        <v/>
      </c>
      <c r="J214" s="4" t="str">
        <f>HYPERLINK("http://141.218.60.56/~jnz1568/getInfo.php?workbook=08_06.xlsx&amp;sheet=A0&amp;row=214&amp;col=10&amp;number=2314.1&amp;sourceID=3","2314.1")</f>
        <v>2314.1</v>
      </c>
      <c r="K214" s="4" t="str">
        <f>HYPERLINK("http://141.218.60.56/~jnz1568/getInfo.php?workbook=08_06.xlsx&amp;sheet=A0&amp;row=214&amp;col=11&amp;number=&amp;sourceID=3","")</f>
        <v/>
      </c>
      <c r="L214" s="4" t="str">
        <f>HYPERLINK("http://141.218.60.56/~jnz1568/getInfo.php?workbook=08_06.xlsx&amp;sheet=A0&amp;row=214&amp;col=12&amp;number=&amp;sourceID=3","")</f>
        <v/>
      </c>
      <c r="M214" s="4" t="str">
        <f>HYPERLINK("http://141.218.60.56/~jnz1568/getInfo.php?workbook=08_06.xlsx&amp;sheet=A0&amp;row=214&amp;col=13&amp;number=&amp;sourceID=3","")</f>
        <v/>
      </c>
      <c r="N214" s="4" t="str">
        <f>HYPERLINK("http://141.218.60.56/~jnz1568/getInfo.php?workbook=08_06.xlsx&amp;sheet=A0&amp;row=214&amp;col=14&amp;number=1293&amp;sourceID=7","1293")</f>
        <v>1293</v>
      </c>
      <c r="O214" s="4" t="str">
        <f>HYPERLINK("http://141.218.60.56/~jnz1568/getInfo.php?workbook=08_06.xlsx&amp;sheet=A0&amp;row=214&amp;col=15&amp;number=&amp;sourceID=5","")</f>
        <v/>
      </c>
      <c r="P214" s="4" t="str">
        <f>HYPERLINK("http://141.218.60.56/~jnz1568/getInfo.php?workbook=08_06.xlsx&amp;sheet=A0&amp;row=214&amp;col=16&amp;number=&amp;sourceID=5","")</f>
        <v/>
      </c>
      <c r="Q214" s="4" t="str">
        <f>HYPERLINK("http://141.218.60.56/~jnz1568/getInfo.php?workbook=08_06.xlsx&amp;sheet=A0&amp;row=214&amp;col=17&amp;number=&amp;sourceID=6","")</f>
        <v/>
      </c>
    </row>
    <row r="215" spans="1:17">
      <c r="A215" s="3">
        <v>8</v>
      </c>
      <c r="B215" s="3">
        <v>6</v>
      </c>
      <c r="C215" s="3">
        <v>28</v>
      </c>
      <c r="D215" s="3">
        <v>18</v>
      </c>
      <c r="E215" s="3">
        <f>((1/(INDEX(E0!J$4:J$49,C215,1)-INDEX(E0!J$4:J$49,D215,1))))*100000000</f>
        <v>0</v>
      </c>
      <c r="F215" s="4" t="str">
        <f>HYPERLINK("http://141.218.60.56/~jnz1568/getInfo.php?workbook=08_06.xlsx&amp;sheet=A0&amp;row=215&amp;col=6&amp;number=1743.6&amp;sourceID=3","1743.6")</f>
        <v>1743.6</v>
      </c>
      <c r="G215" s="4" t="str">
        <f>HYPERLINK("http://141.218.60.56/~jnz1568/getInfo.php?workbook=08_06.xlsx&amp;sheet=A0&amp;row=215&amp;col=7&amp;number=&amp;sourceID=3","")</f>
        <v/>
      </c>
      <c r="H215" s="4" t="str">
        <f>HYPERLINK("http://141.218.60.56/~jnz1568/getInfo.php?workbook=08_06.xlsx&amp;sheet=A0&amp;row=215&amp;col=8&amp;number=&amp;sourceID=3","")</f>
        <v/>
      </c>
      <c r="I215" s="4" t="str">
        <f>HYPERLINK("http://141.218.60.56/~jnz1568/getInfo.php?workbook=08_06.xlsx&amp;sheet=A0&amp;row=215&amp;col=9&amp;number=&amp;sourceID=3","")</f>
        <v/>
      </c>
      <c r="J215" s="4" t="str">
        <f>HYPERLINK("http://141.218.60.56/~jnz1568/getInfo.php?workbook=08_06.xlsx&amp;sheet=A0&amp;row=215&amp;col=10&amp;number=8936.8&amp;sourceID=3","8936.8")</f>
        <v>8936.8</v>
      </c>
      <c r="K215" s="4" t="str">
        <f>HYPERLINK("http://141.218.60.56/~jnz1568/getInfo.php?workbook=08_06.xlsx&amp;sheet=A0&amp;row=215&amp;col=11&amp;number=&amp;sourceID=3","")</f>
        <v/>
      </c>
      <c r="L215" s="4" t="str">
        <f>HYPERLINK("http://141.218.60.56/~jnz1568/getInfo.php?workbook=08_06.xlsx&amp;sheet=A0&amp;row=215&amp;col=12&amp;number=&amp;sourceID=3","")</f>
        <v/>
      </c>
      <c r="M215" s="4" t="str">
        <f>HYPERLINK("http://141.218.60.56/~jnz1568/getInfo.php?workbook=08_06.xlsx&amp;sheet=A0&amp;row=215&amp;col=13&amp;number=&amp;sourceID=3","")</f>
        <v/>
      </c>
      <c r="N215" s="4" t="str">
        <f>HYPERLINK("http://141.218.60.56/~jnz1568/getInfo.php?workbook=08_06.xlsx&amp;sheet=A0&amp;row=215&amp;col=14&amp;number=4280&amp;sourceID=7","4280")</f>
        <v>4280</v>
      </c>
      <c r="O215" s="4" t="str">
        <f>HYPERLINK("http://141.218.60.56/~jnz1568/getInfo.php?workbook=08_06.xlsx&amp;sheet=A0&amp;row=215&amp;col=15&amp;number=&amp;sourceID=5","")</f>
        <v/>
      </c>
      <c r="P215" s="4" t="str">
        <f>HYPERLINK("http://141.218.60.56/~jnz1568/getInfo.php?workbook=08_06.xlsx&amp;sheet=A0&amp;row=215&amp;col=16&amp;number=&amp;sourceID=5","")</f>
        <v/>
      </c>
      <c r="Q215" s="4" t="str">
        <f>HYPERLINK("http://141.218.60.56/~jnz1568/getInfo.php?workbook=08_06.xlsx&amp;sheet=A0&amp;row=215&amp;col=17&amp;number=&amp;sourceID=6","")</f>
        <v/>
      </c>
    </row>
    <row r="216" spans="1:17">
      <c r="A216" s="3">
        <v>8</v>
      </c>
      <c r="B216" s="3">
        <v>6</v>
      </c>
      <c r="C216" s="3">
        <v>28</v>
      </c>
      <c r="D216" s="3">
        <v>19</v>
      </c>
      <c r="E216" s="3">
        <f>((1/(INDEX(E0!J$4:J$49,C216,1)-INDEX(E0!J$4:J$49,D216,1))))*100000000</f>
        <v>0</v>
      </c>
      <c r="F216" s="4" t="str">
        <f>HYPERLINK("http://141.218.60.56/~jnz1568/getInfo.php?workbook=08_06.xlsx&amp;sheet=A0&amp;row=216&amp;col=6&amp;number=32268&amp;sourceID=3","32268")</f>
        <v>32268</v>
      </c>
      <c r="G216" s="4" t="str">
        <f>HYPERLINK("http://141.218.60.56/~jnz1568/getInfo.php?workbook=08_06.xlsx&amp;sheet=A0&amp;row=216&amp;col=7&amp;number=&amp;sourceID=3","")</f>
        <v/>
      </c>
      <c r="H216" s="4" t="str">
        <f>HYPERLINK("http://141.218.60.56/~jnz1568/getInfo.php?workbook=08_06.xlsx&amp;sheet=A0&amp;row=216&amp;col=8&amp;number=&amp;sourceID=3","")</f>
        <v/>
      </c>
      <c r="I216" s="4" t="str">
        <f>HYPERLINK("http://141.218.60.56/~jnz1568/getInfo.php?workbook=08_06.xlsx&amp;sheet=A0&amp;row=216&amp;col=9&amp;number=&amp;sourceID=3","")</f>
        <v/>
      </c>
      <c r="J216" s="4" t="str">
        <f>HYPERLINK("http://141.218.60.56/~jnz1568/getInfo.php?workbook=08_06.xlsx&amp;sheet=A0&amp;row=216&amp;col=10&amp;number=72164&amp;sourceID=3","72164")</f>
        <v>72164</v>
      </c>
      <c r="K216" s="4" t="str">
        <f>HYPERLINK("http://141.218.60.56/~jnz1568/getInfo.php?workbook=08_06.xlsx&amp;sheet=A0&amp;row=216&amp;col=11&amp;number=&amp;sourceID=3","")</f>
        <v/>
      </c>
      <c r="L216" s="4" t="str">
        <f>HYPERLINK("http://141.218.60.56/~jnz1568/getInfo.php?workbook=08_06.xlsx&amp;sheet=A0&amp;row=216&amp;col=12&amp;number=&amp;sourceID=3","")</f>
        <v/>
      </c>
      <c r="M216" s="4" t="str">
        <f>HYPERLINK("http://141.218.60.56/~jnz1568/getInfo.php?workbook=08_06.xlsx&amp;sheet=A0&amp;row=216&amp;col=13&amp;number=&amp;sourceID=3","")</f>
        <v/>
      </c>
      <c r="N216" s="4" t="str">
        <f>HYPERLINK("http://141.218.60.56/~jnz1568/getInfo.php?workbook=08_06.xlsx&amp;sheet=A0&amp;row=216&amp;col=14&amp;number=124900&amp;sourceID=7","124900")</f>
        <v>124900</v>
      </c>
      <c r="O216" s="4" t="str">
        <f>HYPERLINK("http://141.218.60.56/~jnz1568/getInfo.php?workbook=08_06.xlsx&amp;sheet=A0&amp;row=216&amp;col=15&amp;number=&amp;sourceID=5","")</f>
        <v/>
      </c>
      <c r="P216" s="4" t="str">
        <f>HYPERLINK("http://141.218.60.56/~jnz1568/getInfo.php?workbook=08_06.xlsx&amp;sheet=A0&amp;row=216&amp;col=16&amp;number=&amp;sourceID=5","")</f>
        <v/>
      </c>
      <c r="Q216" s="4" t="str">
        <f>HYPERLINK("http://141.218.60.56/~jnz1568/getInfo.php?workbook=08_06.xlsx&amp;sheet=A0&amp;row=216&amp;col=17&amp;number=&amp;sourceID=6","")</f>
        <v/>
      </c>
    </row>
    <row r="217" spans="1:17">
      <c r="A217" s="3">
        <v>8</v>
      </c>
      <c r="B217" s="3">
        <v>6</v>
      </c>
      <c r="C217" s="3">
        <v>29</v>
      </c>
      <c r="D217" s="3">
        <v>9</v>
      </c>
      <c r="E217" s="3">
        <f>((1/(INDEX(E0!J$4:J$49,C217,1)-INDEX(E0!J$4:J$49,D217,1))))*100000000</f>
        <v>0</v>
      </c>
      <c r="F217" s="4" t="str">
        <f>HYPERLINK("http://141.218.60.56/~jnz1568/getInfo.php?workbook=08_06.xlsx&amp;sheet=A0&amp;row=217&amp;col=6&amp;number=128860000&amp;sourceID=3","128860000")</f>
        <v>128860000</v>
      </c>
      <c r="G217" s="4" t="str">
        <f>HYPERLINK("http://141.218.60.56/~jnz1568/getInfo.php?workbook=08_06.xlsx&amp;sheet=A0&amp;row=217&amp;col=7&amp;number=&amp;sourceID=3","")</f>
        <v/>
      </c>
      <c r="H217" s="4" t="str">
        <f>HYPERLINK("http://141.218.60.56/~jnz1568/getInfo.php?workbook=08_06.xlsx&amp;sheet=A0&amp;row=217&amp;col=8&amp;number=&amp;sourceID=3","")</f>
        <v/>
      </c>
      <c r="I217" s="4" t="str">
        <f>HYPERLINK("http://141.218.60.56/~jnz1568/getInfo.php?workbook=08_06.xlsx&amp;sheet=A0&amp;row=217&amp;col=9&amp;number=&amp;sourceID=3","")</f>
        <v/>
      </c>
      <c r="J217" s="4" t="str">
        <f>HYPERLINK("http://141.218.60.56/~jnz1568/getInfo.php?workbook=08_06.xlsx&amp;sheet=A0&amp;row=217&amp;col=10&amp;number=128420000&amp;sourceID=3","128420000")</f>
        <v>128420000</v>
      </c>
      <c r="K217" s="4" t="str">
        <f>HYPERLINK("http://141.218.60.56/~jnz1568/getInfo.php?workbook=08_06.xlsx&amp;sheet=A0&amp;row=217&amp;col=11&amp;number=&amp;sourceID=3","")</f>
        <v/>
      </c>
      <c r="L217" s="4" t="str">
        <f>HYPERLINK("http://141.218.60.56/~jnz1568/getInfo.php?workbook=08_06.xlsx&amp;sheet=A0&amp;row=217&amp;col=12&amp;number=&amp;sourceID=3","")</f>
        <v/>
      </c>
      <c r="M217" s="4" t="str">
        <f>HYPERLINK("http://141.218.60.56/~jnz1568/getInfo.php?workbook=08_06.xlsx&amp;sheet=A0&amp;row=217&amp;col=13&amp;number=&amp;sourceID=3","")</f>
        <v/>
      </c>
      <c r="N217" s="4" t="str">
        <f>HYPERLINK("http://141.218.60.56/~jnz1568/getInfo.php?workbook=08_06.xlsx&amp;sheet=A0&amp;row=217&amp;col=14&amp;number=89870000&amp;sourceID=7","89870000")</f>
        <v>89870000</v>
      </c>
      <c r="O217" s="4" t="str">
        <f>HYPERLINK("http://141.218.60.56/~jnz1568/getInfo.php?workbook=08_06.xlsx&amp;sheet=A0&amp;row=217&amp;col=15&amp;number=&amp;sourceID=5","")</f>
        <v/>
      </c>
      <c r="P217" s="4" t="str">
        <f>HYPERLINK("http://141.218.60.56/~jnz1568/getInfo.php?workbook=08_06.xlsx&amp;sheet=A0&amp;row=217&amp;col=16&amp;number=&amp;sourceID=5","")</f>
        <v/>
      </c>
      <c r="Q217" s="4" t="str">
        <f>HYPERLINK("http://141.218.60.56/~jnz1568/getInfo.php?workbook=08_06.xlsx&amp;sheet=A0&amp;row=217&amp;col=17&amp;number=&amp;sourceID=6","")</f>
        <v/>
      </c>
    </row>
    <row r="218" spans="1:17">
      <c r="A218" s="3">
        <v>8</v>
      </c>
      <c r="B218" s="3">
        <v>6</v>
      </c>
      <c r="C218" s="3">
        <v>29</v>
      </c>
      <c r="D218" s="3">
        <v>11</v>
      </c>
      <c r="E218" s="3">
        <f>((1/(INDEX(E0!J$4:J$49,C218,1)-INDEX(E0!J$4:J$49,D218,1))))*100000000</f>
        <v>0</v>
      </c>
      <c r="F218" s="4" t="str">
        <f>HYPERLINK("http://141.218.60.56/~jnz1568/getInfo.php?workbook=08_06.xlsx&amp;sheet=A0&amp;row=218&amp;col=6&amp;number=13032000&amp;sourceID=3","13032000")</f>
        <v>13032000</v>
      </c>
      <c r="G218" s="4" t="str">
        <f>HYPERLINK("http://141.218.60.56/~jnz1568/getInfo.php?workbook=08_06.xlsx&amp;sheet=A0&amp;row=218&amp;col=7&amp;number=&amp;sourceID=3","")</f>
        <v/>
      </c>
      <c r="H218" s="4" t="str">
        <f>HYPERLINK("http://141.218.60.56/~jnz1568/getInfo.php?workbook=08_06.xlsx&amp;sheet=A0&amp;row=218&amp;col=8&amp;number=&amp;sourceID=3","")</f>
        <v/>
      </c>
      <c r="I218" s="4" t="str">
        <f>HYPERLINK("http://141.218.60.56/~jnz1568/getInfo.php?workbook=08_06.xlsx&amp;sheet=A0&amp;row=218&amp;col=9&amp;number=&amp;sourceID=3","")</f>
        <v/>
      </c>
      <c r="J218" s="4" t="str">
        <f>HYPERLINK("http://141.218.60.56/~jnz1568/getInfo.php?workbook=08_06.xlsx&amp;sheet=A0&amp;row=218&amp;col=10&amp;number=13158000&amp;sourceID=3","13158000")</f>
        <v>13158000</v>
      </c>
      <c r="K218" s="4" t="str">
        <f>HYPERLINK("http://141.218.60.56/~jnz1568/getInfo.php?workbook=08_06.xlsx&amp;sheet=A0&amp;row=218&amp;col=11&amp;number=&amp;sourceID=3","")</f>
        <v/>
      </c>
      <c r="L218" s="4" t="str">
        <f>HYPERLINK("http://141.218.60.56/~jnz1568/getInfo.php?workbook=08_06.xlsx&amp;sheet=A0&amp;row=218&amp;col=12&amp;number=&amp;sourceID=3","")</f>
        <v/>
      </c>
      <c r="M218" s="4" t="str">
        <f>HYPERLINK("http://141.218.60.56/~jnz1568/getInfo.php?workbook=08_06.xlsx&amp;sheet=A0&amp;row=218&amp;col=13&amp;number=&amp;sourceID=3","")</f>
        <v/>
      </c>
      <c r="N218" s="4" t="str">
        <f>HYPERLINK("http://141.218.60.56/~jnz1568/getInfo.php?workbook=08_06.xlsx&amp;sheet=A0&amp;row=218&amp;col=14&amp;number=29430000&amp;sourceID=7","29430000")</f>
        <v>29430000</v>
      </c>
      <c r="O218" s="4" t="str">
        <f>HYPERLINK("http://141.218.60.56/~jnz1568/getInfo.php?workbook=08_06.xlsx&amp;sheet=A0&amp;row=218&amp;col=15&amp;number=&amp;sourceID=5","")</f>
        <v/>
      </c>
      <c r="P218" s="4" t="str">
        <f>HYPERLINK("http://141.218.60.56/~jnz1568/getInfo.php?workbook=08_06.xlsx&amp;sheet=A0&amp;row=218&amp;col=16&amp;number=&amp;sourceID=5","")</f>
        <v/>
      </c>
      <c r="Q218" s="4" t="str">
        <f>HYPERLINK("http://141.218.60.56/~jnz1568/getInfo.php?workbook=08_06.xlsx&amp;sheet=A0&amp;row=218&amp;col=17&amp;number=&amp;sourceID=6","")</f>
        <v/>
      </c>
    </row>
    <row r="219" spans="1:17">
      <c r="A219" s="3">
        <v>8</v>
      </c>
      <c r="B219" s="3">
        <v>6</v>
      </c>
      <c r="C219" s="3">
        <v>29</v>
      </c>
      <c r="D219" s="3">
        <v>14</v>
      </c>
      <c r="E219" s="3">
        <f>((1/(INDEX(E0!J$4:J$49,C219,1)-INDEX(E0!J$4:J$49,D219,1))))*100000000</f>
        <v>0</v>
      </c>
      <c r="F219" s="4" t="str">
        <f>HYPERLINK("http://141.218.60.56/~jnz1568/getInfo.php?workbook=08_06.xlsx&amp;sheet=A0&amp;row=219&amp;col=6&amp;number=990490&amp;sourceID=3","990490")</f>
        <v>990490</v>
      </c>
      <c r="G219" s="4" t="str">
        <f>HYPERLINK("http://141.218.60.56/~jnz1568/getInfo.php?workbook=08_06.xlsx&amp;sheet=A0&amp;row=219&amp;col=7&amp;number=&amp;sourceID=3","")</f>
        <v/>
      </c>
      <c r="H219" s="4" t="str">
        <f>HYPERLINK("http://141.218.60.56/~jnz1568/getInfo.php?workbook=08_06.xlsx&amp;sheet=A0&amp;row=219&amp;col=8&amp;number=&amp;sourceID=3","")</f>
        <v/>
      </c>
      <c r="I219" s="4" t="str">
        <f>HYPERLINK("http://141.218.60.56/~jnz1568/getInfo.php?workbook=08_06.xlsx&amp;sheet=A0&amp;row=219&amp;col=9&amp;number=&amp;sourceID=3","")</f>
        <v/>
      </c>
      <c r="J219" s="4" t="str">
        <f>HYPERLINK("http://141.218.60.56/~jnz1568/getInfo.php?workbook=08_06.xlsx&amp;sheet=A0&amp;row=219&amp;col=10&amp;number=1022100&amp;sourceID=3","1022100")</f>
        <v>1022100</v>
      </c>
      <c r="K219" s="4" t="str">
        <f>HYPERLINK("http://141.218.60.56/~jnz1568/getInfo.php?workbook=08_06.xlsx&amp;sheet=A0&amp;row=219&amp;col=11&amp;number=&amp;sourceID=3","")</f>
        <v/>
      </c>
      <c r="L219" s="4" t="str">
        <f>HYPERLINK("http://141.218.60.56/~jnz1568/getInfo.php?workbook=08_06.xlsx&amp;sheet=A0&amp;row=219&amp;col=12&amp;number=&amp;sourceID=3","")</f>
        <v/>
      </c>
      <c r="M219" s="4" t="str">
        <f>HYPERLINK("http://141.218.60.56/~jnz1568/getInfo.php?workbook=08_06.xlsx&amp;sheet=A0&amp;row=219&amp;col=13&amp;number=&amp;sourceID=3","")</f>
        <v/>
      </c>
      <c r="N219" s="4" t="str">
        <f>HYPERLINK("http://141.218.60.56/~jnz1568/getInfo.php?workbook=08_06.xlsx&amp;sheet=A0&amp;row=219&amp;col=14&amp;number=4262000&amp;sourceID=7","4262000")</f>
        <v>4262000</v>
      </c>
      <c r="O219" s="4" t="str">
        <f>HYPERLINK("http://141.218.60.56/~jnz1568/getInfo.php?workbook=08_06.xlsx&amp;sheet=A0&amp;row=219&amp;col=15&amp;number=&amp;sourceID=5","")</f>
        <v/>
      </c>
      <c r="P219" s="4" t="str">
        <f>HYPERLINK("http://141.218.60.56/~jnz1568/getInfo.php?workbook=08_06.xlsx&amp;sheet=A0&amp;row=219&amp;col=16&amp;number=&amp;sourceID=5","")</f>
        <v/>
      </c>
      <c r="Q219" s="4" t="str">
        <f>HYPERLINK("http://141.218.60.56/~jnz1568/getInfo.php?workbook=08_06.xlsx&amp;sheet=A0&amp;row=219&amp;col=17&amp;number=&amp;sourceID=6","")</f>
        <v/>
      </c>
    </row>
    <row r="220" spans="1:17">
      <c r="A220" s="3">
        <v>8</v>
      </c>
      <c r="B220" s="3">
        <v>6</v>
      </c>
      <c r="C220" s="3">
        <v>29</v>
      </c>
      <c r="D220" s="3">
        <v>15</v>
      </c>
      <c r="E220" s="3">
        <f>((1/(INDEX(E0!J$4:J$49,C220,1)-INDEX(E0!J$4:J$49,D220,1))))*100000000</f>
        <v>0</v>
      </c>
      <c r="F220" s="4" t="str">
        <f>HYPERLINK("http://141.218.60.56/~jnz1568/getInfo.php?workbook=08_06.xlsx&amp;sheet=A0&amp;row=220&amp;col=6&amp;number=31768&amp;sourceID=3","31768")</f>
        <v>31768</v>
      </c>
      <c r="G220" s="4" t="str">
        <f>HYPERLINK("http://141.218.60.56/~jnz1568/getInfo.php?workbook=08_06.xlsx&amp;sheet=A0&amp;row=220&amp;col=7&amp;number=&amp;sourceID=3","")</f>
        <v/>
      </c>
      <c r="H220" s="4" t="str">
        <f>HYPERLINK("http://141.218.60.56/~jnz1568/getInfo.php?workbook=08_06.xlsx&amp;sheet=A0&amp;row=220&amp;col=8&amp;number=&amp;sourceID=3","")</f>
        <v/>
      </c>
      <c r="I220" s="4" t="str">
        <f>HYPERLINK("http://141.218.60.56/~jnz1568/getInfo.php?workbook=08_06.xlsx&amp;sheet=A0&amp;row=220&amp;col=9&amp;number=&amp;sourceID=3","")</f>
        <v/>
      </c>
      <c r="J220" s="4" t="str">
        <f>HYPERLINK("http://141.218.60.56/~jnz1568/getInfo.php?workbook=08_06.xlsx&amp;sheet=A0&amp;row=220&amp;col=10&amp;number=30830&amp;sourceID=3","30830")</f>
        <v>30830</v>
      </c>
      <c r="K220" s="4" t="str">
        <f>HYPERLINK("http://141.218.60.56/~jnz1568/getInfo.php?workbook=08_06.xlsx&amp;sheet=A0&amp;row=220&amp;col=11&amp;number=&amp;sourceID=3","")</f>
        <v/>
      </c>
      <c r="L220" s="4" t="str">
        <f>HYPERLINK("http://141.218.60.56/~jnz1568/getInfo.php?workbook=08_06.xlsx&amp;sheet=A0&amp;row=220&amp;col=12&amp;number=&amp;sourceID=3","")</f>
        <v/>
      </c>
      <c r="M220" s="4" t="str">
        <f>HYPERLINK("http://141.218.60.56/~jnz1568/getInfo.php?workbook=08_06.xlsx&amp;sheet=A0&amp;row=220&amp;col=13&amp;number=&amp;sourceID=3","")</f>
        <v/>
      </c>
      <c r="N220" s="4" t="str">
        <f>HYPERLINK("http://141.218.60.56/~jnz1568/getInfo.php?workbook=08_06.xlsx&amp;sheet=A0&amp;row=220&amp;col=14&amp;number=17700&amp;sourceID=7","17700")</f>
        <v>17700</v>
      </c>
      <c r="O220" s="4" t="str">
        <f>HYPERLINK("http://141.218.60.56/~jnz1568/getInfo.php?workbook=08_06.xlsx&amp;sheet=A0&amp;row=220&amp;col=15&amp;number=&amp;sourceID=5","")</f>
        <v/>
      </c>
      <c r="P220" s="4" t="str">
        <f>HYPERLINK("http://141.218.60.56/~jnz1568/getInfo.php?workbook=08_06.xlsx&amp;sheet=A0&amp;row=220&amp;col=16&amp;number=&amp;sourceID=5","")</f>
        <v/>
      </c>
      <c r="Q220" s="4" t="str">
        <f>HYPERLINK("http://141.218.60.56/~jnz1568/getInfo.php?workbook=08_06.xlsx&amp;sheet=A0&amp;row=220&amp;col=17&amp;number=&amp;sourceID=6","")</f>
        <v/>
      </c>
    </row>
    <row r="221" spans="1:17">
      <c r="A221" s="3">
        <v>8</v>
      </c>
      <c r="B221" s="3">
        <v>6</v>
      </c>
      <c r="C221" s="3">
        <v>29</v>
      </c>
      <c r="D221" s="3">
        <v>17</v>
      </c>
      <c r="E221" s="3">
        <f>((1/(INDEX(E0!J$4:J$49,C221,1)-INDEX(E0!J$4:J$49,D221,1))))*100000000</f>
        <v>0</v>
      </c>
      <c r="F221" s="4" t="str">
        <f>HYPERLINK("http://141.218.60.56/~jnz1568/getInfo.php?workbook=08_06.xlsx&amp;sheet=A0&amp;row=221&amp;col=6&amp;number=196070000&amp;sourceID=3","196070000")</f>
        <v>196070000</v>
      </c>
      <c r="G221" s="4" t="str">
        <f>HYPERLINK("http://141.218.60.56/~jnz1568/getInfo.php?workbook=08_06.xlsx&amp;sheet=A0&amp;row=221&amp;col=7&amp;number=&amp;sourceID=3","")</f>
        <v/>
      </c>
      <c r="H221" s="4" t="str">
        <f>HYPERLINK("http://141.218.60.56/~jnz1568/getInfo.php?workbook=08_06.xlsx&amp;sheet=A0&amp;row=221&amp;col=8&amp;number=&amp;sourceID=3","")</f>
        <v/>
      </c>
      <c r="I221" s="4" t="str">
        <f>HYPERLINK("http://141.218.60.56/~jnz1568/getInfo.php?workbook=08_06.xlsx&amp;sheet=A0&amp;row=221&amp;col=9&amp;number=&amp;sourceID=3","")</f>
        <v/>
      </c>
      <c r="J221" s="4" t="str">
        <f>HYPERLINK("http://141.218.60.56/~jnz1568/getInfo.php?workbook=08_06.xlsx&amp;sheet=A0&amp;row=221&amp;col=10&amp;number=197600000&amp;sourceID=3","197600000")</f>
        <v>197600000</v>
      </c>
      <c r="K221" s="4" t="str">
        <f>HYPERLINK("http://141.218.60.56/~jnz1568/getInfo.php?workbook=08_06.xlsx&amp;sheet=A0&amp;row=221&amp;col=11&amp;number=&amp;sourceID=3","")</f>
        <v/>
      </c>
      <c r="L221" s="4" t="str">
        <f>HYPERLINK("http://141.218.60.56/~jnz1568/getInfo.php?workbook=08_06.xlsx&amp;sheet=A0&amp;row=221&amp;col=12&amp;number=&amp;sourceID=3","")</f>
        <v/>
      </c>
      <c r="M221" s="4" t="str">
        <f>HYPERLINK("http://141.218.60.56/~jnz1568/getInfo.php?workbook=08_06.xlsx&amp;sheet=A0&amp;row=221&amp;col=13&amp;number=&amp;sourceID=3","")</f>
        <v/>
      </c>
      <c r="N221" s="4" t="str">
        <f>HYPERLINK("http://141.218.60.56/~jnz1568/getInfo.php?workbook=08_06.xlsx&amp;sheet=A0&amp;row=221&amp;col=14&amp;number=158800000&amp;sourceID=7","158800000")</f>
        <v>158800000</v>
      </c>
      <c r="O221" s="4" t="str">
        <f>HYPERLINK("http://141.218.60.56/~jnz1568/getInfo.php?workbook=08_06.xlsx&amp;sheet=A0&amp;row=221&amp;col=15&amp;number=&amp;sourceID=5","")</f>
        <v/>
      </c>
      <c r="P221" s="4" t="str">
        <f>HYPERLINK("http://141.218.60.56/~jnz1568/getInfo.php?workbook=08_06.xlsx&amp;sheet=A0&amp;row=221&amp;col=16&amp;number=&amp;sourceID=5","")</f>
        <v/>
      </c>
      <c r="Q221" s="4" t="str">
        <f>HYPERLINK("http://141.218.60.56/~jnz1568/getInfo.php?workbook=08_06.xlsx&amp;sheet=A0&amp;row=221&amp;col=17&amp;number=&amp;sourceID=6","")</f>
        <v/>
      </c>
    </row>
    <row r="222" spans="1:17">
      <c r="A222" s="3">
        <v>8</v>
      </c>
      <c r="B222" s="3">
        <v>6</v>
      </c>
      <c r="C222" s="3">
        <v>29</v>
      </c>
      <c r="D222" s="3">
        <v>19</v>
      </c>
      <c r="E222" s="3">
        <f>((1/(INDEX(E0!J$4:J$49,C222,1)-INDEX(E0!J$4:J$49,D222,1))))*100000000</f>
        <v>0</v>
      </c>
      <c r="F222" s="4" t="str">
        <f>HYPERLINK("http://141.218.60.56/~jnz1568/getInfo.php?workbook=08_06.xlsx&amp;sheet=A0&amp;row=222&amp;col=6&amp;number=31712&amp;sourceID=3","31712")</f>
        <v>31712</v>
      </c>
      <c r="G222" s="4" t="str">
        <f>HYPERLINK("http://141.218.60.56/~jnz1568/getInfo.php?workbook=08_06.xlsx&amp;sheet=A0&amp;row=222&amp;col=7&amp;number=&amp;sourceID=3","")</f>
        <v/>
      </c>
      <c r="H222" s="4" t="str">
        <f>HYPERLINK("http://141.218.60.56/~jnz1568/getInfo.php?workbook=08_06.xlsx&amp;sheet=A0&amp;row=222&amp;col=8&amp;number=&amp;sourceID=3","")</f>
        <v/>
      </c>
      <c r="I222" s="4" t="str">
        <f>HYPERLINK("http://141.218.60.56/~jnz1568/getInfo.php?workbook=08_06.xlsx&amp;sheet=A0&amp;row=222&amp;col=9&amp;number=&amp;sourceID=3","")</f>
        <v/>
      </c>
      <c r="J222" s="4" t="str">
        <f>HYPERLINK("http://141.218.60.56/~jnz1568/getInfo.php?workbook=08_06.xlsx&amp;sheet=A0&amp;row=222&amp;col=10&amp;number=31486&amp;sourceID=3","31486")</f>
        <v>31486</v>
      </c>
      <c r="K222" s="4" t="str">
        <f>HYPERLINK("http://141.218.60.56/~jnz1568/getInfo.php?workbook=08_06.xlsx&amp;sheet=A0&amp;row=222&amp;col=11&amp;number=&amp;sourceID=3","")</f>
        <v/>
      </c>
      <c r="L222" s="4" t="str">
        <f>HYPERLINK("http://141.218.60.56/~jnz1568/getInfo.php?workbook=08_06.xlsx&amp;sheet=A0&amp;row=222&amp;col=12&amp;number=&amp;sourceID=3","")</f>
        <v/>
      </c>
      <c r="M222" s="4" t="str">
        <f>HYPERLINK("http://141.218.60.56/~jnz1568/getInfo.php?workbook=08_06.xlsx&amp;sheet=A0&amp;row=222&amp;col=13&amp;number=&amp;sourceID=3","")</f>
        <v/>
      </c>
      <c r="N222" s="4" t="str">
        <f>HYPERLINK("http://141.218.60.56/~jnz1568/getInfo.php?workbook=08_06.xlsx&amp;sheet=A0&amp;row=222&amp;col=14&amp;number=6772&amp;sourceID=7","6772")</f>
        <v>6772</v>
      </c>
      <c r="O222" s="4" t="str">
        <f>HYPERLINK("http://141.218.60.56/~jnz1568/getInfo.php?workbook=08_06.xlsx&amp;sheet=A0&amp;row=222&amp;col=15&amp;number=&amp;sourceID=5","")</f>
        <v/>
      </c>
      <c r="P222" s="4" t="str">
        <f>HYPERLINK("http://141.218.60.56/~jnz1568/getInfo.php?workbook=08_06.xlsx&amp;sheet=A0&amp;row=222&amp;col=16&amp;number=&amp;sourceID=5","")</f>
        <v/>
      </c>
      <c r="Q222" s="4" t="str">
        <f>HYPERLINK("http://141.218.60.56/~jnz1568/getInfo.php?workbook=08_06.xlsx&amp;sheet=A0&amp;row=222&amp;col=17&amp;number=&amp;sourceID=6","")</f>
        <v/>
      </c>
    </row>
    <row r="223" spans="1:17">
      <c r="A223" s="3">
        <v>8</v>
      </c>
      <c r="B223" s="3">
        <v>6</v>
      </c>
      <c r="C223" s="3">
        <v>30</v>
      </c>
      <c r="D223" s="3">
        <v>6</v>
      </c>
      <c r="E223" s="3">
        <f>((1/(INDEX(E0!J$4:J$49,C223,1)-INDEX(E0!J$4:J$49,D223,1))))*100000000</f>
        <v>0</v>
      </c>
      <c r="F223" s="4" t="str">
        <f>HYPERLINK("http://141.218.60.56/~jnz1568/getInfo.php?workbook=08_06.xlsx&amp;sheet=A0&amp;row=223&amp;col=6&amp;number=45.066&amp;sourceID=3","45.066")</f>
        <v>45.066</v>
      </c>
      <c r="G223" s="4" t="str">
        <f>HYPERLINK("http://141.218.60.56/~jnz1568/getInfo.php?workbook=08_06.xlsx&amp;sheet=A0&amp;row=223&amp;col=7&amp;number=&amp;sourceID=3","")</f>
        <v/>
      </c>
      <c r="H223" s="4" t="str">
        <f>HYPERLINK("http://141.218.60.56/~jnz1568/getInfo.php?workbook=08_06.xlsx&amp;sheet=A0&amp;row=223&amp;col=8&amp;number=&amp;sourceID=3","")</f>
        <v/>
      </c>
      <c r="I223" s="4" t="str">
        <f>HYPERLINK("http://141.218.60.56/~jnz1568/getInfo.php?workbook=08_06.xlsx&amp;sheet=A0&amp;row=223&amp;col=9&amp;number=&amp;sourceID=3","")</f>
        <v/>
      </c>
      <c r="J223" s="4" t="str">
        <f>HYPERLINK("http://141.218.60.56/~jnz1568/getInfo.php?workbook=08_06.xlsx&amp;sheet=A0&amp;row=223&amp;col=10&amp;number=45.344&amp;sourceID=3","45.344")</f>
        <v>45.344</v>
      </c>
      <c r="K223" s="4" t="str">
        <f>HYPERLINK("http://141.218.60.56/~jnz1568/getInfo.php?workbook=08_06.xlsx&amp;sheet=A0&amp;row=223&amp;col=11&amp;number=&amp;sourceID=3","")</f>
        <v/>
      </c>
      <c r="L223" s="4" t="str">
        <f>HYPERLINK("http://141.218.60.56/~jnz1568/getInfo.php?workbook=08_06.xlsx&amp;sheet=A0&amp;row=223&amp;col=12&amp;number=&amp;sourceID=3","")</f>
        <v/>
      </c>
      <c r="M223" s="4" t="str">
        <f>HYPERLINK("http://141.218.60.56/~jnz1568/getInfo.php?workbook=08_06.xlsx&amp;sheet=A0&amp;row=223&amp;col=13&amp;number=&amp;sourceID=3","")</f>
        <v/>
      </c>
      <c r="N223" s="4" t="str">
        <f>HYPERLINK("http://141.218.60.56/~jnz1568/getInfo.php?workbook=08_06.xlsx&amp;sheet=A0&amp;row=223&amp;col=14&amp;number=87.98&amp;sourceID=7","87.98")</f>
        <v>87.98</v>
      </c>
      <c r="O223" s="4" t="str">
        <f>HYPERLINK("http://141.218.60.56/~jnz1568/getInfo.php?workbook=08_06.xlsx&amp;sheet=A0&amp;row=223&amp;col=15&amp;number=&amp;sourceID=5","")</f>
        <v/>
      </c>
      <c r="P223" s="4" t="str">
        <f>HYPERLINK("http://141.218.60.56/~jnz1568/getInfo.php?workbook=08_06.xlsx&amp;sheet=A0&amp;row=223&amp;col=16&amp;number=&amp;sourceID=5","")</f>
        <v/>
      </c>
      <c r="Q223" s="4" t="str">
        <f>HYPERLINK("http://141.218.60.56/~jnz1568/getInfo.php?workbook=08_06.xlsx&amp;sheet=A0&amp;row=223&amp;col=17&amp;number=&amp;sourceID=6","")</f>
        <v/>
      </c>
    </row>
    <row r="224" spans="1:17">
      <c r="A224" s="3">
        <v>8</v>
      </c>
      <c r="B224" s="3">
        <v>6</v>
      </c>
      <c r="C224" s="3">
        <v>30</v>
      </c>
      <c r="D224" s="3">
        <v>8</v>
      </c>
      <c r="E224" s="3">
        <f>((1/(INDEX(E0!J$4:J$49,C224,1)-INDEX(E0!J$4:J$49,D224,1))))*100000000</f>
        <v>0</v>
      </c>
      <c r="F224" s="4" t="str">
        <f>HYPERLINK("http://141.218.60.56/~jnz1568/getInfo.php?workbook=08_06.xlsx&amp;sheet=A0&amp;row=224&amp;col=6&amp;number=96644000&amp;sourceID=3","96644000")</f>
        <v>96644000</v>
      </c>
      <c r="G224" s="4" t="str">
        <f>HYPERLINK("http://141.218.60.56/~jnz1568/getInfo.php?workbook=08_06.xlsx&amp;sheet=A0&amp;row=224&amp;col=7&amp;number=&amp;sourceID=3","")</f>
        <v/>
      </c>
      <c r="H224" s="4" t="str">
        <f>HYPERLINK("http://141.218.60.56/~jnz1568/getInfo.php?workbook=08_06.xlsx&amp;sheet=A0&amp;row=224&amp;col=8&amp;number=&amp;sourceID=3","")</f>
        <v/>
      </c>
      <c r="I224" s="4" t="str">
        <f>HYPERLINK("http://141.218.60.56/~jnz1568/getInfo.php?workbook=08_06.xlsx&amp;sheet=A0&amp;row=224&amp;col=9&amp;number=&amp;sourceID=3","")</f>
        <v/>
      </c>
      <c r="J224" s="4" t="str">
        <f>HYPERLINK("http://141.218.60.56/~jnz1568/getInfo.php?workbook=08_06.xlsx&amp;sheet=A0&amp;row=224&amp;col=10&amp;number=96320000&amp;sourceID=3","96320000")</f>
        <v>96320000</v>
      </c>
      <c r="K224" s="4" t="str">
        <f>HYPERLINK("http://141.218.60.56/~jnz1568/getInfo.php?workbook=08_06.xlsx&amp;sheet=A0&amp;row=224&amp;col=11&amp;number=&amp;sourceID=3","")</f>
        <v/>
      </c>
      <c r="L224" s="4" t="str">
        <f>HYPERLINK("http://141.218.60.56/~jnz1568/getInfo.php?workbook=08_06.xlsx&amp;sheet=A0&amp;row=224&amp;col=12&amp;number=&amp;sourceID=3","")</f>
        <v/>
      </c>
      <c r="M224" s="4" t="str">
        <f>HYPERLINK("http://141.218.60.56/~jnz1568/getInfo.php?workbook=08_06.xlsx&amp;sheet=A0&amp;row=224&amp;col=13&amp;number=&amp;sourceID=3","")</f>
        <v/>
      </c>
      <c r="N224" s="4" t="str">
        <f>HYPERLINK("http://141.218.60.56/~jnz1568/getInfo.php?workbook=08_06.xlsx&amp;sheet=A0&amp;row=224&amp;col=14&amp;number=68390000&amp;sourceID=7","68390000")</f>
        <v>68390000</v>
      </c>
      <c r="O224" s="4" t="str">
        <f>HYPERLINK("http://141.218.60.56/~jnz1568/getInfo.php?workbook=08_06.xlsx&amp;sheet=A0&amp;row=224&amp;col=15&amp;number=&amp;sourceID=5","")</f>
        <v/>
      </c>
      <c r="P224" s="4" t="str">
        <f>HYPERLINK("http://141.218.60.56/~jnz1568/getInfo.php?workbook=08_06.xlsx&amp;sheet=A0&amp;row=224&amp;col=16&amp;number=&amp;sourceID=5","")</f>
        <v/>
      </c>
      <c r="Q224" s="4" t="str">
        <f>HYPERLINK("http://141.218.60.56/~jnz1568/getInfo.php?workbook=08_06.xlsx&amp;sheet=A0&amp;row=224&amp;col=17&amp;number=&amp;sourceID=6","")</f>
        <v/>
      </c>
    </row>
    <row r="225" spans="1:17">
      <c r="A225" s="3">
        <v>8</v>
      </c>
      <c r="B225" s="3">
        <v>6</v>
      </c>
      <c r="C225" s="3">
        <v>30</v>
      </c>
      <c r="D225" s="3">
        <v>9</v>
      </c>
      <c r="E225" s="3">
        <f>((1/(INDEX(E0!J$4:J$49,C225,1)-INDEX(E0!J$4:J$49,D225,1))))*100000000</f>
        <v>0</v>
      </c>
      <c r="F225" s="4" t="str">
        <f>HYPERLINK("http://141.218.60.56/~jnz1568/getInfo.php?workbook=08_06.xlsx&amp;sheet=A0&amp;row=225&amp;col=6&amp;number=32752000&amp;sourceID=3","32752000")</f>
        <v>32752000</v>
      </c>
      <c r="G225" s="4" t="str">
        <f>HYPERLINK("http://141.218.60.56/~jnz1568/getInfo.php?workbook=08_06.xlsx&amp;sheet=A0&amp;row=225&amp;col=7&amp;number=&amp;sourceID=3","")</f>
        <v/>
      </c>
      <c r="H225" s="4" t="str">
        <f>HYPERLINK("http://141.218.60.56/~jnz1568/getInfo.php?workbook=08_06.xlsx&amp;sheet=A0&amp;row=225&amp;col=8&amp;number=&amp;sourceID=3","")</f>
        <v/>
      </c>
      <c r="I225" s="4" t="str">
        <f>HYPERLINK("http://141.218.60.56/~jnz1568/getInfo.php?workbook=08_06.xlsx&amp;sheet=A0&amp;row=225&amp;col=9&amp;number=&amp;sourceID=3","")</f>
        <v/>
      </c>
      <c r="J225" s="4" t="str">
        <f>HYPERLINK("http://141.218.60.56/~jnz1568/getInfo.php?workbook=08_06.xlsx&amp;sheet=A0&amp;row=225&amp;col=10&amp;number=32650000&amp;sourceID=3","32650000")</f>
        <v>32650000</v>
      </c>
      <c r="K225" s="4" t="str">
        <f>HYPERLINK("http://141.218.60.56/~jnz1568/getInfo.php?workbook=08_06.xlsx&amp;sheet=A0&amp;row=225&amp;col=11&amp;number=&amp;sourceID=3","")</f>
        <v/>
      </c>
      <c r="L225" s="4" t="str">
        <f>HYPERLINK("http://141.218.60.56/~jnz1568/getInfo.php?workbook=08_06.xlsx&amp;sheet=A0&amp;row=225&amp;col=12&amp;number=&amp;sourceID=3","")</f>
        <v/>
      </c>
      <c r="M225" s="4" t="str">
        <f>HYPERLINK("http://141.218.60.56/~jnz1568/getInfo.php?workbook=08_06.xlsx&amp;sheet=A0&amp;row=225&amp;col=13&amp;number=&amp;sourceID=3","")</f>
        <v/>
      </c>
      <c r="N225" s="4" t="str">
        <f>HYPERLINK("http://141.218.60.56/~jnz1568/getInfo.php?workbook=08_06.xlsx&amp;sheet=A0&amp;row=225&amp;col=14&amp;number=23010000&amp;sourceID=7","23010000")</f>
        <v>23010000</v>
      </c>
      <c r="O225" s="4" t="str">
        <f>HYPERLINK("http://141.218.60.56/~jnz1568/getInfo.php?workbook=08_06.xlsx&amp;sheet=A0&amp;row=225&amp;col=15&amp;number=&amp;sourceID=5","")</f>
        <v/>
      </c>
      <c r="P225" s="4" t="str">
        <f>HYPERLINK("http://141.218.60.56/~jnz1568/getInfo.php?workbook=08_06.xlsx&amp;sheet=A0&amp;row=225&amp;col=16&amp;number=&amp;sourceID=5","")</f>
        <v/>
      </c>
      <c r="Q225" s="4" t="str">
        <f>HYPERLINK("http://141.218.60.56/~jnz1568/getInfo.php?workbook=08_06.xlsx&amp;sheet=A0&amp;row=225&amp;col=17&amp;number=&amp;sourceID=6","")</f>
        <v/>
      </c>
    </row>
    <row r="226" spans="1:17">
      <c r="A226" s="3">
        <v>8</v>
      </c>
      <c r="B226" s="3">
        <v>6</v>
      </c>
      <c r="C226" s="3">
        <v>30</v>
      </c>
      <c r="D226" s="3">
        <v>10</v>
      </c>
      <c r="E226" s="3">
        <f>((1/(INDEX(E0!J$4:J$49,C226,1)-INDEX(E0!J$4:J$49,D226,1))))*100000000</f>
        <v>0</v>
      </c>
      <c r="F226" s="4" t="str">
        <f>HYPERLINK("http://141.218.60.56/~jnz1568/getInfo.php?workbook=08_06.xlsx&amp;sheet=A0&amp;row=226&amp;col=6&amp;number=2848800&amp;sourceID=3","2848800")</f>
        <v>2848800</v>
      </c>
      <c r="G226" s="4" t="str">
        <f>HYPERLINK("http://141.218.60.56/~jnz1568/getInfo.php?workbook=08_06.xlsx&amp;sheet=A0&amp;row=226&amp;col=7&amp;number=&amp;sourceID=3","")</f>
        <v/>
      </c>
      <c r="H226" s="4" t="str">
        <f>HYPERLINK("http://141.218.60.56/~jnz1568/getInfo.php?workbook=08_06.xlsx&amp;sheet=A0&amp;row=226&amp;col=8&amp;number=&amp;sourceID=3","")</f>
        <v/>
      </c>
      <c r="I226" s="4" t="str">
        <f>HYPERLINK("http://141.218.60.56/~jnz1568/getInfo.php?workbook=08_06.xlsx&amp;sheet=A0&amp;row=226&amp;col=9&amp;number=&amp;sourceID=3","")</f>
        <v/>
      </c>
      <c r="J226" s="4" t="str">
        <f>HYPERLINK("http://141.218.60.56/~jnz1568/getInfo.php?workbook=08_06.xlsx&amp;sheet=A0&amp;row=226&amp;col=10&amp;number=2882800&amp;sourceID=3","2882800")</f>
        <v>2882800</v>
      </c>
      <c r="K226" s="4" t="str">
        <f>HYPERLINK("http://141.218.60.56/~jnz1568/getInfo.php?workbook=08_06.xlsx&amp;sheet=A0&amp;row=226&amp;col=11&amp;number=&amp;sourceID=3","")</f>
        <v/>
      </c>
      <c r="L226" s="4" t="str">
        <f>HYPERLINK("http://141.218.60.56/~jnz1568/getInfo.php?workbook=08_06.xlsx&amp;sheet=A0&amp;row=226&amp;col=12&amp;number=&amp;sourceID=3","")</f>
        <v/>
      </c>
      <c r="M226" s="4" t="str">
        <f>HYPERLINK("http://141.218.60.56/~jnz1568/getInfo.php?workbook=08_06.xlsx&amp;sheet=A0&amp;row=226&amp;col=13&amp;number=&amp;sourceID=3","")</f>
        <v/>
      </c>
      <c r="N226" s="4" t="str">
        <f>HYPERLINK("http://141.218.60.56/~jnz1568/getInfo.php?workbook=08_06.xlsx&amp;sheet=A0&amp;row=226&amp;col=14&amp;number=9539000&amp;sourceID=7","9539000")</f>
        <v>9539000</v>
      </c>
      <c r="O226" s="4" t="str">
        <f>HYPERLINK("http://141.218.60.56/~jnz1568/getInfo.php?workbook=08_06.xlsx&amp;sheet=A0&amp;row=226&amp;col=15&amp;number=&amp;sourceID=5","")</f>
        <v/>
      </c>
      <c r="P226" s="4" t="str">
        <f>HYPERLINK("http://141.218.60.56/~jnz1568/getInfo.php?workbook=08_06.xlsx&amp;sheet=A0&amp;row=226&amp;col=16&amp;number=&amp;sourceID=5","")</f>
        <v/>
      </c>
      <c r="Q226" s="4" t="str">
        <f>HYPERLINK("http://141.218.60.56/~jnz1568/getInfo.php?workbook=08_06.xlsx&amp;sheet=A0&amp;row=226&amp;col=17&amp;number=&amp;sourceID=6","")</f>
        <v/>
      </c>
    </row>
    <row r="227" spans="1:17">
      <c r="A227" s="3">
        <v>8</v>
      </c>
      <c r="B227" s="3">
        <v>6</v>
      </c>
      <c r="C227" s="3">
        <v>30</v>
      </c>
      <c r="D227" s="3">
        <v>11</v>
      </c>
      <c r="E227" s="3">
        <f>((1/(INDEX(E0!J$4:J$49,C227,1)-INDEX(E0!J$4:J$49,D227,1))))*100000000</f>
        <v>0</v>
      </c>
      <c r="F227" s="4" t="str">
        <f>HYPERLINK("http://141.218.60.56/~jnz1568/getInfo.php?workbook=08_06.xlsx&amp;sheet=A0&amp;row=227&amp;col=6&amp;number=5059600&amp;sourceID=3","5059600")</f>
        <v>5059600</v>
      </c>
      <c r="G227" s="4" t="str">
        <f>HYPERLINK("http://141.218.60.56/~jnz1568/getInfo.php?workbook=08_06.xlsx&amp;sheet=A0&amp;row=227&amp;col=7&amp;number=&amp;sourceID=3","")</f>
        <v/>
      </c>
      <c r="H227" s="4" t="str">
        <f>HYPERLINK("http://141.218.60.56/~jnz1568/getInfo.php?workbook=08_06.xlsx&amp;sheet=A0&amp;row=227&amp;col=8&amp;number=&amp;sourceID=3","")</f>
        <v/>
      </c>
      <c r="I227" s="4" t="str">
        <f>HYPERLINK("http://141.218.60.56/~jnz1568/getInfo.php?workbook=08_06.xlsx&amp;sheet=A0&amp;row=227&amp;col=9&amp;number=&amp;sourceID=3","")</f>
        <v/>
      </c>
      <c r="J227" s="4" t="str">
        <f>HYPERLINK("http://141.218.60.56/~jnz1568/getInfo.php?workbook=08_06.xlsx&amp;sheet=A0&amp;row=227&amp;col=10&amp;number=5098400&amp;sourceID=3","5098400")</f>
        <v>5098400</v>
      </c>
      <c r="K227" s="4" t="str">
        <f>HYPERLINK("http://141.218.60.56/~jnz1568/getInfo.php?workbook=08_06.xlsx&amp;sheet=A0&amp;row=227&amp;col=11&amp;number=&amp;sourceID=3","")</f>
        <v/>
      </c>
      <c r="L227" s="4" t="str">
        <f>HYPERLINK("http://141.218.60.56/~jnz1568/getInfo.php?workbook=08_06.xlsx&amp;sheet=A0&amp;row=227&amp;col=12&amp;number=&amp;sourceID=3","")</f>
        <v/>
      </c>
      <c r="M227" s="4" t="str">
        <f>HYPERLINK("http://141.218.60.56/~jnz1568/getInfo.php?workbook=08_06.xlsx&amp;sheet=A0&amp;row=227&amp;col=13&amp;number=&amp;sourceID=3","")</f>
        <v/>
      </c>
      <c r="N227" s="4" t="str">
        <f>HYPERLINK("http://141.218.60.56/~jnz1568/getInfo.php?workbook=08_06.xlsx&amp;sheet=A0&amp;row=227&amp;col=14&amp;number=8850000&amp;sourceID=7","8850000")</f>
        <v>8850000</v>
      </c>
      <c r="O227" s="4" t="str">
        <f>HYPERLINK("http://141.218.60.56/~jnz1568/getInfo.php?workbook=08_06.xlsx&amp;sheet=A0&amp;row=227&amp;col=15&amp;number=&amp;sourceID=5","")</f>
        <v/>
      </c>
      <c r="P227" s="4" t="str">
        <f>HYPERLINK("http://141.218.60.56/~jnz1568/getInfo.php?workbook=08_06.xlsx&amp;sheet=A0&amp;row=227&amp;col=16&amp;number=&amp;sourceID=5","")</f>
        <v/>
      </c>
      <c r="Q227" s="4" t="str">
        <f>HYPERLINK("http://141.218.60.56/~jnz1568/getInfo.php?workbook=08_06.xlsx&amp;sheet=A0&amp;row=227&amp;col=17&amp;number=&amp;sourceID=6","")</f>
        <v/>
      </c>
    </row>
    <row r="228" spans="1:17">
      <c r="A228" s="3">
        <v>8</v>
      </c>
      <c r="B228" s="3">
        <v>6</v>
      </c>
      <c r="C228" s="3">
        <v>30</v>
      </c>
      <c r="D228" s="3">
        <v>12</v>
      </c>
      <c r="E228" s="3">
        <f>((1/(INDEX(E0!J$4:J$49,C228,1)-INDEX(E0!J$4:J$49,D228,1))))*100000000</f>
        <v>0</v>
      </c>
      <c r="F228" s="4" t="str">
        <f>HYPERLINK("http://141.218.60.56/~jnz1568/getInfo.php?workbook=08_06.xlsx&amp;sheet=A0&amp;row=228&amp;col=6&amp;number=5932300&amp;sourceID=3","5932300")</f>
        <v>5932300</v>
      </c>
      <c r="G228" s="4" t="str">
        <f>HYPERLINK("http://141.218.60.56/~jnz1568/getInfo.php?workbook=08_06.xlsx&amp;sheet=A0&amp;row=228&amp;col=7&amp;number=&amp;sourceID=3","")</f>
        <v/>
      </c>
      <c r="H228" s="4" t="str">
        <f>HYPERLINK("http://141.218.60.56/~jnz1568/getInfo.php?workbook=08_06.xlsx&amp;sheet=A0&amp;row=228&amp;col=8&amp;number=&amp;sourceID=3","")</f>
        <v/>
      </c>
      <c r="I228" s="4" t="str">
        <f>HYPERLINK("http://141.218.60.56/~jnz1568/getInfo.php?workbook=08_06.xlsx&amp;sheet=A0&amp;row=228&amp;col=9&amp;number=&amp;sourceID=3","")</f>
        <v/>
      </c>
      <c r="J228" s="4" t="str">
        <f>HYPERLINK("http://141.218.60.56/~jnz1568/getInfo.php?workbook=08_06.xlsx&amp;sheet=A0&amp;row=228&amp;col=10&amp;number=5984400&amp;sourceID=3","5984400")</f>
        <v>5984400</v>
      </c>
      <c r="K228" s="4" t="str">
        <f>HYPERLINK("http://141.218.60.56/~jnz1568/getInfo.php?workbook=08_06.xlsx&amp;sheet=A0&amp;row=228&amp;col=11&amp;number=&amp;sourceID=3","")</f>
        <v/>
      </c>
      <c r="L228" s="4" t="str">
        <f>HYPERLINK("http://141.218.60.56/~jnz1568/getInfo.php?workbook=08_06.xlsx&amp;sheet=A0&amp;row=228&amp;col=12&amp;number=&amp;sourceID=3","")</f>
        <v/>
      </c>
      <c r="M228" s="4" t="str">
        <f>HYPERLINK("http://141.218.60.56/~jnz1568/getInfo.php?workbook=08_06.xlsx&amp;sheet=A0&amp;row=228&amp;col=13&amp;number=&amp;sourceID=3","")</f>
        <v/>
      </c>
      <c r="N228" s="4" t="str">
        <f>HYPERLINK("http://141.218.60.56/~jnz1568/getInfo.php?workbook=08_06.xlsx&amp;sheet=A0&amp;row=228&amp;col=14&amp;number=11200000&amp;sourceID=7","11200000")</f>
        <v>11200000</v>
      </c>
      <c r="O228" s="4" t="str">
        <f>HYPERLINK("http://141.218.60.56/~jnz1568/getInfo.php?workbook=08_06.xlsx&amp;sheet=A0&amp;row=228&amp;col=15&amp;number=&amp;sourceID=5","")</f>
        <v/>
      </c>
      <c r="P228" s="4" t="str">
        <f>HYPERLINK("http://141.218.60.56/~jnz1568/getInfo.php?workbook=08_06.xlsx&amp;sheet=A0&amp;row=228&amp;col=16&amp;number=&amp;sourceID=5","")</f>
        <v/>
      </c>
      <c r="Q228" s="4" t="str">
        <f>HYPERLINK("http://141.218.60.56/~jnz1568/getInfo.php?workbook=08_06.xlsx&amp;sheet=A0&amp;row=228&amp;col=17&amp;number=&amp;sourceID=6","")</f>
        <v/>
      </c>
    </row>
    <row r="229" spans="1:17">
      <c r="A229" s="3">
        <v>8</v>
      </c>
      <c r="B229" s="3">
        <v>6</v>
      </c>
      <c r="C229" s="3">
        <v>30</v>
      </c>
      <c r="D229" s="3">
        <v>13</v>
      </c>
      <c r="E229" s="3">
        <f>((1/(INDEX(E0!J$4:J$49,C229,1)-INDEX(E0!J$4:J$49,D229,1))))*100000000</f>
        <v>0</v>
      </c>
      <c r="F229" s="4" t="str">
        <f>HYPERLINK("http://141.218.60.56/~jnz1568/getInfo.php?workbook=08_06.xlsx&amp;sheet=A0&amp;row=229&amp;col=6&amp;number=4000.8&amp;sourceID=3","4000.8")</f>
        <v>4000.8</v>
      </c>
      <c r="G229" s="4" t="str">
        <f>HYPERLINK("http://141.218.60.56/~jnz1568/getInfo.php?workbook=08_06.xlsx&amp;sheet=A0&amp;row=229&amp;col=7&amp;number=&amp;sourceID=3","")</f>
        <v/>
      </c>
      <c r="H229" s="4" t="str">
        <f>HYPERLINK("http://141.218.60.56/~jnz1568/getInfo.php?workbook=08_06.xlsx&amp;sheet=A0&amp;row=229&amp;col=8&amp;number=&amp;sourceID=3","")</f>
        <v/>
      </c>
      <c r="I229" s="4" t="str">
        <f>HYPERLINK("http://141.218.60.56/~jnz1568/getInfo.php?workbook=08_06.xlsx&amp;sheet=A0&amp;row=229&amp;col=9&amp;number=&amp;sourceID=3","")</f>
        <v/>
      </c>
      <c r="J229" s="4" t="str">
        <f>HYPERLINK("http://141.218.60.56/~jnz1568/getInfo.php?workbook=08_06.xlsx&amp;sheet=A0&amp;row=229&amp;col=10&amp;number=4049.9&amp;sourceID=3","4049.9")</f>
        <v>4049.9</v>
      </c>
      <c r="K229" s="4" t="str">
        <f>HYPERLINK("http://141.218.60.56/~jnz1568/getInfo.php?workbook=08_06.xlsx&amp;sheet=A0&amp;row=229&amp;col=11&amp;number=&amp;sourceID=3","")</f>
        <v/>
      </c>
      <c r="L229" s="4" t="str">
        <f>HYPERLINK("http://141.218.60.56/~jnz1568/getInfo.php?workbook=08_06.xlsx&amp;sheet=A0&amp;row=229&amp;col=12&amp;number=&amp;sourceID=3","")</f>
        <v/>
      </c>
      <c r="M229" s="4" t="str">
        <f>HYPERLINK("http://141.218.60.56/~jnz1568/getInfo.php?workbook=08_06.xlsx&amp;sheet=A0&amp;row=229&amp;col=13&amp;number=&amp;sourceID=3","")</f>
        <v/>
      </c>
      <c r="N229" s="4" t="str">
        <f>HYPERLINK("http://141.218.60.56/~jnz1568/getInfo.php?workbook=08_06.xlsx&amp;sheet=A0&amp;row=229&amp;col=14&amp;number=2948&amp;sourceID=7","2948")</f>
        <v>2948</v>
      </c>
      <c r="O229" s="4" t="str">
        <f>HYPERLINK("http://141.218.60.56/~jnz1568/getInfo.php?workbook=08_06.xlsx&amp;sheet=A0&amp;row=229&amp;col=15&amp;number=&amp;sourceID=5","")</f>
        <v/>
      </c>
      <c r="P229" s="4" t="str">
        <f>HYPERLINK("http://141.218.60.56/~jnz1568/getInfo.php?workbook=08_06.xlsx&amp;sheet=A0&amp;row=229&amp;col=16&amp;number=&amp;sourceID=5","")</f>
        <v/>
      </c>
      <c r="Q229" s="4" t="str">
        <f>HYPERLINK("http://141.218.60.56/~jnz1568/getInfo.php?workbook=08_06.xlsx&amp;sheet=A0&amp;row=229&amp;col=17&amp;number=&amp;sourceID=6","")</f>
        <v/>
      </c>
    </row>
    <row r="230" spans="1:17">
      <c r="A230" s="3">
        <v>8</v>
      </c>
      <c r="B230" s="3">
        <v>6</v>
      </c>
      <c r="C230" s="3">
        <v>30</v>
      </c>
      <c r="D230" s="3">
        <v>14</v>
      </c>
      <c r="E230" s="3">
        <f>((1/(INDEX(E0!J$4:J$49,C230,1)-INDEX(E0!J$4:J$49,D230,1))))*100000000</f>
        <v>0</v>
      </c>
      <c r="F230" s="4" t="str">
        <f>HYPERLINK("http://141.218.60.56/~jnz1568/getInfo.php?workbook=08_06.xlsx&amp;sheet=A0&amp;row=230&amp;col=6&amp;number=952690&amp;sourceID=3","952690")</f>
        <v>952690</v>
      </c>
      <c r="G230" s="4" t="str">
        <f>HYPERLINK("http://141.218.60.56/~jnz1568/getInfo.php?workbook=08_06.xlsx&amp;sheet=A0&amp;row=230&amp;col=7&amp;number=&amp;sourceID=3","")</f>
        <v/>
      </c>
      <c r="H230" s="4" t="str">
        <f>HYPERLINK("http://141.218.60.56/~jnz1568/getInfo.php?workbook=08_06.xlsx&amp;sheet=A0&amp;row=230&amp;col=8&amp;number=&amp;sourceID=3","")</f>
        <v/>
      </c>
      <c r="I230" s="4" t="str">
        <f>HYPERLINK("http://141.218.60.56/~jnz1568/getInfo.php?workbook=08_06.xlsx&amp;sheet=A0&amp;row=230&amp;col=9&amp;number=&amp;sourceID=3","")</f>
        <v/>
      </c>
      <c r="J230" s="4" t="str">
        <f>HYPERLINK("http://141.218.60.56/~jnz1568/getInfo.php?workbook=08_06.xlsx&amp;sheet=A0&amp;row=230&amp;col=10&amp;number=982890&amp;sourceID=3","982890")</f>
        <v>982890</v>
      </c>
      <c r="K230" s="4" t="str">
        <f>HYPERLINK("http://141.218.60.56/~jnz1568/getInfo.php?workbook=08_06.xlsx&amp;sheet=A0&amp;row=230&amp;col=11&amp;number=&amp;sourceID=3","")</f>
        <v/>
      </c>
      <c r="L230" s="4" t="str">
        <f>HYPERLINK("http://141.218.60.56/~jnz1568/getInfo.php?workbook=08_06.xlsx&amp;sheet=A0&amp;row=230&amp;col=12&amp;number=&amp;sourceID=3","")</f>
        <v/>
      </c>
      <c r="M230" s="4" t="str">
        <f>HYPERLINK("http://141.218.60.56/~jnz1568/getInfo.php?workbook=08_06.xlsx&amp;sheet=A0&amp;row=230&amp;col=13&amp;number=&amp;sourceID=3","")</f>
        <v/>
      </c>
      <c r="N230" s="4" t="str">
        <f>HYPERLINK("http://141.218.60.56/~jnz1568/getInfo.php?workbook=08_06.xlsx&amp;sheet=A0&amp;row=230&amp;col=14&amp;number=4111000&amp;sourceID=7","4111000")</f>
        <v>4111000</v>
      </c>
      <c r="O230" s="4" t="str">
        <f>HYPERLINK("http://141.218.60.56/~jnz1568/getInfo.php?workbook=08_06.xlsx&amp;sheet=A0&amp;row=230&amp;col=15&amp;number=&amp;sourceID=5","")</f>
        <v/>
      </c>
      <c r="P230" s="4" t="str">
        <f>HYPERLINK("http://141.218.60.56/~jnz1568/getInfo.php?workbook=08_06.xlsx&amp;sheet=A0&amp;row=230&amp;col=16&amp;number=&amp;sourceID=5","")</f>
        <v/>
      </c>
      <c r="Q230" s="4" t="str">
        <f>HYPERLINK("http://141.218.60.56/~jnz1568/getInfo.php?workbook=08_06.xlsx&amp;sheet=A0&amp;row=230&amp;col=17&amp;number=&amp;sourceID=6","")</f>
        <v/>
      </c>
    </row>
    <row r="231" spans="1:17">
      <c r="A231" s="3">
        <v>8</v>
      </c>
      <c r="B231" s="3">
        <v>6</v>
      </c>
      <c r="C231" s="3">
        <v>30</v>
      </c>
      <c r="D231" s="3">
        <v>15</v>
      </c>
      <c r="E231" s="3">
        <f>((1/(INDEX(E0!J$4:J$49,C231,1)-INDEX(E0!J$4:J$49,D231,1))))*100000000</f>
        <v>0</v>
      </c>
      <c r="F231" s="4" t="str">
        <f>HYPERLINK("http://141.218.60.56/~jnz1568/getInfo.php?workbook=08_06.xlsx&amp;sheet=A0&amp;row=231&amp;col=6&amp;number=516.28&amp;sourceID=3","516.28")</f>
        <v>516.28</v>
      </c>
      <c r="G231" s="4" t="str">
        <f>HYPERLINK("http://141.218.60.56/~jnz1568/getInfo.php?workbook=08_06.xlsx&amp;sheet=A0&amp;row=231&amp;col=7&amp;number=&amp;sourceID=3","")</f>
        <v/>
      </c>
      <c r="H231" s="4" t="str">
        <f>HYPERLINK("http://141.218.60.56/~jnz1568/getInfo.php?workbook=08_06.xlsx&amp;sheet=A0&amp;row=231&amp;col=8&amp;number=&amp;sourceID=3","")</f>
        <v/>
      </c>
      <c r="I231" s="4" t="str">
        <f>HYPERLINK("http://141.218.60.56/~jnz1568/getInfo.php?workbook=08_06.xlsx&amp;sheet=A0&amp;row=231&amp;col=9&amp;number=&amp;sourceID=3","")</f>
        <v/>
      </c>
      <c r="J231" s="4" t="str">
        <f>HYPERLINK("http://141.218.60.56/~jnz1568/getInfo.php?workbook=08_06.xlsx&amp;sheet=A0&amp;row=231&amp;col=10&amp;number=528.39&amp;sourceID=3","528.39")</f>
        <v>528.39</v>
      </c>
      <c r="K231" s="4" t="str">
        <f>HYPERLINK("http://141.218.60.56/~jnz1568/getInfo.php?workbook=08_06.xlsx&amp;sheet=A0&amp;row=231&amp;col=11&amp;number=&amp;sourceID=3","")</f>
        <v/>
      </c>
      <c r="L231" s="4" t="str">
        <f>HYPERLINK("http://141.218.60.56/~jnz1568/getInfo.php?workbook=08_06.xlsx&amp;sheet=A0&amp;row=231&amp;col=12&amp;number=&amp;sourceID=3","")</f>
        <v/>
      </c>
      <c r="M231" s="4" t="str">
        <f>HYPERLINK("http://141.218.60.56/~jnz1568/getInfo.php?workbook=08_06.xlsx&amp;sheet=A0&amp;row=231&amp;col=13&amp;number=&amp;sourceID=3","")</f>
        <v/>
      </c>
      <c r="N231" s="4" t="str">
        <f>HYPERLINK("http://141.218.60.56/~jnz1568/getInfo.php?workbook=08_06.xlsx&amp;sheet=A0&amp;row=231&amp;col=14&amp;number=47.21&amp;sourceID=7","47.21")</f>
        <v>47.21</v>
      </c>
      <c r="O231" s="4" t="str">
        <f>HYPERLINK("http://141.218.60.56/~jnz1568/getInfo.php?workbook=08_06.xlsx&amp;sheet=A0&amp;row=231&amp;col=15&amp;number=&amp;sourceID=5","")</f>
        <v/>
      </c>
      <c r="P231" s="4" t="str">
        <f>HYPERLINK("http://141.218.60.56/~jnz1568/getInfo.php?workbook=08_06.xlsx&amp;sheet=A0&amp;row=231&amp;col=16&amp;number=&amp;sourceID=5","")</f>
        <v/>
      </c>
      <c r="Q231" s="4" t="str">
        <f>HYPERLINK("http://141.218.60.56/~jnz1568/getInfo.php?workbook=08_06.xlsx&amp;sheet=A0&amp;row=231&amp;col=17&amp;number=&amp;sourceID=6","")</f>
        <v/>
      </c>
    </row>
    <row r="232" spans="1:17">
      <c r="A232" s="3">
        <v>8</v>
      </c>
      <c r="B232" s="3">
        <v>6</v>
      </c>
      <c r="C232" s="3">
        <v>30</v>
      </c>
      <c r="D232" s="3">
        <v>16</v>
      </c>
      <c r="E232" s="3">
        <f>((1/(INDEX(E0!J$4:J$49,C232,1)-INDEX(E0!J$4:J$49,D232,1))))*100000000</f>
        <v>0</v>
      </c>
      <c r="F232" s="4" t="str">
        <f>HYPERLINK("http://141.218.60.56/~jnz1568/getInfo.php?workbook=08_06.xlsx&amp;sheet=A0&amp;row=232&amp;col=6&amp;number=61582000&amp;sourceID=3","61582000")</f>
        <v>61582000</v>
      </c>
      <c r="G232" s="4" t="str">
        <f>HYPERLINK("http://141.218.60.56/~jnz1568/getInfo.php?workbook=08_06.xlsx&amp;sheet=A0&amp;row=232&amp;col=7&amp;number=&amp;sourceID=3","")</f>
        <v/>
      </c>
      <c r="H232" s="4" t="str">
        <f>HYPERLINK("http://141.218.60.56/~jnz1568/getInfo.php?workbook=08_06.xlsx&amp;sheet=A0&amp;row=232&amp;col=8&amp;number=&amp;sourceID=3","")</f>
        <v/>
      </c>
      <c r="I232" s="4" t="str">
        <f>HYPERLINK("http://141.218.60.56/~jnz1568/getInfo.php?workbook=08_06.xlsx&amp;sheet=A0&amp;row=232&amp;col=9&amp;number=&amp;sourceID=3","")</f>
        <v/>
      </c>
      <c r="J232" s="4" t="str">
        <f>HYPERLINK("http://141.218.60.56/~jnz1568/getInfo.php?workbook=08_06.xlsx&amp;sheet=A0&amp;row=232&amp;col=10&amp;number=62046000&amp;sourceID=3","62046000")</f>
        <v>62046000</v>
      </c>
      <c r="K232" s="4" t="str">
        <f>HYPERLINK("http://141.218.60.56/~jnz1568/getInfo.php?workbook=08_06.xlsx&amp;sheet=A0&amp;row=232&amp;col=11&amp;number=&amp;sourceID=3","")</f>
        <v/>
      </c>
      <c r="L232" s="4" t="str">
        <f>HYPERLINK("http://141.218.60.56/~jnz1568/getInfo.php?workbook=08_06.xlsx&amp;sheet=A0&amp;row=232&amp;col=12&amp;number=&amp;sourceID=3","")</f>
        <v/>
      </c>
      <c r="M232" s="4" t="str">
        <f>HYPERLINK("http://141.218.60.56/~jnz1568/getInfo.php?workbook=08_06.xlsx&amp;sheet=A0&amp;row=232&amp;col=13&amp;number=&amp;sourceID=3","")</f>
        <v/>
      </c>
      <c r="N232" s="4" t="str">
        <f>HYPERLINK("http://141.218.60.56/~jnz1568/getInfo.php?workbook=08_06.xlsx&amp;sheet=A0&amp;row=232&amp;col=14&amp;number=51340000&amp;sourceID=7","51340000")</f>
        <v>51340000</v>
      </c>
      <c r="O232" s="4" t="str">
        <f>HYPERLINK("http://141.218.60.56/~jnz1568/getInfo.php?workbook=08_06.xlsx&amp;sheet=A0&amp;row=232&amp;col=15&amp;number=&amp;sourceID=5","")</f>
        <v/>
      </c>
      <c r="P232" s="4" t="str">
        <f>HYPERLINK("http://141.218.60.56/~jnz1568/getInfo.php?workbook=08_06.xlsx&amp;sheet=A0&amp;row=232&amp;col=16&amp;number=&amp;sourceID=5","")</f>
        <v/>
      </c>
      <c r="Q232" s="4" t="str">
        <f>HYPERLINK("http://141.218.60.56/~jnz1568/getInfo.php?workbook=08_06.xlsx&amp;sheet=A0&amp;row=232&amp;col=17&amp;number=&amp;sourceID=6","")</f>
        <v/>
      </c>
    </row>
    <row r="233" spans="1:17">
      <c r="A233" s="3">
        <v>8</v>
      </c>
      <c r="B233" s="3">
        <v>6</v>
      </c>
      <c r="C233" s="3">
        <v>30</v>
      </c>
      <c r="D233" s="3">
        <v>17</v>
      </c>
      <c r="E233" s="3">
        <f>((1/(INDEX(E0!J$4:J$49,C233,1)-INDEX(E0!J$4:J$49,D233,1))))*100000000</f>
        <v>0</v>
      </c>
      <c r="F233" s="4" t="str">
        <f>HYPERLINK("http://141.218.60.56/~jnz1568/getInfo.php?workbook=08_06.xlsx&amp;sheet=A0&amp;row=233&amp;col=6&amp;number=45889000&amp;sourceID=3","45889000")</f>
        <v>45889000</v>
      </c>
      <c r="G233" s="4" t="str">
        <f>HYPERLINK("http://141.218.60.56/~jnz1568/getInfo.php?workbook=08_06.xlsx&amp;sheet=A0&amp;row=233&amp;col=7&amp;number=&amp;sourceID=3","")</f>
        <v/>
      </c>
      <c r="H233" s="4" t="str">
        <f>HYPERLINK("http://141.218.60.56/~jnz1568/getInfo.php?workbook=08_06.xlsx&amp;sheet=A0&amp;row=233&amp;col=8&amp;number=&amp;sourceID=3","")</f>
        <v/>
      </c>
      <c r="I233" s="4" t="str">
        <f>HYPERLINK("http://141.218.60.56/~jnz1568/getInfo.php?workbook=08_06.xlsx&amp;sheet=A0&amp;row=233&amp;col=9&amp;number=&amp;sourceID=3","")</f>
        <v/>
      </c>
      <c r="J233" s="4" t="str">
        <f>HYPERLINK("http://141.218.60.56/~jnz1568/getInfo.php?workbook=08_06.xlsx&amp;sheet=A0&amp;row=233&amp;col=10&amp;number=46252000&amp;sourceID=3","46252000")</f>
        <v>46252000</v>
      </c>
      <c r="K233" s="4" t="str">
        <f>HYPERLINK("http://141.218.60.56/~jnz1568/getInfo.php?workbook=08_06.xlsx&amp;sheet=A0&amp;row=233&amp;col=11&amp;number=&amp;sourceID=3","")</f>
        <v/>
      </c>
      <c r="L233" s="4" t="str">
        <f>HYPERLINK("http://141.218.60.56/~jnz1568/getInfo.php?workbook=08_06.xlsx&amp;sheet=A0&amp;row=233&amp;col=12&amp;number=&amp;sourceID=3","")</f>
        <v/>
      </c>
      <c r="M233" s="4" t="str">
        <f>HYPERLINK("http://141.218.60.56/~jnz1568/getInfo.php?workbook=08_06.xlsx&amp;sheet=A0&amp;row=233&amp;col=13&amp;number=&amp;sourceID=3","")</f>
        <v/>
      </c>
      <c r="N233" s="4" t="str">
        <f>HYPERLINK("http://141.218.60.56/~jnz1568/getInfo.php?workbook=08_06.xlsx&amp;sheet=A0&amp;row=233&amp;col=14&amp;number=38440000&amp;sourceID=7","38440000")</f>
        <v>38440000</v>
      </c>
      <c r="O233" s="4" t="str">
        <f>HYPERLINK("http://141.218.60.56/~jnz1568/getInfo.php?workbook=08_06.xlsx&amp;sheet=A0&amp;row=233&amp;col=15&amp;number=&amp;sourceID=5","")</f>
        <v/>
      </c>
      <c r="P233" s="4" t="str">
        <f>HYPERLINK("http://141.218.60.56/~jnz1568/getInfo.php?workbook=08_06.xlsx&amp;sheet=A0&amp;row=233&amp;col=16&amp;number=&amp;sourceID=5","")</f>
        <v/>
      </c>
      <c r="Q233" s="4" t="str">
        <f>HYPERLINK("http://141.218.60.56/~jnz1568/getInfo.php?workbook=08_06.xlsx&amp;sheet=A0&amp;row=233&amp;col=17&amp;number=&amp;sourceID=6","")</f>
        <v/>
      </c>
    </row>
    <row r="234" spans="1:17">
      <c r="A234" s="3">
        <v>8</v>
      </c>
      <c r="B234" s="3">
        <v>6</v>
      </c>
      <c r="C234" s="3">
        <v>30</v>
      </c>
      <c r="D234" s="3">
        <v>18</v>
      </c>
      <c r="E234" s="3">
        <f>((1/(INDEX(E0!J$4:J$49,C234,1)-INDEX(E0!J$4:J$49,D234,1))))*100000000</f>
        <v>0</v>
      </c>
      <c r="F234" s="4" t="str">
        <f>HYPERLINK("http://141.218.60.56/~jnz1568/getInfo.php?workbook=08_06.xlsx&amp;sheet=A0&amp;row=234&amp;col=6&amp;number=88529000&amp;sourceID=3","88529000")</f>
        <v>88529000</v>
      </c>
      <c r="G234" s="4" t="str">
        <f>HYPERLINK("http://141.218.60.56/~jnz1568/getInfo.php?workbook=08_06.xlsx&amp;sheet=A0&amp;row=234&amp;col=7&amp;number=&amp;sourceID=3","")</f>
        <v/>
      </c>
      <c r="H234" s="4" t="str">
        <f>HYPERLINK("http://141.218.60.56/~jnz1568/getInfo.php?workbook=08_06.xlsx&amp;sheet=A0&amp;row=234&amp;col=8&amp;number=&amp;sourceID=3","")</f>
        <v/>
      </c>
      <c r="I234" s="4" t="str">
        <f>HYPERLINK("http://141.218.60.56/~jnz1568/getInfo.php?workbook=08_06.xlsx&amp;sheet=A0&amp;row=234&amp;col=9&amp;number=&amp;sourceID=3","")</f>
        <v/>
      </c>
      <c r="J234" s="4" t="str">
        <f>HYPERLINK("http://141.218.60.56/~jnz1568/getInfo.php?workbook=08_06.xlsx&amp;sheet=A0&amp;row=234&amp;col=10&amp;number=89230000&amp;sourceID=3","89230000")</f>
        <v>89230000</v>
      </c>
      <c r="K234" s="4" t="str">
        <f>HYPERLINK("http://141.218.60.56/~jnz1568/getInfo.php?workbook=08_06.xlsx&amp;sheet=A0&amp;row=234&amp;col=11&amp;number=&amp;sourceID=3","")</f>
        <v/>
      </c>
      <c r="L234" s="4" t="str">
        <f>HYPERLINK("http://141.218.60.56/~jnz1568/getInfo.php?workbook=08_06.xlsx&amp;sheet=A0&amp;row=234&amp;col=12&amp;number=&amp;sourceID=3","")</f>
        <v/>
      </c>
      <c r="M234" s="4" t="str">
        <f>HYPERLINK("http://141.218.60.56/~jnz1568/getInfo.php?workbook=08_06.xlsx&amp;sheet=A0&amp;row=234&amp;col=13&amp;number=&amp;sourceID=3","")</f>
        <v/>
      </c>
      <c r="N234" s="4" t="str">
        <f>HYPERLINK("http://141.218.60.56/~jnz1568/getInfo.php?workbook=08_06.xlsx&amp;sheet=A0&amp;row=234&amp;col=14&amp;number=69080000&amp;sourceID=7","69080000")</f>
        <v>69080000</v>
      </c>
      <c r="O234" s="4" t="str">
        <f>HYPERLINK("http://141.218.60.56/~jnz1568/getInfo.php?workbook=08_06.xlsx&amp;sheet=A0&amp;row=234&amp;col=15&amp;number=&amp;sourceID=5","")</f>
        <v/>
      </c>
      <c r="P234" s="4" t="str">
        <f>HYPERLINK("http://141.218.60.56/~jnz1568/getInfo.php?workbook=08_06.xlsx&amp;sheet=A0&amp;row=234&amp;col=16&amp;number=&amp;sourceID=5","")</f>
        <v/>
      </c>
      <c r="Q234" s="4" t="str">
        <f>HYPERLINK("http://141.218.60.56/~jnz1568/getInfo.php?workbook=08_06.xlsx&amp;sheet=A0&amp;row=234&amp;col=17&amp;number=&amp;sourceID=6","")</f>
        <v/>
      </c>
    </row>
    <row r="235" spans="1:17">
      <c r="A235" s="3">
        <v>8</v>
      </c>
      <c r="B235" s="3">
        <v>6</v>
      </c>
      <c r="C235" s="3">
        <v>30</v>
      </c>
      <c r="D235" s="3">
        <v>19</v>
      </c>
      <c r="E235" s="3">
        <f>((1/(INDEX(E0!J$4:J$49,C235,1)-INDEX(E0!J$4:J$49,D235,1))))*100000000</f>
        <v>0</v>
      </c>
      <c r="F235" s="4" t="str">
        <f>HYPERLINK("http://141.218.60.56/~jnz1568/getInfo.php?workbook=08_06.xlsx&amp;sheet=A0&amp;row=235&amp;col=6&amp;number=55952&amp;sourceID=3","55952")</f>
        <v>55952</v>
      </c>
      <c r="G235" s="4" t="str">
        <f>HYPERLINK("http://141.218.60.56/~jnz1568/getInfo.php?workbook=08_06.xlsx&amp;sheet=A0&amp;row=235&amp;col=7&amp;number=&amp;sourceID=3","")</f>
        <v/>
      </c>
      <c r="H235" s="4" t="str">
        <f>HYPERLINK("http://141.218.60.56/~jnz1568/getInfo.php?workbook=08_06.xlsx&amp;sheet=A0&amp;row=235&amp;col=8&amp;number=&amp;sourceID=3","")</f>
        <v/>
      </c>
      <c r="I235" s="4" t="str">
        <f>HYPERLINK("http://141.218.60.56/~jnz1568/getInfo.php?workbook=08_06.xlsx&amp;sheet=A0&amp;row=235&amp;col=9&amp;number=&amp;sourceID=3","")</f>
        <v/>
      </c>
      <c r="J235" s="4" t="str">
        <f>HYPERLINK("http://141.218.60.56/~jnz1568/getInfo.php?workbook=08_06.xlsx&amp;sheet=A0&amp;row=235&amp;col=10&amp;number=55591&amp;sourceID=3","55591")</f>
        <v>55591</v>
      </c>
      <c r="K235" s="4" t="str">
        <f>HYPERLINK("http://141.218.60.56/~jnz1568/getInfo.php?workbook=08_06.xlsx&amp;sheet=A0&amp;row=235&amp;col=11&amp;number=&amp;sourceID=3","")</f>
        <v/>
      </c>
      <c r="L235" s="4" t="str">
        <f>HYPERLINK("http://141.218.60.56/~jnz1568/getInfo.php?workbook=08_06.xlsx&amp;sheet=A0&amp;row=235&amp;col=12&amp;number=&amp;sourceID=3","")</f>
        <v/>
      </c>
      <c r="M235" s="4" t="str">
        <f>HYPERLINK("http://141.218.60.56/~jnz1568/getInfo.php?workbook=08_06.xlsx&amp;sheet=A0&amp;row=235&amp;col=13&amp;number=&amp;sourceID=3","")</f>
        <v/>
      </c>
      <c r="N235" s="4" t="str">
        <f>HYPERLINK("http://141.218.60.56/~jnz1568/getInfo.php?workbook=08_06.xlsx&amp;sheet=A0&amp;row=235&amp;col=14&amp;number=14430&amp;sourceID=7","14430")</f>
        <v>14430</v>
      </c>
      <c r="O235" s="4" t="str">
        <f>HYPERLINK("http://141.218.60.56/~jnz1568/getInfo.php?workbook=08_06.xlsx&amp;sheet=A0&amp;row=235&amp;col=15&amp;number=&amp;sourceID=5","")</f>
        <v/>
      </c>
      <c r="P235" s="4" t="str">
        <f>HYPERLINK("http://141.218.60.56/~jnz1568/getInfo.php?workbook=08_06.xlsx&amp;sheet=A0&amp;row=235&amp;col=16&amp;number=&amp;sourceID=5","")</f>
        <v/>
      </c>
      <c r="Q235" s="4" t="str">
        <f>HYPERLINK("http://141.218.60.56/~jnz1568/getInfo.php?workbook=08_06.xlsx&amp;sheet=A0&amp;row=235&amp;col=17&amp;number=&amp;sourceID=6","")</f>
        <v/>
      </c>
    </row>
    <row r="236" spans="1:17">
      <c r="A236" s="3">
        <v>8</v>
      </c>
      <c r="B236" s="3">
        <v>6</v>
      </c>
      <c r="C236" s="3">
        <v>31</v>
      </c>
      <c r="D236" s="3">
        <v>6</v>
      </c>
      <c r="E236" s="3">
        <f>((1/(INDEX(E0!J$4:J$49,C236,1)-INDEX(E0!J$4:J$49,D236,1))))*100000000</f>
        <v>0</v>
      </c>
      <c r="F236" s="4" t="str">
        <f>HYPERLINK("http://141.218.60.56/~jnz1568/getInfo.php?workbook=08_06.xlsx&amp;sheet=A0&amp;row=236&amp;col=6&amp;number=55.517&amp;sourceID=3","55.517")</f>
        <v>55.517</v>
      </c>
      <c r="G236" s="4" t="str">
        <f>HYPERLINK("http://141.218.60.56/~jnz1568/getInfo.php?workbook=08_06.xlsx&amp;sheet=A0&amp;row=236&amp;col=7&amp;number=&amp;sourceID=3","")</f>
        <v/>
      </c>
      <c r="H236" s="4" t="str">
        <f>HYPERLINK("http://141.218.60.56/~jnz1568/getInfo.php?workbook=08_06.xlsx&amp;sheet=A0&amp;row=236&amp;col=8&amp;number=&amp;sourceID=3","")</f>
        <v/>
      </c>
      <c r="I236" s="4" t="str">
        <f>HYPERLINK("http://141.218.60.56/~jnz1568/getInfo.php?workbook=08_06.xlsx&amp;sheet=A0&amp;row=236&amp;col=9&amp;number=&amp;sourceID=3","")</f>
        <v/>
      </c>
      <c r="J236" s="4" t="str">
        <f>HYPERLINK("http://141.218.60.56/~jnz1568/getInfo.php?workbook=08_06.xlsx&amp;sheet=A0&amp;row=236&amp;col=10&amp;number=56.036&amp;sourceID=3","56.036")</f>
        <v>56.036</v>
      </c>
      <c r="K236" s="4" t="str">
        <f>HYPERLINK("http://141.218.60.56/~jnz1568/getInfo.php?workbook=08_06.xlsx&amp;sheet=A0&amp;row=236&amp;col=11&amp;number=&amp;sourceID=3","")</f>
        <v/>
      </c>
      <c r="L236" s="4" t="str">
        <f>HYPERLINK("http://141.218.60.56/~jnz1568/getInfo.php?workbook=08_06.xlsx&amp;sheet=A0&amp;row=236&amp;col=12&amp;number=&amp;sourceID=3","")</f>
        <v/>
      </c>
      <c r="M236" s="4" t="str">
        <f>HYPERLINK("http://141.218.60.56/~jnz1568/getInfo.php?workbook=08_06.xlsx&amp;sheet=A0&amp;row=236&amp;col=13&amp;number=&amp;sourceID=3","")</f>
        <v/>
      </c>
      <c r="N236" s="4" t="str">
        <f>HYPERLINK("http://141.218.60.56/~jnz1568/getInfo.php?workbook=08_06.xlsx&amp;sheet=A0&amp;row=236&amp;col=14&amp;number=112.6&amp;sourceID=7","112.6")</f>
        <v>112.6</v>
      </c>
      <c r="O236" s="4" t="str">
        <f>HYPERLINK("http://141.218.60.56/~jnz1568/getInfo.php?workbook=08_06.xlsx&amp;sheet=A0&amp;row=236&amp;col=15&amp;number=&amp;sourceID=5","")</f>
        <v/>
      </c>
      <c r="P236" s="4" t="str">
        <f>HYPERLINK("http://141.218.60.56/~jnz1568/getInfo.php?workbook=08_06.xlsx&amp;sheet=A0&amp;row=236&amp;col=16&amp;number=&amp;sourceID=5","")</f>
        <v/>
      </c>
      <c r="Q236" s="4" t="str">
        <f>HYPERLINK("http://141.218.60.56/~jnz1568/getInfo.php?workbook=08_06.xlsx&amp;sheet=A0&amp;row=236&amp;col=17&amp;number=&amp;sourceID=6","")</f>
        <v/>
      </c>
    </row>
    <row r="237" spans="1:17">
      <c r="A237" s="3">
        <v>8</v>
      </c>
      <c r="B237" s="3">
        <v>6</v>
      </c>
      <c r="C237" s="3">
        <v>31</v>
      </c>
      <c r="D237" s="3">
        <v>7</v>
      </c>
      <c r="E237" s="3">
        <f>((1/(INDEX(E0!J$4:J$49,C237,1)-INDEX(E0!J$4:J$49,D237,1))))*100000000</f>
        <v>0</v>
      </c>
      <c r="F237" s="4" t="str">
        <f>HYPERLINK("http://141.218.60.56/~jnz1568/getInfo.php?workbook=08_06.xlsx&amp;sheet=A0&amp;row=237&amp;col=6&amp;number=109900000&amp;sourceID=3","109900000")</f>
        <v>109900000</v>
      </c>
      <c r="G237" s="4" t="str">
        <f>HYPERLINK("http://141.218.60.56/~jnz1568/getInfo.php?workbook=08_06.xlsx&amp;sheet=A0&amp;row=237&amp;col=7&amp;number=&amp;sourceID=3","")</f>
        <v/>
      </c>
      <c r="H237" s="4" t="str">
        <f>HYPERLINK("http://141.218.60.56/~jnz1568/getInfo.php?workbook=08_06.xlsx&amp;sheet=A0&amp;row=237&amp;col=8&amp;number=&amp;sourceID=3","")</f>
        <v/>
      </c>
      <c r="I237" s="4" t="str">
        <f>HYPERLINK("http://141.218.60.56/~jnz1568/getInfo.php?workbook=08_06.xlsx&amp;sheet=A0&amp;row=237&amp;col=9&amp;number=&amp;sourceID=3","")</f>
        <v/>
      </c>
      <c r="J237" s="4" t="str">
        <f>HYPERLINK("http://141.218.60.56/~jnz1568/getInfo.php?workbook=08_06.xlsx&amp;sheet=A0&amp;row=237&amp;col=10&amp;number=109550000&amp;sourceID=3","109550000")</f>
        <v>109550000</v>
      </c>
      <c r="K237" s="4" t="str">
        <f>HYPERLINK("http://141.218.60.56/~jnz1568/getInfo.php?workbook=08_06.xlsx&amp;sheet=A0&amp;row=237&amp;col=11&amp;number=&amp;sourceID=3","")</f>
        <v/>
      </c>
      <c r="L237" s="4" t="str">
        <f>HYPERLINK("http://141.218.60.56/~jnz1568/getInfo.php?workbook=08_06.xlsx&amp;sheet=A0&amp;row=237&amp;col=12&amp;number=&amp;sourceID=3","")</f>
        <v/>
      </c>
      <c r="M237" s="4" t="str">
        <f>HYPERLINK("http://141.218.60.56/~jnz1568/getInfo.php?workbook=08_06.xlsx&amp;sheet=A0&amp;row=237&amp;col=13&amp;number=&amp;sourceID=3","")</f>
        <v/>
      </c>
      <c r="N237" s="4" t="str">
        <f>HYPERLINK("http://141.218.60.56/~jnz1568/getInfo.php?workbook=08_06.xlsx&amp;sheet=A0&amp;row=237&amp;col=14&amp;number=79500000&amp;sourceID=7","79500000")</f>
        <v>79500000</v>
      </c>
      <c r="O237" s="4" t="str">
        <f>HYPERLINK("http://141.218.60.56/~jnz1568/getInfo.php?workbook=08_06.xlsx&amp;sheet=A0&amp;row=237&amp;col=15&amp;number=&amp;sourceID=5","")</f>
        <v/>
      </c>
      <c r="P237" s="4" t="str">
        <f>HYPERLINK("http://141.218.60.56/~jnz1568/getInfo.php?workbook=08_06.xlsx&amp;sheet=A0&amp;row=237&amp;col=16&amp;number=&amp;sourceID=5","")</f>
        <v/>
      </c>
      <c r="Q237" s="4" t="str">
        <f>HYPERLINK("http://141.218.60.56/~jnz1568/getInfo.php?workbook=08_06.xlsx&amp;sheet=A0&amp;row=237&amp;col=17&amp;number=&amp;sourceID=6","")</f>
        <v/>
      </c>
    </row>
    <row r="238" spans="1:17">
      <c r="A238" s="3">
        <v>8</v>
      </c>
      <c r="B238" s="3">
        <v>6</v>
      </c>
      <c r="C238" s="3">
        <v>31</v>
      </c>
      <c r="D238" s="3">
        <v>8</v>
      </c>
      <c r="E238" s="3">
        <f>((1/(INDEX(E0!J$4:J$49,C238,1)-INDEX(E0!J$4:J$49,D238,1))))*100000000</f>
        <v>0</v>
      </c>
      <c r="F238" s="4" t="str">
        <f>HYPERLINK("http://141.218.60.56/~jnz1568/getInfo.php?workbook=08_06.xlsx&amp;sheet=A0&amp;row=238&amp;col=6&amp;number=20099000&amp;sourceID=3","20099000")</f>
        <v>20099000</v>
      </c>
      <c r="G238" s="4" t="str">
        <f>HYPERLINK("http://141.218.60.56/~jnz1568/getInfo.php?workbook=08_06.xlsx&amp;sheet=A0&amp;row=238&amp;col=7&amp;number=&amp;sourceID=3","")</f>
        <v/>
      </c>
      <c r="H238" s="4" t="str">
        <f>HYPERLINK("http://141.218.60.56/~jnz1568/getInfo.php?workbook=08_06.xlsx&amp;sheet=A0&amp;row=238&amp;col=8&amp;number=&amp;sourceID=3","")</f>
        <v/>
      </c>
      <c r="I238" s="4" t="str">
        <f>HYPERLINK("http://141.218.60.56/~jnz1568/getInfo.php?workbook=08_06.xlsx&amp;sheet=A0&amp;row=238&amp;col=9&amp;number=&amp;sourceID=3","")</f>
        <v/>
      </c>
      <c r="J238" s="4" t="str">
        <f>HYPERLINK("http://141.218.60.56/~jnz1568/getInfo.php?workbook=08_06.xlsx&amp;sheet=A0&amp;row=238&amp;col=10&amp;number=20043000&amp;sourceID=3","20043000")</f>
        <v>20043000</v>
      </c>
      <c r="K238" s="4" t="str">
        <f>HYPERLINK("http://141.218.60.56/~jnz1568/getInfo.php?workbook=08_06.xlsx&amp;sheet=A0&amp;row=238&amp;col=11&amp;number=&amp;sourceID=3","")</f>
        <v/>
      </c>
      <c r="L238" s="4" t="str">
        <f>HYPERLINK("http://141.218.60.56/~jnz1568/getInfo.php?workbook=08_06.xlsx&amp;sheet=A0&amp;row=238&amp;col=12&amp;number=&amp;sourceID=3","")</f>
        <v/>
      </c>
      <c r="M238" s="4" t="str">
        <f>HYPERLINK("http://141.218.60.56/~jnz1568/getInfo.php?workbook=08_06.xlsx&amp;sheet=A0&amp;row=238&amp;col=13&amp;number=&amp;sourceID=3","")</f>
        <v/>
      </c>
      <c r="N238" s="4" t="str">
        <f>HYPERLINK("http://141.218.60.56/~jnz1568/getInfo.php?workbook=08_06.xlsx&amp;sheet=A0&amp;row=238&amp;col=14&amp;number=14380000&amp;sourceID=7","14380000")</f>
        <v>14380000</v>
      </c>
      <c r="O238" s="4" t="str">
        <f>HYPERLINK("http://141.218.60.56/~jnz1568/getInfo.php?workbook=08_06.xlsx&amp;sheet=A0&amp;row=238&amp;col=15&amp;number=&amp;sourceID=5","")</f>
        <v/>
      </c>
      <c r="P238" s="4" t="str">
        <f>HYPERLINK("http://141.218.60.56/~jnz1568/getInfo.php?workbook=08_06.xlsx&amp;sheet=A0&amp;row=238&amp;col=16&amp;number=&amp;sourceID=5","")</f>
        <v/>
      </c>
      <c r="Q238" s="4" t="str">
        <f>HYPERLINK("http://141.218.60.56/~jnz1568/getInfo.php?workbook=08_06.xlsx&amp;sheet=A0&amp;row=238&amp;col=17&amp;number=&amp;sourceID=6","")</f>
        <v/>
      </c>
    </row>
    <row r="239" spans="1:17">
      <c r="A239" s="3">
        <v>8</v>
      </c>
      <c r="B239" s="3">
        <v>6</v>
      </c>
      <c r="C239" s="3">
        <v>31</v>
      </c>
      <c r="D239" s="3">
        <v>9</v>
      </c>
      <c r="E239" s="3">
        <f>((1/(INDEX(E0!J$4:J$49,C239,1)-INDEX(E0!J$4:J$49,D239,1))))*100000000</f>
        <v>0</v>
      </c>
      <c r="F239" s="4" t="str">
        <f>HYPERLINK("http://141.218.60.56/~jnz1568/getInfo.php?workbook=08_06.xlsx&amp;sheet=A0&amp;row=239&amp;col=6&amp;number=1360300&amp;sourceID=3","1360300")</f>
        <v>1360300</v>
      </c>
      <c r="G239" s="4" t="str">
        <f>HYPERLINK("http://141.218.60.56/~jnz1568/getInfo.php?workbook=08_06.xlsx&amp;sheet=A0&amp;row=239&amp;col=7&amp;number=&amp;sourceID=3","")</f>
        <v/>
      </c>
      <c r="H239" s="4" t="str">
        <f>HYPERLINK("http://141.218.60.56/~jnz1568/getInfo.php?workbook=08_06.xlsx&amp;sheet=A0&amp;row=239&amp;col=8&amp;number=&amp;sourceID=3","")</f>
        <v/>
      </c>
      <c r="I239" s="4" t="str">
        <f>HYPERLINK("http://141.218.60.56/~jnz1568/getInfo.php?workbook=08_06.xlsx&amp;sheet=A0&amp;row=239&amp;col=9&amp;number=&amp;sourceID=3","")</f>
        <v/>
      </c>
      <c r="J239" s="4" t="str">
        <f>HYPERLINK("http://141.218.60.56/~jnz1568/getInfo.php?workbook=08_06.xlsx&amp;sheet=A0&amp;row=239&amp;col=10&amp;number=1356900&amp;sourceID=3","1356900")</f>
        <v>1356900</v>
      </c>
      <c r="K239" s="4" t="str">
        <f>HYPERLINK("http://141.218.60.56/~jnz1568/getInfo.php?workbook=08_06.xlsx&amp;sheet=A0&amp;row=239&amp;col=11&amp;number=&amp;sourceID=3","")</f>
        <v/>
      </c>
      <c r="L239" s="4" t="str">
        <f>HYPERLINK("http://141.218.60.56/~jnz1568/getInfo.php?workbook=08_06.xlsx&amp;sheet=A0&amp;row=239&amp;col=12&amp;number=&amp;sourceID=3","")</f>
        <v/>
      </c>
      <c r="M239" s="4" t="str">
        <f>HYPERLINK("http://141.218.60.56/~jnz1568/getInfo.php?workbook=08_06.xlsx&amp;sheet=A0&amp;row=239&amp;col=13&amp;number=&amp;sourceID=3","")</f>
        <v/>
      </c>
      <c r="N239" s="4" t="str">
        <f>HYPERLINK("http://141.218.60.56/~jnz1568/getInfo.php?workbook=08_06.xlsx&amp;sheet=A0&amp;row=239&amp;col=14&amp;number=964500&amp;sourceID=7","964500")</f>
        <v>964500</v>
      </c>
      <c r="O239" s="4" t="str">
        <f>HYPERLINK("http://141.218.60.56/~jnz1568/getInfo.php?workbook=08_06.xlsx&amp;sheet=A0&amp;row=239&amp;col=15&amp;number=&amp;sourceID=5","")</f>
        <v/>
      </c>
      <c r="P239" s="4" t="str">
        <f>HYPERLINK("http://141.218.60.56/~jnz1568/getInfo.php?workbook=08_06.xlsx&amp;sheet=A0&amp;row=239&amp;col=16&amp;number=&amp;sourceID=5","")</f>
        <v/>
      </c>
      <c r="Q239" s="4" t="str">
        <f>HYPERLINK("http://141.218.60.56/~jnz1568/getInfo.php?workbook=08_06.xlsx&amp;sheet=A0&amp;row=239&amp;col=17&amp;number=&amp;sourceID=6","")</f>
        <v/>
      </c>
    </row>
    <row r="240" spans="1:17">
      <c r="A240" s="3">
        <v>8</v>
      </c>
      <c r="B240" s="3">
        <v>6</v>
      </c>
      <c r="C240" s="3">
        <v>31</v>
      </c>
      <c r="D240" s="3">
        <v>10</v>
      </c>
      <c r="E240" s="3">
        <f>((1/(INDEX(E0!J$4:J$49,C240,1)-INDEX(E0!J$4:J$49,D240,1))))*100000000</f>
        <v>0</v>
      </c>
      <c r="F240" s="4" t="str">
        <f>HYPERLINK("http://141.218.60.56/~jnz1568/getInfo.php?workbook=08_06.xlsx&amp;sheet=A0&amp;row=240&amp;col=6&amp;number=9668600&amp;sourceID=3","9668600")</f>
        <v>9668600</v>
      </c>
      <c r="G240" s="4" t="str">
        <f>HYPERLINK("http://141.218.60.56/~jnz1568/getInfo.php?workbook=08_06.xlsx&amp;sheet=A0&amp;row=240&amp;col=7&amp;number=&amp;sourceID=3","")</f>
        <v/>
      </c>
      <c r="H240" s="4" t="str">
        <f>HYPERLINK("http://141.218.60.56/~jnz1568/getInfo.php?workbook=08_06.xlsx&amp;sheet=A0&amp;row=240&amp;col=8&amp;number=&amp;sourceID=3","")</f>
        <v/>
      </c>
      <c r="I240" s="4" t="str">
        <f>HYPERLINK("http://141.218.60.56/~jnz1568/getInfo.php?workbook=08_06.xlsx&amp;sheet=A0&amp;row=240&amp;col=9&amp;number=&amp;sourceID=3","")</f>
        <v/>
      </c>
      <c r="J240" s="4" t="str">
        <f>HYPERLINK("http://141.218.60.56/~jnz1568/getInfo.php?workbook=08_06.xlsx&amp;sheet=A0&amp;row=240&amp;col=10&amp;number=9751900&amp;sourceID=3","9751900")</f>
        <v>9751900</v>
      </c>
      <c r="K240" s="4" t="str">
        <f>HYPERLINK("http://141.218.60.56/~jnz1568/getInfo.php?workbook=08_06.xlsx&amp;sheet=A0&amp;row=240&amp;col=11&amp;number=&amp;sourceID=3","")</f>
        <v/>
      </c>
      <c r="L240" s="4" t="str">
        <f>HYPERLINK("http://141.218.60.56/~jnz1568/getInfo.php?workbook=08_06.xlsx&amp;sheet=A0&amp;row=240&amp;col=12&amp;number=&amp;sourceID=3","")</f>
        <v/>
      </c>
      <c r="M240" s="4" t="str">
        <f>HYPERLINK("http://141.218.60.56/~jnz1568/getInfo.php?workbook=08_06.xlsx&amp;sheet=A0&amp;row=240&amp;col=13&amp;number=&amp;sourceID=3","")</f>
        <v/>
      </c>
      <c r="N240" s="4" t="str">
        <f>HYPERLINK("http://141.218.60.56/~jnz1568/getInfo.php?workbook=08_06.xlsx&amp;sheet=A0&amp;row=240&amp;col=14&amp;number=21490000&amp;sourceID=7","21490000")</f>
        <v>21490000</v>
      </c>
      <c r="O240" s="4" t="str">
        <f>HYPERLINK("http://141.218.60.56/~jnz1568/getInfo.php?workbook=08_06.xlsx&amp;sheet=A0&amp;row=240&amp;col=15&amp;number=&amp;sourceID=5","")</f>
        <v/>
      </c>
      <c r="P240" s="4" t="str">
        <f>HYPERLINK("http://141.218.60.56/~jnz1568/getInfo.php?workbook=08_06.xlsx&amp;sheet=A0&amp;row=240&amp;col=16&amp;number=&amp;sourceID=5","")</f>
        <v/>
      </c>
      <c r="Q240" s="4" t="str">
        <f>HYPERLINK("http://141.218.60.56/~jnz1568/getInfo.php?workbook=08_06.xlsx&amp;sheet=A0&amp;row=240&amp;col=17&amp;number=&amp;sourceID=6","")</f>
        <v/>
      </c>
    </row>
    <row r="241" spans="1:17">
      <c r="A241" s="3">
        <v>8</v>
      </c>
      <c r="B241" s="3">
        <v>6</v>
      </c>
      <c r="C241" s="3">
        <v>31</v>
      </c>
      <c r="D241" s="3">
        <v>11</v>
      </c>
      <c r="E241" s="3">
        <f>((1/(INDEX(E0!J$4:J$49,C241,1)-INDEX(E0!J$4:J$49,D241,1))))*100000000</f>
        <v>0</v>
      </c>
      <c r="F241" s="4" t="str">
        <f>HYPERLINK("http://141.218.60.56/~jnz1568/getInfo.php?workbook=08_06.xlsx&amp;sheet=A0&amp;row=241&amp;col=6&amp;number=3713600&amp;sourceID=3","3713600")</f>
        <v>3713600</v>
      </c>
      <c r="G241" s="4" t="str">
        <f>HYPERLINK("http://141.218.60.56/~jnz1568/getInfo.php?workbook=08_06.xlsx&amp;sheet=A0&amp;row=241&amp;col=7&amp;number=&amp;sourceID=3","")</f>
        <v/>
      </c>
      <c r="H241" s="4" t="str">
        <f>HYPERLINK("http://141.218.60.56/~jnz1568/getInfo.php?workbook=08_06.xlsx&amp;sheet=A0&amp;row=241&amp;col=8&amp;number=&amp;sourceID=3","")</f>
        <v/>
      </c>
      <c r="I241" s="4" t="str">
        <f>HYPERLINK("http://141.218.60.56/~jnz1568/getInfo.php?workbook=08_06.xlsx&amp;sheet=A0&amp;row=241&amp;col=9&amp;number=&amp;sourceID=3","")</f>
        <v/>
      </c>
      <c r="J241" s="4" t="str">
        <f>HYPERLINK("http://141.218.60.56/~jnz1568/getInfo.php?workbook=08_06.xlsx&amp;sheet=A0&amp;row=241&amp;col=10&amp;number=3748100&amp;sourceID=3","3748100")</f>
        <v>3748100</v>
      </c>
      <c r="K241" s="4" t="str">
        <f>HYPERLINK("http://141.218.60.56/~jnz1568/getInfo.php?workbook=08_06.xlsx&amp;sheet=A0&amp;row=241&amp;col=11&amp;number=&amp;sourceID=3","")</f>
        <v/>
      </c>
      <c r="L241" s="4" t="str">
        <f>HYPERLINK("http://141.218.60.56/~jnz1568/getInfo.php?workbook=08_06.xlsx&amp;sheet=A0&amp;row=241&amp;col=12&amp;number=&amp;sourceID=3","")</f>
        <v/>
      </c>
      <c r="M241" s="4" t="str">
        <f>HYPERLINK("http://141.218.60.56/~jnz1568/getInfo.php?workbook=08_06.xlsx&amp;sheet=A0&amp;row=241&amp;col=13&amp;number=&amp;sourceID=3","")</f>
        <v/>
      </c>
      <c r="N241" s="4" t="str">
        <f>HYPERLINK("http://141.218.60.56/~jnz1568/getInfo.php?workbook=08_06.xlsx&amp;sheet=A0&amp;row=241&amp;col=14&amp;number=7676000&amp;sourceID=7","7676000")</f>
        <v>7676000</v>
      </c>
      <c r="O241" s="4" t="str">
        <f>HYPERLINK("http://141.218.60.56/~jnz1568/getInfo.php?workbook=08_06.xlsx&amp;sheet=A0&amp;row=241&amp;col=15&amp;number=&amp;sourceID=5","")</f>
        <v/>
      </c>
      <c r="P241" s="4" t="str">
        <f>HYPERLINK("http://141.218.60.56/~jnz1568/getInfo.php?workbook=08_06.xlsx&amp;sheet=A0&amp;row=241&amp;col=16&amp;number=&amp;sourceID=5","")</f>
        <v/>
      </c>
      <c r="Q241" s="4" t="str">
        <f>HYPERLINK("http://141.218.60.56/~jnz1568/getInfo.php?workbook=08_06.xlsx&amp;sheet=A0&amp;row=241&amp;col=17&amp;number=&amp;sourceID=6","")</f>
        <v/>
      </c>
    </row>
    <row r="242" spans="1:17">
      <c r="A242" s="3">
        <v>8</v>
      </c>
      <c r="B242" s="3">
        <v>6</v>
      </c>
      <c r="C242" s="3">
        <v>31</v>
      </c>
      <c r="D242" s="3">
        <v>13</v>
      </c>
      <c r="E242" s="3">
        <f>((1/(INDEX(E0!J$4:J$49,C242,1)-INDEX(E0!J$4:J$49,D242,1))))*100000000</f>
        <v>0</v>
      </c>
      <c r="F242" s="4" t="str">
        <f>HYPERLINK("http://141.218.60.56/~jnz1568/getInfo.php?workbook=08_06.xlsx&amp;sheet=A0&amp;row=242&amp;col=6&amp;number=76847&amp;sourceID=3","76847")</f>
        <v>76847</v>
      </c>
      <c r="G242" s="4" t="str">
        <f>HYPERLINK("http://141.218.60.56/~jnz1568/getInfo.php?workbook=08_06.xlsx&amp;sheet=A0&amp;row=242&amp;col=7&amp;number=&amp;sourceID=3","")</f>
        <v/>
      </c>
      <c r="H242" s="4" t="str">
        <f>HYPERLINK("http://141.218.60.56/~jnz1568/getInfo.php?workbook=08_06.xlsx&amp;sheet=A0&amp;row=242&amp;col=8&amp;number=&amp;sourceID=3","")</f>
        <v/>
      </c>
      <c r="I242" s="4" t="str">
        <f>HYPERLINK("http://141.218.60.56/~jnz1568/getInfo.php?workbook=08_06.xlsx&amp;sheet=A0&amp;row=242&amp;col=9&amp;number=&amp;sourceID=3","")</f>
        <v/>
      </c>
      <c r="J242" s="4" t="str">
        <f>HYPERLINK("http://141.218.60.56/~jnz1568/getInfo.php?workbook=08_06.xlsx&amp;sheet=A0&amp;row=242&amp;col=10&amp;number=98714&amp;sourceID=3","98714")</f>
        <v>98714</v>
      </c>
      <c r="K242" s="4" t="str">
        <f>HYPERLINK("http://141.218.60.56/~jnz1568/getInfo.php?workbook=08_06.xlsx&amp;sheet=A0&amp;row=242&amp;col=11&amp;number=&amp;sourceID=3","")</f>
        <v/>
      </c>
      <c r="L242" s="4" t="str">
        <f>HYPERLINK("http://141.218.60.56/~jnz1568/getInfo.php?workbook=08_06.xlsx&amp;sheet=A0&amp;row=242&amp;col=12&amp;number=&amp;sourceID=3","")</f>
        <v/>
      </c>
      <c r="M242" s="4" t="str">
        <f>HYPERLINK("http://141.218.60.56/~jnz1568/getInfo.php?workbook=08_06.xlsx&amp;sheet=A0&amp;row=242&amp;col=13&amp;number=&amp;sourceID=3","")</f>
        <v/>
      </c>
      <c r="N242" s="4" t="str">
        <f>HYPERLINK("http://141.218.60.56/~jnz1568/getInfo.php?workbook=08_06.xlsx&amp;sheet=A0&amp;row=242&amp;col=14&amp;number=90810&amp;sourceID=7","90810")</f>
        <v>90810</v>
      </c>
      <c r="O242" s="4" t="str">
        <f>HYPERLINK("http://141.218.60.56/~jnz1568/getInfo.php?workbook=08_06.xlsx&amp;sheet=A0&amp;row=242&amp;col=15&amp;number=&amp;sourceID=5","")</f>
        <v/>
      </c>
      <c r="P242" s="4" t="str">
        <f>HYPERLINK("http://141.218.60.56/~jnz1568/getInfo.php?workbook=08_06.xlsx&amp;sheet=A0&amp;row=242&amp;col=16&amp;number=&amp;sourceID=5","")</f>
        <v/>
      </c>
      <c r="Q242" s="4" t="str">
        <f>HYPERLINK("http://141.218.60.56/~jnz1568/getInfo.php?workbook=08_06.xlsx&amp;sheet=A0&amp;row=242&amp;col=17&amp;number=&amp;sourceID=6","")</f>
        <v/>
      </c>
    </row>
    <row r="243" spans="1:17">
      <c r="A243" s="3">
        <v>8</v>
      </c>
      <c r="B243" s="3">
        <v>6</v>
      </c>
      <c r="C243" s="3">
        <v>31</v>
      </c>
      <c r="D243" s="3">
        <v>14</v>
      </c>
      <c r="E243" s="3">
        <f>((1/(INDEX(E0!J$4:J$49,C243,1)-INDEX(E0!J$4:J$49,D243,1))))*100000000</f>
        <v>0</v>
      </c>
      <c r="F243" s="4" t="str">
        <f>HYPERLINK("http://141.218.60.56/~jnz1568/getInfo.php?workbook=08_06.xlsx&amp;sheet=A0&amp;row=243&amp;col=6&amp;number=880790&amp;sourceID=3","880790")</f>
        <v>880790</v>
      </c>
      <c r="G243" s="4" t="str">
        <f>HYPERLINK("http://141.218.60.56/~jnz1568/getInfo.php?workbook=08_06.xlsx&amp;sheet=A0&amp;row=243&amp;col=7&amp;number=&amp;sourceID=3","")</f>
        <v/>
      </c>
      <c r="H243" s="4" t="str">
        <f>HYPERLINK("http://141.218.60.56/~jnz1568/getInfo.php?workbook=08_06.xlsx&amp;sheet=A0&amp;row=243&amp;col=8&amp;number=&amp;sourceID=3","")</f>
        <v/>
      </c>
      <c r="I243" s="4" t="str">
        <f>HYPERLINK("http://141.218.60.56/~jnz1568/getInfo.php?workbook=08_06.xlsx&amp;sheet=A0&amp;row=243&amp;col=9&amp;number=&amp;sourceID=3","")</f>
        <v/>
      </c>
      <c r="J243" s="4" t="str">
        <f>HYPERLINK("http://141.218.60.56/~jnz1568/getInfo.php?workbook=08_06.xlsx&amp;sheet=A0&amp;row=243&amp;col=10&amp;number=908710&amp;sourceID=3","908710")</f>
        <v>908710</v>
      </c>
      <c r="K243" s="4" t="str">
        <f>HYPERLINK("http://141.218.60.56/~jnz1568/getInfo.php?workbook=08_06.xlsx&amp;sheet=A0&amp;row=243&amp;col=11&amp;number=&amp;sourceID=3","")</f>
        <v/>
      </c>
      <c r="L243" s="4" t="str">
        <f>HYPERLINK("http://141.218.60.56/~jnz1568/getInfo.php?workbook=08_06.xlsx&amp;sheet=A0&amp;row=243&amp;col=12&amp;number=&amp;sourceID=3","")</f>
        <v/>
      </c>
      <c r="M243" s="4" t="str">
        <f>HYPERLINK("http://141.218.60.56/~jnz1568/getInfo.php?workbook=08_06.xlsx&amp;sheet=A0&amp;row=243&amp;col=13&amp;number=&amp;sourceID=3","")</f>
        <v/>
      </c>
      <c r="N243" s="4" t="str">
        <f>HYPERLINK("http://141.218.60.56/~jnz1568/getInfo.php?workbook=08_06.xlsx&amp;sheet=A0&amp;row=243&amp;col=14&amp;number=3825000&amp;sourceID=7","3825000")</f>
        <v>3825000</v>
      </c>
      <c r="O243" s="4" t="str">
        <f>HYPERLINK("http://141.218.60.56/~jnz1568/getInfo.php?workbook=08_06.xlsx&amp;sheet=A0&amp;row=243&amp;col=15&amp;number=&amp;sourceID=5","")</f>
        <v/>
      </c>
      <c r="P243" s="4" t="str">
        <f>HYPERLINK("http://141.218.60.56/~jnz1568/getInfo.php?workbook=08_06.xlsx&amp;sheet=A0&amp;row=243&amp;col=16&amp;number=&amp;sourceID=5","")</f>
        <v/>
      </c>
      <c r="Q243" s="4" t="str">
        <f>HYPERLINK("http://141.218.60.56/~jnz1568/getInfo.php?workbook=08_06.xlsx&amp;sheet=A0&amp;row=243&amp;col=17&amp;number=&amp;sourceID=6","")</f>
        <v/>
      </c>
    </row>
    <row r="244" spans="1:17">
      <c r="A244" s="3">
        <v>8</v>
      </c>
      <c r="B244" s="3">
        <v>6</v>
      </c>
      <c r="C244" s="3">
        <v>31</v>
      </c>
      <c r="D244" s="3">
        <v>15</v>
      </c>
      <c r="E244" s="3">
        <f>((1/(INDEX(E0!J$4:J$49,C244,1)-INDEX(E0!J$4:J$49,D244,1))))*100000000</f>
        <v>0</v>
      </c>
      <c r="F244" s="4" t="str">
        <f>HYPERLINK("http://141.218.60.56/~jnz1568/getInfo.php?workbook=08_06.xlsx&amp;sheet=A0&amp;row=244&amp;col=6&amp;number=731.47&amp;sourceID=3","731.47")</f>
        <v>731.47</v>
      </c>
      <c r="G244" s="4" t="str">
        <f>HYPERLINK("http://141.218.60.56/~jnz1568/getInfo.php?workbook=08_06.xlsx&amp;sheet=A0&amp;row=244&amp;col=7&amp;number=&amp;sourceID=3","")</f>
        <v/>
      </c>
      <c r="H244" s="4" t="str">
        <f>HYPERLINK("http://141.218.60.56/~jnz1568/getInfo.php?workbook=08_06.xlsx&amp;sheet=A0&amp;row=244&amp;col=8&amp;number=&amp;sourceID=3","")</f>
        <v/>
      </c>
      <c r="I244" s="4" t="str">
        <f>HYPERLINK("http://141.218.60.56/~jnz1568/getInfo.php?workbook=08_06.xlsx&amp;sheet=A0&amp;row=244&amp;col=9&amp;number=&amp;sourceID=3","")</f>
        <v/>
      </c>
      <c r="J244" s="4" t="str">
        <f>HYPERLINK("http://141.218.60.56/~jnz1568/getInfo.php?workbook=08_06.xlsx&amp;sheet=A0&amp;row=244&amp;col=10&amp;number=225.42&amp;sourceID=3","225.42")</f>
        <v>225.42</v>
      </c>
      <c r="K244" s="4" t="str">
        <f>HYPERLINK("http://141.218.60.56/~jnz1568/getInfo.php?workbook=08_06.xlsx&amp;sheet=A0&amp;row=244&amp;col=11&amp;number=&amp;sourceID=3","")</f>
        <v/>
      </c>
      <c r="L244" s="4" t="str">
        <f>HYPERLINK("http://141.218.60.56/~jnz1568/getInfo.php?workbook=08_06.xlsx&amp;sheet=A0&amp;row=244&amp;col=12&amp;number=&amp;sourceID=3","")</f>
        <v/>
      </c>
      <c r="M244" s="4" t="str">
        <f>HYPERLINK("http://141.218.60.56/~jnz1568/getInfo.php?workbook=08_06.xlsx&amp;sheet=A0&amp;row=244&amp;col=13&amp;number=&amp;sourceID=3","")</f>
        <v/>
      </c>
      <c r="N244" s="4" t="str">
        <f>HYPERLINK("http://141.218.60.56/~jnz1568/getInfo.php?workbook=08_06.xlsx&amp;sheet=A0&amp;row=244&amp;col=14&amp;number=27280&amp;sourceID=7","27280")</f>
        <v>27280</v>
      </c>
      <c r="O244" s="4" t="str">
        <f>HYPERLINK("http://141.218.60.56/~jnz1568/getInfo.php?workbook=08_06.xlsx&amp;sheet=A0&amp;row=244&amp;col=15&amp;number=&amp;sourceID=5","")</f>
        <v/>
      </c>
      <c r="P244" s="4" t="str">
        <f>HYPERLINK("http://141.218.60.56/~jnz1568/getInfo.php?workbook=08_06.xlsx&amp;sheet=A0&amp;row=244&amp;col=16&amp;number=&amp;sourceID=5","")</f>
        <v/>
      </c>
      <c r="Q244" s="4" t="str">
        <f>HYPERLINK("http://141.218.60.56/~jnz1568/getInfo.php?workbook=08_06.xlsx&amp;sheet=A0&amp;row=244&amp;col=17&amp;number=&amp;sourceID=6","")</f>
        <v/>
      </c>
    </row>
    <row r="245" spans="1:17">
      <c r="A245" s="3">
        <v>8</v>
      </c>
      <c r="B245" s="3">
        <v>6</v>
      </c>
      <c r="C245" s="3">
        <v>31</v>
      </c>
      <c r="D245" s="3">
        <v>17</v>
      </c>
      <c r="E245" s="3">
        <f>((1/(INDEX(E0!J$4:J$49,C245,1)-INDEX(E0!J$4:J$49,D245,1))))*100000000</f>
        <v>0</v>
      </c>
      <c r="F245" s="4" t="str">
        <f>HYPERLINK("http://141.218.60.56/~jnz1568/getInfo.php?workbook=08_06.xlsx&amp;sheet=A0&amp;row=245&amp;col=6&amp;number=47613000&amp;sourceID=3","47613000")</f>
        <v>47613000</v>
      </c>
      <c r="G245" s="4" t="str">
        <f>HYPERLINK("http://141.218.60.56/~jnz1568/getInfo.php?workbook=08_06.xlsx&amp;sheet=A0&amp;row=245&amp;col=7&amp;number=&amp;sourceID=3","")</f>
        <v/>
      </c>
      <c r="H245" s="4" t="str">
        <f>HYPERLINK("http://141.218.60.56/~jnz1568/getInfo.php?workbook=08_06.xlsx&amp;sheet=A0&amp;row=245&amp;col=8&amp;number=&amp;sourceID=3","")</f>
        <v/>
      </c>
      <c r="I245" s="4" t="str">
        <f>HYPERLINK("http://141.218.60.56/~jnz1568/getInfo.php?workbook=08_06.xlsx&amp;sheet=A0&amp;row=245&amp;col=9&amp;number=&amp;sourceID=3","")</f>
        <v/>
      </c>
      <c r="J245" s="4" t="str">
        <f>HYPERLINK("http://141.218.60.56/~jnz1568/getInfo.php?workbook=08_06.xlsx&amp;sheet=A0&amp;row=245&amp;col=10&amp;number=47966000&amp;sourceID=3","47966000")</f>
        <v>47966000</v>
      </c>
      <c r="K245" s="4" t="str">
        <f>HYPERLINK("http://141.218.60.56/~jnz1568/getInfo.php?workbook=08_06.xlsx&amp;sheet=A0&amp;row=245&amp;col=11&amp;number=&amp;sourceID=3","")</f>
        <v/>
      </c>
      <c r="L245" s="4" t="str">
        <f>HYPERLINK("http://141.218.60.56/~jnz1568/getInfo.php?workbook=08_06.xlsx&amp;sheet=A0&amp;row=245&amp;col=12&amp;number=&amp;sourceID=3","")</f>
        <v/>
      </c>
      <c r="M245" s="4" t="str">
        <f>HYPERLINK("http://141.218.60.56/~jnz1568/getInfo.php?workbook=08_06.xlsx&amp;sheet=A0&amp;row=245&amp;col=13&amp;number=&amp;sourceID=3","")</f>
        <v/>
      </c>
      <c r="N245" s="4" t="str">
        <f>HYPERLINK("http://141.218.60.56/~jnz1568/getInfo.php?workbook=08_06.xlsx&amp;sheet=A0&amp;row=245&amp;col=14&amp;number=39110000&amp;sourceID=7","39110000")</f>
        <v>39110000</v>
      </c>
      <c r="O245" s="4" t="str">
        <f>HYPERLINK("http://141.218.60.56/~jnz1568/getInfo.php?workbook=08_06.xlsx&amp;sheet=A0&amp;row=245&amp;col=15&amp;number=&amp;sourceID=5","")</f>
        <v/>
      </c>
      <c r="P245" s="4" t="str">
        <f>HYPERLINK("http://141.218.60.56/~jnz1568/getInfo.php?workbook=08_06.xlsx&amp;sheet=A0&amp;row=245&amp;col=16&amp;number=&amp;sourceID=5","")</f>
        <v/>
      </c>
      <c r="Q245" s="4" t="str">
        <f>HYPERLINK("http://141.218.60.56/~jnz1568/getInfo.php?workbook=08_06.xlsx&amp;sheet=A0&amp;row=245&amp;col=17&amp;number=&amp;sourceID=6","")</f>
        <v/>
      </c>
    </row>
    <row r="246" spans="1:17">
      <c r="A246" s="3">
        <v>8</v>
      </c>
      <c r="B246" s="3">
        <v>6</v>
      </c>
      <c r="C246" s="3">
        <v>31</v>
      </c>
      <c r="D246" s="3">
        <v>18</v>
      </c>
      <c r="E246" s="3">
        <f>((1/(INDEX(E0!J$4:J$49,C246,1)-INDEX(E0!J$4:J$49,D246,1))))*100000000</f>
        <v>0</v>
      </c>
      <c r="F246" s="4" t="str">
        <f>HYPERLINK("http://141.218.60.56/~jnz1568/getInfo.php?workbook=08_06.xlsx&amp;sheet=A0&amp;row=246&amp;col=6&amp;number=148830000&amp;sourceID=3","148830000")</f>
        <v>148830000</v>
      </c>
      <c r="G246" s="4" t="str">
        <f>HYPERLINK("http://141.218.60.56/~jnz1568/getInfo.php?workbook=08_06.xlsx&amp;sheet=A0&amp;row=246&amp;col=7&amp;number=&amp;sourceID=3","")</f>
        <v/>
      </c>
      <c r="H246" s="4" t="str">
        <f>HYPERLINK("http://141.218.60.56/~jnz1568/getInfo.php?workbook=08_06.xlsx&amp;sheet=A0&amp;row=246&amp;col=8&amp;number=&amp;sourceID=3","")</f>
        <v/>
      </c>
      <c r="I246" s="4" t="str">
        <f>HYPERLINK("http://141.218.60.56/~jnz1568/getInfo.php?workbook=08_06.xlsx&amp;sheet=A0&amp;row=246&amp;col=9&amp;number=&amp;sourceID=3","")</f>
        <v/>
      </c>
      <c r="J246" s="4" t="str">
        <f>HYPERLINK("http://141.218.60.56/~jnz1568/getInfo.php?workbook=08_06.xlsx&amp;sheet=A0&amp;row=246&amp;col=10&amp;number=150000000&amp;sourceID=3","150000000")</f>
        <v>150000000</v>
      </c>
      <c r="K246" s="4" t="str">
        <f>HYPERLINK("http://141.218.60.56/~jnz1568/getInfo.php?workbook=08_06.xlsx&amp;sheet=A0&amp;row=246&amp;col=11&amp;number=&amp;sourceID=3","")</f>
        <v/>
      </c>
      <c r="L246" s="4" t="str">
        <f>HYPERLINK("http://141.218.60.56/~jnz1568/getInfo.php?workbook=08_06.xlsx&amp;sheet=A0&amp;row=246&amp;col=12&amp;number=&amp;sourceID=3","")</f>
        <v/>
      </c>
      <c r="M246" s="4" t="str">
        <f>HYPERLINK("http://141.218.60.56/~jnz1568/getInfo.php?workbook=08_06.xlsx&amp;sheet=A0&amp;row=246&amp;col=13&amp;number=&amp;sourceID=3","")</f>
        <v/>
      </c>
      <c r="N246" s="4" t="str">
        <f>HYPERLINK("http://141.218.60.56/~jnz1568/getInfo.php?workbook=08_06.xlsx&amp;sheet=A0&amp;row=246&amp;col=14&amp;number=120000000&amp;sourceID=7","120000000")</f>
        <v>120000000</v>
      </c>
      <c r="O246" s="4" t="str">
        <f>HYPERLINK("http://141.218.60.56/~jnz1568/getInfo.php?workbook=08_06.xlsx&amp;sheet=A0&amp;row=246&amp;col=15&amp;number=&amp;sourceID=5","")</f>
        <v/>
      </c>
      <c r="P246" s="4" t="str">
        <f>HYPERLINK("http://141.218.60.56/~jnz1568/getInfo.php?workbook=08_06.xlsx&amp;sheet=A0&amp;row=246&amp;col=16&amp;number=&amp;sourceID=5","")</f>
        <v/>
      </c>
      <c r="Q246" s="4" t="str">
        <f>HYPERLINK("http://141.218.60.56/~jnz1568/getInfo.php?workbook=08_06.xlsx&amp;sheet=A0&amp;row=246&amp;col=17&amp;number=&amp;sourceID=6","")</f>
        <v/>
      </c>
    </row>
    <row r="247" spans="1:17">
      <c r="A247" s="3">
        <v>8</v>
      </c>
      <c r="B247" s="3">
        <v>6</v>
      </c>
      <c r="C247" s="3">
        <v>31</v>
      </c>
      <c r="D247" s="3">
        <v>19</v>
      </c>
      <c r="E247" s="3">
        <f>((1/(INDEX(E0!J$4:J$49,C247,1)-INDEX(E0!J$4:J$49,D247,1))))*100000000</f>
        <v>0</v>
      </c>
      <c r="F247" s="4" t="str">
        <f>HYPERLINK("http://141.218.60.56/~jnz1568/getInfo.php?workbook=08_06.xlsx&amp;sheet=A0&amp;row=247&amp;col=6&amp;number=128.19&amp;sourceID=3","128.19")</f>
        <v>128.19</v>
      </c>
      <c r="G247" s="4" t="str">
        <f>HYPERLINK("http://141.218.60.56/~jnz1568/getInfo.php?workbook=08_06.xlsx&amp;sheet=A0&amp;row=247&amp;col=7&amp;number=&amp;sourceID=3","")</f>
        <v/>
      </c>
      <c r="H247" s="4" t="str">
        <f>HYPERLINK("http://141.218.60.56/~jnz1568/getInfo.php?workbook=08_06.xlsx&amp;sheet=A0&amp;row=247&amp;col=8&amp;number=&amp;sourceID=3","")</f>
        <v/>
      </c>
      <c r="I247" s="4" t="str">
        <f>HYPERLINK("http://141.218.60.56/~jnz1568/getInfo.php?workbook=08_06.xlsx&amp;sheet=A0&amp;row=247&amp;col=9&amp;number=&amp;sourceID=3","")</f>
        <v/>
      </c>
      <c r="J247" s="4" t="str">
        <f>HYPERLINK("http://141.218.60.56/~jnz1568/getInfo.php?workbook=08_06.xlsx&amp;sheet=A0&amp;row=247&amp;col=10&amp;number=112.82&amp;sourceID=3","112.82")</f>
        <v>112.82</v>
      </c>
      <c r="K247" s="4" t="str">
        <f>HYPERLINK("http://141.218.60.56/~jnz1568/getInfo.php?workbook=08_06.xlsx&amp;sheet=A0&amp;row=247&amp;col=11&amp;number=&amp;sourceID=3","")</f>
        <v/>
      </c>
      <c r="L247" s="4" t="str">
        <f>HYPERLINK("http://141.218.60.56/~jnz1568/getInfo.php?workbook=08_06.xlsx&amp;sheet=A0&amp;row=247&amp;col=12&amp;number=&amp;sourceID=3","")</f>
        <v/>
      </c>
      <c r="M247" s="4" t="str">
        <f>HYPERLINK("http://141.218.60.56/~jnz1568/getInfo.php?workbook=08_06.xlsx&amp;sheet=A0&amp;row=247&amp;col=13&amp;number=&amp;sourceID=3","")</f>
        <v/>
      </c>
      <c r="N247" s="4" t="str">
        <f>HYPERLINK("http://141.218.60.56/~jnz1568/getInfo.php?workbook=08_06.xlsx&amp;sheet=A0&amp;row=247&amp;col=14&amp;number=242.4&amp;sourceID=7","242.4")</f>
        <v>242.4</v>
      </c>
      <c r="O247" s="4" t="str">
        <f>HYPERLINK("http://141.218.60.56/~jnz1568/getInfo.php?workbook=08_06.xlsx&amp;sheet=A0&amp;row=247&amp;col=15&amp;number=&amp;sourceID=5","")</f>
        <v/>
      </c>
      <c r="P247" s="4" t="str">
        <f>HYPERLINK("http://141.218.60.56/~jnz1568/getInfo.php?workbook=08_06.xlsx&amp;sheet=A0&amp;row=247&amp;col=16&amp;number=&amp;sourceID=5","")</f>
        <v/>
      </c>
      <c r="Q247" s="4" t="str">
        <f>HYPERLINK("http://141.218.60.56/~jnz1568/getInfo.php?workbook=08_06.xlsx&amp;sheet=A0&amp;row=247&amp;col=17&amp;number=&amp;sourceID=6","")</f>
        <v/>
      </c>
    </row>
    <row r="248" spans="1:17">
      <c r="A248" s="3">
        <v>8</v>
      </c>
      <c r="B248" s="3">
        <v>6</v>
      </c>
      <c r="C248" s="3">
        <v>32</v>
      </c>
      <c r="D248" s="3">
        <v>6</v>
      </c>
      <c r="E248" s="3">
        <f>((1/(INDEX(E0!J$4:J$49,C248,1)-INDEX(E0!J$4:J$49,D248,1))))*100000000</f>
        <v>0</v>
      </c>
      <c r="F248" s="4" t="str">
        <f>HYPERLINK("http://141.218.60.56/~jnz1568/getInfo.php?workbook=08_06.xlsx&amp;sheet=A0&amp;row=248&amp;col=6&amp;number=0.23324&amp;sourceID=3","0.23324")</f>
        <v>0.23324</v>
      </c>
      <c r="G248" s="4" t="str">
        <f>HYPERLINK("http://141.218.60.56/~jnz1568/getInfo.php?workbook=08_06.xlsx&amp;sheet=A0&amp;row=248&amp;col=7&amp;number=&amp;sourceID=3","")</f>
        <v/>
      </c>
      <c r="H248" s="4" t="str">
        <f>HYPERLINK("http://141.218.60.56/~jnz1568/getInfo.php?workbook=08_06.xlsx&amp;sheet=A0&amp;row=248&amp;col=8&amp;number=&amp;sourceID=3","")</f>
        <v/>
      </c>
      <c r="I248" s="4" t="str">
        <f>HYPERLINK("http://141.218.60.56/~jnz1568/getInfo.php?workbook=08_06.xlsx&amp;sheet=A0&amp;row=248&amp;col=9&amp;number=&amp;sourceID=3","")</f>
        <v/>
      </c>
      <c r="J248" s="4" t="str">
        <f>HYPERLINK("http://141.218.60.56/~jnz1568/getInfo.php?workbook=08_06.xlsx&amp;sheet=A0&amp;row=248&amp;col=10&amp;number=0.23093&amp;sourceID=3","0.23093")</f>
        <v>0.23093</v>
      </c>
      <c r="K248" s="4" t="str">
        <f>HYPERLINK("http://141.218.60.56/~jnz1568/getInfo.php?workbook=08_06.xlsx&amp;sheet=A0&amp;row=248&amp;col=11&amp;number=&amp;sourceID=3","")</f>
        <v/>
      </c>
      <c r="L248" s="4" t="str">
        <f>HYPERLINK("http://141.218.60.56/~jnz1568/getInfo.php?workbook=08_06.xlsx&amp;sheet=A0&amp;row=248&amp;col=12&amp;number=&amp;sourceID=3","")</f>
        <v/>
      </c>
      <c r="M248" s="4" t="str">
        <f>HYPERLINK("http://141.218.60.56/~jnz1568/getInfo.php?workbook=08_06.xlsx&amp;sheet=A0&amp;row=248&amp;col=13&amp;number=&amp;sourceID=3","")</f>
        <v/>
      </c>
      <c r="N248" s="4" t="str">
        <f>HYPERLINK("http://141.218.60.56/~jnz1568/getInfo.php?workbook=08_06.xlsx&amp;sheet=A0&amp;row=248&amp;col=14&amp;number=0.06791&amp;sourceID=7","0.06791")</f>
        <v>0.06791</v>
      </c>
      <c r="O248" s="4" t="str">
        <f>HYPERLINK("http://141.218.60.56/~jnz1568/getInfo.php?workbook=08_06.xlsx&amp;sheet=A0&amp;row=248&amp;col=15&amp;number=&amp;sourceID=5","")</f>
        <v/>
      </c>
      <c r="P248" s="4" t="str">
        <f>HYPERLINK("http://141.218.60.56/~jnz1568/getInfo.php?workbook=08_06.xlsx&amp;sheet=A0&amp;row=248&amp;col=16&amp;number=&amp;sourceID=5","")</f>
        <v/>
      </c>
      <c r="Q248" s="4" t="str">
        <f>HYPERLINK("http://141.218.60.56/~jnz1568/getInfo.php?workbook=08_06.xlsx&amp;sheet=A0&amp;row=248&amp;col=17&amp;number=&amp;sourceID=6","")</f>
        <v/>
      </c>
    </row>
    <row r="249" spans="1:17">
      <c r="A249" s="3">
        <v>8</v>
      </c>
      <c r="B249" s="3">
        <v>6</v>
      </c>
      <c r="C249" s="3">
        <v>32</v>
      </c>
      <c r="D249" s="3">
        <v>7</v>
      </c>
      <c r="E249" s="3">
        <f>((1/(INDEX(E0!J$4:J$49,C249,1)-INDEX(E0!J$4:J$49,D249,1))))*100000000</f>
        <v>0</v>
      </c>
      <c r="F249" s="4" t="str">
        <f>HYPERLINK("http://141.218.60.56/~jnz1568/getInfo.php?workbook=08_06.xlsx&amp;sheet=A0&amp;row=249&amp;col=6&amp;number=65149&amp;sourceID=3","65149")</f>
        <v>65149</v>
      </c>
      <c r="G249" s="4" t="str">
        <f>HYPERLINK("http://141.218.60.56/~jnz1568/getInfo.php?workbook=08_06.xlsx&amp;sheet=A0&amp;row=249&amp;col=7&amp;number=&amp;sourceID=3","")</f>
        <v/>
      </c>
      <c r="H249" s="4" t="str">
        <f>HYPERLINK("http://141.218.60.56/~jnz1568/getInfo.php?workbook=08_06.xlsx&amp;sheet=A0&amp;row=249&amp;col=8&amp;number=&amp;sourceID=3","")</f>
        <v/>
      </c>
      <c r="I249" s="4" t="str">
        <f>HYPERLINK("http://141.218.60.56/~jnz1568/getInfo.php?workbook=08_06.xlsx&amp;sheet=A0&amp;row=249&amp;col=9&amp;number=&amp;sourceID=3","")</f>
        <v/>
      </c>
      <c r="J249" s="4" t="str">
        <f>HYPERLINK("http://141.218.60.56/~jnz1568/getInfo.php?workbook=08_06.xlsx&amp;sheet=A0&amp;row=249&amp;col=10&amp;number=64304&amp;sourceID=3","64304")</f>
        <v>64304</v>
      </c>
      <c r="K249" s="4" t="str">
        <f>HYPERLINK("http://141.218.60.56/~jnz1568/getInfo.php?workbook=08_06.xlsx&amp;sheet=A0&amp;row=249&amp;col=11&amp;number=&amp;sourceID=3","")</f>
        <v/>
      </c>
      <c r="L249" s="4" t="str">
        <f>HYPERLINK("http://141.218.60.56/~jnz1568/getInfo.php?workbook=08_06.xlsx&amp;sheet=A0&amp;row=249&amp;col=12&amp;number=&amp;sourceID=3","")</f>
        <v/>
      </c>
      <c r="M249" s="4" t="str">
        <f>HYPERLINK("http://141.218.60.56/~jnz1568/getInfo.php?workbook=08_06.xlsx&amp;sheet=A0&amp;row=249&amp;col=13&amp;number=&amp;sourceID=3","")</f>
        <v/>
      </c>
      <c r="N249" s="4" t="str">
        <f>HYPERLINK("http://141.218.60.56/~jnz1568/getInfo.php?workbook=08_06.xlsx&amp;sheet=A0&amp;row=249&amp;col=14&amp;number=32240&amp;sourceID=7","32240")</f>
        <v>32240</v>
      </c>
      <c r="O249" s="4" t="str">
        <f>HYPERLINK("http://141.218.60.56/~jnz1568/getInfo.php?workbook=08_06.xlsx&amp;sheet=A0&amp;row=249&amp;col=15&amp;number=&amp;sourceID=5","")</f>
        <v/>
      </c>
      <c r="P249" s="4" t="str">
        <f>HYPERLINK("http://141.218.60.56/~jnz1568/getInfo.php?workbook=08_06.xlsx&amp;sheet=A0&amp;row=249&amp;col=16&amp;number=&amp;sourceID=5","")</f>
        <v/>
      </c>
      <c r="Q249" s="4" t="str">
        <f>HYPERLINK("http://141.218.60.56/~jnz1568/getInfo.php?workbook=08_06.xlsx&amp;sheet=A0&amp;row=249&amp;col=17&amp;number=&amp;sourceID=6","")</f>
        <v/>
      </c>
    </row>
    <row r="250" spans="1:17">
      <c r="A250" s="3">
        <v>8</v>
      </c>
      <c r="B250" s="3">
        <v>6</v>
      </c>
      <c r="C250" s="3">
        <v>32</v>
      </c>
      <c r="D250" s="3">
        <v>8</v>
      </c>
      <c r="E250" s="3">
        <f>((1/(INDEX(E0!J$4:J$49,C250,1)-INDEX(E0!J$4:J$49,D250,1))))*100000000</f>
        <v>0</v>
      </c>
      <c r="F250" s="4" t="str">
        <f>HYPERLINK("http://141.218.60.56/~jnz1568/getInfo.php?workbook=08_06.xlsx&amp;sheet=A0&amp;row=250&amp;col=6&amp;number=1079.9&amp;sourceID=3","1079.9")</f>
        <v>1079.9</v>
      </c>
      <c r="G250" s="4" t="str">
        <f>HYPERLINK("http://141.218.60.56/~jnz1568/getInfo.php?workbook=08_06.xlsx&amp;sheet=A0&amp;row=250&amp;col=7&amp;number=&amp;sourceID=3","")</f>
        <v/>
      </c>
      <c r="H250" s="4" t="str">
        <f>HYPERLINK("http://141.218.60.56/~jnz1568/getInfo.php?workbook=08_06.xlsx&amp;sheet=A0&amp;row=250&amp;col=8&amp;number=&amp;sourceID=3","")</f>
        <v/>
      </c>
      <c r="I250" s="4" t="str">
        <f>HYPERLINK("http://141.218.60.56/~jnz1568/getInfo.php?workbook=08_06.xlsx&amp;sheet=A0&amp;row=250&amp;col=9&amp;number=&amp;sourceID=3","")</f>
        <v/>
      </c>
      <c r="J250" s="4" t="str">
        <f>HYPERLINK("http://141.218.60.56/~jnz1568/getInfo.php?workbook=08_06.xlsx&amp;sheet=A0&amp;row=250&amp;col=10&amp;number=1033.4&amp;sourceID=3","1033.4")</f>
        <v>1033.4</v>
      </c>
      <c r="K250" s="4" t="str">
        <f>HYPERLINK("http://141.218.60.56/~jnz1568/getInfo.php?workbook=08_06.xlsx&amp;sheet=A0&amp;row=250&amp;col=11&amp;number=&amp;sourceID=3","")</f>
        <v/>
      </c>
      <c r="L250" s="4" t="str">
        <f>HYPERLINK("http://141.218.60.56/~jnz1568/getInfo.php?workbook=08_06.xlsx&amp;sheet=A0&amp;row=250&amp;col=12&amp;number=&amp;sourceID=3","")</f>
        <v/>
      </c>
      <c r="M250" s="4" t="str">
        <f>HYPERLINK("http://141.218.60.56/~jnz1568/getInfo.php?workbook=08_06.xlsx&amp;sheet=A0&amp;row=250&amp;col=13&amp;number=&amp;sourceID=3","")</f>
        <v/>
      </c>
      <c r="N250" s="4" t="str">
        <f>HYPERLINK("http://141.218.60.56/~jnz1568/getInfo.php?workbook=08_06.xlsx&amp;sheet=A0&amp;row=250&amp;col=14&amp;number=542.9&amp;sourceID=7","542.9")</f>
        <v>542.9</v>
      </c>
      <c r="O250" s="4" t="str">
        <f>HYPERLINK("http://141.218.60.56/~jnz1568/getInfo.php?workbook=08_06.xlsx&amp;sheet=A0&amp;row=250&amp;col=15&amp;number=&amp;sourceID=5","")</f>
        <v/>
      </c>
      <c r="P250" s="4" t="str">
        <f>HYPERLINK("http://141.218.60.56/~jnz1568/getInfo.php?workbook=08_06.xlsx&amp;sheet=A0&amp;row=250&amp;col=16&amp;number=&amp;sourceID=5","")</f>
        <v/>
      </c>
      <c r="Q250" s="4" t="str">
        <f>HYPERLINK("http://141.218.60.56/~jnz1568/getInfo.php?workbook=08_06.xlsx&amp;sheet=A0&amp;row=250&amp;col=17&amp;number=&amp;sourceID=6","")</f>
        <v/>
      </c>
    </row>
    <row r="251" spans="1:17">
      <c r="A251" s="3">
        <v>8</v>
      </c>
      <c r="B251" s="3">
        <v>6</v>
      </c>
      <c r="C251" s="3">
        <v>32</v>
      </c>
      <c r="D251" s="3">
        <v>9</v>
      </c>
      <c r="E251" s="3">
        <f>((1/(INDEX(E0!J$4:J$49,C251,1)-INDEX(E0!J$4:J$49,D251,1))))*100000000</f>
        <v>0</v>
      </c>
      <c r="F251" s="4" t="str">
        <f>HYPERLINK("http://141.218.60.56/~jnz1568/getInfo.php?workbook=08_06.xlsx&amp;sheet=A0&amp;row=251&amp;col=6&amp;number=339.99&amp;sourceID=3","339.99")</f>
        <v>339.99</v>
      </c>
      <c r="G251" s="4" t="str">
        <f>HYPERLINK("http://141.218.60.56/~jnz1568/getInfo.php?workbook=08_06.xlsx&amp;sheet=A0&amp;row=251&amp;col=7&amp;number=&amp;sourceID=3","")</f>
        <v/>
      </c>
      <c r="H251" s="4" t="str">
        <f>HYPERLINK("http://141.218.60.56/~jnz1568/getInfo.php?workbook=08_06.xlsx&amp;sheet=A0&amp;row=251&amp;col=8&amp;number=&amp;sourceID=3","")</f>
        <v/>
      </c>
      <c r="I251" s="4" t="str">
        <f>HYPERLINK("http://141.218.60.56/~jnz1568/getInfo.php?workbook=08_06.xlsx&amp;sheet=A0&amp;row=251&amp;col=9&amp;number=&amp;sourceID=3","")</f>
        <v/>
      </c>
      <c r="J251" s="4" t="str">
        <f>HYPERLINK("http://141.218.60.56/~jnz1568/getInfo.php?workbook=08_06.xlsx&amp;sheet=A0&amp;row=251&amp;col=10&amp;number=328.88&amp;sourceID=3","328.88")</f>
        <v>328.88</v>
      </c>
      <c r="K251" s="4" t="str">
        <f>HYPERLINK("http://141.218.60.56/~jnz1568/getInfo.php?workbook=08_06.xlsx&amp;sheet=A0&amp;row=251&amp;col=11&amp;number=&amp;sourceID=3","")</f>
        <v/>
      </c>
      <c r="L251" s="4" t="str">
        <f>HYPERLINK("http://141.218.60.56/~jnz1568/getInfo.php?workbook=08_06.xlsx&amp;sheet=A0&amp;row=251&amp;col=12&amp;number=&amp;sourceID=3","")</f>
        <v/>
      </c>
      <c r="M251" s="4" t="str">
        <f>HYPERLINK("http://141.218.60.56/~jnz1568/getInfo.php?workbook=08_06.xlsx&amp;sheet=A0&amp;row=251&amp;col=13&amp;number=&amp;sourceID=3","")</f>
        <v/>
      </c>
      <c r="N251" s="4" t="str">
        <f>HYPERLINK("http://141.218.60.56/~jnz1568/getInfo.php?workbook=08_06.xlsx&amp;sheet=A0&amp;row=251&amp;col=14&amp;number=314.3&amp;sourceID=7","314.3")</f>
        <v>314.3</v>
      </c>
      <c r="O251" s="4" t="str">
        <f>HYPERLINK("http://141.218.60.56/~jnz1568/getInfo.php?workbook=08_06.xlsx&amp;sheet=A0&amp;row=251&amp;col=15&amp;number=&amp;sourceID=5","")</f>
        <v/>
      </c>
      <c r="P251" s="4" t="str">
        <f>HYPERLINK("http://141.218.60.56/~jnz1568/getInfo.php?workbook=08_06.xlsx&amp;sheet=A0&amp;row=251&amp;col=16&amp;number=&amp;sourceID=5","")</f>
        <v/>
      </c>
      <c r="Q251" s="4" t="str">
        <f>HYPERLINK("http://141.218.60.56/~jnz1568/getInfo.php?workbook=08_06.xlsx&amp;sheet=A0&amp;row=251&amp;col=17&amp;number=&amp;sourceID=6","")</f>
        <v/>
      </c>
    </row>
    <row r="252" spans="1:17">
      <c r="A252" s="3">
        <v>8</v>
      </c>
      <c r="B252" s="3">
        <v>6</v>
      </c>
      <c r="C252" s="3">
        <v>32</v>
      </c>
      <c r="D252" s="3">
        <v>10</v>
      </c>
      <c r="E252" s="3">
        <f>((1/(INDEX(E0!J$4:J$49,C252,1)-INDEX(E0!J$4:J$49,D252,1))))*100000000</f>
        <v>0</v>
      </c>
      <c r="F252" s="4" t="str">
        <f>HYPERLINK("http://141.218.60.56/~jnz1568/getInfo.php?workbook=08_06.xlsx&amp;sheet=A0&amp;row=252&amp;col=6&amp;number=6800.7&amp;sourceID=3","6800.7")</f>
        <v>6800.7</v>
      </c>
      <c r="G252" s="4" t="str">
        <f>HYPERLINK("http://141.218.60.56/~jnz1568/getInfo.php?workbook=08_06.xlsx&amp;sheet=A0&amp;row=252&amp;col=7&amp;number=&amp;sourceID=3","")</f>
        <v/>
      </c>
      <c r="H252" s="4" t="str">
        <f>HYPERLINK("http://141.218.60.56/~jnz1568/getInfo.php?workbook=08_06.xlsx&amp;sheet=A0&amp;row=252&amp;col=8&amp;number=&amp;sourceID=3","")</f>
        <v/>
      </c>
      <c r="I252" s="4" t="str">
        <f>HYPERLINK("http://141.218.60.56/~jnz1568/getInfo.php?workbook=08_06.xlsx&amp;sheet=A0&amp;row=252&amp;col=9&amp;number=&amp;sourceID=3","")</f>
        <v/>
      </c>
      <c r="J252" s="4" t="str">
        <f>HYPERLINK("http://141.218.60.56/~jnz1568/getInfo.php?workbook=08_06.xlsx&amp;sheet=A0&amp;row=252&amp;col=10&amp;number=6733.3&amp;sourceID=3","6733.3")</f>
        <v>6733.3</v>
      </c>
      <c r="K252" s="4" t="str">
        <f>HYPERLINK("http://141.218.60.56/~jnz1568/getInfo.php?workbook=08_06.xlsx&amp;sheet=A0&amp;row=252&amp;col=11&amp;number=&amp;sourceID=3","")</f>
        <v/>
      </c>
      <c r="L252" s="4" t="str">
        <f>HYPERLINK("http://141.218.60.56/~jnz1568/getInfo.php?workbook=08_06.xlsx&amp;sheet=A0&amp;row=252&amp;col=12&amp;number=&amp;sourceID=3","")</f>
        <v/>
      </c>
      <c r="M252" s="4" t="str">
        <f>HYPERLINK("http://141.218.60.56/~jnz1568/getInfo.php?workbook=08_06.xlsx&amp;sheet=A0&amp;row=252&amp;col=13&amp;number=&amp;sourceID=3","")</f>
        <v/>
      </c>
      <c r="N252" s="4" t="str">
        <f>HYPERLINK("http://141.218.60.56/~jnz1568/getInfo.php?workbook=08_06.xlsx&amp;sheet=A0&amp;row=252&amp;col=14&amp;number=4495&amp;sourceID=7","4495")</f>
        <v>4495</v>
      </c>
      <c r="O252" s="4" t="str">
        <f>HYPERLINK("http://141.218.60.56/~jnz1568/getInfo.php?workbook=08_06.xlsx&amp;sheet=A0&amp;row=252&amp;col=15&amp;number=&amp;sourceID=5","")</f>
        <v/>
      </c>
      <c r="P252" s="4" t="str">
        <f>HYPERLINK("http://141.218.60.56/~jnz1568/getInfo.php?workbook=08_06.xlsx&amp;sheet=A0&amp;row=252&amp;col=16&amp;number=&amp;sourceID=5","")</f>
        <v/>
      </c>
      <c r="Q252" s="4" t="str">
        <f>HYPERLINK("http://141.218.60.56/~jnz1568/getInfo.php?workbook=08_06.xlsx&amp;sheet=A0&amp;row=252&amp;col=17&amp;number=&amp;sourceID=6","")</f>
        <v/>
      </c>
    </row>
    <row r="253" spans="1:17">
      <c r="A253" s="3">
        <v>8</v>
      </c>
      <c r="B253" s="3">
        <v>6</v>
      </c>
      <c r="C253" s="3">
        <v>32</v>
      </c>
      <c r="D253" s="3">
        <v>11</v>
      </c>
      <c r="E253" s="3">
        <f>((1/(INDEX(E0!J$4:J$49,C253,1)-INDEX(E0!J$4:J$49,D253,1))))*100000000</f>
        <v>0</v>
      </c>
      <c r="F253" s="4" t="str">
        <f>HYPERLINK("http://141.218.60.56/~jnz1568/getInfo.php?workbook=08_06.xlsx&amp;sheet=A0&amp;row=253&amp;col=6&amp;number=1484.1&amp;sourceID=3","1484.1")</f>
        <v>1484.1</v>
      </c>
      <c r="G253" s="4" t="str">
        <f>HYPERLINK("http://141.218.60.56/~jnz1568/getInfo.php?workbook=08_06.xlsx&amp;sheet=A0&amp;row=253&amp;col=7&amp;number=&amp;sourceID=3","")</f>
        <v/>
      </c>
      <c r="H253" s="4" t="str">
        <f>HYPERLINK("http://141.218.60.56/~jnz1568/getInfo.php?workbook=08_06.xlsx&amp;sheet=A0&amp;row=253&amp;col=8&amp;number=&amp;sourceID=3","")</f>
        <v/>
      </c>
      <c r="I253" s="4" t="str">
        <f>HYPERLINK("http://141.218.60.56/~jnz1568/getInfo.php?workbook=08_06.xlsx&amp;sheet=A0&amp;row=253&amp;col=9&amp;number=&amp;sourceID=3","")</f>
        <v/>
      </c>
      <c r="J253" s="4" t="str">
        <f>HYPERLINK("http://141.218.60.56/~jnz1568/getInfo.php?workbook=08_06.xlsx&amp;sheet=A0&amp;row=253&amp;col=10&amp;number=1506.3&amp;sourceID=3","1506.3")</f>
        <v>1506.3</v>
      </c>
      <c r="K253" s="4" t="str">
        <f>HYPERLINK("http://141.218.60.56/~jnz1568/getInfo.php?workbook=08_06.xlsx&amp;sheet=A0&amp;row=253&amp;col=11&amp;number=&amp;sourceID=3","")</f>
        <v/>
      </c>
      <c r="L253" s="4" t="str">
        <f>HYPERLINK("http://141.218.60.56/~jnz1568/getInfo.php?workbook=08_06.xlsx&amp;sheet=A0&amp;row=253&amp;col=12&amp;number=&amp;sourceID=3","")</f>
        <v/>
      </c>
      <c r="M253" s="4" t="str">
        <f>HYPERLINK("http://141.218.60.56/~jnz1568/getInfo.php?workbook=08_06.xlsx&amp;sheet=A0&amp;row=253&amp;col=13&amp;number=&amp;sourceID=3","")</f>
        <v/>
      </c>
      <c r="N253" s="4" t="str">
        <f>HYPERLINK("http://141.218.60.56/~jnz1568/getInfo.php?workbook=08_06.xlsx&amp;sheet=A0&amp;row=253&amp;col=14&amp;number=314.6&amp;sourceID=7","314.6")</f>
        <v>314.6</v>
      </c>
      <c r="O253" s="4" t="str">
        <f>HYPERLINK("http://141.218.60.56/~jnz1568/getInfo.php?workbook=08_06.xlsx&amp;sheet=A0&amp;row=253&amp;col=15&amp;number=&amp;sourceID=5","")</f>
        <v/>
      </c>
      <c r="P253" s="4" t="str">
        <f>HYPERLINK("http://141.218.60.56/~jnz1568/getInfo.php?workbook=08_06.xlsx&amp;sheet=A0&amp;row=253&amp;col=16&amp;number=&amp;sourceID=5","")</f>
        <v/>
      </c>
      <c r="Q253" s="4" t="str">
        <f>HYPERLINK("http://141.218.60.56/~jnz1568/getInfo.php?workbook=08_06.xlsx&amp;sheet=A0&amp;row=253&amp;col=17&amp;number=&amp;sourceID=6","")</f>
        <v/>
      </c>
    </row>
    <row r="254" spans="1:17">
      <c r="A254" s="3">
        <v>8</v>
      </c>
      <c r="B254" s="3">
        <v>6</v>
      </c>
      <c r="C254" s="3">
        <v>32</v>
      </c>
      <c r="D254" s="3">
        <v>13</v>
      </c>
      <c r="E254" s="3">
        <f>((1/(INDEX(E0!J$4:J$49,C254,1)-INDEX(E0!J$4:J$49,D254,1))))*100000000</f>
        <v>0</v>
      </c>
      <c r="F254" s="4" t="str">
        <f>HYPERLINK("http://141.218.60.56/~jnz1568/getInfo.php?workbook=08_06.xlsx&amp;sheet=A0&amp;row=254&amp;col=6&amp;number=7015900&amp;sourceID=3","7015900")</f>
        <v>7015900</v>
      </c>
      <c r="G254" s="4" t="str">
        <f>HYPERLINK("http://141.218.60.56/~jnz1568/getInfo.php?workbook=08_06.xlsx&amp;sheet=A0&amp;row=254&amp;col=7&amp;number=&amp;sourceID=3","")</f>
        <v/>
      </c>
      <c r="H254" s="4" t="str">
        <f>HYPERLINK("http://141.218.60.56/~jnz1568/getInfo.php?workbook=08_06.xlsx&amp;sheet=A0&amp;row=254&amp;col=8&amp;number=&amp;sourceID=3","")</f>
        <v/>
      </c>
      <c r="I254" s="4" t="str">
        <f>HYPERLINK("http://141.218.60.56/~jnz1568/getInfo.php?workbook=08_06.xlsx&amp;sheet=A0&amp;row=254&amp;col=9&amp;number=&amp;sourceID=3","")</f>
        <v/>
      </c>
      <c r="J254" s="4" t="str">
        <f>HYPERLINK("http://141.218.60.56/~jnz1568/getInfo.php?workbook=08_06.xlsx&amp;sheet=A0&amp;row=254&amp;col=10&amp;number=6895400&amp;sourceID=3","6895400")</f>
        <v>6895400</v>
      </c>
      <c r="K254" s="4" t="str">
        <f>HYPERLINK("http://141.218.60.56/~jnz1568/getInfo.php?workbook=08_06.xlsx&amp;sheet=A0&amp;row=254&amp;col=11&amp;number=&amp;sourceID=3","")</f>
        <v/>
      </c>
      <c r="L254" s="4" t="str">
        <f>HYPERLINK("http://141.218.60.56/~jnz1568/getInfo.php?workbook=08_06.xlsx&amp;sheet=A0&amp;row=254&amp;col=12&amp;number=&amp;sourceID=3","")</f>
        <v/>
      </c>
      <c r="M254" s="4" t="str">
        <f>HYPERLINK("http://141.218.60.56/~jnz1568/getInfo.php?workbook=08_06.xlsx&amp;sheet=A0&amp;row=254&amp;col=13&amp;number=&amp;sourceID=3","")</f>
        <v/>
      </c>
      <c r="N254" s="4" t="str">
        <f>HYPERLINK("http://141.218.60.56/~jnz1568/getInfo.php?workbook=08_06.xlsx&amp;sheet=A0&amp;row=254&amp;col=14&amp;number=6208000&amp;sourceID=7","6208000")</f>
        <v>6208000</v>
      </c>
      <c r="O254" s="4" t="str">
        <f>HYPERLINK("http://141.218.60.56/~jnz1568/getInfo.php?workbook=08_06.xlsx&amp;sheet=A0&amp;row=254&amp;col=15&amp;number=&amp;sourceID=5","")</f>
        <v/>
      </c>
      <c r="P254" s="4" t="str">
        <f>HYPERLINK("http://141.218.60.56/~jnz1568/getInfo.php?workbook=08_06.xlsx&amp;sheet=A0&amp;row=254&amp;col=16&amp;number=&amp;sourceID=5","")</f>
        <v/>
      </c>
      <c r="Q254" s="4" t="str">
        <f>HYPERLINK("http://141.218.60.56/~jnz1568/getInfo.php?workbook=08_06.xlsx&amp;sheet=A0&amp;row=254&amp;col=17&amp;number=&amp;sourceID=6","")</f>
        <v/>
      </c>
    </row>
    <row r="255" spans="1:17">
      <c r="A255" s="3">
        <v>8</v>
      </c>
      <c r="B255" s="3">
        <v>6</v>
      </c>
      <c r="C255" s="3">
        <v>32</v>
      </c>
      <c r="D255" s="3">
        <v>14</v>
      </c>
      <c r="E255" s="3">
        <f>((1/(INDEX(E0!J$4:J$49,C255,1)-INDEX(E0!J$4:J$49,D255,1))))*100000000</f>
        <v>0</v>
      </c>
      <c r="F255" s="4" t="str">
        <f>HYPERLINK("http://141.218.60.56/~jnz1568/getInfo.php?workbook=08_06.xlsx&amp;sheet=A0&amp;row=255&amp;col=6&amp;number=12277&amp;sourceID=3","12277")</f>
        <v>12277</v>
      </c>
      <c r="G255" s="4" t="str">
        <f>HYPERLINK("http://141.218.60.56/~jnz1568/getInfo.php?workbook=08_06.xlsx&amp;sheet=A0&amp;row=255&amp;col=7&amp;number=&amp;sourceID=3","")</f>
        <v/>
      </c>
      <c r="H255" s="4" t="str">
        <f>HYPERLINK("http://141.218.60.56/~jnz1568/getInfo.php?workbook=08_06.xlsx&amp;sheet=A0&amp;row=255&amp;col=8&amp;number=&amp;sourceID=3","")</f>
        <v/>
      </c>
      <c r="I255" s="4" t="str">
        <f>HYPERLINK("http://141.218.60.56/~jnz1568/getInfo.php?workbook=08_06.xlsx&amp;sheet=A0&amp;row=255&amp;col=9&amp;number=&amp;sourceID=3","")</f>
        <v/>
      </c>
      <c r="J255" s="4" t="str">
        <f>HYPERLINK("http://141.218.60.56/~jnz1568/getInfo.php?workbook=08_06.xlsx&amp;sheet=A0&amp;row=255&amp;col=10&amp;number=11878&amp;sourceID=3","11878")</f>
        <v>11878</v>
      </c>
      <c r="K255" s="4" t="str">
        <f>HYPERLINK("http://141.218.60.56/~jnz1568/getInfo.php?workbook=08_06.xlsx&amp;sheet=A0&amp;row=255&amp;col=11&amp;number=&amp;sourceID=3","")</f>
        <v/>
      </c>
      <c r="L255" s="4" t="str">
        <f>HYPERLINK("http://141.218.60.56/~jnz1568/getInfo.php?workbook=08_06.xlsx&amp;sheet=A0&amp;row=255&amp;col=12&amp;number=&amp;sourceID=3","")</f>
        <v/>
      </c>
      <c r="M255" s="4" t="str">
        <f>HYPERLINK("http://141.218.60.56/~jnz1568/getInfo.php?workbook=08_06.xlsx&amp;sheet=A0&amp;row=255&amp;col=13&amp;number=&amp;sourceID=3","")</f>
        <v/>
      </c>
      <c r="N255" s="4" t="str">
        <f>HYPERLINK("http://141.218.60.56/~jnz1568/getInfo.php?workbook=08_06.xlsx&amp;sheet=A0&amp;row=255&amp;col=14&amp;number=7887&amp;sourceID=7","7887")</f>
        <v>7887</v>
      </c>
      <c r="O255" s="4" t="str">
        <f>HYPERLINK("http://141.218.60.56/~jnz1568/getInfo.php?workbook=08_06.xlsx&amp;sheet=A0&amp;row=255&amp;col=15&amp;number=&amp;sourceID=5","")</f>
        <v/>
      </c>
      <c r="P255" s="4" t="str">
        <f>HYPERLINK("http://141.218.60.56/~jnz1568/getInfo.php?workbook=08_06.xlsx&amp;sheet=A0&amp;row=255&amp;col=16&amp;number=&amp;sourceID=5","")</f>
        <v/>
      </c>
      <c r="Q255" s="4" t="str">
        <f>HYPERLINK("http://141.218.60.56/~jnz1568/getInfo.php?workbook=08_06.xlsx&amp;sheet=A0&amp;row=255&amp;col=17&amp;number=&amp;sourceID=6","")</f>
        <v/>
      </c>
    </row>
    <row r="256" spans="1:17">
      <c r="A256" s="3">
        <v>8</v>
      </c>
      <c r="B256" s="3">
        <v>6</v>
      </c>
      <c r="C256" s="3">
        <v>32</v>
      </c>
      <c r="D256" s="3">
        <v>15</v>
      </c>
      <c r="E256" s="3">
        <f>((1/(INDEX(E0!J$4:J$49,C256,1)-INDEX(E0!J$4:J$49,D256,1))))*100000000</f>
        <v>0</v>
      </c>
      <c r="F256" s="4" t="str">
        <f>HYPERLINK("http://141.218.60.56/~jnz1568/getInfo.php?workbook=08_06.xlsx&amp;sheet=A0&amp;row=256&amp;col=6&amp;number=68366000&amp;sourceID=3","68366000")</f>
        <v>68366000</v>
      </c>
      <c r="G256" s="4" t="str">
        <f>HYPERLINK("http://141.218.60.56/~jnz1568/getInfo.php?workbook=08_06.xlsx&amp;sheet=A0&amp;row=256&amp;col=7&amp;number=&amp;sourceID=3","")</f>
        <v/>
      </c>
      <c r="H256" s="4" t="str">
        <f>HYPERLINK("http://141.218.60.56/~jnz1568/getInfo.php?workbook=08_06.xlsx&amp;sheet=A0&amp;row=256&amp;col=8&amp;number=&amp;sourceID=3","")</f>
        <v/>
      </c>
      <c r="I256" s="4" t="str">
        <f>HYPERLINK("http://141.218.60.56/~jnz1568/getInfo.php?workbook=08_06.xlsx&amp;sheet=A0&amp;row=256&amp;col=9&amp;number=&amp;sourceID=3","")</f>
        <v/>
      </c>
      <c r="J256" s="4" t="str">
        <f>HYPERLINK("http://141.218.60.56/~jnz1568/getInfo.php?workbook=08_06.xlsx&amp;sheet=A0&amp;row=256&amp;col=10&amp;number=68345000&amp;sourceID=3","68345000")</f>
        <v>68345000</v>
      </c>
      <c r="K256" s="4" t="str">
        <f>HYPERLINK("http://141.218.60.56/~jnz1568/getInfo.php?workbook=08_06.xlsx&amp;sheet=A0&amp;row=256&amp;col=11&amp;number=&amp;sourceID=3","")</f>
        <v/>
      </c>
      <c r="L256" s="4" t="str">
        <f>HYPERLINK("http://141.218.60.56/~jnz1568/getInfo.php?workbook=08_06.xlsx&amp;sheet=A0&amp;row=256&amp;col=12&amp;number=&amp;sourceID=3","")</f>
        <v/>
      </c>
      <c r="M256" s="4" t="str">
        <f>HYPERLINK("http://141.218.60.56/~jnz1568/getInfo.php?workbook=08_06.xlsx&amp;sheet=A0&amp;row=256&amp;col=13&amp;number=&amp;sourceID=3","")</f>
        <v/>
      </c>
      <c r="N256" s="4" t="str">
        <f>HYPERLINK("http://141.218.60.56/~jnz1568/getInfo.php?workbook=08_06.xlsx&amp;sheet=A0&amp;row=256&amp;col=14&amp;number=89140000&amp;sourceID=7","89140000")</f>
        <v>89140000</v>
      </c>
      <c r="O256" s="4" t="str">
        <f>HYPERLINK("http://141.218.60.56/~jnz1568/getInfo.php?workbook=08_06.xlsx&amp;sheet=A0&amp;row=256&amp;col=15&amp;number=&amp;sourceID=5","")</f>
        <v/>
      </c>
      <c r="P256" s="4" t="str">
        <f>HYPERLINK("http://141.218.60.56/~jnz1568/getInfo.php?workbook=08_06.xlsx&amp;sheet=A0&amp;row=256&amp;col=16&amp;number=&amp;sourceID=5","")</f>
        <v/>
      </c>
      <c r="Q256" s="4" t="str">
        <f>HYPERLINK("http://141.218.60.56/~jnz1568/getInfo.php?workbook=08_06.xlsx&amp;sheet=A0&amp;row=256&amp;col=17&amp;number=&amp;sourceID=6","")</f>
        <v/>
      </c>
    </row>
    <row r="257" spans="1:17">
      <c r="A257" s="3">
        <v>8</v>
      </c>
      <c r="B257" s="3">
        <v>6</v>
      </c>
      <c r="C257" s="3">
        <v>32</v>
      </c>
      <c r="D257" s="3">
        <v>17</v>
      </c>
      <c r="E257" s="3">
        <f>((1/(INDEX(E0!J$4:J$49,C257,1)-INDEX(E0!J$4:J$49,D257,1))))*100000000</f>
        <v>0</v>
      </c>
      <c r="F257" s="4" t="str">
        <f>HYPERLINK("http://141.218.60.56/~jnz1568/getInfo.php?workbook=08_06.xlsx&amp;sheet=A0&amp;row=257&amp;col=6&amp;number=75024&amp;sourceID=3","75024")</f>
        <v>75024</v>
      </c>
      <c r="G257" s="4" t="str">
        <f>HYPERLINK("http://141.218.60.56/~jnz1568/getInfo.php?workbook=08_06.xlsx&amp;sheet=A0&amp;row=257&amp;col=7&amp;number=&amp;sourceID=3","")</f>
        <v/>
      </c>
      <c r="H257" s="4" t="str">
        <f>HYPERLINK("http://141.218.60.56/~jnz1568/getInfo.php?workbook=08_06.xlsx&amp;sheet=A0&amp;row=257&amp;col=8&amp;number=&amp;sourceID=3","")</f>
        <v/>
      </c>
      <c r="I257" s="4" t="str">
        <f>HYPERLINK("http://141.218.60.56/~jnz1568/getInfo.php?workbook=08_06.xlsx&amp;sheet=A0&amp;row=257&amp;col=9&amp;number=&amp;sourceID=3","")</f>
        <v/>
      </c>
      <c r="J257" s="4" t="str">
        <f>HYPERLINK("http://141.218.60.56/~jnz1568/getInfo.php?workbook=08_06.xlsx&amp;sheet=A0&amp;row=257&amp;col=10&amp;number=73979&amp;sourceID=3","73979")</f>
        <v>73979</v>
      </c>
      <c r="K257" s="4" t="str">
        <f>HYPERLINK("http://141.218.60.56/~jnz1568/getInfo.php?workbook=08_06.xlsx&amp;sheet=A0&amp;row=257&amp;col=11&amp;number=&amp;sourceID=3","")</f>
        <v/>
      </c>
      <c r="L257" s="4" t="str">
        <f>HYPERLINK("http://141.218.60.56/~jnz1568/getInfo.php?workbook=08_06.xlsx&amp;sheet=A0&amp;row=257&amp;col=12&amp;number=&amp;sourceID=3","")</f>
        <v/>
      </c>
      <c r="M257" s="4" t="str">
        <f>HYPERLINK("http://141.218.60.56/~jnz1568/getInfo.php?workbook=08_06.xlsx&amp;sheet=A0&amp;row=257&amp;col=13&amp;number=&amp;sourceID=3","")</f>
        <v/>
      </c>
      <c r="N257" s="4" t="str">
        <f>HYPERLINK("http://141.218.60.56/~jnz1568/getInfo.php?workbook=08_06.xlsx&amp;sheet=A0&amp;row=257&amp;col=14&amp;number=22080&amp;sourceID=7","22080")</f>
        <v>22080</v>
      </c>
      <c r="O257" s="4" t="str">
        <f>HYPERLINK("http://141.218.60.56/~jnz1568/getInfo.php?workbook=08_06.xlsx&amp;sheet=A0&amp;row=257&amp;col=15&amp;number=&amp;sourceID=5","")</f>
        <v/>
      </c>
      <c r="P257" s="4" t="str">
        <f>HYPERLINK("http://141.218.60.56/~jnz1568/getInfo.php?workbook=08_06.xlsx&amp;sheet=A0&amp;row=257&amp;col=16&amp;number=&amp;sourceID=5","")</f>
        <v/>
      </c>
      <c r="Q257" s="4" t="str">
        <f>HYPERLINK("http://141.218.60.56/~jnz1568/getInfo.php?workbook=08_06.xlsx&amp;sheet=A0&amp;row=257&amp;col=17&amp;number=&amp;sourceID=6","")</f>
        <v/>
      </c>
    </row>
    <row r="258" spans="1:17">
      <c r="A258" s="3">
        <v>8</v>
      </c>
      <c r="B258" s="3">
        <v>6</v>
      </c>
      <c r="C258" s="3">
        <v>32</v>
      </c>
      <c r="D258" s="3">
        <v>18</v>
      </c>
      <c r="E258" s="3">
        <f>((1/(INDEX(E0!J$4:J$49,C258,1)-INDEX(E0!J$4:J$49,D258,1))))*100000000</f>
        <v>0</v>
      </c>
      <c r="F258" s="4" t="str">
        <f>HYPERLINK("http://141.218.60.56/~jnz1568/getInfo.php?workbook=08_06.xlsx&amp;sheet=A0&amp;row=258&amp;col=6&amp;number=27700&amp;sourceID=3","27700")</f>
        <v>27700</v>
      </c>
      <c r="G258" s="4" t="str">
        <f>HYPERLINK("http://141.218.60.56/~jnz1568/getInfo.php?workbook=08_06.xlsx&amp;sheet=A0&amp;row=258&amp;col=7&amp;number=&amp;sourceID=3","")</f>
        <v/>
      </c>
      <c r="H258" s="4" t="str">
        <f>HYPERLINK("http://141.218.60.56/~jnz1568/getInfo.php?workbook=08_06.xlsx&amp;sheet=A0&amp;row=258&amp;col=8&amp;number=&amp;sourceID=3","")</f>
        <v/>
      </c>
      <c r="I258" s="4" t="str">
        <f>HYPERLINK("http://141.218.60.56/~jnz1568/getInfo.php?workbook=08_06.xlsx&amp;sheet=A0&amp;row=258&amp;col=9&amp;number=&amp;sourceID=3","")</f>
        <v/>
      </c>
      <c r="J258" s="4" t="str">
        <f>HYPERLINK("http://141.218.60.56/~jnz1568/getInfo.php?workbook=08_06.xlsx&amp;sheet=A0&amp;row=258&amp;col=10&amp;number=27100&amp;sourceID=3","27100")</f>
        <v>27100</v>
      </c>
      <c r="K258" s="4" t="str">
        <f>HYPERLINK("http://141.218.60.56/~jnz1568/getInfo.php?workbook=08_06.xlsx&amp;sheet=A0&amp;row=258&amp;col=11&amp;number=&amp;sourceID=3","")</f>
        <v/>
      </c>
      <c r="L258" s="4" t="str">
        <f>HYPERLINK("http://141.218.60.56/~jnz1568/getInfo.php?workbook=08_06.xlsx&amp;sheet=A0&amp;row=258&amp;col=12&amp;number=&amp;sourceID=3","")</f>
        <v/>
      </c>
      <c r="M258" s="4" t="str">
        <f>HYPERLINK("http://141.218.60.56/~jnz1568/getInfo.php?workbook=08_06.xlsx&amp;sheet=A0&amp;row=258&amp;col=13&amp;number=&amp;sourceID=3","")</f>
        <v/>
      </c>
      <c r="N258" s="4" t="str">
        <f>HYPERLINK("http://141.218.60.56/~jnz1568/getInfo.php?workbook=08_06.xlsx&amp;sheet=A0&amp;row=258&amp;col=14&amp;number=12130&amp;sourceID=7","12130")</f>
        <v>12130</v>
      </c>
      <c r="O258" s="4" t="str">
        <f>HYPERLINK("http://141.218.60.56/~jnz1568/getInfo.php?workbook=08_06.xlsx&amp;sheet=A0&amp;row=258&amp;col=15&amp;number=&amp;sourceID=5","")</f>
        <v/>
      </c>
      <c r="P258" s="4" t="str">
        <f>HYPERLINK("http://141.218.60.56/~jnz1568/getInfo.php?workbook=08_06.xlsx&amp;sheet=A0&amp;row=258&amp;col=16&amp;number=&amp;sourceID=5","")</f>
        <v/>
      </c>
      <c r="Q258" s="4" t="str">
        <f>HYPERLINK("http://141.218.60.56/~jnz1568/getInfo.php?workbook=08_06.xlsx&amp;sheet=A0&amp;row=258&amp;col=17&amp;number=&amp;sourceID=6","")</f>
        <v/>
      </c>
    </row>
    <row r="259" spans="1:17">
      <c r="A259" s="3">
        <v>8</v>
      </c>
      <c r="B259" s="3">
        <v>6</v>
      </c>
      <c r="C259" s="3">
        <v>32</v>
      </c>
      <c r="D259" s="3">
        <v>19</v>
      </c>
      <c r="E259" s="3">
        <f>((1/(INDEX(E0!J$4:J$49,C259,1)-INDEX(E0!J$4:J$49,D259,1))))*100000000</f>
        <v>0</v>
      </c>
      <c r="F259" s="4" t="str">
        <f>HYPERLINK("http://141.218.60.56/~jnz1568/getInfo.php?workbook=08_06.xlsx&amp;sheet=A0&amp;row=259&amp;col=6&amp;number=214420000&amp;sourceID=3","214420000")</f>
        <v>214420000</v>
      </c>
      <c r="G259" s="4" t="str">
        <f>HYPERLINK("http://141.218.60.56/~jnz1568/getInfo.php?workbook=08_06.xlsx&amp;sheet=A0&amp;row=259&amp;col=7&amp;number=&amp;sourceID=3","")</f>
        <v/>
      </c>
      <c r="H259" s="4" t="str">
        <f>HYPERLINK("http://141.218.60.56/~jnz1568/getInfo.php?workbook=08_06.xlsx&amp;sheet=A0&amp;row=259&amp;col=8&amp;number=&amp;sourceID=3","")</f>
        <v/>
      </c>
      <c r="I259" s="4" t="str">
        <f>HYPERLINK("http://141.218.60.56/~jnz1568/getInfo.php?workbook=08_06.xlsx&amp;sheet=A0&amp;row=259&amp;col=9&amp;number=&amp;sourceID=3","")</f>
        <v/>
      </c>
      <c r="J259" s="4" t="str">
        <f>HYPERLINK("http://141.218.60.56/~jnz1568/getInfo.php?workbook=08_06.xlsx&amp;sheet=A0&amp;row=259&amp;col=10&amp;number=216300000&amp;sourceID=3","216300000")</f>
        <v>216300000</v>
      </c>
      <c r="K259" s="4" t="str">
        <f>HYPERLINK("http://141.218.60.56/~jnz1568/getInfo.php?workbook=08_06.xlsx&amp;sheet=A0&amp;row=259&amp;col=11&amp;number=&amp;sourceID=3","")</f>
        <v/>
      </c>
      <c r="L259" s="4" t="str">
        <f>HYPERLINK("http://141.218.60.56/~jnz1568/getInfo.php?workbook=08_06.xlsx&amp;sheet=A0&amp;row=259&amp;col=12&amp;number=&amp;sourceID=3","")</f>
        <v/>
      </c>
      <c r="M259" s="4" t="str">
        <f>HYPERLINK("http://141.218.60.56/~jnz1568/getInfo.php?workbook=08_06.xlsx&amp;sheet=A0&amp;row=259&amp;col=13&amp;number=&amp;sourceID=3","")</f>
        <v/>
      </c>
      <c r="N259" s="4" t="str">
        <f>HYPERLINK("http://141.218.60.56/~jnz1568/getInfo.php?workbook=08_06.xlsx&amp;sheet=A0&amp;row=259&amp;col=14&amp;number=163800000&amp;sourceID=7","163800000")</f>
        <v>163800000</v>
      </c>
      <c r="O259" s="4" t="str">
        <f>HYPERLINK("http://141.218.60.56/~jnz1568/getInfo.php?workbook=08_06.xlsx&amp;sheet=A0&amp;row=259&amp;col=15&amp;number=&amp;sourceID=5","")</f>
        <v/>
      </c>
      <c r="P259" s="4" t="str">
        <f>HYPERLINK("http://141.218.60.56/~jnz1568/getInfo.php?workbook=08_06.xlsx&amp;sheet=A0&amp;row=259&amp;col=16&amp;number=&amp;sourceID=5","")</f>
        <v/>
      </c>
      <c r="Q259" s="4" t="str">
        <f>HYPERLINK("http://141.218.60.56/~jnz1568/getInfo.php?workbook=08_06.xlsx&amp;sheet=A0&amp;row=259&amp;col=17&amp;number=&amp;sourceID=6","")</f>
        <v/>
      </c>
    </row>
    <row r="260" spans="1:17">
      <c r="A260" s="3">
        <v>8</v>
      </c>
      <c r="B260" s="3">
        <v>6</v>
      </c>
      <c r="C260" s="3">
        <v>33</v>
      </c>
      <c r="D260" s="3">
        <v>9</v>
      </c>
      <c r="E260" s="3">
        <f>((1/(INDEX(E0!J$4:J$49,C260,1)-INDEX(E0!J$4:J$49,D260,1))))*100000000</f>
        <v>0</v>
      </c>
      <c r="F260" s="4" t="str">
        <f>HYPERLINK("http://141.218.60.56/~jnz1568/getInfo.php?workbook=08_06.xlsx&amp;sheet=A0&amp;row=260&amp;col=6&amp;number=53401&amp;sourceID=3","53401")</f>
        <v>53401</v>
      </c>
      <c r="G260" s="4" t="str">
        <f>HYPERLINK("http://141.218.60.56/~jnz1568/getInfo.php?workbook=08_06.xlsx&amp;sheet=A0&amp;row=260&amp;col=7&amp;number=&amp;sourceID=3","")</f>
        <v/>
      </c>
      <c r="H260" s="4" t="str">
        <f>HYPERLINK("http://141.218.60.56/~jnz1568/getInfo.php?workbook=08_06.xlsx&amp;sheet=A0&amp;row=260&amp;col=8&amp;number=&amp;sourceID=3","")</f>
        <v/>
      </c>
      <c r="I260" s="4" t="str">
        <f>HYPERLINK("http://141.218.60.56/~jnz1568/getInfo.php?workbook=08_06.xlsx&amp;sheet=A0&amp;row=260&amp;col=9&amp;number=&amp;sourceID=3","")</f>
        <v/>
      </c>
      <c r="J260" s="4" t="str">
        <f>HYPERLINK("http://141.218.60.56/~jnz1568/getInfo.php?workbook=08_06.xlsx&amp;sheet=A0&amp;row=260&amp;col=10&amp;number=52335&amp;sourceID=3","52335")</f>
        <v>52335</v>
      </c>
      <c r="K260" s="4" t="str">
        <f>HYPERLINK("http://141.218.60.56/~jnz1568/getInfo.php?workbook=08_06.xlsx&amp;sheet=A0&amp;row=260&amp;col=11&amp;number=&amp;sourceID=3","")</f>
        <v/>
      </c>
      <c r="L260" s="4" t="str">
        <f>HYPERLINK("http://141.218.60.56/~jnz1568/getInfo.php?workbook=08_06.xlsx&amp;sheet=A0&amp;row=260&amp;col=12&amp;number=&amp;sourceID=3","")</f>
        <v/>
      </c>
      <c r="M260" s="4" t="str">
        <f>HYPERLINK("http://141.218.60.56/~jnz1568/getInfo.php?workbook=08_06.xlsx&amp;sheet=A0&amp;row=260&amp;col=13&amp;number=&amp;sourceID=3","")</f>
        <v/>
      </c>
      <c r="N260" s="4" t="str">
        <f>HYPERLINK("http://141.218.60.56/~jnz1568/getInfo.php?workbook=08_06.xlsx&amp;sheet=A0&amp;row=260&amp;col=14&amp;number=29250&amp;sourceID=7","29250")</f>
        <v>29250</v>
      </c>
      <c r="O260" s="4" t="str">
        <f>HYPERLINK("http://141.218.60.56/~jnz1568/getInfo.php?workbook=08_06.xlsx&amp;sheet=A0&amp;row=260&amp;col=15&amp;number=&amp;sourceID=5","")</f>
        <v/>
      </c>
      <c r="P260" s="4" t="str">
        <f>HYPERLINK("http://141.218.60.56/~jnz1568/getInfo.php?workbook=08_06.xlsx&amp;sheet=A0&amp;row=260&amp;col=16&amp;number=&amp;sourceID=5","")</f>
        <v/>
      </c>
      <c r="Q260" s="4" t="str">
        <f>HYPERLINK("http://141.218.60.56/~jnz1568/getInfo.php?workbook=08_06.xlsx&amp;sheet=A0&amp;row=260&amp;col=17&amp;number=&amp;sourceID=6","")</f>
        <v/>
      </c>
    </row>
    <row r="261" spans="1:17">
      <c r="A261" s="3">
        <v>8</v>
      </c>
      <c r="B261" s="3">
        <v>6</v>
      </c>
      <c r="C261" s="3">
        <v>33</v>
      </c>
      <c r="D261" s="3">
        <v>11</v>
      </c>
      <c r="E261" s="3">
        <f>((1/(INDEX(E0!J$4:J$49,C261,1)-INDEX(E0!J$4:J$49,D261,1))))*100000000</f>
        <v>0</v>
      </c>
      <c r="F261" s="4" t="str">
        <f>HYPERLINK("http://141.218.60.56/~jnz1568/getInfo.php?workbook=08_06.xlsx&amp;sheet=A0&amp;row=261&amp;col=6&amp;number=4821.1&amp;sourceID=3","4821.1")</f>
        <v>4821.1</v>
      </c>
      <c r="G261" s="4" t="str">
        <f>HYPERLINK("http://141.218.60.56/~jnz1568/getInfo.php?workbook=08_06.xlsx&amp;sheet=A0&amp;row=261&amp;col=7&amp;number=&amp;sourceID=3","")</f>
        <v/>
      </c>
      <c r="H261" s="4" t="str">
        <f>HYPERLINK("http://141.218.60.56/~jnz1568/getInfo.php?workbook=08_06.xlsx&amp;sheet=A0&amp;row=261&amp;col=8&amp;number=&amp;sourceID=3","")</f>
        <v/>
      </c>
      <c r="I261" s="4" t="str">
        <f>HYPERLINK("http://141.218.60.56/~jnz1568/getInfo.php?workbook=08_06.xlsx&amp;sheet=A0&amp;row=261&amp;col=9&amp;number=&amp;sourceID=3","")</f>
        <v/>
      </c>
      <c r="J261" s="4" t="str">
        <f>HYPERLINK("http://141.218.60.56/~jnz1568/getInfo.php?workbook=08_06.xlsx&amp;sheet=A0&amp;row=261&amp;col=10&amp;number=4766.8&amp;sourceID=3","4766.8")</f>
        <v>4766.8</v>
      </c>
      <c r="K261" s="4" t="str">
        <f>HYPERLINK("http://141.218.60.56/~jnz1568/getInfo.php?workbook=08_06.xlsx&amp;sheet=A0&amp;row=261&amp;col=11&amp;number=&amp;sourceID=3","")</f>
        <v/>
      </c>
      <c r="L261" s="4" t="str">
        <f>HYPERLINK("http://141.218.60.56/~jnz1568/getInfo.php?workbook=08_06.xlsx&amp;sheet=A0&amp;row=261&amp;col=12&amp;number=&amp;sourceID=3","")</f>
        <v/>
      </c>
      <c r="M261" s="4" t="str">
        <f>HYPERLINK("http://141.218.60.56/~jnz1568/getInfo.php?workbook=08_06.xlsx&amp;sheet=A0&amp;row=261&amp;col=13&amp;number=&amp;sourceID=3","")</f>
        <v/>
      </c>
      <c r="N261" s="4" t="str">
        <f>HYPERLINK("http://141.218.60.56/~jnz1568/getInfo.php?workbook=08_06.xlsx&amp;sheet=A0&amp;row=261&amp;col=14&amp;number=5862&amp;sourceID=7","5862")</f>
        <v>5862</v>
      </c>
      <c r="O261" s="4" t="str">
        <f>HYPERLINK("http://141.218.60.56/~jnz1568/getInfo.php?workbook=08_06.xlsx&amp;sheet=A0&amp;row=261&amp;col=15&amp;number=&amp;sourceID=5","")</f>
        <v/>
      </c>
      <c r="P261" s="4" t="str">
        <f>HYPERLINK("http://141.218.60.56/~jnz1568/getInfo.php?workbook=08_06.xlsx&amp;sheet=A0&amp;row=261&amp;col=16&amp;number=&amp;sourceID=5","")</f>
        <v/>
      </c>
      <c r="Q261" s="4" t="str">
        <f>HYPERLINK("http://141.218.60.56/~jnz1568/getInfo.php?workbook=08_06.xlsx&amp;sheet=A0&amp;row=261&amp;col=17&amp;number=&amp;sourceID=6","")</f>
        <v/>
      </c>
    </row>
    <row r="262" spans="1:17">
      <c r="A262" s="3">
        <v>8</v>
      </c>
      <c r="B262" s="3">
        <v>6</v>
      </c>
      <c r="C262" s="3">
        <v>33</v>
      </c>
      <c r="D262" s="3">
        <v>14</v>
      </c>
      <c r="E262" s="3">
        <f>((1/(INDEX(E0!J$4:J$49,C262,1)-INDEX(E0!J$4:J$49,D262,1))))*100000000</f>
        <v>0</v>
      </c>
      <c r="F262" s="4" t="str">
        <f>HYPERLINK("http://141.218.60.56/~jnz1568/getInfo.php?workbook=08_06.xlsx&amp;sheet=A0&amp;row=262&amp;col=6&amp;number=42624&amp;sourceID=3","42624")</f>
        <v>42624</v>
      </c>
      <c r="G262" s="4" t="str">
        <f>HYPERLINK("http://141.218.60.56/~jnz1568/getInfo.php?workbook=08_06.xlsx&amp;sheet=A0&amp;row=262&amp;col=7&amp;number=&amp;sourceID=3","")</f>
        <v/>
      </c>
      <c r="H262" s="4" t="str">
        <f>HYPERLINK("http://141.218.60.56/~jnz1568/getInfo.php?workbook=08_06.xlsx&amp;sheet=A0&amp;row=262&amp;col=8&amp;number=&amp;sourceID=3","")</f>
        <v/>
      </c>
      <c r="I262" s="4" t="str">
        <f>HYPERLINK("http://141.218.60.56/~jnz1568/getInfo.php?workbook=08_06.xlsx&amp;sheet=A0&amp;row=262&amp;col=9&amp;number=&amp;sourceID=3","")</f>
        <v/>
      </c>
      <c r="J262" s="4" t="str">
        <f>HYPERLINK("http://141.218.60.56/~jnz1568/getInfo.php?workbook=08_06.xlsx&amp;sheet=A0&amp;row=262&amp;col=10&amp;number=41331&amp;sourceID=3","41331")</f>
        <v>41331</v>
      </c>
      <c r="K262" s="4" t="str">
        <f>HYPERLINK("http://141.218.60.56/~jnz1568/getInfo.php?workbook=08_06.xlsx&amp;sheet=A0&amp;row=262&amp;col=11&amp;number=&amp;sourceID=3","")</f>
        <v/>
      </c>
      <c r="L262" s="4" t="str">
        <f>HYPERLINK("http://141.218.60.56/~jnz1568/getInfo.php?workbook=08_06.xlsx&amp;sheet=A0&amp;row=262&amp;col=12&amp;number=&amp;sourceID=3","")</f>
        <v/>
      </c>
      <c r="M262" s="4" t="str">
        <f>HYPERLINK("http://141.218.60.56/~jnz1568/getInfo.php?workbook=08_06.xlsx&amp;sheet=A0&amp;row=262&amp;col=13&amp;number=&amp;sourceID=3","")</f>
        <v/>
      </c>
      <c r="N262" s="4" t="str">
        <f>HYPERLINK("http://141.218.60.56/~jnz1568/getInfo.php?workbook=08_06.xlsx&amp;sheet=A0&amp;row=262&amp;col=14&amp;number=24450&amp;sourceID=7","24450")</f>
        <v>24450</v>
      </c>
      <c r="O262" s="4" t="str">
        <f>HYPERLINK("http://141.218.60.56/~jnz1568/getInfo.php?workbook=08_06.xlsx&amp;sheet=A0&amp;row=262&amp;col=15&amp;number=&amp;sourceID=5","")</f>
        <v/>
      </c>
      <c r="P262" s="4" t="str">
        <f>HYPERLINK("http://141.218.60.56/~jnz1568/getInfo.php?workbook=08_06.xlsx&amp;sheet=A0&amp;row=262&amp;col=16&amp;number=&amp;sourceID=5","")</f>
        <v/>
      </c>
      <c r="Q262" s="4" t="str">
        <f>HYPERLINK("http://141.218.60.56/~jnz1568/getInfo.php?workbook=08_06.xlsx&amp;sheet=A0&amp;row=262&amp;col=17&amp;number=&amp;sourceID=6","")</f>
        <v/>
      </c>
    </row>
    <row r="263" spans="1:17">
      <c r="A263" s="3">
        <v>8</v>
      </c>
      <c r="B263" s="3">
        <v>6</v>
      </c>
      <c r="C263" s="3">
        <v>33</v>
      </c>
      <c r="D263" s="3">
        <v>15</v>
      </c>
      <c r="E263" s="3">
        <f>((1/(INDEX(E0!J$4:J$49,C263,1)-INDEX(E0!J$4:J$49,D263,1))))*100000000</f>
        <v>0</v>
      </c>
      <c r="F263" s="4" t="str">
        <f>HYPERLINK("http://141.218.60.56/~jnz1568/getInfo.php?workbook=08_06.xlsx&amp;sheet=A0&amp;row=263&amp;col=6&amp;number=228860000&amp;sourceID=3","228860000")</f>
        <v>228860000</v>
      </c>
      <c r="G263" s="4" t="str">
        <f>HYPERLINK("http://141.218.60.56/~jnz1568/getInfo.php?workbook=08_06.xlsx&amp;sheet=A0&amp;row=263&amp;col=7&amp;number=&amp;sourceID=3","")</f>
        <v/>
      </c>
      <c r="H263" s="4" t="str">
        <f>HYPERLINK("http://141.218.60.56/~jnz1568/getInfo.php?workbook=08_06.xlsx&amp;sheet=A0&amp;row=263&amp;col=8&amp;number=&amp;sourceID=3","")</f>
        <v/>
      </c>
      <c r="I263" s="4" t="str">
        <f>HYPERLINK("http://141.218.60.56/~jnz1568/getInfo.php?workbook=08_06.xlsx&amp;sheet=A0&amp;row=263&amp;col=9&amp;number=&amp;sourceID=3","")</f>
        <v/>
      </c>
      <c r="J263" s="4" t="str">
        <f>HYPERLINK("http://141.218.60.56/~jnz1568/getInfo.php?workbook=08_06.xlsx&amp;sheet=A0&amp;row=263&amp;col=10&amp;number=229890000&amp;sourceID=3","229890000")</f>
        <v>229890000</v>
      </c>
      <c r="K263" s="4" t="str">
        <f>HYPERLINK("http://141.218.60.56/~jnz1568/getInfo.php?workbook=08_06.xlsx&amp;sheet=A0&amp;row=263&amp;col=11&amp;number=&amp;sourceID=3","")</f>
        <v/>
      </c>
      <c r="L263" s="4" t="str">
        <f>HYPERLINK("http://141.218.60.56/~jnz1568/getInfo.php?workbook=08_06.xlsx&amp;sheet=A0&amp;row=263&amp;col=12&amp;number=&amp;sourceID=3","")</f>
        <v/>
      </c>
      <c r="M263" s="4" t="str">
        <f>HYPERLINK("http://141.218.60.56/~jnz1568/getInfo.php?workbook=08_06.xlsx&amp;sheet=A0&amp;row=263&amp;col=13&amp;number=&amp;sourceID=3","")</f>
        <v/>
      </c>
      <c r="N263" s="4" t="str">
        <f>HYPERLINK("http://141.218.60.56/~jnz1568/getInfo.php?workbook=08_06.xlsx&amp;sheet=A0&amp;row=263&amp;col=14&amp;number=258600000&amp;sourceID=7","258600000")</f>
        <v>258600000</v>
      </c>
      <c r="O263" s="4" t="str">
        <f>HYPERLINK("http://141.218.60.56/~jnz1568/getInfo.php?workbook=08_06.xlsx&amp;sheet=A0&amp;row=263&amp;col=15&amp;number=&amp;sourceID=5","")</f>
        <v/>
      </c>
      <c r="P263" s="4" t="str">
        <f>HYPERLINK("http://141.218.60.56/~jnz1568/getInfo.php?workbook=08_06.xlsx&amp;sheet=A0&amp;row=263&amp;col=16&amp;number=&amp;sourceID=5","")</f>
        <v/>
      </c>
      <c r="Q263" s="4" t="str">
        <f>HYPERLINK("http://141.218.60.56/~jnz1568/getInfo.php?workbook=08_06.xlsx&amp;sheet=A0&amp;row=263&amp;col=17&amp;number=&amp;sourceID=6","")</f>
        <v/>
      </c>
    </row>
    <row r="264" spans="1:17">
      <c r="A264" s="3">
        <v>8</v>
      </c>
      <c r="B264" s="3">
        <v>6</v>
      </c>
      <c r="C264" s="3">
        <v>33</v>
      </c>
      <c r="D264" s="3">
        <v>17</v>
      </c>
      <c r="E264" s="3">
        <f>((1/(INDEX(E0!J$4:J$49,C264,1)-INDEX(E0!J$4:J$49,D264,1))))*100000000</f>
        <v>0</v>
      </c>
      <c r="F264" s="4" t="str">
        <f>HYPERLINK("http://141.218.60.56/~jnz1568/getInfo.php?workbook=08_06.xlsx&amp;sheet=A0&amp;row=264&amp;col=6&amp;number=146860&amp;sourceID=3","146860")</f>
        <v>146860</v>
      </c>
      <c r="G264" s="4" t="str">
        <f>HYPERLINK("http://141.218.60.56/~jnz1568/getInfo.php?workbook=08_06.xlsx&amp;sheet=A0&amp;row=264&amp;col=7&amp;number=&amp;sourceID=3","")</f>
        <v/>
      </c>
      <c r="H264" s="4" t="str">
        <f>HYPERLINK("http://141.218.60.56/~jnz1568/getInfo.php?workbook=08_06.xlsx&amp;sheet=A0&amp;row=264&amp;col=8&amp;number=&amp;sourceID=3","")</f>
        <v/>
      </c>
      <c r="I264" s="4" t="str">
        <f>HYPERLINK("http://141.218.60.56/~jnz1568/getInfo.php?workbook=08_06.xlsx&amp;sheet=A0&amp;row=264&amp;col=9&amp;number=&amp;sourceID=3","")</f>
        <v/>
      </c>
      <c r="J264" s="4" t="str">
        <f>HYPERLINK("http://141.218.60.56/~jnz1568/getInfo.php?workbook=08_06.xlsx&amp;sheet=A0&amp;row=264&amp;col=10&amp;number=148160&amp;sourceID=3","148160")</f>
        <v>148160</v>
      </c>
      <c r="K264" s="4" t="str">
        <f>HYPERLINK("http://141.218.60.56/~jnz1568/getInfo.php?workbook=08_06.xlsx&amp;sheet=A0&amp;row=264&amp;col=11&amp;number=&amp;sourceID=3","")</f>
        <v/>
      </c>
      <c r="L264" s="4" t="str">
        <f>HYPERLINK("http://141.218.60.56/~jnz1568/getInfo.php?workbook=08_06.xlsx&amp;sheet=A0&amp;row=264&amp;col=12&amp;number=&amp;sourceID=3","")</f>
        <v/>
      </c>
      <c r="M264" s="4" t="str">
        <f>HYPERLINK("http://141.218.60.56/~jnz1568/getInfo.php?workbook=08_06.xlsx&amp;sheet=A0&amp;row=264&amp;col=13&amp;number=&amp;sourceID=3","")</f>
        <v/>
      </c>
      <c r="N264" s="4" t="str">
        <f>HYPERLINK("http://141.218.60.56/~jnz1568/getInfo.php?workbook=08_06.xlsx&amp;sheet=A0&amp;row=264&amp;col=14&amp;number=33210&amp;sourceID=7","33210")</f>
        <v>33210</v>
      </c>
      <c r="O264" s="4" t="str">
        <f>HYPERLINK("http://141.218.60.56/~jnz1568/getInfo.php?workbook=08_06.xlsx&amp;sheet=A0&amp;row=264&amp;col=15&amp;number=&amp;sourceID=5","")</f>
        <v/>
      </c>
      <c r="P264" s="4" t="str">
        <f>HYPERLINK("http://141.218.60.56/~jnz1568/getInfo.php?workbook=08_06.xlsx&amp;sheet=A0&amp;row=264&amp;col=16&amp;number=&amp;sourceID=5","")</f>
        <v/>
      </c>
      <c r="Q264" s="4" t="str">
        <f>HYPERLINK("http://141.218.60.56/~jnz1568/getInfo.php?workbook=08_06.xlsx&amp;sheet=A0&amp;row=264&amp;col=17&amp;number=&amp;sourceID=6","")</f>
        <v/>
      </c>
    </row>
    <row r="265" spans="1:17">
      <c r="A265" s="3">
        <v>8</v>
      </c>
      <c r="B265" s="3">
        <v>6</v>
      </c>
      <c r="C265" s="3">
        <v>33</v>
      </c>
      <c r="D265" s="3">
        <v>19</v>
      </c>
      <c r="E265" s="3">
        <f>((1/(INDEX(E0!J$4:J$49,C265,1)-INDEX(E0!J$4:J$49,D265,1))))*100000000</f>
        <v>0</v>
      </c>
      <c r="F265" s="4" t="str">
        <f>HYPERLINK("http://141.218.60.56/~jnz1568/getInfo.php?workbook=08_06.xlsx&amp;sheet=A0&amp;row=265&amp;col=6&amp;number=357740000&amp;sourceID=3","357740000")</f>
        <v>357740000</v>
      </c>
      <c r="G265" s="4" t="str">
        <f>HYPERLINK("http://141.218.60.56/~jnz1568/getInfo.php?workbook=08_06.xlsx&amp;sheet=A0&amp;row=265&amp;col=7&amp;number=&amp;sourceID=3","")</f>
        <v/>
      </c>
      <c r="H265" s="4" t="str">
        <f>HYPERLINK("http://141.218.60.56/~jnz1568/getInfo.php?workbook=08_06.xlsx&amp;sheet=A0&amp;row=265&amp;col=8&amp;number=&amp;sourceID=3","")</f>
        <v/>
      </c>
      <c r="I265" s="4" t="str">
        <f>HYPERLINK("http://141.218.60.56/~jnz1568/getInfo.php?workbook=08_06.xlsx&amp;sheet=A0&amp;row=265&amp;col=9&amp;number=&amp;sourceID=3","")</f>
        <v/>
      </c>
      <c r="J265" s="4" t="str">
        <f>HYPERLINK("http://141.218.60.56/~jnz1568/getInfo.php?workbook=08_06.xlsx&amp;sheet=A0&amp;row=265&amp;col=10&amp;number=363850000&amp;sourceID=3","363850000")</f>
        <v>363850000</v>
      </c>
      <c r="K265" s="4" t="str">
        <f>HYPERLINK("http://141.218.60.56/~jnz1568/getInfo.php?workbook=08_06.xlsx&amp;sheet=A0&amp;row=265&amp;col=11&amp;number=&amp;sourceID=3","")</f>
        <v/>
      </c>
      <c r="L265" s="4" t="str">
        <f>HYPERLINK("http://141.218.60.56/~jnz1568/getInfo.php?workbook=08_06.xlsx&amp;sheet=A0&amp;row=265&amp;col=12&amp;number=&amp;sourceID=3","")</f>
        <v/>
      </c>
      <c r="M265" s="4" t="str">
        <f>HYPERLINK("http://141.218.60.56/~jnz1568/getInfo.php?workbook=08_06.xlsx&amp;sheet=A0&amp;row=265&amp;col=13&amp;number=&amp;sourceID=3","")</f>
        <v/>
      </c>
      <c r="N265" s="4" t="str">
        <f>HYPERLINK("http://141.218.60.56/~jnz1568/getInfo.php?workbook=08_06.xlsx&amp;sheet=A0&amp;row=265&amp;col=14&amp;number=266000000&amp;sourceID=7","266000000")</f>
        <v>266000000</v>
      </c>
      <c r="O265" s="4" t="str">
        <f>HYPERLINK("http://141.218.60.56/~jnz1568/getInfo.php?workbook=08_06.xlsx&amp;sheet=A0&amp;row=265&amp;col=15&amp;number=&amp;sourceID=5","")</f>
        <v/>
      </c>
      <c r="P265" s="4" t="str">
        <f>HYPERLINK("http://141.218.60.56/~jnz1568/getInfo.php?workbook=08_06.xlsx&amp;sheet=A0&amp;row=265&amp;col=16&amp;number=&amp;sourceID=5","")</f>
        <v/>
      </c>
      <c r="Q265" s="4" t="str">
        <f>HYPERLINK("http://141.218.60.56/~jnz1568/getInfo.php?workbook=08_06.xlsx&amp;sheet=A0&amp;row=265&amp;col=17&amp;number=&amp;sourceID=6","")</f>
        <v/>
      </c>
    </row>
    <row r="266" spans="1:17">
      <c r="A266" s="3">
        <v>8</v>
      </c>
      <c r="B266" s="3">
        <v>6</v>
      </c>
      <c r="C266" s="3">
        <v>34</v>
      </c>
      <c r="D266" s="3">
        <v>2</v>
      </c>
      <c r="E266" s="3">
        <f>((1/(INDEX(E0!J$4:J$49,C266,1)-INDEX(E0!J$4:J$49,D266,1))))*100000000</f>
        <v>0</v>
      </c>
      <c r="F266" s="4" t="str">
        <f>HYPERLINK("http://141.218.60.56/~jnz1568/getInfo.php?workbook=08_06.xlsx&amp;sheet=A0&amp;row=266&amp;col=6&amp;number=3404900&amp;sourceID=3","3404900")</f>
        <v>3404900</v>
      </c>
      <c r="G266" s="4" t="str">
        <f>HYPERLINK("http://141.218.60.56/~jnz1568/getInfo.php?workbook=08_06.xlsx&amp;sheet=A0&amp;row=266&amp;col=7&amp;number=&amp;sourceID=3","")</f>
        <v/>
      </c>
      <c r="H266" s="4" t="str">
        <f>HYPERLINK("http://141.218.60.56/~jnz1568/getInfo.php?workbook=08_06.xlsx&amp;sheet=A0&amp;row=266&amp;col=8&amp;number=&amp;sourceID=3","")</f>
        <v/>
      </c>
      <c r="I266" s="4" t="str">
        <f>HYPERLINK("http://141.218.60.56/~jnz1568/getInfo.php?workbook=08_06.xlsx&amp;sheet=A0&amp;row=266&amp;col=9&amp;number=&amp;sourceID=3","")</f>
        <v/>
      </c>
      <c r="J266" s="4" t="str">
        <f>HYPERLINK("http://141.218.60.56/~jnz1568/getInfo.php?workbook=08_06.xlsx&amp;sheet=A0&amp;row=266&amp;col=10&amp;number=3117200&amp;sourceID=3","3117200")</f>
        <v>3117200</v>
      </c>
      <c r="K266" s="4" t="str">
        <f>HYPERLINK("http://141.218.60.56/~jnz1568/getInfo.php?workbook=08_06.xlsx&amp;sheet=A0&amp;row=266&amp;col=11&amp;number=&amp;sourceID=3","")</f>
        <v/>
      </c>
      <c r="L266" s="4" t="str">
        <f>HYPERLINK("http://141.218.60.56/~jnz1568/getInfo.php?workbook=08_06.xlsx&amp;sheet=A0&amp;row=266&amp;col=12&amp;number=&amp;sourceID=3","")</f>
        <v/>
      </c>
      <c r="M266" s="4" t="str">
        <f>HYPERLINK("http://141.218.60.56/~jnz1568/getInfo.php?workbook=08_06.xlsx&amp;sheet=A0&amp;row=266&amp;col=13&amp;number=&amp;sourceID=3","")</f>
        <v/>
      </c>
      <c r="N266" s="4" t="str">
        <f>HYPERLINK("http://141.218.60.56/~jnz1568/getInfo.php?workbook=08_06.xlsx&amp;sheet=A0&amp;row=266&amp;col=14&amp;number=2225000&amp;sourceID=7","2225000")</f>
        <v>2225000</v>
      </c>
      <c r="O266" s="4" t="str">
        <f>HYPERLINK("http://141.218.60.56/~jnz1568/getInfo.php?workbook=08_06.xlsx&amp;sheet=A0&amp;row=266&amp;col=15&amp;number=&amp;sourceID=5","")</f>
        <v/>
      </c>
      <c r="P266" s="4" t="str">
        <f>HYPERLINK("http://141.218.60.56/~jnz1568/getInfo.php?workbook=08_06.xlsx&amp;sheet=A0&amp;row=266&amp;col=16&amp;number=&amp;sourceID=5","")</f>
        <v/>
      </c>
      <c r="Q266" s="4" t="str">
        <f>HYPERLINK("http://141.218.60.56/~jnz1568/getInfo.php?workbook=08_06.xlsx&amp;sheet=A0&amp;row=266&amp;col=17&amp;number=&amp;sourceID=6","")</f>
        <v/>
      </c>
    </row>
    <row r="267" spans="1:17">
      <c r="A267" s="3">
        <v>8</v>
      </c>
      <c r="B267" s="3">
        <v>6</v>
      </c>
      <c r="C267" s="3">
        <v>34</v>
      </c>
      <c r="D267" s="3">
        <v>3</v>
      </c>
      <c r="E267" s="3">
        <f>((1/(INDEX(E0!J$4:J$49,C267,1)-INDEX(E0!J$4:J$49,D267,1))))*100000000</f>
        <v>0</v>
      </c>
      <c r="F267" s="4" t="str">
        <f>HYPERLINK("http://141.218.60.56/~jnz1568/getInfo.php?workbook=08_06.xlsx&amp;sheet=A0&amp;row=267&amp;col=6&amp;number=9165100&amp;sourceID=3","9165100")</f>
        <v>9165100</v>
      </c>
      <c r="G267" s="4" t="str">
        <f>HYPERLINK("http://141.218.60.56/~jnz1568/getInfo.php?workbook=08_06.xlsx&amp;sheet=A0&amp;row=267&amp;col=7&amp;number=&amp;sourceID=3","")</f>
        <v/>
      </c>
      <c r="H267" s="4" t="str">
        <f>HYPERLINK("http://141.218.60.56/~jnz1568/getInfo.php?workbook=08_06.xlsx&amp;sheet=A0&amp;row=267&amp;col=8&amp;number=&amp;sourceID=3","")</f>
        <v/>
      </c>
      <c r="I267" s="4" t="str">
        <f>HYPERLINK("http://141.218.60.56/~jnz1568/getInfo.php?workbook=08_06.xlsx&amp;sheet=A0&amp;row=267&amp;col=9&amp;number=&amp;sourceID=3","")</f>
        <v/>
      </c>
      <c r="J267" s="4" t="str">
        <f>HYPERLINK("http://141.218.60.56/~jnz1568/getInfo.php?workbook=08_06.xlsx&amp;sheet=A0&amp;row=267&amp;col=10&amp;number=9299600&amp;sourceID=3","9299600")</f>
        <v>9299600</v>
      </c>
      <c r="K267" s="4" t="str">
        <f>HYPERLINK("http://141.218.60.56/~jnz1568/getInfo.php?workbook=08_06.xlsx&amp;sheet=A0&amp;row=267&amp;col=11&amp;number=&amp;sourceID=3","")</f>
        <v/>
      </c>
      <c r="L267" s="4" t="str">
        <f>HYPERLINK("http://141.218.60.56/~jnz1568/getInfo.php?workbook=08_06.xlsx&amp;sheet=A0&amp;row=267&amp;col=12&amp;number=&amp;sourceID=3","")</f>
        <v/>
      </c>
      <c r="M267" s="4" t="str">
        <f>HYPERLINK("http://141.218.60.56/~jnz1568/getInfo.php?workbook=08_06.xlsx&amp;sheet=A0&amp;row=267&amp;col=13&amp;number=&amp;sourceID=3","")</f>
        <v/>
      </c>
      <c r="N267" s="4" t="str">
        <f>HYPERLINK("http://141.218.60.56/~jnz1568/getInfo.php?workbook=08_06.xlsx&amp;sheet=A0&amp;row=267&amp;col=14&amp;number=4926000&amp;sourceID=7","4926000")</f>
        <v>4926000</v>
      </c>
      <c r="O267" s="4" t="str">
        <f>HYPERLINK("http://141.218.60.56/~jnz1568/getInfo.php?workbook=08_06.xlsx&amp;sheet=A0&amp;row=267&amp;col=15&amp;number=&amp;sourceID=5","")</f>
        <v/>
      </c>
      <c r="P267" s="4" t="str">
        <f>HYPERLINK("http://141.218.60.56/~jnz1568/getInfo.php?workbook=08_06.xlsx&amp;sheet=A0&amp;row=267&amp;col=16&amp;number=&amp;sourceID=5","")</f>
        <v/>
      </c>
      <c r="Q267" s="4" t="str">
        <f>HYPERLINK("http://141.218.60.56/~jnz1568/getInfo.php?workbook=08_06.xlsx&amp;sheet=A0&amp;row=267&amp;col=17&amp;number=&amp;sourceID=6","")</f>
        <v/>
      </c>
    </row>
    <row r="268" spans="1:17">
      <c r="A268" s="3">
        <v>8</v>
      </c>
      <c r="B268" s="3">
        <v>6</v>
      </c>
      <c r="C268" s="3">
        <v>34</v>
      </c>
      <c r="D268" s="3">
        <v>4</v>
      </c>
      <c r="E268" s="3">
        <f>((1/(INDEX(E0!J$4:J$49,C268,1)-INDEX(E0!J$4:J$49,D268,1))))*100000000</f>
        <v>0</v>
      </c>
      <c r="F268" s="4" t="str">
        <f>HYPERLINK("http://141.218.60.56/~jnz1568/getInfo.php?workbook=08_06.xlsx&amp;sheet=A0&amp;row=268&amp;col=6&amp;number=2723000000&amp;sourceID=3","2723000000")</f>
        <v>2723000000</v>
      </c>
      <c r="G268" s="4" t="str">
        <f>HYPERLINK("http://141.218.60.56/~jnz1568/getInfo.php?workbook=08_06.xlsx&amp;sheet=A0&amp;row=268&amp;col=7&amp;number=&amp;sourceID=3","")</f>
        <v/>
      </c>
      <c r="H268" s="4" t="str">
        <f>HYPERLINK("http://141.218.60.56/~jnz1568/getInfo.php?workbook=08_06.xlsx&amp;sheet=A0&amp;row=268&amp;col=8&amp;number=&amp;sourceID=3","")</f>
        <v/>
      </c>
      <c r="I268" s="4" t="str">
        <f>HYPERLINK("http://141.218.60.56/~jnz1568/getInfo.php?workbook=08_06.xlsx&amp;sheet=A0&amp;row=268&amp;col=9&amp;number=&amp;sourceID=3","")</f>
        <v/>
      </c>
      <c r="J268" s="4" t="str">
        <f>HYPERLINK("http://141.218.60.56/~jnz1568/getInfo.php?workbook=08_06.xlsx&amp;sheet=A0&amp;row=268&amp;col=10&amp;number=2915300000&amp;sourceID=3","2915300000")</f>
        <v>2915300000</v>
      </c>
      <c r="K268" s="4" t="str">
        <f>HYPERLINK("http://141.218.60.56/~jnz1568/getInfo.php?workbook=08_06.xlsx&amp;sheet=A0&amp;row=268&amp;col=11&amp;number=&amp;sourceID=3","")</f>
        <v/>
      </c>
      <c r="L268" s="4" t="str">
        <f>HYPERLINK("http://141.218.60.56/~jnz1568/getInfo.php?workbook=08_06.xlsx&amp;sheet=A0&amp;row=268&amp;col=12&amp;number=&amp;sourceID=3","")</f>
        <v/>
      </c>
      <c r="M268" s="4" t="str">
        <f>HYPERLINK("http://141.218.60.56/~jnz1568/getInfo.php?workbook=08_06.xlsx&amp;sheet=A0&amp;row=268&amp;col=13&amp;number=&amp;sourceID=3","")</f>
        <v/>
      </c>
      <c r="N268" s="4" t="str">
        <f>HYPERLINK("http://141.218.60.56/~jnz1568/getInfo.php?workbook=08_06.xlsx&amp;sheet=A0&amp;row=268&amp;col=14&amp;number=2253000000&amp;sourceID=7","2253000000")</f>
        <v>2253000000</v>
      </c>
      <c r="O268" s="4" t="str">
        <f>HYPERLINK("http://141.218.60.56/~jnz1568/getInfo.php?workbook=08_06.xlsx&amp;sheet=A0&amp;row=268&amp;col=15&amp;number=&amp;sourceID=5","")</f>
        <v/>
      </c>
      <c r="P268" s="4" t="str">
        <f>HYPERLINK("http://141.218.60.56/~jnz1568/getInfo.php?workbook=08_06.xlsx&amp;sheet=A0&amp;row=268&amp;col=16&amp;number=&amp;sourceID=5","")</f>
        <v/>
      </c>
      <c r="Q268" s="4" t="str">
        <f>HYPERLINK("http://141.218.60.56/~jnz1568/getInfo.php?workbook=08_06.xlsx&amp;sheet=A0&amp;row=268&amp;col=17&amp;number=&amp;sourceID=6","")</f>
        <v/>
      </c>
    </row>
    <row r="269" spans="1:17">
      <c r="A269" s="3">
        <v>8</v>
      </c>
      <c r="B269" s="3">
        <v>6</v>
      </c>
      <c r="C269" s="3">
        <v>34</v>
      </c>
      <c r="D269" s="3">
        <v>20</v>
      </c>
      <c r="E269" s="3">
        <f>((1/(INDEX(E0!J$4:J$49,C269,1)-INDEX(E0!J$4:J$49,D269,1))))*100000000</f>
        <v>0</v>
      </c>
      <c r="F269" s="4" t="str">
        <f>HYPERLINK("http://141.218.60.56/~jnz1568/getInfo.php?workbook=08_06.xlsx&amp;sheet=A0&amp;row=269&amp;col=6&amp;number=401.55&amp;sourceID=3","401.55")</f>
        <v>401.55</v>
      </c>
      <c r="G269" s="4" t="str">
        <f>HYPERLINK("http://141.218.60.56/~jnz1568/getInfo.php?workbook=08_06.xlsx&amp;sheet=A0&amp;row=269&amp;col=7&amp;number=&amp;sourceID=3","")</f>
        <v/>
      </c>
      <c r="H269" s="4" t="str">
        <f>HYPERLINK("http://141.218.60.56/~jnz1568/getInfo.php?workbook=08_06.xlsx&amp;sheet=A0&amp;row=269&amp;col=8&amp;number=&amp;sourceID=3","")</f>
        <v/>
      </c>
      <c r="I269" s="4" t="str">
        <f>HYPERLINK("http://141.218.60.56/~jnz1568/getInfo.php?workbook=08_06.xlsx&amp;sheet=A0&amp;row=269&amp;col=9&amp;number=&amp;sourceID=3","")</f>
        <v/>
      </c>
      <c r="J269" s="4" t="str">
        <f>HYPERLINK("http://141.218.60.56/~jnz1568/getInfo.php?workbook=08_06.xlsx&amp;sheet=A0&amp;row=269&amp;col=10&amp;number=523.49&amp;sourceID=3","523.49")</f>
        <v>523.49</v>
      </c>
      <c r="K269" s="4" t="str">
        <f>HYPERLINK("http://141.218.60.56/~jnz1568/getInfo.php?workbook=08_06.xlsx&amp;sheet=A0&amp;row=269&amp;col=11&amp;number=&amp;sourceID=3","")</f>
        <v/>
      </c>
      <c r="L269" s="4" t="str">
        <f>HYPERLINK("http://141.218.60.56/~jnz1568/getInfo.php?workbook=08_06.xlsx&amp;sheet=A0&amp;row=269&amp;col=12&amp;number=&amp;sourceID=3","")</f>
        <v/>
      </c>
      <c r="M269" s="4" t="str">
        <f>HYPERLINK("http://141.218.60.56/~jnz1568/getInfo.php?workbook=08_06.xlsx&amp;sheet=A0&amp;row=269&amp;col=13&amp;number=&amp;sourceID=3","")</f>
        <v/>
      </c>
      <c r="N269" s="4" t="str">
        <f>HYPERLINK("http://141.218.60.56/~jnz1568/getInfo.php?workbook=08_06.xlsx&amp;sheet=A0&amp;row=269&amp;col=14&amp;number=489.6&amp;sourceID=7","489.6")</f>
        <v>489.6</v>
      </c>
      <c r="O269" s="4" t="str">
        <f>HYPERLINK("http://141.218.60.56/~jnz1568/getInfo.php?workbook=08_06.xlsx&amp;sheet=A0&amp;row=269&amp;col=15&amp;number=&amp;sourceID=5","")</f>
        <v/>
      </c>
      <c r="P269" s="4" t="str">
        <f>HYPERLINK("http://141.218.60.56/~jnz1568/getInfo.php?workbook=08_06.xlsx&amp;sheet=A0&amp;row=269&amp;col=16&amp;number=&amp;sourceID=5","")</f>
        <v/>
      </c>
      <c r="Q269" s="4" t="str">
        <f>HYPERLINK("http://141.218.60.56/~jnz1568/getInfo.php?workbook=08_06.xlsx&amp;sheet=A0&amp;row=269&amp;col=17&amp;number=&amp;sourceID=6","")</f>
        <v/>
      </c>
    </row>
    <row r="270" spans="1:17">
      <c r="A270" s="3">
        <v>8</v>
      </c>
      <c r="B270" s="3">
        <v>6</v>
      </c>
      <c r="C270" s="3">
        <v>34</v>
      </c>
      <c r="D270" s="3">
        <v>21</v>
      </c>
      <c r="E270" s="3">
        <f>((1/(INDEX(E0!J$4:J$49,C270,1)-INDEX(E0!J$4:J$49,D270,1))))*100000000</f>
        <v>0</v>
      </c>
      <c r="F270" s="4" t="str">
        <f>HYPERLINK("http://141.218.60.56/~jnz1568/getInfo.php?workbook=08_06.xlsx&amp;sheet=A0&amp;row=270&amp;col=6&amp;number=156.41&amp;sourceID=3","156.41")</f>
        <v>156.41</v>
      </c>
      <c r="G270" s="4" t="str">
        <f>HYPERLINK("http://141.218.60.56/~jnz1568/getInfo.php?workbook=08_06.xlsx&amp;sheet=A0&amp;row=270&amp;col=7&amp;number=&amp;sourceID=3","")</f>
        <v/>
      </c>
      <c r="H270" s="4" t="str">
        <f>HYPERLINK("http://141.218.60.56/~jnz1568/getInfo.php?workbook=08_06.xlsx&amp;sheet=A0&amp;row=270&amp;col=8&amp;number=&amp;sourceID=3","")</f>
        <v/>
      </c>
      <c r="I270" s="4" t="str">
        <f>HYPERLINK("http://141.218.60.56/~jnz1568/getInfo.php?workbook=08_06.xlsx&amp;sheet=A0&amp;row=270&amp;col=9&amp;number=&amp;sourceID=3","")</f>
        <v/>
      </c>
      <c r="J270" s="4" t="str">
        <f>HYPERLINK("http://141.218.60.56/~jnz1568/getInfo.php?workbook=08_06.xlsx&amp;sheet=A0&amp;row=270&amp;col=10&amp;number=166.01&amp;sourceID=3","166.01")</f>
        <v>166.01</v>
      </c>
      <c r="K270" s="4" t="str">
        <f>HYPERLINK("http://141.218.60.56/~jnz1568/getInfo.php?workbook=08_06.xlsx&amp;sheet=A0&amp;row=270&amp;col=11&amp;number=&amp;sourceID=3","")</f>
        <v/>
      </c>
      <c r="L270" s="4" t="str">
        <f>HYPERLINK("http://141.218.60.56/~jnz1568/getInfo.php?workbook=08_06.xlsx&amp;sheet=A0&amp;row=270&amp;col=12&amp;number=&amp;sourceID=3","")</f>
        <v/>
      </c>
      <c r="M270" s="4" t="str">
        <f>HYPERLINK("http://141.218.60.56/~jnz1568/getInfo.php?workbook=08_06.xlsx&amp;sheet=A0&amp;row=270&amp;col=13&amp;number=&amp;sourceID=3","")</f>
        <v/>
      </c>
      <c r="N270" s="4" t="str">
        <f>HYPERLINK("http://141.218.60.56/~jnz1568/getInfo.php?workbook=08_06.xlsx&amp;sheet=A0&amp;row=270&amp;col=14&amp;number=0.7145&amp;sourceID=7","0.7145")</f>
        <v>0.7145</v>
      </c>
      <c r="O270" s="4" t="str">
        <f>HYPERLINK("http://141.218.60.56/~jnz1568/getInfo.php?workbook=08_06.xlsx&amp;sheet=A0&amp;row=270&amp;col=15&amp;number=&amp;sourceID=5","")</f>
        <v/>
      </c>
      <c r="P270" s="4" t="str">
        <f>HYPERLINK("http://141.218.60.56/~jnz1568/getInfo.php?workbook=08_06.xlsx&amp;sheet=A0&amp;row=270&amp;col=16&amp;number=&amp;sourceID=5","")</f>
        <v/>
      </c>
      <c r="Q270" s="4" t="str">
        <f>HYPERLINK("http://141.218.60.56/~jnz1568/getInfo.php?workbook=08_06.xlsx&amp;sheet=A0&amp;row=270&amp;col=17&amp;number=&amp;sourceID=6","")</f>
        <v/>
      </c>
    </row>
    <row r="271" spans="1:17">
      <c r="A271" s="3">
        <v>8</v>
      </c>
      <c r="B271" s="3">
        <v>6</v>
      </c>
      <c r="C271" s="3">
        <v>34</v>
      </c>
      <c r="D271" s="3">
        <v>23</v>
      </c>
      <c r="E271" s="3">
        <f>((1/(INDEX(E0!J$4:J$49,C271,1)-INDEX(E0!J$4:J$49,D271,1))))*100000000</f>
        <v>0</v>
      </c>
      <c r="F271" s="4" t="str">
        <f>HYPERLINK("http://141.218.60.56/~jnz1568/getInfo.php?workbook=08_06.xlsx&amp;sheet=A0&amp;row=271&amp;col=6&amp;number=60616000&amp;sourceID=3","60616000")</f>
        <v>60616000</v>
      </c>
      <c r="G271" s="4" t="str">
        <f>HYPERLINK("http://141.218.60.56/~jnz1568/getInfo.php?workbook=08_06.xlsx&amp;sheet=A0&amp;row=271&amp;col=7&amp;number=&amp;sourceID=3","")</f>
        <v/>
      </c>
      <c r="H271" s="4" t="str">
        <f>HYPERLINK("http://141.218.60.56/~jnz1568/getInfo.php?workbook=08_06.xlsx&amp;sheet=A0&amp;row=271&amp;col=8&amp;number=&amp;sourceID=3","")</f>
        <v/>
      </c>
      <c r="I271" s="4" t="str">
        <f>HYPERLINK("http://141.218.60.56/~jnz1568/getInfo.php?workbook=08_06.xlsx&amp;sheet=A0&amp;row=271&amp;col=9&amp;number=&amp;sourceID=3","")</f>
        <v/>
      </c>
      <c r="J271" s="4" t="str">
        <f>HYPERLINK("http://141.218.60.56/~jnz1568/getInfo.php?workbook=08_06.xlsx&amp;sheet=A0&amp;row=271&amp;col=10&amp;number=63844000&amp;sourceID=3","63844000")</f>
        <v>63844000</v>
      </c>
      <c r="K271" s="4" t="str">
        <f>HYPERLINK("http://141.218.60.56/~jnz1568/getInfo.php?workbook=08_06.xlsx&amp;sheet=A0&amp;row=271&amp;col=11&amp;number=&amp;sourceID=3","")</f>
        <v/>
      </c>
      <c r="L271" s="4" t="str">
        <f>HYPERLINK("http://141.218.60.56/~jnz1568/getInfo.php?workbook=08_06.xlsx&amp;sheet=A0&amp;row=271&amp;col=12&amp;number=&amp;sourceID=3","")</f>
        <v/>
      </c>
      <c r="M271" s="4" t="str">
        <f>HYPERLINK("http://141.218.60.56/~jnz1568/getInfo.php?workbook=08_06.xlsx&amp;sheet=A0&amp;row=271&amp;col=13&amp;number=&amp;sourceID=3","")</f>
        <v/>
      </c>
      <c r="N271" s="4" t="str">
        <f>HYPERLINK("http://141.218.60.56/~jnz1568/getInfo.php?workbook=08_06.xlsx&amp;sheet=A0&amp;row=271&amp;col=14&amp;number=33140000&amp;sourceID=7","33140000")</f>
        <v>33140000</v>
      </c>
      <c r="O271" s="4" t="str">
        <f>HYPERLINK("http://141.218.60.56/~jnz1568/getInfo.php?workbook=08_06.xlsx&amp;sheet=A0&amp;row=271&amp;col=15&amp;number=&amp;sourceID=5","")</f>
        <v/>
      </c>
      <c r="P271" s="4" t="str">
        <f>HYPERLINK("http://141.218.60.56/~jnz1568/getInfo.php?workbook=08_06.xlsx&amp;sheet=A0&amp;row=271&amp;col=16&amp;number=&amp;sourceID=5","")</f>
        <v/>
      </c>
      <c r="Q271" s="4" t="str">
        <f>HYPERLINK("http://141.218.60.56/~jnz1568/getInfo.php?workbook=08_06.xlsx&amp;sheet=A0&amp;row=271&amp;col=17&amp;number=&amp;sourceID=6","")</f>
        <v/>
      </c>
    </row>
    <row r="272" spans="1:17">
      <c r="A272" s="3">
        <v>8</v>
      </c>
      <c r="B272" s="3">
        <v>6</v>
      </c>
      <c r="C272" s="3">
        <v>34</v>
      </c>
      <c r="D272" s="3">
        <v>24</v>
      </c>
      <c r="E272" s="3">
        <f>((1/(INDEX(E0!J$4:J$49,C272,1)-INDEX(E0!J$4:J$49,D272,1))))*100000000</f>
        <v>0</v>
      </c>
      <c r="F272" s="4" t="str">
        <f>HYPERLINK("http://141.218.60.56/~jnz1568/getInfo.php?workbook=08_06.xlsx&amp;sheet=A0&amp;row=272&amp;col=6&amp;number=111880000&amp;sourceID=3","111880000")</f>
        <v>111880000</v>
      </c>
      <c r="G272" s="4" t="str">
        <f>HYPERLINK("http://141.218.60.56/~jnz1568/getInfo.php?workbook=08_06.xlsx&amp;sheet=A0&amp;row=272&amp;col=7&amp;number=&amp;sourceID=3","")</f>
        <v/>
      </c>
      <c r="H272" s="4" t="str">
        <f>HYPERLINK("http://141.218.60.56/~jnz1568/getInfo.php?workbook=08_06.xlsx&amp;sheet=A0&amp;row=272&amp;col=8&amp;number=&amp;sourceID=3","")</f>
        <v/>
      </c>
      <c r="I272" s="4" t="str">
        <f>HYPERLINK("http://141.218.60.56/~jnz1568/getInfo.php?workbook=08_06.xlsx&amp;sheet=A0&amp;row=272&amp;col=9&amp;number=&amp;sourceID=3","")</f>
        <v/>
      </c>
      <c r="J272" s="4" t="str">
        <f>HYPERLINK("http://141.218.60.56/~jnz1568/getInfo.php?workbook=08_06.xlsx&amp;sheet=A0&amp;row=272&amp;col=10&amp;number=108050000&amp;sourceID=3","108050000")</f>
        <v>108050000</v>
      </c>
      <c r="K272" s="4" t="str">
        <f>HYPERLINK("http://141.218.60.56/~jnz1568/getInfo.php?workbook=08_06.xlsx&amp;sheet=A0&amp;row=272&amp;col=11&amp;number=&amp;sourceID=3","")</f>
        <v/>
      </c>
      <c r="L272" s="4" t="str">
        <f>HYPERLINK("http://141.218.60.56/~jnz1568/getInfo.php?workbook=08_06.xlsx&amp;sheet=A0&amp;row=272&amp;col=12&amp;number=&amp;sourceID=3","")</f>
        <v/>
      </c>
      <c r="M272" s="4" t="str">
        <f>HYPERLINK("http://141.218.60.56/~jnz1568/getInfo.php?workbook=08_06.xlsx&amp;sheet=A0&amp;row=272&amp;col=13&amp;number=&amp;sourceID=3","")</f>
        <v/>
      </c>
      <c r="N272" s="4" t="str">
        <f>HYPERLINK("http://141.218.60.56/~jnz1568/getInfo.php?workbook=08_06.xlsx&amp;sheet=A0&amp;row=272&amp;col=14&amp;number=97330000&amp;sourceID=7","97330000")</f>
        <v>97330000</v>
      </c>
      <c r="O272" s="4" t="str">
        <f>HYPERLINK("http://141.218.60.56/~jnz1568/getInfo.php?workbook=08_06.xlsx&amp;sheet=A0&amp;row=272&amp;col=15&amp;number=&amp;sourceID=5","")</f>
        <v/>
      </c>
      <c r="P272" s="4" t="str">
        <f>HYPERLINK("http://141.218.60.56/~jnz1568/getInfo.php?workbook=08_06.xlsx&amp;sheet=A0&amp;row=272&amp;col=16&amp;number=&amp;sourceID=5","")</f>
        <v/>
      </c>
      <c r="Q272" s="4" t="str">
        <f>HYPERLINK("http://141.218.60.56/~jnz1568/getInfo.php?workbook=08_06.xlsx&amp;sheet=A0&amp;row=272&amp;col=17&amp;number=&amp;sourceID=6","")</f>
        <v/>
      </c>
    </row>
    <row r="273" spans="1:17">
      <c r="A273" s="3">
        <v>8</v>
      </c>
      <c r="B273" s="3">
        <v>6</v>
      </c>
      <c r="C273" s="3">
        <v>34</v>
      </c>
      <c r="D273" s="3">
        <v>25</v>
      </c>
      <c r="E273" s="3">
        <f>((1/(INDEX(E0!J$4:J$49,C273,1)-INDEX(E0!J$4:J$49,D273,1))))*100000000</f>
        <v>0</v>
      </c>
      <c r="F273" s="4" t="str">
        <f>HYPERLINK("http://141.218.60.56/~jnz1568/getInfo.php?workbook=08_06.xlsx&amp;sheet=A0&amp;row=273&amp;col=6&amp;number=20851000&amp;sourceID=3","20851000")</f>
        <v>20851000</v>
      </c>
      <c r="G273" s="4" t="str">
        <f>HYPERLINK("http://141.218.60.56/~jnz1568/getInfo.php?workbook=08_06.xlsx&amp;sheet=A0&amp;row=273&amp;col=7&amp;number=&amp;sourceID=3","")</f>
        <v/>
      </c>
      <c r="H273" s="4" t="str">
        <f>HYPERLINK("http://141.218.60.56/~jnz1568/getInfo.php?workbook=08_06.xlsx&amp;sheet=A0&amp;row=273&amp;col=8&amp;number=&amp;sourceID=3","")</f>
        <v/>
      </c>
      <c r="I273" s="4" t="str">
        <f>HYPERLINK("http://141.218.60.56/~jnz1568/getInfo.php?workbook=08_06.xlsx&amp;sheet=A0&amp;row=273&amp;col=9&amp;number=&amp;sourceID=3","")</f>
        <v/>
      </c>
      <c r="J273" s="4" t="str">
        <f>HYPERLINK("http://141.218.60.56/~jnz1568/getInfo.php?workbook=08_06.xlsx&amp;sheet=A0&amp;row=273&amp;col=10&amp;number=20221000&amp;sourceID=3","20221000")</f>
        <v>20221000</v>
      </c>
      <c r="K273" s="4" t="str">
        <f>HYPERLINK("http://141.218.60.56/~jnz1568/getInfo.php?workbook=08_06.xlsx&amp;sheet=A0&amp;row=273&amp;col=11&amp;number=&amp;sourceID=3","")</f>
        <v/>
      </c>
      <c r="L273" s="4" t="str">
        <f>HYPERLINK("http://141.218.60.56/~jnz1568/getInfo.php?workbook=08_06.xlsx&amp;sheet=A0&amp;row=273&amp;col=12&amp;number=&amp;sourceID=3","")</f>
        <v/>
      </c>
      <c r="M273" s="4" t="str">
        <f>HYPERLINK("http://141.218.60.56/~jnz1568/getInfo.php?workbook=08_06.xlsx&amp;sheet=A0&amp;row=273&amp;col=13&amp;number=&amp;sourceID=3","")</f>
        <v/>
      </c>
      <c r="N273" s="4" t="str">
        <f>HYPERLINK("http://141.218.60.56/~jnz1568/getInfo.php?workbook=08_06.xlsx&amp;sheet=A0&amp;row=273&amp;col=14&amp;number=16090000&amp;sourceID=7","16090000")</f>
        <v>16090000</v>
      </c>
      <c r="O273" s="4" t="str">
        <f>HYPERLINK("http://141.218.60.56/~jnz1568/getInfo.php?workbook=08_06.xlsx&amp;sheet=A0&amp;row=273&amp;col=15&amp;number=&amp;sourceID=5","")</f>
        <v/>
      </c>
      <c r="P273" s="4" t="str">
        <f>HYPERLINK("http://141.218.60.56/~jnz1568/getInfo.php?workbook=08_06.xlsx&amp;sheet=A0&amp;row=273&amp;col=16&amp;number=&amp;sourceID=5","")</f>
        <v/>
      </c>
      <c r="Q273" s="4" t="str">
        <f>HYPERLINK("http://141.218.60.56/~jnz1568/getInfo.php?workbook=08_06.xlsx&amp;sheet=A0&amp;row=273&amp;col=17&amp;number=&amp;sourceID=6","")</f>
        <v/>
      </c>
    </row>
    <row r="274" spans="1:17">
      <c r="A274" s="3">
        <v>8</v>
      </c>
      <c r="B274" s="3">
        <v>6</v>
      </c>
      <c r="C274" s="3">
        <v>34</v>
      </c>
      <c r="D274" s="3">
        <v>26</v>
      </c>
      <c r="E274" s="3">
        <f>((1/(INDEX(E0!J$4:J$49,C274,1)-INDEX(E0!J$4:J$49,D274,1))))*100000000</f>
        <v>0</v>
      </c>
      <c r="F274" s="4" t="str">
        <f>HYPERLINK("http://141.218.60.56/~jnz1568/getInfo.php?workbook=08_06.xlsx&amp;sheet=A0&amp;row=274&amp;col=6&amp;number=462850&amp;sourceID=3","462850")</f>
        <v>462850</v>
      </c>
      <c r="G274" s="4" t="str">
        <f>HYPERLINK("http://141.218.60.56/~jnz1568/getInfo.php?workbook=08_06.xlsx&amp;sheet=A0&amp;row=274&amp;col=7&amp;number=&amp;sourceID=3","")</f>
        <v/>
      </c>
      <c r="H274" s="4" t="str">
        <f>HYPERLINK("http://141.218.60.56/~jnz1568/getInfo.php?workbook=08_06.xlsx&amp;sheet=A0&amp;row=274&amp;col=8&amp;number=&amp;sourceID=3","")</f>
        <v/>
      </c>
      <c r="I274" s="4" t="str">
        <f>HYPERLINK("http://141.218.60.56/~jnz1568/getInfo.php?workbook=08_06.xlsx&amp;sheet=A0&amp;row=274&amp;col=9&amp;number=&amp;sourceID=3","")</f>
        <v/>
      </c>
      <c r="J274" s="4" t="str">
        <f>HYPERLINK("http://141.218.60.56/~jnz1568/getInfo.php?workbook=08_06.xlsx&amp;sheet=A0&amp;row=274&amp;col=10&amp;number=445690&amp;sourceID=3","445690")</f>
        <v>445690</v>
      </c>
      <c r="K274" s="4" t="str">
        <f>HYPERLINK("http://141.218.60.56/~jnz1568/getInfo.php?workbook=08_06.xlsx&amp;sheet=A0&amp;row=274&amp;col=11&amp;number=&amp;sourceID=3","")</f>
        <v/>
      </c>
      <c r="L274" s="4" t="str">
        <f>HYPERLINK("http://141.218.60.56/~jnz1568/getInfo.php?workbook=08_06.xlsx&amp;sheet=A0&amp;row=274&amp;col=12&amp;number=&amp;sourceID=3","")</f>
        <v/>
      </c>
      <c r="M274" s="4" t="str">
        <f>HYPERLINK("http://141.218.60.56/~jnz1568/getInfo.php?workbook=08_06.xlsx&amp;sheet=A0&amp;row=274&amp;col=13&amp;number=&amp;sourceID=3","")</f>
        <v/>
      </c>
      <c r="N274" s="4" t="str">
        <f>HYPERLINK("http://141.218.60.56/~jnz1568/getInfo.php?workbook=08_06.xlsx&amp;sheet=A0&amp;row=274&amp;col=14&amp;number=389700&amp;sourceID=7","389700")</f>
        <v>389700</v>
      </c>
      <c r="O274" s="4" t="str">
        <f>HYPERLINK("http://141.218.60.56/~jnz1568/getInfo.php?workbook=08_06.xlsx&amp;sheet=A0&amp;row=274&amp;col=15&amp;number=&amp;sourceID=5","")</f>
        <v/>
      </c>
      <c r="P274" s="4" t="str">
        <f>HYPERLINK("http://141.218.60.56/~jnz1568/getInfo.php?workbook=08_06.xlsx&amp;sheet=A0&amp;row=274&amp;col=16&amp;number=&amp;sourceID=5","")</f>
        <v/>
      </c>
      <c r="Q274" s="4" t="str">
        <f>HYPERLINK("http://141.218.60.56/~jnz1568/getInfo.php?workbook=08_06.xlsx&amp;sheet=A0&amp;row=274&amp;col=17&amp;number=&amp;sourceID=6","")</f>
        <v/>
      </c>
    </row>
    <row r="275" spans="1:17">
      <c r="A275" s="3">
        <v>8</v>
      </c>
      <c r="B275" s="3">
        <v>6</v>
      </c>
      <c r="C275" s="3">
        <v>34</v>
      </c>
      <c r="D275" s="3">
        <v>27</v>
      </c>
      <c r="E275" s="3">
        <f>((1/(INDEX(E0!J$4:J$49,C275,1)-INDEX(E0!J$4:J$49,D275,1))))*100000000</f>
        <v>0</v>
      </c>
      <c r="F275" s="4" t="str">
        <f>HYPERLINK("http://141.218.60.56/~jnz1568/getInfo.php?workbook=08_06.xlsx&amp;sheet=A0&amp;row=275&amp;col=6&amp;number=613.17&amp;sourceID=3","613.17")</f>
        <v>613.17</v>
      </c>
      <c r="G275" s="4" t="str">
        <f>HYPERLINK("http://141.218.60.56/~jnz1568/getInfo.php?workbook=08_06.xlsx&amp;sheet=A0&amp;row=275&amp;col=7&amp;number=&amp;sourceID=3","")</f>
        <v/>
      </c>
      <c r="H275" s="4" t="str">
        <f>HYPERLINK("http://141.218.60.56/~jnz1568/getInfo.php?workbook=08_06.xlsx&amp;sheet=A0&amp;row=275&amp;col=8&amp;number=&amp;sourceID=3","")</f>
        <v/>
      </c>
      <c r="I275" s="4" t="str">
        <f>HYPERLINK("http://141.218.60.56/~jnz1568/getInfo.php?workbook=08_06.xlsx&amp;sheet=A0&amp;row=275&amp;col=9&amp;number=&amp;sourceID=3","")</f>
        <v/>
      </c>
      <c r="J275" s="4" t="str">
        <f>HYPERLINK("http://141.218.60.56/~jnz1568/getInfo.php?workbook=08_06.xlsx&amp;sheet=A0&amp;row=275&amp;col=10&amp;number=682.57&amp;sourceID=3","682.57")</f>
        <v>682.57</v>
      </c>
      <c r="K275" s="4" t="str">
        <f>HYPERLINK("http://141.218.60.56/~jnz1568/getInfo.php?workbook=08_06.xlsx&amp;sheet=A0&amp;row=275&amp;col=11&amp;number=&amp;sourceID=3","")</f>
        <v/>
      </c>
      <c r="L275" s="4" t="str">
        <f>HYPERLINK("http://141.218.60.56/~jnz1568/getInfo.php?workbook=08_06.xlsx&amp;sheet=A0&amp;row=275&amp;col=12&amp;number=&amp;sourceID=3","")</f>
        <v/>
      </c>
      <c r="M275" s="4" t="str">
        <f>HYPERLINK("http://141.218.60.56/~jnz1568/getInfo.php?workbook=08_06.xlsx&amp;sheet=A0&amp;row=275&amp;col=13&amp;number=&amp;sourceID=3","")</f>
        <v/>
      </c>
      <c r="N275" s="4" t="str">
        <f>HYPERLINK("http://141.218.60.56/~jnz1568/getInfo.php?workbook=08_06.xlsx&amp;sheet=A0&amp;row=275&amp;col=14&amp;number=44.57&amp;sourceID=7","44.57")</f>
        <v>44.57</v>
      </c>
      <c r="O275" s="4" t="str">
        <f>HYPERLINK("http://141.218.60.56/~jnz1568/getInfo.php?workbook=08_06.xlsx&amp;sheet=A0&amp;row=275&amp;col=15&amp;number=&amp;sourceID=5","")</f>
        <v/>
      </c>
      <c r="P275" s="4" t="str">
        <f>HYPERLINK("http://141.218.60.56/~jnz1568/getInfo.php?workbook=08_06.xlsx&amp;sheet=A0&amp;row=275&amp;col=16&amp;number=&amp;sourceID=5","")</f>
        <v/>
      </c>
      <c r="Q275" s="4" t="str">
        <f>HYPERLINK("http://141.218.60.56/~jnz1568/getInfo.php?workbook=08_06.xlsx&amp;sheet=A0&amp;row=275&amp;col=17&amp;number=&amp;sourceID=6","")</f>
        <v/>
      </c>
    </row>
    <row r="276" spans="1:17">
      <c r="A276" s="3">
        <v>8</v>
      </c>
      <c r="B276" s="3">
        <v>6</v>
      </c>
      <c r="C276" s="3">
        <v>34</v>
      </c>
      <c r="D276" s="3">
        <v>28</v>
      </c>
      <c r="E276" s="3">
        <f>((1/(INDEX(E0!J$4:J$49,C276,1)-INDEX(E0!J$4:J$49,D276,1))))*100000000</f>
        <v>0</v>
      </c>
      <c r="F276" s="4" t="str">
        <f>HYPERLINK("http://141.218.60.56/~jnz1568/getInfo.php?workbook=08_06.xlsx&amp;sheet=A0&amp;row=276&amp;col=6&amp;number=215.51&amp;sourceID=3","215.51")</f>
        <v>215.51</v>
      </c>
      <c r="G276" s="4" t="str">
        <f>HYPERLINK("http://141.218.60.56/~jnz1568/getInfo.php?workbook=08_06.xlsx&amp;sheet=A0&amp;row=276&amp;col=7&amp;number=&amp;sourceID=3","")</f>
        <v/>
      </c>
      <c r="H276" s="4" t="str">
        <f>HYPERLINK("http://141.218.60.56/~jnz1568/getInfo.php?workbook=08_06.xlsx&amp;sheet=A0&amp;row=276&amp;col=8&amp;number=&amp;sourceID=3","")</f>
        <v/>
      </c>
      <c r="I276" s="4" t="str">
        <f>HYPERLINK("http://141.218.60.56/~jnz1568/getInfo.php?workbook=08_06.xlsx&amp;sheet=A0&amp;row=276&amp;col=9&amp;number=&amp;sourceID=3","")</f>
        <v/>
      </c>
      <c r="J276" s="4" t="str">
        <f>HYPERLINK("http://141.218.60.56/~jnz1568/getInfo.php?workbook=08_06.xlsx&amp;sheet=A0&amp;row=276&amp;col=10&amp;number=2069.8&amp;sourceID=3","2069.8")</f>
        <v>2069.8</v>
      </c>
      <c r="K276" s="4" t="str">
        <f>HYPERLINK("http://141.218.60.56/~jnz1568/getInfo.php?workbook=08_06.xlsx&amp;sheet=A0&amp;row=276&amp;col=11&amp;number=&amp;sourceID=3","")</f>
        <v/>
      </c>
      <c r="L276" s="4" t="str">
        <f>HYPERLINK("http://141.218.60.56/~jnz1568/getInfo.php?workbook=08_06.xlsx&amp;sheet=A0&amp;row=276&amp;col=12&amp;number=&amp;sourceID=3","")</f>
        <v/>
      </c>
      <c r="M276" s="4" t="str">
        <f>HYPERLINK("http://141.218.60.56/~jnz1568/getInfo.php?workbook=08_06.xlsx&amp;sheet=A0&amp;row=276&amp;col=13&amp;number=&amp;sourceID=3","")</f>
        <v/>
      </c>
      <c r="N276" s="4" t="str">
        <f>HYPERLINK("http://141.218.60.56/~jnz1568/getInfo.php?workbook=08_06.xlsx&amp;sheet=A0&amp;row=276&amp;col=14&amp;number=2169&amp;sourceID=7","2169")</f>
        <v>2169</v>
      </c>
      <c r="O276" s="4" t="str">
        <f>HYPERLINK("http://141.218.60.56/~jnz1568/getInfo.php?workbook=08_06.xlsx&amp;sheet=A0&amp;row=276&amp;col=15&amp;number=&amp;sourceID=5","")</f>
        <v/>
      </c>
      <c r="P276" s="4" t="str">
        <f>HYPERLINK("http://141.218.60.56/~jnz1568/getInfo.php?workbook=08_06.xlsx&amp;sheet=A0&amp;row=276&amp;col=16&amp;number=&amp;sourceID=5","")</f>
        <v/>
      </c>
      <c r="Q276" s="4" t="str">
        <f>HYPERLINK("http://141.218.60.56/~jnz1568/getInfo.php?workbook=08_06.xlsx&amp;sheet=A0&amp;row=276&amp;col=17&amp;number=&amp;sourceID=6","")</f>
        <v/>
      </c>
    </row>
    <row r="277" spans="1:17">
      <c r="A277" s="3">
        <v>8</v>
      </c>
      <c r="B277" s="3">
        <v>6</v>
      </c>
      <c r="C277" s="3">
        <v>34</v>
      </c>
      <c r="D277" s="3">
        <v>30</v>
      </c>
      <c r="E277" s="3">
        <f>((1/(INDEX(E0!J$4:J$49,C277,1)-INDEX(E0!J$4:J$49,D277,1))))*100000000</f>
        <v>0</v>
      </c>
      <c r="F277" s="4" t="str">
        <f>HYPERLINK("http://141.218.60.56/~jnz1568/getInfo.php?workbook=08_06.xlsx&amp;sheet=A0&amp;row=277&amp;col=6&amp;number=4862&amp;sourceID=3","4862")</f>
        <v>4862</v>
      </c>
      <c r="G277" s="4" t="str">
        <f>HYPERLINK("http://141.218.60.56/~jnz1568/getInfo.php?workbook=08_06.xlsx&amp;sheet=A0&amp;row=277&amp;col=7&amp;number=&amp;sourceID=3","")</f>
        <v/>
      </c>
      <c r="H277" s="4" t="str">
        <f>HYPERLINK("http://141.218.60.56/~jnz1568/getInfo.php?workbook=08_06.xlsx&amp;sheet=A0&amp;row=277&amp;col=8&amp;number=&amp;sourceID=3","")</f>
        <v/>
      </c>
      <c r="I277" s="4" t="str">
        <f>HYPERLINK("http://141.218.60.56/~jnz1568/getInfo.php?workbook=08_06.xlsx&amp;sheet=A0&amp;row=277&amp;col=9&amp;number=&amp;sourceID=3","")</f>
        <v/>
      </c>
      <c r="J277" s="4" t="str">
        <f>HYPERLINK("http://141.218.60.56/~jnz1568/getInfo.php?workbook=08_06.xlsx&amp;sheet=A0&amp;row=277&amp;col=10&amp;number=4557.8&amp;sourceID=3","4557.8")</f>
        <v>4557.8</v>
      </c>
      <c r="K277" s="4" t="str">
        <f>HYPERLINK("http://141.218.60.56/~jnz1568/getInfo.php?workbook=08_06.xlsx&amp;sheet=A0&amp;row=277&amp;col=11&amp;number=&amp;sourceID=3","")</f>
        <v/>
      </c>
      <c r="L277" s="4" t="str">
        <f>HYPERLINK("http://141.218.60.56/~jnz1568/getInfo.php?workbook=08_06.xlsx&amp;sheet=A0&amp;row=277&amp;col=12&amp;number=&amp;sourceID=3","")</f>
        <v/>
      </c>
      <c r="M277" s="4" t="str">
        <f>HYPERLINK("http://141.218.60.56/~jnz1568/getInfo.php?workbook=08_06.xlsx&amp;sheet=A0&amp;row=277&amp;col=13&amp;number=&amp;sourceID=3","")</f>
        <v/>
      </c>
      <c r="N277" s="4" t="str">
        <f>HYPERLINK("http://141.218.60.56/~jnz1568/getInfo.php?workbook=08_06.xlsx&amp;sheet=A0&amp;row=277&amp;col=14&amp;number=1273&amp;sourceID=7","1273")</f>
        <v>1273</v>
      </c>
      <c r="O277" s="4" t="str">
        <f>HYPERLINK("http://141.218.60.56/~jnz1568/getInfo.php?workbook=08_06.xlsx&amp;sheet=A0&amp;row=277&amp;col=15&amp;number=&amp;sourceID=5","")</f>
        <v/>
      </c>
      <c r="P277" s="4" t="str">
        <f>HYPERLINK("http://141.218.60.56/~jnz1568/getInfo.php?workbook=08_06.xlsx&amp;sheet=A0&amp;row=277&amp;col=16&amp;number=&amp;sourceID=5","")</f>
        <v/>
      </c>
      <c r="Q277" s="4" t="str">
        <f>HYPERLINK("http://141.218.60.56/~jnz1568/getInfo.php?workbook=08_06.xlsx&amp;sheet=A0&amp;row=277&amp;col=17&amp;number=&amp;sourceID=6","")</f>
        <v/>
      </c>
    </row>
    <row r="278" spans="1:17">
      <c r="A278" s="3">
        <v>8</v>
      </c>
      <c r="B278" s="3">
        <v>6</v>
      </c>
      <c r="C278" s="3">
        <v>34</v>
      </c>
      <c r="D278" s="3">
        <v>31</v>
      </c>
      <c r="E278" s="3">
        <f>((1/(INDEX(E0!J$4:J$49,C278,1)-INDEX(E0!J$4:J$49,D278,1))))*100000000</f>
        <v>0</v>
      </c>
      <c r="F278" s="4" t="str">
        <f>HYPERLINK("http://141.218.60.56/~jnz1568/getInfo.php?workbook=08_06.xlsx&amp;sheet=A0&amp;row=278&amp;col=6&amp;number=20602&amp;sourceID=3","20602")</f>
        <v>20602</v>
      </c>
      <c r="G278" s="4" t="str">
        <f>HYPERLINK("http://141.218.60.56/~jnz1568/getInfo.php?workbook=08_06.xlsx&amp;sheet=A0&amp;row=278&amp;col=7&amp;number=&amp;sourceID=3","")</f>
        <v/>
      </c>
      <c r="H278" s="4" t="str">
        <f>HYPERLINK("http://141.218.60.56/~jnz1568/getInfo.php?workbook=08_06.xlsx&amp;sheet=A0&amp;row=278&amp;col=8&amp;number=&amp;sourceID=3","")</f>
        <v/>
      </c>
      <c r="I278" s="4" t="str">
        <f>HYPERLINK("http://141.218.60.56/~jnz1568/getInfo.php?workbook=08_06.xlsx&amp;sheet=A0&amp;row=278&amp;col=9&amp;number=&amp;sourceID=3","")</f>
        <v/>
      </c>
      <c r="J278" s="4" t="str">
        <f>HYPERLINK("http://141.218.60.56/~jnz1568/getInfo.php?workbook=08_06.xlsx&amp;sheet=A0&amp;row=278&amp;col=10&amp;number=21221&amp;sourceID=3","21221")</f>
        <v>21221</v>
      </c>
      <c r="K278" s="4" t="str">
        <f>HYPERLINK("http://141.218.60.56/~jnz1568/getInfo.php?workbook=08_06.xlsx&amp;sheet=A0&amp;row=278&amp;col=11&amp;number=&amp;sourceID=3","")</f>
        <v/>
      </c>
      <c r="L278" s="4" t="str">
        <f>HYPERLINK("http://141.218.60.56/~jnz1568/getInfo.php?workbook=08_06.xlsx&amp;sheet=A0&amp;row=278&amp;col=12&amp;number=&amp;sourceID=3","")</f>
        <v/>
      </c>
      <c r="M278" s="4" t="str">
        <f>HYPERLINK("http://141.218.60.56/~jnz1568/getInfo.php?workbook=08_06.xlsx&amp;sheet=A0&amp;row=278&amp;col=13&amp;number=&amp;sourceID=3","")</f>
        <v/>
      </c>
      <c r="N278" s="4" t="str">
        <f>HYPERLINK("http://141.218.60.56/~jnz1568/getInfo.php?workbook=08_06.xlsx&amp;sheet=A0&amp;row=278&amp;col=14&amp;number=4480&amp;sourceID=7","4480")</f>
        <v>4480</v>
      </c>
      <c r="O278" s="4" t="str">
        <f>HYPERLINK("http://141.218.60.56/~jnz1568/getInfo.php?workbook=08_06.xlsx&amp;sheet=A0&amp;row=278&amp;col=15&amp;number=&amp;sourceID=5","")</f>
        <v/>
      </c>
      <c r="P278" s="4" t="str">
        <f>HYPERLINK("http://141.218.60.56/~jnz1568/getInfo.php?workbook=08_06.xlsx&amp;sheet=A0&amp;row=278&amp;col=16&amp;number=&amp;sourceID=5","")</f>
        <v/>
      </c>
      <c r="Q278" s="4" t="str">
        <f>HYPERLINK("http://141.218.60.56/~jnz1568/getInfo.php?workbook=08_06.xlsx&amp;sheet=A0&amp;row=278&amp;col=17&amp;number=&amp;sourceID=6","")</f>
        <v/>
      </c>
    </row>
    <row r="279" spans="1:17">
      <c r="A279" s="3">
        <v>8</v>
      </c>
      <c r="B279" s="3">
        <v>6</v>
      </c>
      <c r="C279" s="3">
        <v>34</v>
      </c>
      <c r="D279" s="3">
        <v>32</v>
      </c>
      <c r="E279" s="3">
        <f>((1/(INDEX(E0!J$4:J$49,C279,1)-INDEX(E0!J$4:J$49,D279,1))))*100000000</f>
        <v>0</v>
      </c>
      <c r="F279" s="4" t="str">
        <f>HYPERLINK("http://141.218.60.56/~jnz1568/getInfo.php?workbook=08_06.xlsx&amp;sheet=A0&amp;row=279&amp;col=6&amp;number=2834400&amp;sourceID=3","2834400")</f>
        <v>2834400</v>
      </c>
      <c r="G279" s="4" t="str">
        <f>HYPERLINK("http://141.218.60.56/~jnz1568/getInfo.php?workbook=08_06.xlsx&amp;sheet=A0&amp;row=279&amp;col=7&amp;number=&amp;sourceID=3","")</f>
        <v/>
      </c>
      <c r="H279" s="4" t="str">
        <f>HYPERLINK("http://141.218.60.56/~jnz1568/getInfo.php?workbook=08_06.xlsx&amp;sheet=A0&amp;row=279&amp;col=8&amp;number=&amp;sourceID=3","")</f>
        <v/>
      </c>
      <c r="I279" s="4" t="str">
        <f>HYPERLINK("http://141.218.60.56/~jnz1568/getInfo.php?workbook=08_06.xlsx&amp;sheet=A0&amp;row=279&amp;col=9&amp;number=&amp;sourceID=3","")</f>
        <v/>
      </c>
      <c r="J279" s="4" t="str">
        <f>HYPERLINK("http://141.218.60.56/~jnz1568/getInfo.php?workbook=08_06.xlsx&amp;sheet=A0&amp;row=279&amp;col=10&amp;number=2980800&amp;sourceID=3","2980800")</f>
        <v>2980800</v>
      </c>
      <c r="K279" s="4" t="str">
        <f>HYPERLINK("http://141.218.60.56/~jnz1568/getInfo.php?workbook=08_06.xlsx&amp;sheet=A0&amp;row=279&amp;col=11&amp;number=&amp;sourceID=3","")</f>
        <v/>
      </c>
      <c r="L279" s="4" t="str">
        <f>HYPERLINK("http://141.218.60.56/~jnz1568/getInfo.php?workbook=08_06.xlsx&amp;sheet=A0&amp;row=279&amp;col=12&amp;number=&amp;sourceID=3","")</f>
        <v/>
      </c>
      <c r="M279" s="4" t="str">
        <f>HYPERLINK("http://141.218.60.56/~jnz1568/getInfo.php?workbook=08_06.xlsx&amp;sheet=A0&amp;row=279&amp;col=13&amp;number=&amp;sourceID=3","")</f>
        <v/>
      </c>
      <c r="N279" s="4" t="str">
        <f>HYPERLINK("http://141.218.60.56/~jnz1568/getInfo.php?workbook=08_06.xlsx&amp;sheet=A0&amp;row=279&amp;col=14&amp;number=644300&amp;sourceID=7","644300")</f>
        <v>644300</v>
      </c>
      <c r="O279" s="4" t="str">
        <f>HYPERLINK("http://141.218.60.56/~jnz1568/getInfo.php?workbook=08_06.xlsx&amp;sheet=A0&amp;row=279&amp;col=15&amp;number=&amp;sourceID=5","")</f>
        <v/>
      </c>
      <c r="P279" s="4" t="str">
        <f>HYPERLINK("http://141.218.60.56/~jnz1568/getInfo.php?workbook=08_06.xlsx&amp;sheet=A0&amp;row=279&amp;col=16&amp;number=&amp;sourceID=5","")</f>
        <v/>
      </c>
      <c r="Q279" s="4" t="str">
        <f>HYPERLINK("http://141.218.60.56/~jnz1568/getInfo.php?workbook=08_06.xlsx&amp;sheet=A0&amp;row=279&amp;col=17&amp;number=&amp;sourceID=6","")</f>
        <v/>
      </c>
    </row>
    <row r="280" spans="1:17">
      <c r="A280" s="3">
        <v>8</v>
      </c>
      <c r="B280" s="3">
        <v>6</v>
      </c>
      <c r="C280" s="3">
        <v>35</v>
      </c>
      <c r="D280" s="3">
        <v>3</v>
      </c>
      <c r="E280" s="3">
        <f>((1/(INDEX(E0!J$4:J$49,C280,1)-INDEX(E0!J$4:J$49,D280,1))))*100000000</f>
        <v>0</v>
      </c>
      <c r="F280" s="4" t="str">
        <f>HYPERLINK("http://141.218.60.56/~jnz1568/getInfo.php?workbook=08_06.xlsx&amp;sheet=A0&amp;row=280&amp;col=6&amp;number=40766000&amp;sourceID=3","40766000")</f>
        <v>40766000</v>
      </c>
      <c r="G280" s="4" t="str">
        <f>HYPERLINK("http://141.218.60.56/~jnz1568/getInfo.php?workbook=08_06.xlsx&amp;sheet=A0&amp;row=280&amp;col=7&amp;number=&amp;sourceID=3","")</f>
        <v/>
      </c>
      <c r="H280" s="4" t="str">
        <f>HYPERLINK("http://141.218.60.56/~jnz1568/getInfo.php?workbook=08_06.xlsx&amp;sheet=A0&amp;row=280&amp;col=8&amp;number=&amp;sourceID=3","")</f>
        <v/>
      </c>
      <c r="I280" s="4" t="str">
        <f>HYPERLINK("http://141.218.60.56/~jnz1568/getInfo.php?workbook=08_06.xlsx&amp;sheet=A0&amp;row=280&amp;col=9&amp;number=&amp;sourceID=3","")</f>
        <v/>
      </c>
      <c r="J280" s="4" t="str">
        <f>HYPERLINK("http://141.218.60.56/~jnz1568/getInfo.php?workbook=08_06.xlsx&amp;sheet=A0&amp;row=280&amp;col=10&amp;number=41820000&amp;sourceID=3","41820000")</f>
        <v>41820000</v>
      </c>
      <c r="K280" s="4" t="str">
        <f>HYPERLINK("http://141.218.60.56/~jnz1568/getInfo.php?workbook=08_06.xlsx&amp;sheet=A0&amp;row=280&amp;col=11&amp;number=&amp;sourceID=3","")</f>
        <v/>
      </c>
      <c r="L280" s="4" t="str">
        <f>HYPERLINK("http://141.218.60.56/~jnz1568/getInfo.php?workbook=08_06.xlsx&amp;sheet=A0&amp;row=280&amp;col=12&amp;number=&amp;sourceID=3","")</f>
        <v/>
      </c>
      <c r="M280" s="4" t="str">
        <f>HYPERLINK("http://141.218.60.56/~jnz1568/getInfo.php?workbook=08_06.xlsx&amp;sheet=A0&amp;row=280&amp;col=13&amp;number=&amp;sourceID=3","")</f>
        <v/>
      </c>
      <c r="N280" s="4" t="str">
        <f>HYPERLINK("http://141.218.60.56/~jnz1568/getInfo.php?workbook=08_06.xlsx&amp;sheet=A0&amp;row=280&amp;col=14&amp;number=17090000&amp;sourceID=7","17090000")</f>
        <v>17090000</v>
      </c>
      <c r="O280" s="4" t="str">
        <f>HYPERLINK("http://141.218.60.56/~jnz1568/getInfo.php?workbook=08_06.xlsx&amp;sheet=A0&amp;row=280&amp;col=15&amp;number=&amp;sourceID=5","")</f>
        <v/>
      </c>
      <c r="P280" s="4" t="str">
        <f>HYPERLINK("http://141.218.60.56/~jnz1568/getInfo.php?workbook=08_06.xlsx&amp;sheet=A0&amp;row=280&amp;col=16&amp;number=&amp;sourceID=5","")</f>
        <v/>
      </c>
      <c r="Q280" s="4" t="str">
        <f>HYPERLINK("http://141.218.60.56/~jnz1568/getInfo.php?workbook=08_06.xlsx&amp;sheet=A0&amp;row=280&amp;col=17&amp;number=&amp;sourceID=6","")</f>
        <v/>
      </c>
    </row>
    <row r="281" spans="1:17">
      <c r="A281" s="3">
        <v>8</v>
      </c>
      <c r="B281" s="3">
        <v>6</v>
      </c>
      <c r="C281" s="3">
        <v>35</v>
      </c>
      <c r="D281" s="3">
        <v>4</v>
      </c>
      <c r="E281" s="3">
        <f>((1/(INDEX(E0!J$4:J$49,C281,1)-INDEX(E0!J$4:J$49,D281,1))))*100000000</f>
        <v>0</v>
      </c>
      <c r="F281" s="4" t="str">
        <f>HYPERLINK("http://141.218.60.56/~jnz1568/getInfo.php?workbook=08_06.xlsx&amp;sheet=A0&amp;row=281&amp;col=6&amp;number=8133500&amp;sourceID=3","8133500")</f>
        <v>8133500</v>
      </c>
      <c r="G281" s="4" t="str">
        <f>HYPERLINK("http://141.218.60.56/~jnz1568/getInfo.php?workbook=08_06.xlsx&amp;sheet=A0&amp;row=281&amp;col=7&amp;number=&amp;sourceID=3","")</f>
        <v/>
      </c>
      <c r="H281" s="4" t="str">
        <f>HYPERLINK("http://141.218.60.56/~jnz1568/getInfo.php?workbook=08_06.xlsx&amp;sheet=A0&amp;row=281&amp;col=8&amp;number=&amp;sourceID=3","")</f>
        <v/>
      </c>
      <c r="I281" s="4" t="str">
        <f>HYPERLINK("http://141.218.60.56/~jnz1568/getInfo.php?workbook=08_06.xlsx&amp;sheet=A0&amp;row=281&amp;col=9&amp;number=&amp;sourceID=3","")</f>
        <v/>
      </c>
      <c r="J281" s="4" t="str">
        <f>HYPERLINK("http://141.218.60.56/~jnz1568/getInfo.php?workbook=08_06.xlsx&amp;sheet=A0&amp;row=281&amp;col=10&amp;number=7711500&amp;sourceID=3","7711500")</f>
        <v>7711500</v>
      </c>
      <c r="K281" s="4" t="str">
        <f>HYPERLINK("http://141.218.60.56/~jnz1568/getInfo.php?workbook=08_06.xlsx&amp;sheet=A0&amp;row=281&amp;col=11&amp;number=&amp;sourceID=3","")</f>
        <v/>
      </c>
      <c r="L281" s="4" t="str">
        <f>HYPERLINK("http://141.218.60.56/~jnz1568/getInfo.php?workbook=08_06.xlsx&amp;sheet=A0&amp;row=281&amp;col=12&amp;number=&amp;sourceID=3","")</f>
        <v/>
      </c>
      <c r="M281" s="4" t="str">
        <f>HYPERLINK("http://141.218.60.56/~jnz1568/getInfo.php?workbook=08_06.xlsx&amp;sheet=A0&amp;row=281&amp;col=13&amp;number=&amp;sourceID=3","")</f>
        <v/>
      </c>
      <c r="N281" s="4" t="str">
        <f>HYPERLINK("http://141.218.60.56/~jnz1568/getInfo.php?workbook=08_06.xlsx&amp;sheet=A0&amp;row=281&amp;col=14&amp;number=3081000&amp;sourceID=7","3081000")</f>
        <v>3081000</v>
      </c>
      <c r="O281" s="4" t="str">
        <f>HYPERLINK("http://141.218.60.56/~jnz1568/getInfo.php?workbook=08_06.xlsx&amp;sheet=A0&amp;row=281&amp;col=15&amp;number=&amp;sourceID=5","")</f>
        <v/>
      </c>
      <c r="P281" s="4" t="str">
        <f>HYPERLINK("http://141.218.60.56/~jnz1568/getInfo.php?workbook=08_06.xlsx&amp;sheet=A0&amp;row=281&amp;col=16&amp;number=&amp;sourceID=5","")</f>
        <v/>
      </c>
      <c r="Q281" s="4" t="str">
        <f>HYPERLINK("http://141.218.60.56/~jnz1568/getInfo.php?workbook=08_06.xlsx&amp;sheet=A0&amp;row=281&amp;col=17&amp;number=&amp;sourceID=6","")</f>
        <v/>
      </c>
    </row>
    <row r="282" spans="1:17">
      <c r="A282" s="3">
        <v>8</v>
      </c>
      <c r="B282" s="3">
        <v>6</v>
      </c>
      <c r="C282" s="3">
        <v>35</v>
      </c>
      <c r="D282" s="3">
        <v>20</v>
      </c>
      <c r="E282" s="3">
        <f>((1/(INDEX(E0!J$4:J$49,C282,1)-INDEX(E0!J$4:J$49,D282,1))))*100000000</f>
        <v>0</v>
      </c>
      <c r="F282" s="4" t="str">
        <f>HYPERLINK("http://141.218.60.56/~jnz1568/getInfo.php?workbook=08_06.xlsx&amp;sheet=A0&amp;row=282&amp;col=6&amp;number=2382.3&amp;sourceID=3","2382.3")</f>
        <v>2382.3</v>
      </c>
      <c r="G282" s="4" t="str">
        <f>HYPERLINK("http://141.218.60.56/~jnz1568/getInfo.php?workbook=08_06.xlsx&amp;sheet=A0&amp;row=282&amp;col=7&amp;number=&amp;sourceID=3","")</f>
        <v/>
      </c>
      <c r="H282" s="4" t="str">
        <f>HYPERLINK("http://141.218.60.56/~jnz1568/getInfo.php?workbook=08_06.xlsx&amp;sheet=A0&amp;row=282&amp;col=8&amp;number=&amp;sourceID=3","")</f>
        <v/>
      </c>
      <c r="I282" s="4" t="str">
        <f>HYPERLINK("http://141.218.60.56/~jnz1568/getInfo.php?workbook=08_06.xlsx&amp;sheet=A0&amp;row=282&amp;col=9&amp;number=&amp;sourceID=3","")</f>
        <v/>
      </c>
      <c r="J282" s="4" t="str">
        <f>HYPERLINK("http://141.218.60.56/~jnz1568/getInfo.php?workbook=08_06.xlsx&amp;sheet=A0&amp;row=282&amp;col=10&amp;number=3166.8&amp;sourceID=3","3166.8")</f>
        <v>3166.8</v>
      </c>
      <c r="K282" s="4" t="str">
        <f>HYPERLINK("http://141.218.60.56/~jnz1568/getInfo.php?workbook=08_06.xlsx&amp;sheet=A0&amp;row=282&amp;col=11&amp;number=&amp;sourceID=3","")</f>
        <v/>
      </c>
      <c r="L282" s="4" t="str">
        <f>HYPERLINK("http://141.218.60.56/~jnz1568/getInfo.php?workbook=08_06.xlsx&amp;sheet=A0&amp;row=282&amp;col=12&amp;number=&amp;sourceID=3","")</f>
        <v/>
      </c>
      <c r="M282" s="4" t="str">
        <f>HYPERLINK("http://141.218.60.56/~jnz1568/getInfo.php?workbook=08_06.xlsx&amp;sheet=A0&amp;row=282&amp;col=13&amp;number=&amp;sourceID=3","")</f>
        <v/>
      </c>
      <c r="N282" s="4" t="str">
        <f>HYPERLINK("http://141.218.60.56/~jnz1568/getInfo.php?workbook=08_06.xlsx&amp;sheet=A0&amp;row=282&amp;col=14&amp;number=2629&amp;sourceID=7","2629")</f>
        <v>2629</v>
      </c>
      <c r="O282" s="4" t="str">
        <f>HYPERLINK("http://141.218.60.56/~jnz1568/getInfo.php?workbook=08_06.xlsx&amp;sheet=A0&amp;row=282&amp;col=15&amp;number=&amp;sourceID=5","")</f>
        <v/>
      </c>
      <c r="P282" s="4" t="str">
        <f>HYPERLINK("http://141.218.60.56/~jnz1568/getInfo.php?workbook=08_06.xlsx&amp;sheet=A0&amp;row=282&amp;col=16&amp;number=&amp;sourceID=5","")</f>
        <v/>
      </c>
      <c r="Q282" s="4" t="str">
        <f>HYPERLINK("http://141.218.60.56/~jnz1568/getInfo.php?workbook=08_06.xlsx&amp;sheet=A0&amp;row=282&amp;col=17&amp;number=&amp;sourceID=6","")</f>
        <v/>
      </c>
    </row>
    <row r="283" spans="1:17">
      <c r="A283" s="3">
        <v>8</v>
      </c>
      <c r="B283" s="3">
        <v>6</v>
      </c>
      <c r="C283" s="3">
        <v>35</v>
      </c>
      <c r="D283" s="3">
        <v>25</v>
      </c>
      <c r="E283" s="3">
        <f>((1/(INDEX(E0!J$4:J$49,C283,1)-INDEX(E0!J$4:J$49,D283,1))))*100000000</f>
        <v>0</v>
      </c>
      <c r="F283" s="4" t="str">
        <f>HYPERLINK("http://141.218.60.56/~jnz1568/getInfo.php?workbook=08_06.xlsx&amp;sheet=A0&amp;row=283&amp;col=6&amp;number=176480000&amp;sourceID=3","176480000")</f>
        <v>176480000</v>
      </c>
      <c r="G283" s="4" t="str">
        <f>HYPERLINK("http://141.218.60.56/~jnz1568/getInfo.php?workbook=08_06.xlsx&amp;sheet=A0&amp;row=283&amp;col=7&amp;number=&amp;sourceID=3","")</f>
        <v/>
      </c>
      <c r="H283" s="4" t="str">
        <f>HYPERLINK("http://141.218.60.56/~jnz1568/getInfo.php?workbook=08_06.xlsx&amp;sheet=A0&amp;row=283&amp;col=8&amp;number=&amp;sourceID=3","")</f>
        <v/>
      </c>
      <c r="I283" s="4" t="str">
        <f>HYPERLINK("http://141.218.60.56/~jnz1568/getInfo.php?workbook=08_06.xlsx&amp;sheet=A0&amp;row=283&amp;col=9&amp;number=&amp;sourceID=3","")</f>
        <v/>
      </c>
      <c r="J283" s="4" t="str">
        <f>HYPERLINK("http://141.218.60.56/~jnz1568/getInfo.php?workbook=08_06.xlsx&amp;sheet=A0&amp;row=283&amp;col=10&amp;number=175580000&amp;sourceID=3","175580000")</f>
        <v>175580000</v>
      </c>
      <c r="K283" s="4" t="str">
        <f>HYPERLINK("http://141.218.60.56/~jnz1568/getInfo.php?workbook=08_06.xlsx&amp;sheet=A0&amp;row=283&amp;col=11&amp;number=&amp;sourceID=3","")</f>
        <v/>
      </c>
      <c r="L283" s="4" t="str">
        <f>HYPERLINK("http://141.218.60.56/~jnz1568/getInfo.php?workbook=08_06.xlsx&amp;sheet=A0&amp;row=283&amp;col=12&amp;number=&amp;sourceID=3","")</f>
        <v/>
      </c>
      <c r="M283" s="4" t="str">
        <f>HYPERLINK("http://141.218.60.56/~jnz1568/getInfo.php?workbook=08_06.xlsx&amp;sheet=A0&amp;row=283&amp;col=13&amp;number=&amp;sourceID=3","")</f>
        <v/>
      </c>
      <c r="N283" s="4" t="str">
        <f>HYPERLINK("http://141.218.60.56/~jnz1568/getInfo.php?workbook=08_06.xlsx&amp;sheet=A0&amp;row=283&amp;col=14&amp;number=121700000&amp;sourceID=7","121700000")</f>
        <v>121700000</v>
      </c>
      <c r="O283" s="4" t="str">
        <f>HYPERLINK("http://141.218.60.56/~jnz1568/getInfo.php?workbook=08_06.xlsx&amp;sheet=A0&amp;row=283&amp;col=15&amp;number=&amp;sourceID=5","")</f>
        <v/>
      </c>
      <c r="P283" s="4" t="str">
        <f>HYPERLINK("http://141.218.60.56/~jnz1568/getInfo.php?workbook=08_06.xlsx&amp;sheet=A0&amp;row=283&amp;col=16&amp;number=&amp;sourceID=5","")</f>
        <v/>
      </c>
      <c r="Q283" s="4" t="str">
        <f>HYPERLINK("http://141.218.60.56/~jnz1568/getInfo.php?workbook=08_06.xlsx&amp;sheet=A0&amp;row=283&amp;col=17&amp;number=&amp;sourceID=6","")</f>
        <v/>
      </c>
    </row>
    <row r="284" spans="1:17">
      <c r="A284" s="3">
        <v>8</v>
      </c>
      <c r="B284" s="3">
        <v>6</v>
      </c>
      <c r="C284" s="3">
        <v>35</v>
      </c>
      <c r="D284" s="3">
        <v>26</v>
      </c>
      <c r="E284" s="3">
        <f>((1/(INDEX(E0!J$4:J$49,C284,1)-INDEX(E0!J$4:J$49,D284,1))))*100000000</f>
        <v>0</v>
      </c>
      <c r="F284" s="4" t="str">
        <f>HYPERLINK("http://141.218.60.56/~jnz1568/getInfo.php?workbook=08_06.xlsx&amp;sheet=A0&amp;row=284&amp;col=6&amp;number=18594000&amp;sourceID=3","18594000")</f>
        <v>18594000</v>
      </c>
      <c r="G284" s="4" t="str">
        <f>HYPERLINK("http://141.218.60.56/~jnz1568/getInfo.php?workbook=08_06.xlsx&amp;sheet=A0&amp;row=284&amp;col=7&amp;number=&amp;sourceID=3","")</f>
        <v/>
      </c>
      <c r="H284" s="4" t="str">
        <f>HYPERLINK("http://141.218.60.56/~jnz1568/getInfo.php?workbook=08_06.xlsx&amp;sheet=A0&amp;row=284&amp;col=8&amp;number=&amp;sourceID=3","")</f>
        <v/>
      </c>
      <c r="I284" s="4" t="str">
        <f>HYPERLINK("http://141.218.60.56/~jnz1568/getInfo.php?workbook=08_06.xlsx&amp;sheet=A0&amp;row=284&amp;col=9&amp;number=&amp;sourceID=3","")</f>
        <v/>
      </c>
      <c r="J284" s="4" t="str">
        <f>HYPERLINK("http://141.218.60.56/~jnz1568/getInfo.php?workbook=08_06.xlsx&amp;sheet=A0&amp;row=284&amp;col=10&amp;number=18440000&amp;sourceID=3","18440000")</f>
        <v>18440000</v>
      </c>
      <c r="K284" s="4" t="str">
        <f>HYPERLINK("http://141.218.60.56/~jnz1568/getInfo.php?workbook=08_06.xlsx&amp;sheet=A0&amp;row=284&amp;col=11&amp;number=&amp;sourceID=3","")</f>
        <v/>
      </c>
      <c r="L284" s="4" t="str">
        <f>HYPERLINK("http://141.218.60.56/~jnz1568/getInfo.php?workbook=08_06.xlsx&amp;sheet=A0&amp;row=284&amp;col=12&amp;number=&amp;sourceID=3","")</f>
        <v/>
      </c>
      <c r="M284" s="4" t="str">
        <f>HYPERLINK("http://141.218.60.56/~jnz1568/getInfo.php?workbook=08_06.xlsx&amp;sheet=A0&amp;row=284&amp;col=13&amp;number=&amp;sourceID=3","")</f>
        <v/>
      </c>
      <c r="N284" s="4" t="str">
        <f>HYPERLINK("http://141.218.60.56/~jnz1568/getInfo.php?workbook=08_06.xlsx&amp;sheet=A0&amp;row=284&amp;col=14&amp;number=13660000&amp;sourceID=7","13660000")</f>
        <v>13660000</v>
      </c>
      <c r="O284" s="4" t="str">
        <f>HYPERLINK("http://141.218.60.56/~jnz1568/getInfo.php?workbook=08_06.xlsx&amp;sheet=A0&amp;row=284&amp;col=15&amp;number=&amp;sourceID=5","")</f>
        <v/>
      </c>
      <c r="P284" s="4" t="str">
        <f>HYPERLINK("http://141.218.60.56/~jnz1568/getInfo.php?workbook=08_06.xlsx&amp;sheet=A0&amp;row=284&amp;col=16&amp;number=&amp;sourceID=5","")</f>
        <v/>
      </c>
      <c r="Q284" s="4" t="str">
        <f>HYPERLINK("http://141.218.60.56/~jnz1568/getInfo.php?workbook=08_06.xlsx&amp;sheet=A0&amp;row=284&amp;col=17&amp;number=&amp;sourceID=6","")</f>
        <v/>
      </c>
    </row>
    <row r="285" spans="1:17">
      <c r="A285" s="3">
        <v>8</v>
      </c>
      <c r="B285" s="3">
        <v>6</v>
      </c>
      <c r="C285" s="3">
        <v>35</v>
      </c>
      <c r="D285" s="3">
        <v>28</v>
      </c>
      <c r="E285" s="3">
        <f>((1/(INDEX(E0!J$4:J$49,C285,1)-INDEX(E0!J$4:J$49,D285,1))))*100000000</f>
        <v>0</v>
      </c>
      <c r="F285" s="4" t="str">
        <f>HYPERLINK("http://141.218.60.56/~jnz1568/getInfo.php?workbook=08_06.xlsx&amp;sheet=A0&amp;row=285&amp;col=6&amp;number=54.37&amp;sourceID=3","54.37")</f>
        <v>54.37</v>
      </c>
      <c r="G285" s="4" t="str">
        <f>HYPERLINK("http://141.218.60.56/~jnz1568/getInfo.php?workbook=08_06.xlsx&amp;sheet=A0&amp;row=285&amp;col=7&amp;number=&amp;sourceID=3","")</f>
        <v/>
      </c>
      <c r="H285" s="4" t="str">
        <f>HYPERLINK("http://141.218.60.56/~jnz1568/getInfo.php?workbook=08_06.xlsx&amp;sheet=A0&amp;row=285&amp;col=8&amp;number=&amp;sourceID=3","")</f>
        <v/>
      </c>
      <c r="I285" s="4" t="str">
        <f>HYPERLINK("http://141.218.60.56/~jnz1568/getInfo.php?workbook=08_06.xlsx&amp;sheet=A0&amp;row=285&amp;col=9&amp;number=&amp;sourceID=3","")</f>
        <v/>
      </c>
      <c r="J285" s="4" t="str">
        <f>HYPERLINK("http://141.218.60.56/~jnz1568/getInfo.php?workbook=08_06.xlsx&amp;sheet=A0&amp;row=285&amp;col=10&amp;number=2.0786&amp;sourceID=3","2.0786")</f>
        <v>2.0786</v>
      </c>
      <c r="K285" s="4" t="str">
        <f>HYPERLINK("http://141.218.60.56/~jnz1568/getInfo.php?workbook=08_06.xlsx&amp;sheet=A0&amp;row=285&amp;col=11&amp;number=&amp;sourceID=3","")</f>
        <v/>
      </c>
      <c r="L285" s="4" t="str">
        <f>HYPERLINK("http://141.218.60.56/~jnz1568/getInfo.php?workbook=08_06.xlsx&amp;sheet=A0&amp;row=285&amp;col=12&amp;number=&amp;sourceID=3","")</f>
        <v/>
      </c>
      <c r="M285" s="4" t="str">
        <f>HYPERLINK("http://141.218.60.56/~jnz1568/getInfo.php?workbook=08_06.xlsx&amp;sheet=A0&amp;row=285&amp;col=13&amp;number=&amp;sourceID=3","")</f>
        <v/>
      </c>
      <c r="N285" s="4" t="str">
        <f>HYPERLINK("http://141.218.60.56/~jnz1568/getInfo.php?workbook=08_06.xlsx&amp;sheet=A0&amp;row=285&amp;col=14&amp;number=0.9763&amp;sourceID=7","0.9763")</f>
        <v>0.9763</v>
      </c>
      <c r="O285" s="4" t="str">
        <f>HYPERLINK("http://141.218.60.56/~jnz1568/getInfo.php?workbook=08_06.xlsx&amp;sheet=A0&amp;row=285&amp;col=15&amp;number=&amp;sourceID=5","")</f>
        <v/>
      </c>
      <c r="P285" s="4" t="str">
        <f>HYPERLINK("http://141.218.60.56/~jnz1568/getInfo.php?workbook=08_06.xlsx&amp;sheet=A0&amp;row=285&amp;col=16&amp;number=&amp;sourceID=5","")</f>
        <v/>
      </c>
      <c r="Q285" s="4" t="str">
        <f>HYPERLINK("http://141.218.60.56/~jnz1568/getInfo.php?workbook=08_06.xlsx&amp;sheet=A0&amp;row=285&amp;col=17&amp;number=&amp;sourceID=6","")</f>
        <v/>
      </c>
    </row>
    <row r="286" spans="1:17">
      <c r="A286" s="3">
        <v>8</v>
      </c>
      <c r="B286" s="3">
        <v>6</v>
      </c>
      <c r="C286" s="3">
        <v>35</v>
      </c>
      <c r="D286" s="3">
        <v>31</v>
      </c>
      <c r="E286" s="3">
        <f>((1/(INDEX(E0!J$4:J$49,C286,1)-INDEX(E0!J$4:J$49,D286,1))))*100000000</f>
        <v>0</v>
      </c>
      <c r="F286" s="4" t="str">
        <f>HYPERLINK("http://141.218.60.56/~jnz1568/getInfo.php?workbook=08_06.xlsx&amp;sheet=A0&amp;row=286&amp;col=6&amp;number=63406&amp;sourceID=3","63406")</f>
        <v>63406</v>
      </c>
      <c r="G286" s="4" t="str">
        <f>HYPERLINK("http://141.218.60.56/~jnz1568/getInfo.php?workbook=08_06.xlsx&amp;sheet=A0&amp;row=286&amp;col=7&amp;number=&amp;sourceID=3","")</f>
        <v/>
      </c>
      <c r="H286" s="4" t="str">
        <f>HYPERLINK("http://141.218.60.56/~jnz1568/getInfo.php?workbook=08_06.xlsx&amp;sheet=A0&amp;row=286&amp;col=8&amp;number=&amp;sourceID=3","")</f>
        <v/>
      </c>
      <c r="I286" s="4" t="str">
        <f>HYPERLINK("http://141.218.60.56/~jnz1568/getInfo.php?workbook=08_06.xlsx&amp;sheet=A0&amp;row=286&amp;col=9&amp;number=&amp;sourceID=3","")</f>
        <v/>
      </c>
      <c r="J286" s="4" t="str">
        <f>HYPERLINK("http://141.218.60.56/~jnz1568/getInfo.php?workbook=08_06.xlsx&amp;sheet=A0&amp;row=286&amp;col=10&amp;number=66871&amp;sourceID=3","66871")</f>
        <v>66871</v>
      </c>
      <c r="K286" s="4" t="str">
        <f>HYPERLINK("http://141.218.60.56/~jnz1568/getInfo.php?workbook=08_06.xlsx&amp;sheet=A0&amp;row=286&amp;col=11&amp;number=&amp;sourceID=3","")</f>
        <v/>
      </c>
      <c r="L286" s="4" t="str">
        <f>HYPERLINK("http://141.218.60.56/~jnz1568/getInfo.php?workbook=08_06.xlsx&amp;sheet=A0&amp;row=286&amp;col=12&amp;number=&amp;sourceID=3","")</f>
        <v/>
      </c>
      <c r="M286" s="4" t="str">
        <f>HYPERLINK("http://141.218.60.56/~jnz1568/getInfo.php?workbook=08_06.xlsx&amp;sheet=A0&amp;row=286&amp;col=13&amp;number=&amp;sourceID=3","")</f>
        <v/>
      </c>
      <c r="N286" s="4" t="str">
        <f>HYPERLINK("http://141.218.60.56/~jnz1568/getInfo.php?workbook=08_06.xlsx&amp;sheet=A0&amp;row=286&amp;col=14&amp;number=10580&amp;sourceID=7","10580")</f>
        <v>10580</v>
      </c>
      <c r="O286" s="4" t="str">
        <f>HYPERLINK("http://141.218.60.56/~jnz1568/getInfo.php?workbook=08_06.xlsx&amp;sheet=A0&amp;row=286&amp;col=15&amp;number=&amp;sourceID=5","")</f>
        <v/>
      </c>
      <c r="P286" s="4" t="str">
        <f>HYPERLINK("http://141.218.60.56/~jnz1568/getInfo.php?workbook=08_06.xlsx&amp;sheet=A0&amp;row=286&amp;col=16&amp;number=&amp;sourceID=5","")</f>
        <v/>
      </c>
      <c r="Q286" s="4" t="str">
        <f>HYPERLINK("http://141.218.60.56/~jnz1568/getInfo.php?workbook=08_06.xlsx&amp;sheet=A0&amp;row=286&amp;col=17&amp;number=&amp;sourceID=6","")</f>
        <v/>
      </c>
    </row>
    <row r="287" spans="1:17">
      <c r="A287" s="3">
        <v>8</v>
      </c>
      <c r="B287" s="3">
        <v>6</v>
      </c>
      <c r="C287" s="3">
        <v>35</v>
      </c>
      <c r="D287" s="3">
        <v>32</v>
      </c>
      <c r="E287" s="3">
        <f>((1/(INDEX(E0!J$4:J$49,C287,1)-INDEX(E0!J$4:J$49,D287,1))))*100000000</f>
        <v>0</v>
      </c>
      <c r="F287" s="4" t="str">
        <f>HYPERLINK("http://141.218.60.56/~jnz1568/getInfo.php?workbook=08_06.xlsx&amp;sheet=A0&amp;row=287&amp;col=6&amp;number=5957.7&amp;sourceID=3","5957.7")</f>
        <v>5957.7</v>
      </c>
      <c r="G287" s="4" t="str">
        <f>HYPERLINK("http://141.218.60.56/~jnz1568/getInfo.php?workbook=08_06.xlsx&amp;sheet=A0&amp;row=287&amp;col=7&amp;number=&amp;sourceID=3","")</f>
        <v/>
      </c>
      <c r="H287" s="4" t="str">
        <f>HYPERLINK("http://141.218.60.56/~jnz1568/getInfo.php?workbook=08_06.xlsx&amp;sheet=A0&amp;row=287&amp;col=8&amp;number=&amp;sourceID=3","")</f>
        <v/>
      </c>
      <c r="I287" s="4" t="str">
        <f>HYPERLINK("http://141.218.60.56/~jnz1568/getInfo.php?workbook=08_06.xlsx&amp;sheet=A0&amp;row=287&amp;col=9&amp;number=&amp;sourceID=3","")</f>
        <v/>
      </c>
      <c r="J287" s="4" t="str">
        <f>HYPERLINK("http://141.218.60.56/~jnz1568/getInfo.php?workbook=08_06.xlsx&amp;sheet=A0&amp;row=287&amp;col=10&amp;number=5971&amp;sourceID=3","5971")</f>
        <v>5971</v>
      </c>
      <c r="K287" s="4" t="str">
        <f>HYPERLINK("http://141.218.60.56/~jnz1568/getInfo.php?workbook=08_06.xlsx&amp;sheet=A0&amp;row=287&amp;col=11&amp;number=&amp;sourceID=3","")</f>
        <v/>
      </c>
      <c r="L287" s="4" t="str">
        <f>HYPERLINK("http://141.218.60.56/~jnz1568/getInfo.php?workbook=08_06.xlsx&amp;sheet=A0&amp;row=287&amp;col=12&amp;number=&amp;sourceID=3","")</f>
        <v/>
      </c>
      <c r="M287" s="4" t="str">
        <f>HYPERLINK("http://141.218.60.56/~jnz1568/getInfo.php?workbook=08_06.xlsx&amp;sheet=A0&amp;row=287&amp;col=13&amp;number=&amp;sourceID=3","")</f>
        <v/>
      </c>
      <c r="N287" s="4" t="str">
        <f>HYPERLINK("http://141.218.60.56/~jnz1568/getInfo.php?workbook=08_06.xlsx&amp;sheet=A0&amp;row=287&amp;col=14&amp;number=388.5&amp;sourceID=7","388.5")</f>
        <v>388.5</v>
      </c>
      <c r="O287" s="4" t="str">
        <f>HYPERLINK("http://141.218.60.56/~jnz1568/getInfo.php?workbook=08_06.xlsx&amp;sheet=A0&amp;row=287&amp;col=15&amp;number=&amp;sourceID=5","")</f>
        <v/>
      </c>
      <c r="P287" s="4" t="str">
        <f>HYPERLINK("http://141.218.60.56/~jnz1568/getInfo.php?workbook=08_06.xlsx&amp;sheet=A0&amp;row=287&amp;col=16&amp;number=&amp;sourceID=5","")</f>
        <v/>
      </c>
      <c r="Q287" s="4" t="str">
        <f>HYPERLINK("http://141.218.60.56/~jnz1568/getInfo.php?workbook=08_06.xlsx&amp;sheet=A0&amp;row=287&amp;col=17&amp;number=&amp;sourceID=6","")</f>
        <v/>
      </c>
    </row>
    <row r="288" spans="1:17">
      <c r="A288" s="3">
        <v>8</v>
      </c>
      <c r="B288" s="3">
        <v>6</v>
      </c>
      <c r="C288" s="3">
        <v>36</v>
      </c>
      <c r="D288" s="3">
        <v>26</v>
      </c>
      <c r="E288" s="3">
        <f>((1/(INDEX(E0!J$4:J$49,C288,1)-INDEX(E0!J$4:J$49,D288,1))))*100000000</f>
        <v>0</v>
      </c>
      <c r="F288" s="4" t="str">
        <f>HYPERLINK("http://141.218.60.56/~jnz1568/getInfo.php?workbook=08_06.xlsx&amp;sheet=A0&amp;row=288&amp;col=6&amp;number=194840000&amp;sourceID=3","194840000")</f>
        <v>194840000</v>
      </c>
      <c r="G288" s="4" t="str">
        <f>HYPERLINK("http://141.218.60.56/~jnz1568/getInfo.php?workbook=08_06.xlsx&amp;sheet=A0&amp;row=288&amp;col=7&amp;number=&amp;sourceID=3","")</f>
        <v/>
      </c>
      <c r="H288" s="4" t="str">
        <f>HYPERLINK("http://141.218.60.56/~jnz1568/getInfo.php?workbook=08_06.xlsx&amp;sheet=A0&amp;row=288&amp;col=8&amp;number=&amp;sourceID=3","")</f>
        <v/>
      </c>
      <c r="I288" s="4" t="str">
        <f>HYPERLINK("http://141.218.60.56/~jnz1568/getInfo.php?workbook=08_06.xlsx&amp;sheet=A0&amp;row=288&amp;col=9&amp;number=&amp;sourceID=3","")</f>
        <v/>
      </c>
      <c r="J288" s="4" t="str">
        <f>HYPERLINK("http://141.218.60.56/~jnz1568/getInfo.php?workbook=08_06.xlsx&amp;sheet=A0&amp;row=288&amp;col=10&amp;number=193790000&amp;sourceID=3","193790000")</f>
        <v>193790000</v>
      </c>
      <c r="K288" s="4" t="str">
        <f>HYPERLINK("http://141.218.60.56/~jnz1568/getInfo.php?workbook=08_06.xlsx&amp;sheet=A0&amp;row=288&amp;col=11&amp;number=&amp;sourceID=3","")</f>
        <v/>
      </c>
      <c r="L288" s="4" t="str">
        <f>HYPERLINK("http://141.218.60.56/~jnz1568/getInfo.php?workbook=08_06.xlsx&amp;sheet=A0&amp;row=288&amp;col=12&amp;number=&amp;sourceID=3","")</f>
        <v/>
      </c>
      <c r="M288" s="4" t="str">
        <f>HYPERLINK("http://141.218.60.56/~jnz1568/getInfo.php?workbook=08_06.xlsx&amp;sheet=A0&amp;row=288&amp;col=13&amp;number=&amp;sourceID=3","")</f>
        <v/>
      </c>
      <c r="N288" s="4" t="str">
        <f>HYPERLINK("http://141.218.60.56/~jnz1568/getInfo.php?workbook=08_06.xlsx&amp;sheet=A0&amp;row=288&amp;col=14&amp;number=135100000&amp;sourceID=7","135100000")</f>
        <v>135100000</v>
      </c>
      <c r="O288" s="4" t="str">
        <f>HYPERLINK("http://141.218.60.56/~jnz1568/getInfo.php?workbook=08_06.xlsx&amp;sheet=A0&amp;row=288&amp;col=15&amp;number=&amp;sourceID=5","")</f>
        <v/>
      </c>
      <c r="P288" s="4" t="str">
        <f>HYPERLINK("http://141.218.60.56/~jnz1568/getInfo.php?workbook=08_06.xlsx&amp;sheet=A0&amp;row=288&amp;col=16&amp;number=&amp;sourceID=5","")</f>
        <v/>
      </c>
      <c r="Q288" s="4" t="str">
        <f>HYPERLINK("http://141.218.60.56/~jnz1568/getInfo.php?workbook=08_06.xlsx&amp;sheet=A0&amp;row=288&amp;col=17&amp;number=&amp;sourceID=6","")</f>
        <v/>
      </c>
    </row>
    <row r="289" spans="1:17">
      <c r="A289" s="3">
        <v>8</v>
      </c>
      <c r="B289" s="3">
        <v>6</v>
      </c>
      <c r="C289" s="3">
        <v>37</v>
      </c>
      <c r="D289" s="3">
        <v>2</v>
      </c>
      <c r="E289" s="3">
        <f>((1/(INDEX(E0!J$4:J$49,C289,1)-INDEX(E0!J$4:J$49,D289,1))))*100000000</f>
        <v>0</v>
      </c>
      <c r="F289" s="4" t="str">
        <f>HYPERLINK("http://141.218.60.56/~jnz1568/getInfo.php?workbook=08_06.xlsx&amp;sheet=A0&amp;row=289&amp;col=6&amp;number=34485000&amp;sourceID=3","34485000")</f>
        <v>34485000</v>
      </c>
      <c r="G289" s="4" t="str">
        <f>HYPERLINK("http://141.218.60.56/~jnz1568/getInfo.php?workbook=08_06.xlsx&amp;sheet=A0&amp;row=289&amp;col=7&amp;number=&amp;sourceID=3","")</f>
        <v/>
      </c>
      <c r="H289" s="4" t="str">
        <f>HYPERLINK("http://141.218.60.56/~jnz1568/getInfo.php?workbook=08_06.xlsx&amp;sheet=A0&amp;row=289&amp;col=8&amp;number=&amp;sourceID=3","")</f>
        <v/>
      </c>
      <c r="I289" s="4" t="str">
        <f>HYPERLINK("http://141.218.60.56/~jnz1568/getInfo.php?workbook=08_06.xlsx&amp;sheet=A0&amp;row=289&amp;col=9&amp;number=&amp;sourceID=3","")</f>
        <v/>
      </c>
      <c r="J289" s="4" t="str">
        <f>HYPERLINK("http://141.218.60.56/~jnz1568/getInfo.php?workbook=08_06.xlsx&amp;sheet=A0&amp;row=289&amp;col=10&amp;number=35497000&amp;sourceID=3","35497000")</f>
        <v>35497000</v>
      </c>
      <c r="K289" s="4" t="str">
        <f>HYPERLINK("http://141.218.60.56/~jnz1568/getInfo.php?workbook=08_06.xlsx&amp;sheet=A0&amp;row=289&amp;col=11&amp;number=&amp;sourceID=3","")</f>
        <v/>
      </c>
      <c r="L289" s="4" t="str">
        <f>HYPERLINK("http://141.218.60.56/~jnz1568/getInfo.php?workbook=08_06.xlsx&amp;sheet=A0&amp;row=289&amp;col=12&amp;number=&amp;sourceID=3","")</f>
        <v/>
      </c>
      <c r="M289" s="4" t="str">
        <f>HYPERLINK("http://141.218.60.56/~jnz1568/getInfo.php?workbook=08_06.xlsx&amp;sheet=A0&amp;row=289&amp;col=13&amp;number=&amp;sourceID=3","")</f>
        <v/>
      </c>
      <c r="N289" s="4" t="str">
        <f>HYPERLINK("http://141.218.60.56/~jnz1568/getInfo.php?workbook=08_06.xlsx&amp;sheet=A0&amp;row=289&amp;col=14&amp;number=13990000&amp;sourceID=7","13990000")</f>
        <v>13990000</v>
      </c>
      <c r="O289" s="4" t="str">
        <f>HYPERLINK("http://141.218.60.56/~jnz1568/getInfo.php?workbook=08_06.xlsx&amp;sheet=A0&amp;row=289&amp;col=15&amp;number=&amp;sourceID=5","")</f>
        <v/>
      </c>
      <c r="P289" s="4" t="str">
        <f>HYPERLINK("http://141.218.60.56/~jnz1568/getInfo.php?workbook=08_06.xlsx&amp;sheet=A0&amp;row=289&amp;col=16&amp;number=&amp;sourceID=5","")</f>
        <v/>
      </c>
      <c r="Q289" s="4" t="str">
        <f>HYPERLINK("http://141.218.60.56/~jnz1568/getInfo.php?workbook=08_06.xlsx&amp;sheet=A0&amp;row=289&amp;col=17&amp;number=&amp;sourceID=6","")</f>
        <v/>
      </c>
    </row>
    <row r="290" spans="1:17">
      <c r="A290" s="3">
        <v>8</v>
      </c>
      <c r="B290" s="3">
        <v>6</v>
      </c>
      <c r="C290" s="3">
        <v>37</v>
      </c>
      <c r="D290" s="3">
        <v>3</v>
      </c>
      <c r="E290" s="3">
        <f>((1/(INDEX(E0!J$4:J$49,C290,1)-INDEX(E0!J$4:J$49,D290,1))))*100000000</f>
        <v>0</v>
      </c>
      <c r="F290" s="4" t="str">
        <f>HYPERLINK("http://141.218.60.56/~jnz1568/getInfo.php?workbook=08_06.xlsx&amp;sheet=A0&amp;row=290&amp;col=6&amp;number=20682&amp;sourceID=3","20682")</f>
        <v>20682</v>
      </c>
      <c r="G290" s="4" t="str">
        <f>HYPERLINK("http://141.218.60.56/~jnz1568/getInfo.php?workbook=08_06.xlsx&amp;sheet=A0&amp;row=290&amp;col=7&amp;number=&amp;sourceID=3","")</f>
        <v/>
      </c>
      <c r="H290" s="4" t="str">
        <f>HYPERLINK("http://141.218.60.56/~jnz1568/getInfo.php?workbook=08_06.xlsx&amp;sheet=A0&amp;row=290&amp;col=8&amp;number=&amp;sourceID=3","")</f>
        <v/>
      </c>
      <c r="I290" s="4" t="str">
        <f>HYPERLINK("http://141.218.60.56/~jnz1568/getInfo.php?workbook=08_06.xlsx&amp;sheet=A0&amp;row=290&amp;col=9&amp;number=&amp;sourceID=3","")</f>
        <v/>
      </c>
      <c r="J290" s="4" t="str">
        <f>HYPERLINK("http://141.218.60.56/~jnz1568/getInfo.php?workbook=08_06.xlsx&amp;sheet=A0&amp;row=290&amp;col=10&amp;number=3069.3&amp;sourceID=3","3069.3")</f>
        <v>3069.3</v>
      </c>
      <c r="K290" s="4" t="str">
        <f>HYPERLINK("http://141.218.60.56/~jnz1568/getInfo.php?workbook=08_06.xlsx&amp;sheet=A0&amp;row=290&amp;col=11&amp;number=&amp;sourceID=3","")</f>
        <v/>
      </c>
      <c r="L290" s="4" t="str">
        <f>HYPERLINK("http://141.218.60.56/~jnz1568/getInfo.php?workbook=08_06.xlsx&amp;sheet=A0&amp;row=290&amp;col=12&amp;number=&amp;sourceID=3","")</f>
        <v/>
      </c>
      <c r="M290" s="4" t="str">
        <f>HYPERLINK("http://141.218.60.56/~jnz1568/getInfo.php?workbook=08_06.xlsx&amp;sheet=A0&amp;row=290&amp;col=13&amp;number=&amp;sourceID=3","")</f>
        <v/>
      </c>
      <c r="N290" s="4" t="str">
        <f>HYPERLINK("http://141.218.60.56/~jnz1568/getInfo.php?workbook=08_06.xlsx&amp;sheet=A0&amp;row=290&amp;col=14&amp;number=515900&amp;sourceID=7","515900")</f>
        <v>515900</v>
      </c>
      <c r="O290" s="4" t="str">
        <f>HYPERLINK("http://141.218.60.56/~jnz1568/getInfo.php?workbook=08_06.xlsx&amp;sheet=A0&amp;row=290&amp;col=15&amp;number=&amp;sourceID=5","")</f>
        <v/>
      </c>
      <c r="P290" s="4" t="str">
        <f>HYPERLINK("http://141.218.60.56/~jnz1568/getInfo.php?workbook=08_06.xlsx&amp;sheet=A0&amp;row=290&amp;col=16&amp;number=&amp;sourceID=5","")</f>
        <v/>
      </c>
      <c r="Q290" s="4" t="str">
        <f>HYPERLINK("http://141.218.60.56/~jnz1568/getInfo.php?workbook=08_06.xlsx&amp;sheet=A0&amp;row=290&amp;col=17&amp;number=&amp;sourceID=6","")</f>
        <v/>
      </c>
    </row>
    <row r="291" spans="1:17">
      <c r="A291" s="3">
        <v>8</v>
      </c>
      <c r="B291" s="3">
        <v>6</v>
      </c>
      <c r="C291" s="3">
        <v>37</v>
      </c>
      <c r="D291" s="3">
        <v>4</v>
      </c>
      <c r="E291" s="3">
        <f>((1/(INDEX(E0!J$4:J$49,C291,1)-INDEX(E0!J$4:J$49,D291,1))))*100000000</f>
        <v>0</v>
      </c>
      <c r="F291" s="4" t="str">
        <f>HYPERLINK("http://141.218.60.56/~jnz1568/getInfo.php?workbook=08_06.xlsx&amp;sheet=A0&amp;row=291&amp;col=6&amp;number=6916500000&amp;sourceID=3","6916500000")</f>
        <v>6916500000</v>
      </c>
      <c r="G291" s="4" t="str">
        <f>HYPERLINK("http://141.218.60.56/~jnz1568/getInfo.php?workbook=08_06.xlsx&amp;sheet=A0&amp;row=291&amp;col=7&amp;number=&amp;sourceID=3","")</f>
        <v/>
      </c>
      <c r="H291" s="4" t="str">
        <f>HYPERLINK("http://141.218.60.56/~jnz1568/getInfo.php?workbook=08_06.xlsx&amp;sheet=A0&amp;row=291&amp;col=8&amp;number=&amp;sourceID=3","")</f>
        <v/>
      </c>
      <c r="I291" s="4" t="str">
        <f>HYPERLINK("http://141.218.60.56/~jnz1568/getInfo.php?workbook=08_06.xlsx&amp;sheet=A0&amp;row=291&amp;col=9&amp;number=&amp;sourceID=3","")</f>
        <v/>
      </c>
      <c r="J291" s="4" t="str">
        <f>HYPERLINK("http://141.218.60.56/~jnz1568/getInfo.php?workbook=08_06.xlsx&amp;sheet=A0&amp;row=291&amp;col=10&amp;number=6777100000&amp;sourceID=3","6777100000")</f>
        <v>6777100000</v>
      </c>
      <c r="K291" s="4" t="str">
        <f>HYPERLINK("http://141.218.60.56/~jnz1568/getInfo.php?workbook=08_06.xlsx&amp;sheet=A0&amp;row=291&amp;col=11&amp;number=&amp;sourceID=3","")</f>
        <v/>
      </c>
      <c r="L291" s="4" t="str">
        <f>HYPERLINK("http://141.218.60.56/~jnz1568/getInfo.php?workbook=08_06.xlsx&amp;sheet=A0&amp;row=291&amp;col=12&amp;number=&amp;sourceID=3","")</f>
        <v/>
      </c>
      <c r="M291" s="4" t="str">
        <f>HYPERLINK("http://141.218.60.56/~jnz1568/getInfo.php?workbook=08_06.xlsx&amp;sheet=A0&amp;row=291&amp;col=13&amp;number=&amp;sourceID=3","")</f>
        <v/>
      </c>
      <c r="N291" s="4" t="str">
        <f>HYPERLINK("http://141.218.60.56/~jnz1568/getInfo.php?workbook=08_06.xlsx&amp;sheet=A0&amp;row=291&amp;col=14&amp;number=8532000000&amp;sourceID=7","8532000000")</f>
        <v>8532000000</v>
      </c>
      <c r="O291" s="4" t="str">
        <f>HYPERLINK("http://141.218.60.56/~jnz1568/getInfo.php?workbook=08_06.xlsx&amp;sheet=A0&amp;row=291&amp;col=15&amp;number=&amp;sourceID=5","")</f>
        <v/>
      </c>
      <c r="P291" s="4" t="str">
        <f>HYPERLINK("http://141.218.60.56/~jnz1568/getInfo.php?workbook=08_06.xlsx&amp;sheet=A0&amp;row=291&amp;col=16&amp;number=&amp;sourceID=5","")</f>
        <v/>
      </c>
      <c r="Q291" s="4" t="str">
        <f>HYPERLINK("http://141.218.60.56/~jnz1568/getInfo.php?workbook=08_06.xlsx&amp;sheet=A0&amp;row=291&amp;col=17&amp;number=&amp;sourceID=6","")</f>
        <v/>
      </c>
    </row>
    <row r="292" spans="1:17">
      <c r="A292" s="3">
        <v>8</v>
      </c>
      <c r="B292" s="3">
        <v>6</v>
      </c>
      <c r="C292" s="3">
        <v>37</v>
      </c>
      <c r="D292" s="3">
        <v>20</v>
      </c>
      <c r="E292" s="3">
        <f>((1/(INDEX(E0!J$4:J$49,C292,1)-INDEX(E0!J$4:J$49,D292,1))))*100000000</f>
        <v>0</v>
      </c>
      <c r="F292" s="4" t="str">
        <f>HYPERLINK("http://141.218.60.56/~jnz1568/getInfo.php?workbook=08_06.xlsx&amp;sheet=A0&amp;row=292&amp;col=6&amp;number=14.805&amp;sourceID=3","14.805")</f>
        <v>14.805</v>
      </c>
      <c r="G292" s="4" t="str">
        <f>HYPERLINK("http://141.218.60.56/~jnz1568/getInfo.php?workbook=08_06.xlsx&amp;sheet=A0&amp;row=292&amp;col=7&amp;number=&amp;sourceID=3","")</f>
        <v/>
      </c>
      <c r="H292" s="4" t="str">
        <f>HYPERLINK("http://141.218.60.56/~jnz1568/getInfo.php?workbook=08_06.xlsx&amp;sheet=A0&amp;row=292&amp;col=8&amp;number=&amp;sourceID=3","")</f>
        <v/>
      </c>
      <c r="I292" s="4" t="str">
        <f>HYPERLINK("http://141.218.60.56/~jnz1568/getInfo.php?workbook=08_06.xlsx&amp;sheet=A0&amp;row=292&amp;col=9&amp;number=&amp;sourceID=3","")</f>
        <v/>
      </c>
      <c r="J292" s="4" t="str">
        <f>HYPERLINK("http://141.218.60.56/~jnz1568/getInfo.php?workbook=08_06.xlsx&amp;sheet=A0&amp;row=292&amp;col=10&amp;number=26.149&amp;sourceID=3","26.149")</f>
        <v>26.149</v>
      </c>
      <c r="K292" s="4" t="str">
        <f>HYPERLINK("http://141.218.60.56/~jnz1568/getInfo.php?workbook=08_06.xlsx&amp;sheet=A0&amp;row=292&amp;col=11&amp;number=&amp;sourceID=3","")</f>
        <v/>
      </c>
      <c r="L292" s="4" t="str">
        <f>HYPERLINK("http://141.218.60.56/~jnz1568/getInfo.php?workbook=08_06.xlsx&amp;sheet=A0&amp;row=292&amp;col=12&amp;number=&amp;sourceID=3","")</f>
        <v/>
      </c>
      <c r="M292" s="4" t="str">
        <f>HYPERLINK("http://141.218.60.56/~jnz1568/getInfo.php?workbook=08_06.xlsx&amp;sheet=A0&amp;row=292&amp;col=13&amp;number=&amp;sourceID=3","")</f>
        <v/>
      </c>
      <c r="N292" s="4" t="str">
        <f>HYPERLINK("http://141.218.60.56/~jnz1568/getInfo.php?workbook=08_06.xlsx&amp;sheet=A0&amp;row=292&amp;col=14&amp;number=3.034&amp;sourceID=7","3.034")</f>
        <v>3.034</v>
      </c>
      <c r="O292" s="4" t="str">
        <f>HYPERLINK("http://141.218.60.56/~jnz1568/getInfo.php?workbook=08_06.xlsx&amp;sheet=A0&amp;row=292&amp;col=15&amp;number=&amp;sourceID=5","")</f>
        <v/>
      </c>
      <c r="P292" s="4" t="str">
        <f>HYPERLINK("http://141.218.60.56/~jnz1568/getInfo.php?workbook=08_06.xlsx&amp;sheet=A0&amp;row=292&amp;col=16&amp;number=&amp;sourceID=5","")</f>
        <v/>
      </c>
      <c r="Q292" s="4" t="str">
        <f>HYPERLINK("http://141.218.60.56/~jnz1568/getInfo.php?workbook=08_06.xlsx&amp;sheet=A0&amp;row=292&amp;col=17&amp;number=&amp;sourceID=6","")</f>
        <v/>
      </c>
    </row>
    <row r="293" spans="1:17">
      <c r="A293" s="3">
        <v>8</v>
      </c>
      <c r="B293" s="3">
        <v>6</v>
      </c>
      <c r="C293" s="3">
        <v>37</v>
      </c>
      <c r="D293" s="3">
        <v>21</v>
      </c>
      <c r="E293" s="3">
        <f>((1/(INDEX(E0!J$4:J$49,C293,1)-INDEX(E0!J$4:J$49,D293,1))))*100000000</f>
        <v>0</v>
      </c>
      <c r="F293" s="4" t="str">
        <f>HYPERLINK("http://141.218.60.56/~jnz1568/getInfo.php?workbook=08_06.xlsx&amp;sheet=A0&amp;row=293&amp;col=6&amp;number=2313&amp;sourceID=3","2313")</f>
        <v>2313</v>
      </c>
      <c r="G293" s="4" t="str">
        <f>HYPERLINK("http://141.218.60.56/~jnz1568/getInfo.php?workbook=08_06.xlsx&amp;sheet=A0&amp;row=293&amp;col=7&amp;number=&amp;sourceID=3","")</f>
        <v/>
      </c>
      <c r="H293" s="4" t="str">
        <f>HYPERLINK("http://141.218.60.56/~jnz1568/getInfo.php?workbook=08_06.xlsx&amp;sheet=A0&amp;row=293&amp;col=8&amp;number=&amp;sourceID=3","")</f>
        <v/>
      </c>
      <c r="I293" s="4" t="str">
        <f>HYPERLINK("http://141.218.60.56/~jnz1568/getInfo.php?workbook=08_06.xlsx&amp;sheet=A0&amp;row=293&amp;col=9&amp;number=&amp;sourceID=3","")</f>
        <v/>
      </c>
      <c r="J293" s="4" t="str">
        <f>HYPERLINK("http://141.218.60.56/~jnz1568/getInfo.php?workbook=08_06.xlsx&amp;sheet=A0&amp;row=293&amp;col=10&amp;number=3203&amp;sourceID=3","3203")</f>
        <v>3203</v>
      </c>
      <c r="K293" s="4" t="str">
        <f>HYPERLINK("http://141.218.60.56/~jnz1568/getInfo.php?workbook=08_06.xlsx&amp;sheet=A0&amp;row=293&amp;col=11&amp;number=&amp;sourceID=3","")</f>
        <v/>
      </c>
      <c r="L293" s="4" t="str">
        <f>HYPERLINK("http://141.218.60.56/~jnz1568/getInfo.php?workbook=08_06.xlsx&amp;sheet=A0&amp;row=293&amp;col=12&amp;number=&amp;sourceID=3","")</f>
        <v/>
      </c>
      <c r="M293" s="4" t="str">
        <f>HYPERLINK("http://141.218.60.56/~jnz1568/getInfo.php?workbook=08_06.xlsx&amp;sheet=A0&amp;row=293&amp;col=13&amp;number=&amp;sourceID=3","")</f>
        <v/>
      </c>
      <c r="N293" s="4" t="str">
        <f>HYPERLINK("http://141.218.60.56/~jnz1568/getInfo.php?workbook=08_06.xlsx&amp;sheet=A0&amp;row=293&amp;col=14&amp;number=7033&amp;sourceID=7","7033")</f>
        <v>7033</v>
      </c>
      <c r="O293" s="4" t="str">
        <f>HYPERLINK("http://141.218.60.56/~jnz1568/getInfo.php?workbook=08_06.xlsx&amp;sheet=A0&amp;row=293&amp;col=15&amp;number=&amp;sourceID=5","")</f>
        <v/>
      </c>
      <c r="P293" s="4" t="str">
        <f>HYPERLINK("http://141.218.60.56/~jnz1568/getInfo.php?workbook=08_06.xlsx&amp;sheet=A0&amp;row=293&amp;col=16&amp;number=&amp;sourceID=5","")</f>
        <v/>
      </c>
      <c r="Q293" s="4" t="str">
        <f>HYPERLINK("http://141.218.60.56/~jnz1568/getInfo.php?workbook=08_06.xlsx&amp;sheet=A0&amp;row=293&amp;col=17&amp;number=&amp;sourceID=6","")</f>
        <v/>
      </c>
    </row>
    <row r="294" spans="1:17">
      <c r="A294" s="3">
        <v>8</v>
      </c>
      <c r="B294" s="3">
        <v>6</v>
      </c>
      <c r="C294" s="3">
        <v>37</v>
      </c>
      <c r="D294" s="3">
        <v>23</v>
      </c>
      <c r="E294" s="3">
        <f>((1/(INDEX(E0!J$4:J$49,C294,1)-INDEX(E0!J$4:J$49,D294,1))))*100000000</f>
        <v>0</v>
      </c>
      <c r="F294" s="4" t="str">
        <f>HYPERLINK("http://141.218.60.56/~jnz1568/getInfo.php?workbook=08_06.xlsx&amp;sheet=A0&amp;row=294&amp;col=6&amp;number=127380000&amp;sourceID=3","127380000")</f>
        <v>127380000</v>
      </c>
      <c r="G294" s="4" t="str">
        <f>HYPERLINK("http://141.218.60.56/~jnz1568/getInfo.php?workbook=08_06.xlsx&amp;sheet=A0&amp;row=294&amp;col=7&amp;number=&amp;sourceID=3","")</f>
        <v/>
      </c>
      <c r="H294" s="4" t="str">
        <f>HYPERLINK("http://141.218.60.56/~jnz1568/getInfo.php?workbook=08_06.xlsx&amp;sheet=A0&amp;row=294&amp;col=8&amp;number=&amp;sourceID=3","")</f>
        <v/>
      </c>
      <c r="I294" s="4" t="str">
        <f>HYPERLINK("http://141.218.60.56/~jnz1568/getInfo.php?workbook=08_06.xlsx&amp;sheet=A0&amp;row=294&amp;col=9&amp;number=&amp;sourceID=3","")</f>
        <v/>
      </c>
      <c r="J294" s="4" t="str">
        <f>HYPERLINK("http://141.218.60.56/~jnz1568/getInfo.php?workbook=08_06.xlsx&amp;sheet=A0&amp;row=294&amp;col=10&amp;number=122920000&amp;sourceID=3","122920000")</f>
        <v>122920000</v>
      </c>
      <c r="K294" s="4" t="str">
        <f>HYPERLINK("http://141.218.60.56/~jnz1568/getInfo.php?workbook=08_06.xlsx&amp;sheet=A0&amp;row=294&amp;col=11&amp;number=&amp;sourceID=3","")</f>
        <v/>
      </c>
      <c r="L294" s="4" t="str">
        <f>HYPERLINK("http://141.218.60.56/~jnz1568/getInfo.php?workbook=08_06.xlsx&amp;sheet=A0&amp;row=294&amp;col=12&amp;number=&amp;sourceID=3","")</f>
        <v/>
      </c>
      <c r="M294" s="4" t="str">
        <f>HYPERLINK("http://141.218.60.56/~jnz1568/getInfo.php?workbook=08_06.xlsx&amp;sheet=A0&amp;row=294&amp;col=13&amp;number=&amp;sourceID=3","")</f>
        <v/>
      </c>
      <c r="N294" s="4" t="str">
        <f>HYPERLINK("http://141.218.60.56/~jnz1568/getInfo.php?workbook=08_06.xlsx&amp;sheet=A0&amp;row=294&amp;col=14&amp;number=107600000&amp;sourceID=7","107600000")</f>
        <v>107600000</v>
      </c>
      <c r="O294" s="4" t="str">
        <f>HYPERLINK("http://141.218.60.56/~jnz1568/getInfo.php?workbook=08_06.xlsx&amp;sheet=A0&amp;row=294&amp;col=15&amp;number=&amp;sourceID=5","")</f>
        <v/>
      </c>
      <c r="P294" s="4" t="str">
        <f>HYPERLINK("http://141.218.60.56/~jnz1568/getInfo.php?workbook=08_06.xlsx&amp;sheet=A0&amp;row=294&amp;col=16&amp;number=&amp;sourceID=5","")</f>
        <v/>
      </c>
      <c r="Q294" s="4" t="str">
        <f>HYPERLINK("http://141.218.60.56/~jnz1568/getInfo.php?workbook=08_06.xlsx&amp;sheet=A0&amp;row=294&amp;col=17&amp;number=&amp;sourceID=6","")</f>
        <v/>
      </c>
    </row>
    <row r="295" spans="1:17">
      <c r="A295" s="3">
        <v>8</v>
      </c>
      <c r="B295" s="3">
        <v>6</v>
      </c>
      <c r="C295" s="3">
        <v>37</v>
      </c>
      <c r="D295" s="3">
        <v>24</v>
      </c>
      <c r="E295" s="3">
        <f>((1/(INDEX(E0!J$4:J$49,C295,1)-INDEX(E0!J$4:J$49,D295,1))))*100000000</f>
        <v>0</v>
      </c>
      <c r="F295" s="4" t="str">
        <f>HYPERLINK("http://141.218.60.56/~jnz1568/getInfo.php?workbook=08_06.xlsx&amp;sheet=A0&amp;row=295&amp;col=6&amp;number=55375000&amp;sourceID=3","55375000")</f>
        <v>55375000</v>
      </c>
      <c r="G295" s="4" t="str">
        <f>HYPERLINK("http://141.218.60.56/~jnz1568/getInfo.php?workbook=08_06.xlsx&amp;sheet=A0&amp;row=295&amp;col=7&amp;number=&amp;sourceID=3","")</f>
        <v/>
      </c>
      <c r="H295" s="4" t="str">
        <f>HYPERLINK("http://141.218.60.56/~jnz1568/getInfo.php?workbook=08_06.xlsx&amp;sheet=A0&amp;row=295&amp;col=8&amp;number=&amp;sourceID=3","")</f>
        <v/>
      </c>
      <c r="I295" s="4" t="str">
        <f>HYPERLINK("http://141.218.60.56/~jnz1568/getInfo.php?workbook=08_06.xlsx&amp;sheet=A0&amp;row=295&amp;col=9&amp;number=&amp;sourceID=3","")</f>
        <v/>
      </c>
      <c r="J295" s="4" t="str">
        <f>HYPERLINK("http://141.218.60.56/~jnz1568/getInfo.php?workbook=08_06.xlsx&amp;sheet=A0&amp;row=295&amp;col=10&amp;number=58347000&amp;sourceID=3","58347000")</f>
        <v>58347000</v>
      </c>
      <c r="K295" s="4" t="str">
        <f>HYPERLINK("http://141.218.60.56/~jnz1568/getInfo.php?workbook=08_06.xlsx&amp;sheet=A0&amp;row=295&amp;col=11&amp;number=&amp;sourceID=3","")</f>
        <v/>
      </c>
      <c r="L295" s="4" t="str">
        <f>HYPERLINK("http://141.218.60.56/~jnz1568/getInfo.php?workbook=08_06.xlsx&amp;sheet=A0&amp;row=295&amp;col=12&amp;number=&amp;sourceID=3","")</f>
        <v/>
      </c>
      <c r="M295" s="4" t="str">
        <f>HYPERLINK("http://141.218.60.56/~jnz1568/getInfo.php?workbook=08_06.xlsx&amp;sheet=A0&amp;row=295&amp;col=13&amp;number=&amp;sourceID=3","")</f>
        <v/>
      </c>
      <c r="N295" s="4" t="str">
        <f>HYPERLINK("http://141.218.60.56/~jnz1568/getInfo.php?workbook=08_06.xlsx&amp;sheet=A0&amp;row=295&amp;col=14&amp;number=27990000&amp;sourceID=7","27990000")</f>
        <v>27990000</v>
      </c>
      <c r="O295" s="4" t="str">
        <f>HYPERLINK("http://141.218.60.56/~jnz1568/getInfo.php?workbook=08_06.xlsx&amp;sheet=A0&amp;row=295&amp;col=15&amp;number=&amp;sourceID=5","")</f>
        <v/>
      </c>
      <c r="P295" s="4" t="str">
        <f>HYPERLINK("http://141.218.60.56/~jnz1568/getInfo.php?workbook=08_06.xlsx&amp;sheet=A0&amp;row=295&amp;col=16&amp;number=&amp;sourceID=5","")</f>
        <v/>
      </c>
      <c r="Q295" s="4" t="str">
        <f>HYPERLINK("http://141.218.60.56/~jnz1568/getInfo.php?workbook=08_06.xlsx&amp;sheet=A0&amp;row=295&amp;col=17&amp;number=&amp;sourceID=6","")</f>
        <v/>
      </c>
    </row>
    <row r="296" spans="1:17">
      <c r="A296" s="3">
        <v>8</v>
      </c>
      <c r="B296" s="3">
        <v>6</v>
      </c>
      <c r="C296" s="3">
        <v>37</v>
      </c>
      <c r="D296" s="3">
        <v>25</v>
      </c>
      <c r="E296" s="3">
        <f>((1/(INDEX(E0!J$4:J$49,C296,1)-INDEX(E0!J$4:J$49,D296,1))))*100000000</f>
        <v>0</v>
      </c>
      <c r="F296" s="4" t="str">
        <f>HYPERLINK("http://141.218.60.56/~jnz1568/getInfo.php?workbook=08_06.xlsx&amp;sheet=A0&amp;row=296&amp;col=6&amp;number=6864400&amp;sourceID=3","6864400")</f>
        <v>6864400</v>
      </c>
      <c r="G296" s="4" t="str">
        <f>HYPERLINK("http://141.218.60.56/~jnz1568/getInfo.php?workbook=08_06.xlsx&amp;sheet=A0&amp;row=296&amp;col=7&amp;number=&amp;sourceID=3","")</f>
        <v/>
      </c>
      <c r="H296" s="4" t="str">
        <f>HYPERLINK("http://141.218.60.56/~jnz1568/getInfo.php?workbook=08_06.xlsx&amp;sheet=A0&amp;row=296&amp;col=8&amp;number=&amp;sourceID=3","")</f>
        <v/>
      </c>
      <c r="I296" s="4" t="str">
        <f>HYPERLINK("http://141.218.60.56/~jnz1568/getInfo.php?workbook=08_06.xlsx&amp;sheet=A0&amp;row=296&amp;col=9&amp;number=&amp;sourceID=3","")</f>
        <v/>
      </c>
      <c r="J296" s="4" t="str">
        <f>HYPERLINK("http://141.218.60.56/~jnz1568/getInfo.php?workbook=08_06.xlsx&amp;sheet=A0&amp;row=296&amp;col=10&amp;number=7296800&amp;sourceID=3","7296800")</f>
        <v>7296800</v>
      </c>
      <c r="K296" s="4" t="str">
        <f>HYPERLINK("http://141.218.60.56/~jnz1568/getInfo.php?workbook=08_06.xlsx&amp;sheet=A0&amp;row=296&amp;col=11&amp;number=&amp;sourceID=3","")</f>
        <v/>
      </c>
      <c r="L296" s="4" t="str">
        <f>HYPERLINK("http://141.218.60.56/~jnz1568/getInfo.php?workbook=08_06.xlsx&amp;sheet=A0&amp;row=296&amp;col=12&amp;number=&amp;sourceID=3","")</f>
        <v/>
      </c>
      <c r="M296" s="4" t="str">
        <f>HYPERLINK("http://141.218.60.56/~jnz1568/getInfo.php?workbook=08_06.xlsx&amp;sheet=A0&amp;row=296&amp;col=13&amp;number=&amp;sourceID=3","")</f>
        <v/>
      </c>
      <c r="N296" s="4" t="str">
        <f>HYPERLINK("http://141.218.60.56/~jnz1568/getInfo.php?workbook=08_06.xlsx&amp;sheet=A0&amp;row=296&amp;col=14&amp;number=3802000&amp;sourceID=7","3802000")</f>
        <v>3802000</v>
      </c>
      <c r="O296" s="4" t="str">
        <f>HYPERLINK("http://141.218.60.56/~jnz1568/getInfo.php?workbook=08_06.xlsx&amp;sheet=A0&amp;row=296&amp;col=15&amp;number=&amp;sourceID=5","")</f>
        <v/>
      </c>
      <c r="P296" s="4" t="str">
        <f>HYPERLINK("http://141.218.60.56/~jnz1568/getInfo.php?workbook=08_06.xlsx&amp;sheet=A0&amp;row=296&amp;col=16&amp;number=&amp;sourceID=5","")</f>
        <v/>
      </c>
      <c r="Q296" s="4" t="str">
        <f>HYPERLINK("http://141.218.60.56/~jnz1568/getInfo.php?workbook=08_06.xlsx&amp;sheet=A0&amp;row=296&amp;col=17&amp;number=&amp;sourceID=6","")</f>
        <v/>
      </c>
    </row>
    <row r="297" spans="1:17">
      <c r="A297" s="3">
        <v>8</v>
      </c>
      <c r="B297" s="3">
        <v>6</v>
      </c>
      <c r="C297" s="3">
        <v>37</v>
      </c>
      <c r="D297" s="3">
        <v>26</v>
      </c>
      <c r="E297" s="3">
        <f>((1/(INDEX(E0!J$4:J$49,C297,1)-INDEX(E0!J$4:J$49,D297,1))))*100000000</f>
        <v>0</v>
      </c>
      <c r="F297" s="4" t="str">
        <f>HYPERLINK("http://141.218.60.56/~jnz1568/getInfo.php?workbook=08_06.xlsx&amp;sheet=A0&amp;row=297&amp;col=6&amp;number=209940&amp;sourceID=3","209940")</f>
        <v>209940</v>
      </c>
      <c r="G297" s="4" t="str">
        <f>HYPERLINK("http://141.218.60.56/~jnz1568/getInfo.php?workbook=08_06.xlsx&amp;sheet=A0&amp;row=297&amp;col=7&amp;number=&amp;sourceID=3","")</f>
        <v/>
      </c>
      <c r="H297" s="4" t="str">
        <f>HYPERLINK("http://141.218.60.56/~jnz1568/getInfo.php?workbook=08_06.xlsx&amp;sheet=A0&amp;row=297&amp;col=8&amp;number=&amp;sourceID=3","")</f>
        <v/>
      </c>
      <c r="I297" s="4" t="str">
        <f>HYPERLINK("http://141.218.60.56/~jnz1568/getInfo.php?workbook=08_06.xlsx&amp;sheet=A0&amp;row=297&amp;col=9&amp;number=&amp;sourceID=3","")</f>
        <v/>
      </c>
      <c r="J297" s="4" t="str">
        <f>HYPERLINK("http://141.218.60.56/~jnz1568/getInfo.php?workbook=08_06.xlsx&amp;sheet=A0&amp;row=297&amp;col=10&amp;number=220160&amp;sourceID=3","220160")</f>
        <v>220160</v>
      </c>
      <c r="K297" s="4" t="str">
        <f>HYPERLINK("http://141.218.60.56/~jnz1568/getInfo.php?workbook=08_06.xlsx&amp;sheet=A0&amp;row=297&amp;col=11&amp;number=&amp;sourceID=3","")</f>
        <v/>
      </c>
      <c r="L297" s="4" t="str">
        <f>HYPERLINK("http://141.218.60.56/~jnz1568/getInfo.php?workbook=08_06.xlsx&amp;sheet=A0&amp;row=297&amp;col=12&amp;number=&amp;sourceID=3","")</f>
        <v/>
      </c>
      <c r="M297" s="4" t="str">
        <f>HYPERLINK("http://141.218.60.56/~jnz1568/getInfo.php?workbook=08_06.xlsx&amp;sheet=A0&amp;row=297&amp;col=13&amp;number=&amp;sourceID=3","")</f>
        <v/>
      </c>
      <c r="N297" s="4" t="str">
        <f>HYPERLINK("http://141.218.60.56/~jnz1568/getInfo.php?workbook=08_06.xlsx&amp;sheet=A0&amp;row=297&amp;col=14&amp;number=123500&amp;sourceID=7","123500")</f>
        <v>123500</v>
      </c>
      <c r="O297" s="4" t="str">
        <f>HYPERLINK("http://141.218.60.56/~jnz1568/getInfo.php?workbook=08_06.xlsx&amp;sheet=A0&amp;row=297&amp;col=15&amp;number=&amp;sourceID=5","")</f>
        <v/>
      </c>
      <c r="P297" s="4" t="str">
        <f>HYPERLINK("http://141.218.60.56/~jnz1568/getInfo.php?workbook=08_06.xlsx&amp;sheet=A0&amp;row=297&amp;col=16&amp;number=&amp;sourceID=5","")</f>
        <v/>
      </c>
      <c r="Q297" s="4" t="str">
        <f>HYPERLINK("http://141.218.60.56/~jnz1568/getInfo.php?workbook=08_06.xlsx&amp;sheet=A0&amp;row=297&amp;col=17&amp;number=&amp;sourceID=6","")</f>
        <v/>
      </c>
    </row>
    <row r="298" spans="1:17">
      <c r="A298" s="3">
        <v>8</v>
      </c>
      <c r="B298" s="3">
        <v>6</v>
      </c>
      <c r="C298" s="3">
        <v>37</v>
      </c>
      <c r="D298" s="3">
        <v>27</v>
      </c>
      <c r="E298" s="3">
        <f>((1/(INDEX(E0!J$4:J$49,C298,1)-INDEX(E0!J$4:J$49,D298,1))))*100000000</f>
        <v>0</v>
      </c>
      <c r="F298" s="4" t="str">
        <f>HYPERLINK("http://141.218.60.56/~jnz1568/getInfo.php?workbook=08_06.xlsx&amp;sheet=A0&amp;row=298&amp;col=6&amp;number=4922.3&amp;sourceID=3","4922.3")</f>
        <v>4922.3</v>
      </c>
      <c r="G298" s="4" t="str">
        <f>HYPERLINK("http://141.218.60.56/~jnz1568/getInfo.php?workbook=08_06.xlsx&amp;sheet=A0&amp;row=298&amp;col=7&amp;number=&amp;sourceID=3","")</f>
        <v/>
      </c>
      <c r="H298" s="4" t="str">
        <f>HYPERLINK("http://141.218.60.56/~jnz1568/getInfo.php?workbook=08_06.xlsx&amp;sheet=A0&amp;row=298&amp;col=8&amp;number=&amp;sourceID=3","")</f>
        <v/>
      </c>
      <c r="I298" s="4" t="str">
        <f>HYPERLINK("http://141.218.60.56/~jnz1568/getInfo.php?workbook=08_06.xlsx&amp;sheet=A0&amp;row=298&amp;col=9&amp;number=&amp;sourceID=3","")</f>
        <v/>
      </c>
      <c r="J298" s="4" t="str">
        <f>HYPERLINK("http://141.218.60.56/~jnz1568/getInfo.php?workbook=08_06.xlsx&amp;sheet=A0&amp;row=298&amp;col=10&amp;number=4960.4&amp;sourceID=3","4960.4")</f>
        <v>4960.4</v>
      </c>
      <c r="K298" s="4" t="str">
        <f>HYPERLINK("http://141.218.60.56/~jnz1568/getInfo.php?workbook=08_06.xlsx&amp;sheet=A0&amp;row=298&amp;col=11&amp;number=&amp;sourceID=3","")</f>
        <v/>
      </c>
      <c r="L298" s="4" t="str">
        <f>HYPERLINK("http://141.218.60.56/~jnz1568/getInfo.php?workbook=08_06.xlsx&amp;sheet=A0&amp;row=298&amp;col=12&amp;number=&amp;sourceID=3","")</f>
        <v/>
      </c>
      <c r="M298" s="4" t="str">
        <f>HYPERLINK("http://141.218.60.56/~jnz1568/getInfo.php?workbook=08_06.xlsx&amp;sheet=A0&amp;row=298&amp;col=13&amp;number=&amp;sourceID=3","")</f>
        <v/>
      </c>
      <c r="N298" s="4" t="str">
        <f>HYPERLINK("http://141.218.60.56/~jnz1568/getInfo.php?workbook=08_06.xlsx&amp;sheet=A0&amp;row=298&amp;col=14&amp;number=450.5&amp;sourceID=7","450.5")</f>
        <v>450.5</v>
      </c>
      <c r="O298" s="4" t="str">
        <f>HYPERLINK("http://141.218.60.56/~jnz1568/getInfo.php?workbook=08_06.xlsx&amp;sheet=A0&amp;row=298&amp;col=15&amp;number=&amp;sourceID=5","")</f>
        <v/>
      </c>
      <c r="P298" s="4" t="str">
        <f>HYPERLINK("http://141.218.60.56/~jnz1568/getInfo.php?workbook=08_06.xlsx&amp;sheet=A0&amp;row=298&amp;col=16&amp;number=&amp;sourceID=5","")</f>
        <v/>
      </c>
      <c r="Q298" s="4" t="str">
        <f>HYPERLINK("http://141.218.60.56/~jnz1568/getInfo.php?workbook=08_06.xlsx&amp;sheet=A0&amp;row=298&amp;col=17&amp;number=&amp;sourceID=6","")</f>
        <v/>
      </c>
    </row>
    <row r="299" spans="1:17">
      <c r="A299" s="3">
        <v>8</v>
      </c>
      <c r="B299" s="3">
        <v>6</v>
      </c>
      <c r="C299" s="3">
        <v>37</v>
      </c>
      <c r="D299" s="3">
        <v>28</v>
      </c>
      <c r="E299" s="3">
        <f>((1/(INDEX(E0!J$4:J$49,C299,1)-INDEX(E0!J$4:J$49,D299,1))))*100000000</f>
        <v>0</v>
      </c>
      <c r="F299" s="4" t="str">
        <f>HYPERLINK("http://141.218.60.56/~jnz1568/getInfo.php?workbook=08_06.xlsx&amp;sheet=A0&amp;row=299&amp;col=6&amp;number=1341.1&amp;sourceID=3","1341.1")</f>
        <v>1341.1</v>
      </c>
      <c r="G299" s="4" t="str">
        <f>HYPERLINK("http://141.218.60.56/~jnz1568/getInfo.php?workbook=08_06.xlsx&amp;sheet=A0&amp;row=299&amp;col=7&amp;number=&amp;sourceID=3","")</f>
        <v/>
      </c>
      <c r="H299" s="4" t="str">
        <f>HYPERLINK("http://141.218.60.56/~jnz1568/getInfo.php?workbook=08_06.xlsx&amp;sheet=A0&amp;row=299&amp;col=8&amp;number=&amp;sourceID=3","")</f>
        <v/>
      </c>
      <c r="I299" s="4" t="str">
        <f>HYPERLINK("http://141.218.60.56/~jnz1568/getInfo.php?workbook=08_06.xlsx&amp;sheet=A0&amp;row=299&amp;col=9&amp;number=&amp;sourceID=3","")</f>
        <v/>
      </c>
      <c r="J299" s="4" t="str">
        <f>HYPERLINK("http://141.218.60.56/~jnz1568/getInfo.php?workbook=08_06.xlsx&amp;sheet=A0&amp;row=299&amp;col=10&amp;number=6081.4&amp;sourceID=3","6081.4")</f>
        <v>6081.4</v>
      </c>
      <c r="K299" s="4" t="str">
        <f>HYPERLINK("http://141.218.60.56/~jnz1568/getInfo.php?workbook=08_06.xlsx&amp;sheet=A0&amp;row=299&amp;col=11&amp;number=&amp;sourceID=3","")</f>
        <v/>
      </c>
      <c r="L299" s="4" t="str">
        <f>HYPERLINK("http://141.218.60.56/~jnz1568/getInfo.php?workbook=08_06.xlsx&amp;sheet=A0&amp;row=299&amp;col=12&amp;number=&amp;sourceID=3","")</f>
        <v/>
      </c>
      <c r="M299" s="4" t="str">
        <f>HYPERLINK("http://141.218.60.56/~jnz1568/getInfo.php?workbook=08_06.xlsx&amp;sheet=A0&amp;row=299&amp;col=13&amp;number=&amp;sourceID=3","")</f>
        <v/>
      </c>
      <c r="N299" s="4" t="str">
        <f>HYPERLINK("http://141.218.60.56/~jnz1568/getInfo.php?workbook=08_06.xlsx&amp;sheet=A0&amp;row=299&amp;col=14&amp;number=9224&amp;sourceID=7","9224")</f>
        <v>9224</v>
      </c>
      <c r="O299" s="4" t="str">
        <f>HYPERLINK("http://141.218.60.56/~jnz1568/getInfo.php?workbook=08_06.xlsx&amp;sheet=A0&amp;row=299&amp;col=15&amp;number=&amp;sourceID=5","")</f>
        <v/>
      </c>
      <c r="P299" s="4" t="str">
        <f>HYPERLINK("http://141.218.60.56/~jnz1568/getInfo.php?workbook=08_06.xlsx&amp;sheet=A0&amp;row=299&amp;col=16&amp;number=&amp;sourceID=5","")</f>
        <v/>
      </c>
      <c r="Q299" s="4" t="str">
        <f>HYPERLINK("http://141.218.60.56/~jnz1568/getInfo.php?workbook=08_06.xlsx&amp;sheet=A0&amp;row=299&amp;col=17&amp;number=&amp;sourceID=6","")</f>
        <v/>
      </c>
    </row>
    <row r="300" spans="1:17">
      <c r="A300" s="3">
        <v>8</v>
      </c>
      <c r="B300" s="3">
        <v>6</v>
      </c>
      <c r="C300" s="3">
        <v>37</v>
      </c>
      <c r="D300" s="3">
        <v>30</v>
      </c>
      <c r="E300" s="3">
        <f>((1/(INDEX(E0!J$4:J$49,C300,1)-INDEX(E0!J$4:J$49,D300,1))))*100000000</f>
        <v>0</v>
      </c>
      <c r="F300" s="4" t="str">
        <f>HYPERLINK("http://141.218.60.56/~jnz1568/getInfo.php?workbook=08_06.xlsx&amp;sheet=A0&amp;row=300&amp;col=6&amp;number=56034&amp;sourceID=3","56034")</f>
        <v>56034</v>
      </c>
      <c r="G300" s="4" t="str">
        <f>HYPERLINK("http://141.218.60.56/~jnz1568/getInfo.php?workbook=08_06.xlsx&amp;sheet=A0&amp;row=300&amp;col=7&amp;number=&amp;sourceID=3","")</f>
        <v/>
      </c>
      <c r="H300" s="4" t="str">
        <f>HYPERLINK("http://141.218.60.56/~jnz1568/getInfo.php?workbook=08_06.xlsx&amp;sheet=A0&amp;row=300&amp;col=8&amp;number=&amp;sourceID=3","")</f>
        <v/>
      </c>
      <c r="I300" s="4" t="str">
        <f>HYPERLINK("http://141.218.60.56/~jnz1568/getInfo.php?workbook=08_06.xlsx&amp;sheet=A0&amp;row=300&amp;col=9&amp;number=&amp;sourceID=3","")</f>
        <v/>
      </c>
      <c r="J300" s="4" t="str">
        <f>HYPERLINK("http://141.218.60.56/~jnz1568/getInfo.php?workbook=08_06.xlsx&amp;sheet=A0&amp;row=300&amp;col=10&amp;number=59155&amp;sourceID=3","59155")</f>
        <v>59155</v>
      </c>
      <c r="K300" s="4" t="str">
        <f>HYPERLINK("http://141.218.60.56/~jnz1568/getInfo.php?workbook=08_06.xlsx&amp;sheet=A0&amp;row=300&amp;col=11&amp;number=&amp;sourceID=3","")</f>
        <v/>
      </c>
      <c r="L300" s="4" t="str">
        <f>HYPERLINK("http://141.218.60.56/~jnz1568/getInfo.php?workbook=08_06.xlsx&amp;sheet=A0&amp;row=300&amp;col=12&amp;number=&amp;sourceID=3","")</f>
        <v/>
      </c>
      <c r="M300" s="4" t="str">
        <f>HYPERLINK("http://141.218.60.56/~jnz1568/getInfo.php?workbook=08_06.xlsx&amp;sheet=A0&amp;row=300&amp;col=13&amp;number=&amp;sourceID=3","")</f>
        <v/>
      </c>
      <c r="N300" s="4" t="str">
        <f>HYPERLINK("http://141.218.60.56/~jnz1568/getInfo.php?workbook=08_06.xlsx&amp;sheet=A0&amp;row=300&amp;col=14&amp;number=9430&amp;sourceID=7","9430")</f>
        <v>9430</v>
      </c>
      <c r="O300" s="4" t="str">
        <f>HYPERLINK("http://141.218.60.56/~jnz1568/getInfo.php?workbook=08_06.xlsx&amp;sheet=A0&amp;row=300&amp;col=15&amp;number=&amp;sourceID=5","")</f>
        <v/>
      </c>
      <c r="P300" s="4" t="str">
        <f>HYPERLINK("http://141.218.60.56/~jnz1568/getInfo.php?workbook=08_06.xlsx&amp;sheet=A0&amp;row=300&amp;col=16&amp;number=&amp;sourceID=5","")</f>
        <v/>
      </c>
      <c r="Q300" s="4" t="str">
        <f>HYPERLINK("http://141.218.60.56/~jnz1568/getInfo.php?workbook=08_06.xlsx&amp;sheet=A0&amp;row=300&amp;col=17&amp;number=&amp;sourceID=6","")</f>
        <v/>
      </c>
    </row>
    <row r="301" spans="1:17">
      <c r="A301" s="3">
        <v>8</v>
      </c>
      <c r="B301" s="3">
        <v>6</v>
      </c>
      <c r="C301" s="3">
        <v>37</v>
      </c>
      <c r="D301" s="3">
        <v>31</v>
      </c>
      <c r="E301" s="3">
        <f>((1/(INDEX(E0!J$4:J$49,C301,1)-INDEX(E0!J$4:J$49,D301,1))))*100000000</f>
        <v>0</v>
      </c>
      <c r="F301" s="4" t="str">
        <f>HYPERLINK("http://141.218.60.56/~jnz1568/getInfo.php?workbook=08_06.xlsx&amp;sheet=A0&amp;row=301&amp;col=6&amp;number=2416&amp;sourceID=3","2416")</f>
        <v>2416</v>
      </c>
      <c r="G301" s="4" t="str">
        <f>HYPERLINK("http://141.218.60.56/~jnz1568/getInfo.php?workbook=08_06.xlsx&amp;sheet=A0&amp;row=301&amp;col=7&amp;number=&amp;sourceID=3","")</f>
        <v/>
      </c>
      <c r="H301" s="4" t="str">
        <f>HYPERLINK("http://141.218.60.56/~jnz1568/getInfo.php?workbook=08_06.xlsx&amp;sheet=A0&amp;row=301&amp;col=8&amp;number=&amp;sourceID=3","")</f>
        <v/>
      </c>
      <c r="I301" s="4" t="str">
        <f>HYPERLINK("http://141.218.60.56/~jnz1568/getInfo.php?workbook=08_06.xlsx&amp;sheet=A0&amp;row=301&amp;col=9&amp;number=&amp;sourceID=3","")</f>
        <v/>
      </c>
      <c r="J301" s="4" t="str">
        <f>HYPERLINK("http://141.218.60.56/~jnz1568/getInfo.php?workbook=08_06.xlsx&amp;sheet=A0&amp;row=301&amp;col=10&amp;number=1852.6&amp;sourceID=3","1852.6")</f>
        <v>1852.6</v>
      </c>
      <c r="K301" s="4" t="str">
        <f>HYPERLINK("http://141.218.60.56/~jnz1568/getInfo.php?workbook=08_06.xlsx&amp;sheet=A0&amp;row=301&amp;col=11&amp;number=&amp;sourceID=3","")</f>
        <v/>
      </c>
      <c r="L301" s="4" t="str">
        <f>HYPERLINK("http://141.218.60.56/~jnz1568/getInfo.php?workbook=08_06.xlsx&amp;sheet=A0&amp;row=301&amp;col=12&amp;number=&amp;sourceID=3","")</f>
        <v/>
      </c>
      <c r="M301" s="4" t="str">
        <f>HYPERLINK("http://141.218.60.56/~jnz1568/getInfo.php?workbook=08_06.xlsx&amp;sheet=A0&amp;row=301&amp;col=13&amp;number=&amp;sourceID=3","")</f>
        <v/>
      </c>
      <c r="N301" s="4" t="str">
        <f>HYPERLINK("http://141.218.60.56/~jnz1568/getInfo.php?workbook=08_06.xlsx&amp;sheet=A0&amp;row=301&amp;col=14&amp;number=1870&amp;sourceID=7","1870")</f>
        <v>1870</v>
      </c>
      <c r="O301" s="4" t="str">
        <f>HYPERLINK("http://141.218.60.56/~jnz1568/getInfo.php?workbook=08_06.xlsx&amp;sheet=A0&amp;row=301&amp;col=15&amp;number=&amp;sourceID=5","")</f>
        <v/>
      </c>
      <c r="P301" s="4" t="str">
        <f>HYPERLINK("http://141.218.60.56/~jnz1568/getInfo.php?workbook=08_06.xlsx&amp;sheet=A0&amp;row=301&amp;col=16&amp;number=&amp;sourceID=5","")</f>
        <v/>
      </c>
      <c r="Q301" s="4" t="str">
        <f>HYPERLINK("http://141.218.60.56/~jnz1568/getInfo.php?workbook=08_06.xlsx&amp;sheet=A0&amp;row=301&amp;col=17&amp;number=&amp;sourceID=6","")</f>
        <v/>
      </c>
    </row>
    <row r="302" spans="1:17">
      <c r="A302" s="3">
        <v>8</v>
      </c>
      <c r="B302" s="3">
        <v>6</v>
      </c>
      <c r="C302" s="3">
        <v>37</v>
      </c>
      <c r="D302" s="3">
        <v>32</v>
      </c>
      <c r="E302" s="3">
        <f>((1/(INDEX(E0!J$4:J$49,C302,1)-INDEX(E0!J$4:J$49,D302,1))))*100000000</f>
        <v>0</v>
      </c>
      <c r="F302" s="4" t="str">
        <f>HYPERLINK("http://141.218.60.56/~jnz1568/getInfo.php?workbook=08_06.xlsx&amp;sheet=A0&amp;row=302&amp;col=6&amp;number=7788500&amp;sourceID=3","7788500")</f>
        <v>7788500</v>
      </c>
      <c r="G302" s="4" t="str">
        <f>HYPERLINK("http://141.218.60.56/~jnz1568/getInfo.php?workbook=08_06.xlsx&amp;sheet=A0&amp;row=302&amp;col=7&amp;number=&amp;sourceID=3","")</f>
        <v/>
      </c>
      <c r="H302" s="4" t="str">
        <f>HYPERLINK("http://141.218.60.56/~jnz1568/getInfo.php?workbook=08_06.xlsx&amp;sheet=A0&amp;row=302&amp;col=8&amp;number=&amp;sourceID=3","")</f>
        <v/>
      </c>
      <c r="I302" s="4" t="str">
        <f>HYPERLINK("http://141.218.60.56/~jnz1568/getInfo.php?workbook=08_06.xlsx&amp;sheet=A0&amp;row=302&amp;col=9&amp;number=&amp;sourceID=3","")</f>
        <v/>
      </c>
      <c r="J302" s="4" t="str">
        <f>HYPERLINK("http://141.218.60.56/~jnz1568/getInfo.php?workbook=08_06.xlsx&amp;sheet=A0&amp;row=302&amp;col=10&amp;number=7473900&amp;sourceID=3","7473900")</f>
        <v>7473900</v>
      </c>
      <c r="K302" s="4" t="str">
        <f>HYPERLINK("http://141.218.60.56/~jnz1568/getInfo.php?workbook=08_06.xlsx&amp;sheet=A0&amp;row=302&amp;col=11&amp;number=&amp;sourceID=3","")</f>
        <v/>
      </c>
      <c r="L302" s="4" t="str">
        <f>HYPERLINK("http://141.218.60.56/~jnz1568/getInfo.php?workbook=08_06.xlsx&amp;sheet=A0&amp;row=302&amp;col=12&amp;number=&amp;sourceID=3","")</f>
        <v/>
      </c>
      <c r="M302" s="4" t="str">
        <f>HYPERLINK("http://141.218.60.56/~jnz1568/getInfo.php?workbook=08_06.xlsx&amp;sheet=A0&amp;row=302&amp;col=13&amp;number=&amp;sourceID=3","")</f>
        <v/>
      </c>
      <c r="N302" s="4" t="str">
        <f>HYPERLINK("http://141.218.60.56/~jnz1568/getInfo.php?workbook=08_06.xlsx&amp;sheet=A0&amp;row=302&amp;col=14&amp;number=2660000&amp;sourceID=7","2660000")</f>
        <v>2660000</v>
      </c>
      <c r="O302" s="4" t="str">
        <f>HYPERLINK("http://141.218.60.56/~jnz1568/getInfo.php?workbook=08_06.xlsx&amp;sheet=A0&amp;row=302&amp;col=15&amp;number=&amp;sourceID=5","")</f>
        <v/>
      </c>
      <c r="P302" s="4" t="str">
        <f>HYPERLINK("http://141.218.60.56/~jnz1568/getInfo.php?workbook=08_06.xlsx&amp;sheet=A0&amp;row=302&amp;col=16&amp;number=&amp;sourceID=5","")</f>
        <v/>
      </c>
      <c r="Q302" s="4" t="str">
        <f>HYPERLINK("http://141.218.60.56/~jnz1568/getInfo.php?workbook=08_06.xlsx&amp;sheet=A0&amp;row=302&amp;col=17&amp;number=&amp;sourceID=6","")</f>
        <v/>
      </c>
    </row>
    <row r="303" spans="1:17">
      <c r="A303" s="3">
        <v>8</v>
      </c>
      <c r="B303" s="3">
        <v>6</v>
      </c>
      <c r="C303" s="3">
        <v>38</v>
      </c>
      <c r="D303" s="3">
        <v>1</v>
      </c>
      <c r="E303" s="3">
        <f>((1/(INDEX(E0!J$4:J$49,C303,1)-INDEX(E0!J$4:J$49,D303,1))))*100000000</f>
        <v>0</v>
      </c>
      <c r="F303" s="4" t="str">
        <f>HYPERLINK("http://141.218.60.56/~jnz1568/getInfo.php?workbook=08_06.xlsx&amp;sheet=A0&amp;row=303&amp;col=6&amp;number=11935000000&amp;sourceID=3","11935000000")</f>
        <v>11935000000</v>
      </c>
      <c r="G303" s="4" t="str">
        <f>HYPERLINK("http://141.218.60.56/~jnz1568/getInfo.php?workbook=08_06.xlsx&amp;sheet=A0&amp;row=303&amp;col=7&amp;number=&amp;sourceID=3","")</f>
        <v/>
      </c>
      <c r="H303" s="4" t="str">
        <f>HYPERLINK("http://141.218.60.56/~jnz1568/getInfo.php?workbook=08_06.xlsx&amp;sheet=A0&amp;row=303&amp;col=8&amp;number=&amp;sourceID=3","")</f>
        <v/>
      </c>
      <c r="I303" s="4" t="str">
        <f>HYPERLINK("http://141.218.60.56/~jnz1568/getInfo.php?workbook=08_06.xlsx&amp;sheet=A0&amp;row=303&amp;col=9&amp;number=&amp;sourceID=3","")</f>
        <v/>
      </c>
      <c r="J303" s="4" t="str">
        <f>HYPERLINK("http://141.218.60.56/~jnz1568/getInfo.php?workbook=08_06.xlsx&amp;sheet=A0&amp;row=303&amp;col=10&amp;number=12001000000&amp;sourceID=3","12001000000")</f>
        <v>12001000000</v>
      </c>
      <c r="K303" s="4" t="str">
        <f>HYPERLINK("http://141.218.60.56/~jnz1568/getInfo.php?workbook=08_06.xlsx&amp;sheet=A0&amp;row=303&amp;col=11&amp;number=&amp;sourceID=3","")</f>
        <v/>
      </c>
      <c r="L303" s="4" t="str">
        <f>HYPERLINK("http://141.218.60.56/~jnz1568/getInfo.php?workbook=08_06.xlsx&amp;sheet=A0&amp;row=303&amp;col=12&amp;number=&amp;sourceID=3","")</f>
        <v/>
      </c>
      <c r="M303" s="4" t="str">
        <f>HYPERLINK("http://141.218.60.56/~jnz1568/getInfo.php?workbook=08_06.xlsx&amp;sheet=A0&amp;row=303&amp;col=13&amp;number=&amp;sourceID=3","")</f>
        <v/>
      </c>
      <c r="N303" s="4" t="str">
        <f>HYPERLINK("http://141.218.60.56/~jnz1568/getInfo.php?workbook=08_06.xlsx&amp;sheet=A0&amp;row=303&amp;col=14&amp;number=13670000000&amp;sourceID=7","13670000000")</f>
        <v>13670000000</v>
      </c>
      <c r="O303" s="4" t="str">
        <f>HYPERLINK("http://141.218.60.56/~jnz1568/getInfo.php?workbook=08_06.xlsx&amp;sheet=A0&amp;row=303&amp;col=15&amp;number=&amp;sourceID=5","")</f>
        <v/>
      </c>
      <c r="P303" s="4" t="str">
        <f>HYPERLINK("http://141.218.60.56/~jnz1568/getInfo.php?workbook=08_06.xlsx&amp;sheet=A0&amp;row=303&amp;col=16&amp;number=&amp;sourceID=5","")</f>
        <v/>
      </c>
      <c r="Q303" s="4" t="str">
        <f>HYPERLINK("http://141.218.60.56/~jnz1568/getInfo.php?workbook=08_06.xlsx&amp;sheet=A0&amp;row=303&amp;col=17&amp;number=&amp;sourceID=6","")</f>
        <v/>
      </c>
    </row>
    <row r="304" spans="1:17">
      <c r="A304" s="3">
        <v>8</v>
      </c>
      <c r="B304" s="3">
        <v>6</v>
      </c>
      <c r="C304" s="3">
        <v>38</v>
      </c>
      <c r="D304" s="3">
        <v>2</v>
      </c>
      <c r="E304" s="3">
        <f>((1/(INDEX(E0!J$4:J$49,C304,1)-INDEX(E0!J$4:J$49,D304,1))))*100000000</f>
        <v>0</v>
      </c>
      <c r="F304" s="4" t="str">
        <f>HYPERLINK("http://141.218.60.56/~jnz1568/getInfo.php?workbook=08_06.xlsx&amp;sheet=A0&amp;row=304&amp;col=6&amp;number=8001800000&amp;sourceID=3","8001800000")</f>
        <v>8001800000</v>
      </c>
      <c r="G304" s="4" t="str">
        <f>HYPERLINK("http://141.218.60.56/~jnz1568/getInfo.php?workbook=08_06.xlsx&amp;sheet=A0&amp;row=304&amp;col=7&amp;number=&amp;sourceID=3","")</f>
        <v/>
      </c>
      <c r="H304" s="4" t="str">
        <f>HYPERLINK("http://141.218.60.56/~jnz1568/getInfo.php?workbook=08_06.xlsx&amp;sheet=A0&amp;row=304&amp;col=8&amp;number=&amp;sourceID=3","")</f>
        <v/>
      </c>
      <c r="I304" s="4" t="str">
        <f>HYPERLINK("http://141.218.60.56/~jnz1568/getInfo.php?workbook=08_06.xlsx&amp;sheet=A0&amp;row=304&amp;col=9&amp;number=&amp;sourceID=3","")</f>
        <v/>
      </c>
      <c r="J304" s="4" t="str">
        <f>HYPERLINK("http://141.218.60.56/~jnz1568/getInfo.php?workbook=08_06.xlsx&amp;sheet=A0&amp;row=304&amp;col=10&amp;number=8053700000&amp;sourceID=3","8053700000")</f>
        <v>8053700000</v>
      </c>
      <c r="K304" s="4" t="str">
        <f>HYPERLINK("http://141.218.60.56/~jnz1568/getInfo.php?workbook=08_06.xlsx&amp;sheet=A0&amp;row=304&amp;col=11&amp;number=&amp;sourceID=3","")</f>
        <v/>
      </c>
      <c r="L304" s="4" t="str">
        <f>HYPERLINK("http://141.218.60.56/~jnz1568/getInfo.php?workbook=08_06.xlsx&amp;sheet=A0&amp;row=304&amp;col=12&amp;number=&amp;sourceID=3","")</f>
        <v/>
      </c>
      <c r="M304" s="4" t="str">
        <f>HYPERLINK("http://141.218.60.56/~jnz1568/getInfo.php?workbook=08_06.xlsx&amp;sheet=A0&amp;row=304&amp;col=13&amp;number=&amp;sourceID=3","")</f>
        <v/>
      </c>
      <c r="N304" s="4" t="str">
        <f>HYPERLINK("http://141.218.60.56/~jnz1568/getInfo.php?workbook=08_06.xlsx&amp;sheet=A0&amp;row=304&amp;col=14&amp;number=9309000000&amp;sourceID=7","9309000000")</f>
        <v>9309000000</v>
      </c>
      <c r="O304" s="4" t="str">
        <f>HYPERLINK("http://141.218.60.56/~jnz1568/getInfo.php?workbook=08_06.xlsx&amp;sheet=A0&amp;row=304&amp;col=15&amp;number=&amp;sourceID=5","")</f>
        <v/>
      </c>
      <c r="P304" s="4" t="str">
        <f>HYPERLINK("http://141.218.60.56/~jnz1568/getInfo.php?workbook=08_06.xlsx&amp;sheet=A0&amp;row=304&amp;col=16&amp;number=&amp;sourceID=5","")</f>
        <v/>
      </c>
      <c r="Q304" s="4" t="str">
        <f>HYPERLINK("http://141.218.60.56/~jnz1568/getInfo.php?workbook=08_06.xlsx&amp;sheet=A0&amp;row=304&amp;col=17&amp;number=&amp;sourceID=6","")</f>
        <v/>
      </c>
    </row>
    <row r="305" spans="1:17">
      <c r="A305" s="3">
        <v>8</v>
      </c>
      <c r="B305" s="3">
        <v>6</v>
      </c>
      <c r="C305" s="3">
        <v>38</v>
      </c>
      <c r="D305" s="3">
        <v>3</v>
      </c>
      <c r="E305" s="3">
        <f>((1/(INDEX(E0!J$4:J$49,C305,1)-INDEX(E0!J$4:J$49,D305,1))))*100000000</f>
        <v>0</v>
      </c>
      <c r="F305" s="4" t="str">
        <f>HYPERLINK("http://141.218.60.56/~jnz1568/getInfo.php?workbook=08_06.xlsx&amp;sheet=A0&amp;row=305&amp;col=6&amp;number=417840000&amp;sourceID=3","417840000")</f>
        <v>417840000</v>
      </c>
      <c r="G305" s="4" t="str">
        <f>HYPERLINK("http://141.218.60.56/~jnz1568/getInfo.php?workbook=08_06.xlsx&amp;sheet=A0&amp;row=305&amp;col=7&amp;number=&amp;sourceID=3","")</f>
        <v/>
      </c>
      <c r="H305" s="4" t="str">
        <f>HYPERLINK("http://141.218.60.56/~jnz1568/getInfo.php?workbook=08_06.xlsx&amp;sheet=A0&amp;row=305&amp;col=8&amp;number=&amp;sourceID=3","")</f>
        <v/>
      </c>
      <c r="I305" s="4" t="str">
        <f>HYPERLINK("http://141.218.60.56/~jnz1568/getInfo.php?workbook=08_06.xlsx&amp;sheet=A0&amp;row=305&amp;col=9&amp;number=&amp;sourceID=3","")</f>
        <v/>
      </c>
      <c r="J305" s="4" t="str">
        <f>HYPERLINK("http://141.218.60.56/~jnz1568/getInfo.php?workbook=08_06.xlsx&amp;sheet=A0&amp;row=305&amp;col=10&amp;number=421550000&amp;sourceID=3","421550000")</f>
        <v>421550000</v>
      </c>
      <c r="K305" s="4" t="str">
        <f>HYPERLINK("http://141.218.60.56/~jnz1568/getInfo.php?workbook=08_06.xlsx&amp;sheet=A0&amp;row=305&amp;col=11&amp;number=&amp;sourceID=3","")</f>
        <v/>
      </c>
      <c r="L305" s="4" t="str">
        <f>HYPERLINK("http://141.218.60.56/~jnz1568/getInfo.php?workbook=08_06.xlsx&amp;sheet=A0&amp;row=305&amp;col=12&amp;number=&amp;sourceID=3","")</f>
        <v/>
      </c>
      <c r="M305" s="4" t="str">
        <f>HYPERLINK("http://141.218.60.56/~jnz1568/getInfo.php?workbook=08_06.xlsx&amp;sheet=A0&amp;row=305&amp;col=13&amp;number=&amp;sourceID=3","")</f>
        <v/>
      </c>
      <c r="N305" s="4" t="str">
        <f>HYPERLINK("http://141.218.60.56/~jnz1568/getInfo.php?workbook=08_06.xlsx&amp;sheet=A0&amp;row=305&amp;col=14&amp;number=503900000&amp;sourceID=7","503900000")</f>
        <v>503900000</v>
      </c>
      <c r="O305" s="4" t="str">
        <f>HYPERLINK("http://141.218.60.56/~jnz1568/getInfo.php?workbook=08_06.xlsx&amp;sheet=A0&amp;row=305&amp;col=15&amp;number=&amp;sourceID=5","")</f>
        <v/>
      </c>
      <c r="P305" s="4" t="str">
        <f>HYPERLINK("http://141.218.60.56/~jnz1568/getInfo.php?workbook=08_06.xlsx&amp;sheet=A0&amp;row=305&amp;col=16&amp;number=&amp;sourceID=5","")</f>
        <v/>
      </c>
      <c r="Q305" s="4" t="str">
        <f>HYPERLINK("http://141.218.60.56/~jnz1568/getInfo.php?workbook=08_06.xlsx&amp;sheet=A0&amp;row=305&amp;col=17&amp;number=&amp;sourceID=6","")</f>
        <v/>
      </c>
    </row>
    <row r="306" spans="1:17">
      <c r="A306" s="3">
        <v>8</v>
      </c>
      <c r="B306" s="3">
        <v>6</v>
      </c>
      <c r="C306" s="3">
        <v>38</v>
      </c>
      <c r="D306" s="3">
        <v>4</v>
      </c>
      <c r="E306" s="3">
        <f>((1/(INDEX(E0!J$4:J$49,C306,1)-INDEX(E0!J$4:J$49,D306,1))))*100000000</f>
        <v>0</v>
      </c>
      <c r="F306" s="4" t="str">
        <f>HYPERLINK("http://141.218.60.56/~jnz1568/getInfo.php?workbook=08_06.xlsx&amp;sheet=A0&amp;row=306&amp;col=6&amp;number=476840&amp;sourceID=3","476840")</f>
        <v>476840</v>
      </c>
      <c r="G306" s="4" t="str">
        <f>HYPERLINK("http://141.218.60.56/~jnz1568/getInfo.php?workbook=08_06.xlsx&amp;sheet=A0&amp;row=306&amp;col=7&amp;number=&amp;sourceID=3","")</f>
        <v/>
      </c>
      <c r="H306" s="4" t="str">
        <f>HYPERLINK("http://141.218.60.56/~jnz1568/getInfo.php?workbook=08_06.xlsx&amp;sheet=A0&amp;row=306&amp;col=8&amp;number=&amp;sourceID=3","")</f>
        <v/>
      </c>
      <c r="I306" s="4" t="str">
        <f>HYPERLINK("http://141.218.60.56/~jnz1568/getInfo.php?workbook=08_06.xlsx&amp;sheet=A0&amp;row=306&amp;col=9&amp;number=&amp;sourceID=3","")</f>
        <v/>
      </c>
      <c r="J306" s="4" t="str">
        <f>HYPERLINK("http://141.218.60.56/~jnz1568/getInfo.php?workbook=08_06.xlsx&amp;sheet=A0&amp;row=306&amp;col=10&amp;number=442590&amp;sourceID=3","442590")</f>
        <v>442590</v>
      </c>
      <c r="K306" s="4" t="str">
        <f>HYPERLINK("http://141.218.60.56/~jnz1568/getInfo.php?workbook=08_06.xlsx&amp;sheet=A0&amp;row=306&amp;col=11&amp;number=&amp;sourceID=3","")</f>
        <v/>
      </c>
      <c r="L306" s="4" t="str">
        <f>HYPERLINK("http://141.218.60.56/~jnz1568/getInfo.php?workbook=08_06.xlsx&amp;sheet=A0&amp;row=306&amp;col=12&amp;number=&amp;sourceID=3","")</f>
        <v/>
      </c>
      <c r="M306" s="4" t="str">
        <f>HYPERLINK("http://141.218.60.56/~jnz1568/getInfo.php?workbook=08_06.xlsx&amp;sheet=A0&amp;row=306&amp;col=13&amp;number=&amp;sourceID=3","")</f>
        <v/>
      </c>
      <c r="N306" s="4" t="str">
        <f>HYPERLINK("http://141.218.60.56/~jnz1568/getInfo.php?workbook=08_06.xlsx&amp;sheet=A0&amp;row=306&amp;col=14&amp;number=425900&amp;sourceID=7","425900")</f>
        <v>425900</v>
      </c>
      <c r="O306" s="4" t="str">
        <f>HYPERLINK("http://141.218.60.56/~jnz1568/getInfo.php?workbook=08_06.xlsx&amp;sheet=A0&amp;row=306&amp;col=15&amp;number=&amp;sourceID=5","")</f>
        <v/>
      </c>
      <c r="P306" s="4" t="str">
        <f>HYPERLINK("http://141.218.60.56/~jnz1568/getInfo.php?workbook=08_06.xlsx&amp;sheet=A0&amp;row=306&amp;col=16&amp;number=&amp;sourceID=5","")</f>
        <v/>
      </c>
      <c r="Q306" s="4" t="str">
        <f>HYPERLINK("http://141.218.60.56/~jnz1568/getInfo.php?workbook=08_06.xlsx&amp;sheet=A0&amp;row=306&amp;col=17&amp;number=&amp;sourceID=6","")</f>
        <v/>
      </c>
    </row>
    <row r="307" spans="1:17">
      <c r="A307" s="3">
        <v>8</v>
      </c>
      <c r="B307" s="3">
        <v>6</v>
      </c>
      <c r="C307" s="3">
        <v>38</v>
      </c>
      <c r="D307" s="3">
        <v>5</v>
      </c>
      <c r="E307" s="3">
        <f>((1/(INDEX(E0!J$4:J$49,C307,1)-INDEX(E0!J$4:J$49,D307,1))))*100000000</f>
        <v>0</v>
      </c>
      <c r="F307" s="4" t="str">
        <f>HYPERLINK("http://141.218.60.56/~jnz1568/getInfo.php?workbook=08_06.xlsx&amp;sheet=A0&amp;row=307&amp;col=6&amp;number=5984400&amp;sourceID=3","5984400")</f>
        <v>5984400</v>
      </c>
      <c r="G307" s="4" t="str">
        <f>HYPERLINK("http://141.218.60.56/~jnz1568/getInfo.php?workbook=08_06.xlsx&amp;sheet=A0&amp;row=307&amp;col=7&amp;number=&amp;sourceID=3","")</f>
        <v/>
      </c>
      <c r="H307" s="4" t="str">
        <f>HYPERLINK("http://141.218.60.56/~jnz1568/getInfo.php?workbook=08_06.xlsx&amp;sheet=A0&amp;row=307&amp;col=8&amp;number=&amp;sourceID=3","")</f>
        <v/>
      </c>
      <c r="I307" s="4" t="str">
        <f>HYPERLINK("http://141.218.60.56/~jnz1568/getInfo.php?workbook=08_06.xlsx&amp;sheet=A0&amp;row=307&amp;col=9&amp;number=&amp;sourceID=3","")</f>
        <v/>
      </c>
      <c r="J307" s="4" t="str">
        <f>HYPERLINK("http://141.218.60.56/~jnz1568/getInfo.php?workbook=08_06.xlsx&amp;sheet=A0&amp;row=307&amp;col=10&amp;number=5905200&amp;sourceID=3","5905200")</f>
        <v>5905200</v>
      </c>
      <c r="K307" s="4" t="str">
        <f>HYPERLINK("http://141.218.60.56/~jnz1568/getInfo.php?workbook=08_06.xlsx&amp;sheet=A0&amp;row=307&amp;col=11&amp;number=&amp;sourceID=3","")</f>
        <v/>
      </c>
      <c r="L307" s="4" t="str">
        <f>HYPERLINK("http://141.218.60.56/~jnz1568/getInfo.php?workbook=08_06.xlsx&amp;sheet=A0&amp;row=307&amp;col=12&amp;number=&amp;sourceID=3","")</f>
        <v/>
      </c>
      <c r="M307" s="4" t="str">
        <f>HYPERLINK("http://141.218.60.56/~jnz1568/getInfo.php?workbook=08_06.xlsx&amp;sheet=A0&amp;row=307&amp;col=13&amp;number=&amp;sourceID=3","")</f>
        <v/>
      </c>
      <c r="N307" s="4" t="str">
        <f>HYPERLINK("http://141.218.60.56/~jnz1568/getInfo.php?workbook=08_06.xlsx&amp;sheet=A0&amp;row=307&amp;col=14&amp;number=2107000&amp;sourceID=7","2107000")</f>
        <v>2107000</v>
      </c>
      <c r="O307" s="4" t="str">
        <f>HYPERLINK("http://141.218.60.56/~jnz1568/getInfo.php?workbook=08_06.xlsx&amp;sheet=A0&amp;row=307&amp;col=15&amp;number=&amp;sourceID=5","")</f>
        <v/>
      </c>
      <c r="P307" s="4" t="str">
        <f>HYPERLINK("http://141.218.60.56/~jnz1568/getInfo.php?workbook=08_06.xlsx&amp;sheet=A0&amp;row=307&amp;col=16&amp;number=&amp;sourceID=5","")</f>
        <v/>
      </c>
      <c r="Q307" s="4" t="str">
        <f>HYPERLINK("http://141.218.60.56/~jnz1568/getInfo.php?workbook=08_06.xlsx&amp;sheet=A0&amp;row=307&amp;col=17&amp;number=&amp;sourceID=6","")</f>
        <v/>
      </c>
    </row>
    <row r="308" spans="1:17">
      <c r="A308" s="3">
        <v>8</v>
      </c>
      <c r="B308" s="3">
        <v>6</v>
      </c>
      <c r="C308" s="3">
        <v>38</v>
      </c>
      <c r="D308" s="3">
        <v>20</v>
      </c>
      <c r="E308" s="3">
        <f>((1/(INDEX(E0!J$4:J$49,C308,1)-INDEX(E0!J$4:J$49,D308,1))))*100000000</f>
        <v>0</v>
      </c>
      <c r="F308" s="4" t="str">
        <f>HYPERLINK("http://141.218.60.56/~jnz1568/getInfo.php?workbook=08_06.xlsx&amp;sheet=A0&amp;row=308&amp;col=6&amp;number=19453&amp;sourceID=3","19453")</f>
        <v>19453</v>
      </c>
      <c r="G308" s="4" t="str">
        <f>HYPERLINK("http://141.218.60.56/~jnz1568/getInfo.php?workbook=08_06.xlsx&amp;sheet=A0&amp;row=308&amp;col=7&amp;number=&amp;sourceID=3","")</f>
        <v/>
      </c>
      <c r="H308" s="4" t="str">
        <f>HYPERLINK("http://141.218.60.56/~jnz1568/getInfo.php?workbook=08_06.xlsx&amp;sheet=A0&amp;row=308&amp;col=8&amp;number=&amp;sourceID=3","")</f>
        <v/>
      </c>
      <c r="I308" s="4" t="str">
        <f>HYPERLINK("http://141.218.60.56/~jnz1568/getInfo.php?workbook=08_06.xlsx&amp;sheet=A0&amp;row=308&amp;col=9&amp;number=&amp;sourceID=3","")</f>
        <v/>
      </c>
      <c r="J308" s="4" t="str">
        <f>HYPERLINK("http://141.218.60.56/~jnz1568/getInfo.php?workbook=08_06.xlsx&amp;sheet=A0&amp;row=308&amp;col=10&amp;number=22875&amp;sourceID=3","22875")</f>
        <v>22875</v>
      </c>
      <c r="K308" s="4" t="str">
        <f>HYPERLINK("http://141.218.60.56/~jnz1568/getInfo.php?workbook=08_06.xlsx&amp;sheet=A0&amp;row=308&amp;col=11&amp;number=&amp;sourceID=3","")</f>
        <v/>
      </c>
      <c r="L308" s="4" t="str">
        <f>HYPERLINK("http://141.218.60.56/~jnz1568/getInfo.php?workbook=08_06.xlsx&amp;sheet=A0&amp;row=308&amp;col=12&amp;number=&amp;sourceID=3","")</f>
        <v/>
      </c>
      <c r="M308" s="4" t="str">
        <f>HYPERLINK("http://141.218.60.56/~jnz1568/getInfo.php?workbook=08_06.xlsx&amp;sheet=A0&amp;row=308&amp;col=13&amp;number=&amp;sourceID=3","")</f>
        <v/>
      </c>
      <c r="N308" s="4" t="str">
        <f>HYPERLINK("http://141.218.60.56/~jnz1568/getInfo.php?workbook=08_06.xlsx&amp;sheet=A0&amp;row=308&amp;col=14&amp;number=35930&amp;sourceID=7","35930")</f>
        <v>35930</v>
      </c>
      <c r="O308" s="4" t="str">
        <f>HYPERLINK("http://141.218.60.56/~jnz1568/getInfo.php?workbook=08_06.xlsx&amp;sheet=A0&amp;row=308&amp;col=15&amp;number=&amp;sourceID=5","")</f>
        <v/>
      </c>
      <c r="P308" s="4" t="str">
        <f>HYPERLINK("http://141.218.60.56/~jnz1568/getInfo.php?workbook=08_06.xlsx&amp;sheet=A0&amp;row=308&amp;col=16&amp;number=&amp;sourceID=5","")</f>
        <v/>
      </c>
      <c r="Q308" s="4" t="str">
        <f>HYPERLINK("http://141.218.60.56/~jnz1568/getInfo.php?workbook=08_06.xlsx&amp;sheet=A0&amp;row=308&amp;col=17&amp;number=&amp;sourceID=6","")</f>
        <v/>
      </c>
    </row>
    <row r="309" spans="1:17">
      <c r="A309" s="3">
        <v>8</v>
      </c>
      <c r="B309" s="3">
        <v>6</v>
      </c>
      <c r="C309" s="3">
        <v>38</v>
      </c>
      <c r="D309" s="3">
        <v>21</v>
      </c>
      <c r="E309" s="3">
        <f>((1/(INDEX(E0!J$4:J$49,C309,1)-INDEX(E0!J$4:J$49,D309,1))))*100000000</f>
        <v>0</v>
      </c>
      <c r="F309" s="4" t="str">
        <f>HYPERLINK("http://141.218.60.56/~jnz1568/getInfo.php?workbook=08_06.xlsx&amp;sheet=A0&amp;row=309&amp;col=6&amp;number=390260&amp;sourceID=3","390260")</f>
        <v>390260</v>
      </c>
      <c r="G309" s="4" t="str">
        <f>HYPERLINK("http://141.218.60.56/~jnz1568/getInfo.php?workbook=08_06.xlsx&amp;sheet=A0&amp;row=309&amp;col=7&amp;number=&amp;sourceID=3","")</f>
        <v/>
      </c>
      <c r="H309" s="4" t="str">
        <f>HYPERLINK("http://141.218.60.56/~jnz1568/getInfo.php?workbook=08_06.xlsx&amp;sheet=A0&amp;row=309&amp;col=8&amp;number=&amp;sourceID=3","")</f>
        <v/>
      </c>
      <c r="I309" s="4" t="str">
        <f>HYPERLINK("http://141.218.60.56/~jnz1568/getInfo.php?workbook=08_06.xlsx&amp;sheet=A0&amp;row=309&amp;col=9&amp;number=&amp;sourceID=3","")</f>
        <v/>
      </c>
      <c r="J309" s="4" t="str">
        <f>HYPERLINK("http://141.218.60.56/~jnz1568/getInfo.php?workbook=08_06.xlsx&amp;sheet=A0&amp;row=309&amp;col=10&amp;number=463810&amp;sourceID=3","463810")</f>
        <v>463810</v>
      </c>
      <c r="K309" s="4" t="str">
        <f>HYPERLINK("http://141.218.60.56/~jnz1568/getInfo.php?workbook=08_06.xlsx&amp;sheet=A0&amp;row=309&amp;col=11&amp;number=&amp;sourceID=3","")</f>
        <v/>
      </c>
      <c r="L309" s="4" t="str">
        <f>HYPERLINK("http://141.218.60.56/~jnz1568/getInfo.php?workbook=08_06.xlsx&amp;sheet=A0&amp;row=309&amp;col=12&amp;number=&amp;sourceID=3","")</f>
        <v/>
      </c>
      <c r="M309" s="4" t="str">
        <f>HYPERLINK("http://141.218.60.56/~jnz1568/getInfo.php?workbook=08_06.xlsx&amp;sheet=A0&amp;row=309&amp;col=13&amp;number=&amp;sourceID=3","")</f>
        <v/>
      </c>
      <c r="N309" s="4" t="str">
        <f>HYPERLINK("http://141.218.60.56/~jnz1568/getInfo.php?workbook=08_06.xlsx&amp;sheet=A0&amp;row=309&amp;col=14&amp;number=715500&amp;sourceID=7","715500")</f>
        <v>715500</v>
      </c>
      <c r="O309" s="4" t="str">
        <f>HYPERLINK("http://141.218.60.56/~jnz1568/getInfo.php?workbook=08_06.xlsx&amp;sheet=A0&amp;row=309&amp;col=15&amp;number=&amp;sourceID=5","")</f>
        <v/>
      </c>
      <c r="P309" s="4" t="str">
        <f>HYPERLINK("http://141.218.60.56/~jnz1568/getInfo.php?workbook=08_06.xlsx&amp;sheet=A0&amp;row=309&amp;col=16&amp;number=&amp;sourceID=5","")</f>
        <v/>
      </c>
      <c r="Q309" s="4" t="str">
        <f>HYPERLINK("http://141.218.60.56/~jnz1568/getInfo.php?workbook=08_06.xlsx&amp;sheet=A0&amp;row=309&amp;col=17&amp;number=&amp;sourceID=6","")</f>
        <v/>
      </c>
    </row>
    <row r="310" spans="1:17">
      <c r="A310" s="3">
        <v>8</v>
      </c>
      <c r="B310" s="3">
        <v>6</v>
      </c>
      <c r="C310" s="3">
        <v>38</v>
      </c>
      <c r="D310" s="3">
        <v>22</v>
      </c>
      <c r="E310" s="3">
        <f>((1/(INDEX(E0!J$4:J$49,C310,1)-INDEX(E0!J$4:J$49,D310,1))))*100000000</f>
        <v>0</v>
      </c>
      <c r="F310" s="4" t="str">
        <f>HYPERLINK("http://141.218.60.56/~jnz1568/getInfo.php?workbook=08_06.xlsx&amp;sheet=A0&amp;row=310&amp;col=6&amp;number=593620&amp;sourceID=3","593620")</f>
        <v>593620</v>
      </c>
      <c r="G310" s="4" t="str">
        <f>HYPERLINK("http://141.218.60.56/~jnz1568/getInfo.php?workbook=08_06.xlsx&amp;sheet=A0&amp;row=310&amp;col=7&amp;number=&amp;sourceID=3","")</f>
        <v/>
      </c>
      <c r="H310" s="4" t="str">
        <f>HYPERLINK("http://141.218.60.56/~jnz1568/getInfo.php?workbook=08_06.xlsx&amp;sheet=A0&amp;row=310&amp;col=8&amp;number=&amp;sourceID=3","")</f>
        <v/>
      </c>
      <c r="I310" s="4" t="str">
        <f>HYPERLINK("http://141.218.60.56/~jnz1568/getInfo.php?workbook=08_06.xlsx&amp;sheet=A0&amp;row=310&amp;col=9&amp;number=&amp;sourceID=3","")</f>
        <v/>
      </c>
      <c r="J310" s="4" t="str">
        <f>HYPERLINK("http://141.218.60.56/~jnz1568/getInfo.php?workbook=08_06.xlsx&amp;sheet=A0&amp;row=310&amp;col=10&amp;number=708510&amp;sourceID=3","708510")</f>
        <v>708510</v>
      </c>
      <c r="K310" s="4" t="str">
        <f>HYPERLINK("http://141.218.60.56/~jnz1568/getInfo.php?workbook=08_06.xlsx&amp;sheet=A0&amp;row=310&amp;col=11&amp;number=&amp;sourceID=3","")</f>
        <v/>
      </c>
      <c r="L310" s="4" t="str">
        <f>HYPERLINK("http://141.218.60.56/~jnz1568/getInfo.php?workbook=08_06.xlsx&amp;sheet=A0&amp;row=310&amp;col=12&amp;number=&amp;sourceID=3","")</f>
        <v/>
      </c>
      <c r="M310" s="4" t="str">
        <f>HYPERLINK("http://141.218.60.56/~jnz1568/getInfo.php?workbook=08_06.xlsx&amp;sheet=A0&amp;row=310&amp;col=13&amp;number=&amp;sourceID=3","")</f>
        <v/>
      </c>
      <c r="N310" s="4" t="str">
        <f>HYPERLINK("http://141.218.60.56/~jnz1568/getInfo.php?workbook=08_06.xlsx&amp;sheet=A0&amp;row=310&amp;col=14&amp;number=1083000&amp;sourceID=7","1083000")</f>
        <v>1083000</v>
      </c>
      <c r="O310" s="4" t="str">
        <f>HYPERLINK("http://141.218.60.56/~jnz1568/getInfo.php?workbook=08_06.xlsx&amp;sheet=A0&amp;row=310&amp;col=15&amp;number=&amp;sourceID=5","")</f>
        <v/>
      </c>
      <c r="P310" s="4" t="str">
        <f>HYPERLINK("http://141.218.60.56/~jnz1568/getInfo.php?workbook=08_06.xlsx&amp;sheet=A0&amp;row=310&amp;col=16&amp;number=&amp;sourceID=5","")</f>
        <v/>
      </c>
      <c r="Q310" s="4" t="str">
        <f>HYPERLINK("http://141.218.60.56/~jnz1568/getInfo.php?workbook=08_06.xlsx&amp;sheet=A0&amp;row=310&amp;col=17&amp;number=&amp;sourceID=6","")</f>
        <v/>
      </c>
    </row>
    <row r="311" spans="1:17">
      <c r="A311" s="3">
        <v>8</v>
      </c>
      <c r="B311" s="3">
        <v>6</v>
      </c>
      <c r="C311" s="3">
        <v>38</v>
      </c>
      <c r="D311" s="3">
        <v>23</v>
      </c>
      <c r="E311" s="3">
        <f>((1/(INDEX(E0!J$4:J$49,C311,1)-INDEX(E0!J$4:J$49,D311,1))))*100000000</f>
        <v>0</v>
      </c>
      <c r="F311" s="4" t="str">
        <f>HYPERLINK("http://141.218.60.56/~jnz1568/getInfo.php?workbook=08_06.xlsx&amp;sheet=A0&amp;row=311&amp;col=6&amp;number=601170&amp;sourceID=3","601170")</f>
        <v>601170</v>
      </c>
      <c r="G311" s="4" t="str">
        <f>HYPERLINK("http://141.218.60.56/~jnz1568/getInfo.php?workbook=08_06.xlsx&amp;sheet=A0&amp;row=311&amp;col=7&amp;number=&amp;sourceID=3","")</f>
        <v/>
      </c>
      <c r="H311" s="4" t="str">
        <f>HYPERLINK("http://141.218.60.56/~jnz1568/getInfo.php?workbook=08_06.xlsx&amp;sheet=A0&amp;row=311&amp;col=8&amp;number=&amp;sourceID=3","")</f>
        <v/>
      </c>
      <c r="I311" s="4" t="str">
        <f>HYPERLINK("http://141.218.60.56/~jnz1568/getInfo.php?workbook=08_06.xlsx&amp;sheet=A0&amp;row=311&amp;col=9&amp;number=&amp;sourceID=3","")</f>
        <v/>
      </c>
      <c r="J311" s="4" t="str">
        <f>HYPERLINK("http://141.218.60.56/~jnz1568/getInfo.php?workbook=08_06.xlsx&amp;sheet=A0&amp;row=311&amp;col=10&amp;number=593210&amp;sourceID=3","593210")</f>
        <v>593210</v>
      </c>
      <c r="K311" s="4" t="str">
        <f>HYPERLINK("http://141.218.60.56/~jnz1568/getInfo.php?workbook=08_06.xlsx&amp;sheet=A0&amp;row=311&amp;col=11&amp;number=&amp;sourceID=3","")</f>
        <v/>
      </c>
      <c r="L311" s="4" t="str">
        <f>HYPERLINK("http://141.218.60.56/~jnz1568/getInfo.php?workbook=08_06.xlsx&amp;sheet=A0&amp;row=311&amp;col=12&amp;number=&amp;sourceID=3","")</f>
        <v/>
      </c>
      <c r="M311" s="4" t="str">
        <f>HYPERLINK("http://141.218.60.56/~jnz1568/getInfo.php?workbook=08_06.xlsx&amp;sheet=A0&amp;row=311&amp;col=13&amp;number=&amp;sourceID=3","")</f>
        <v/>
      </c>
      <c r="N311" s="4" t="str">
        <f>HYPERLINK("http://141.218.60.56/~jnz1568/getInfo.php?workbook=08_06.xlsx&amp;sheet=A0&amp;row=311&amp;col=14&amp;number=200300&amp;sourceID=7","200300")</f>
        <v>200300</v>
      </c>
      <c r="O311" s="4" t="str">
        <f>HYPERLINK("http://141.218.60.56/~jnz1568/getInfo.php?workbook=08_06.xlsx&amp;sheet=A0&amp;row=311&amp;col=15&amp;number=&amp;sourceID=5","")</f>
        <v/>
      </c>
      <c r="P311" s="4" t="str">
        <f>HYPERLINK("http://141.218.60.56/~jnz1568/getInfo.php?workbook=08_06.xlsx&amp;sheet=A0&amp;row=311&amp;col=16&amp;number=&amp;sourceID=5","")</f>
        <v/>
      </c>
      <c r="Q311" s="4" t="str">
        <f>HYPERLINK("http://141.218.60.56/~jnz1568/getInfo.php?workbook=08_06.xlsx&amp;sheet=A0&amp;row=311&amp;col=17&amp;number=&amp;sourceID=6","")</f>
        <v/>
      </c>
    </row>
    <row r="312" spans="1:17">
      <c r="A312" s="3">
        <v>8</v>
      </c>
      <c r="B312" s="3">
        <v>6</v>
      </c>
      <c r="C312" s="3">
        <v>38</v>
      </c>
      <c r="D312" s="3">
        <v>24</v>
      </c>
      <c r="E312" s="3">
        <f>((1/(INDEX(E0!J$4:J$49,C312,1)-INDEX(E0!J$4:J$49,D312,1))))*100000000</f>
        <v>0</v>
      </c>
      <c r="F312" s="4" t="str">
        <f>HYPERLINK("http://141.218.60.56/~jnz1568/getInfo.php?workbook=08_06.xlsx&amp;sheet=A0&amp;row=312&amp;col=6&amp;number=47960000&amp;sourceID=3","47960000")</f>
        <v>47960000</v>
      </c>
      <c r="G312" s="4" t="str">
        <f>HYPERLINK("http://141.218.60.56/~jnz1568/getInfo.php?workbook=08_06.xlsx&amp;sheet=A0&amp;row=312&amp;col=7&amp;number=&amp;sourceID=3","")</f>
        <v/>
      </c>
      <c r="H312" s="4" t="str">
        <f>HYPERLINK("http://141.218.60.56/~jnz1568/getInfo.php?workbook=08_06.xlsx&amp;sheet=A0&amp;row=312&amp;col=8&amp;number=&amp;sourceID=3","")</f>
        <v/>
      </c>
      <c r="I312" s="4" t="str">
        <f>HYPERLINK("http://141.218.60.56/~jnz1568/getInfo.php?workbook=08_06.xlsx&amp;sheet=A0&amp;row=312&amp;col=9&amp;number=&amp;sourceID=3","")</f>
        <v/>
      </c>
      <c r="J312" s="4" t="str">
        <f>HYPERLINK("http://141.218.60.56/~jnz1568/getInfo.php?workbook=08_06.xlsx&amp;sheet=A0&amp;row=312&amp;col=10&amp;number=47480000&amp;sourceID=3","47480000")</f>
        <v>47480000</v>
      </c>
      <c r="K312" s="4" t="str">
        <f>HYPERLINK("http://141.218.60.56/~jnz1568/getInfo.php?workbook=08_06.xlsx&amp;sheet=A0&amp;row=312&amp;col=11&amp;number=&amp;sourceID=3","")</f>
        <v/>
      </c>
      <c r="L312" s="4" t="str">
        <f>HYPERLINK("http://141.218.60.56/~jnz1568/getInfo.php?workbook=08_06.xlsx&amp;sheet=A0&amp;row=312&amp;col=12&amp;number=&amp;sourceID=3","")</f>
        <v/>
      </c>
      <c r="M312" s="4" t="str">
        <f>HYPERLINK("http://141.218.60.56/~jnz1568/getInfo.php?workbook=08_06.xlsx&amp;sheet=A0&amp;row=312&amp;col=13&amp;number=&amp;sourceID=3","")</f>
        <v/>
      </c>
      <c r="N312" s="4" t="str">
        <f>HYPERLINK("http://141.218.60.56/~jnz1568/getInfo.php?workbook=08_06.xlsx&amp;sheet=A0&amp;row=312&amp;col=14&amp;number=36440000&amp;sourceID=7","36440000")</f>
        <v>36440000</v>
      </c>
      <c r="O312" s="4" t="str">
        <f>HYPERLINK("http://141.218.60.56/~jnz1568/getInfo.php?workbook=08_06.xlsx&amp;sheet=A0&amp;row=312&amp;col=15&amp;number=&amp;sourceID=5","")</f>
        <v/>
      </c>
      <c r="P312" s="4" t="str">
        <f>HYPERLINK("http://141.218.60.56/~jnz1568/getInfo.php?workbook=08_06.xlsx&amp;sheet=A0&amp;row=312&amp;col=16&amp;number=&amp;sourceID=5","")</f>
        <v/>
      </c>
      <c r="Q312" s="4" t="str">
        <f>HYPERLINK("http://141.218.60.56/~jnz1568/getInfo.php?workbook=08_06.xlsx&amp;sheet=A0&amp;row=312&amp;col=17&amp;number=&amp;sourceID=6","")</f>
        <v/>
      </c>
    </row>
    <row r="313" spans="1:17">
      <c r="A313" s="3">
        <v>8</v>
      </c>
      <c r="B313" s="3">
        <v>6</v>
      </c>
      <c r="C313" s="3">
        <v>38</v>
      </c>
      <c r="D313" s="3">
        <v>25</v>
      </c>
      <c r="E313" s="3">
        <f>((1/(INDEX(E0!J$4:J$49,C313,1)-INDEX(E0!J$4:J$49,D313,1))))*100000000</f>
        <v>0</v>
      </c>
      <c r="F313" s="4" t="str">
        <f>HYPERLINK("http://141.218.60.56/~jnz1568/getInfo.php?workbook=08_06.xlsx&amp;sheet=A0&amp;row=313&amp;col=6&amp;number=14474000&amp;sourceID=3","14474000")</f>
        <v>14474000</v>
      </c>
      <c r="G313" s="4" t="str">
        <f>HYPERLINK("http://141.218.60.56/~jnz1568/getInfo.php?workbook=08_06.xlsx&amp;sheet=A0&amp;row=313&amp;col=7&amp;number=&amp;sourceID=3","")</f>
        <v/>
      </c>
      <c r="H313" s="4" t="str">
        <f>HYPERLINK("http://141.218.60.56/~jnz1568/getInfo.php?workbook=08_06.xlsx&amp;sheet=A0&amp;row=313&amp;col=8&amp;number=&amp;sourceID=3","")</f>
        <v/>
      </c>
      <c r="I313" s="4" t="str">
        <f>HYPERLINK("http://141.218.60.56/~jnz1568/getInfo.php?workbook=08_06.xlsx&amp;sheet=A0&amp;row=313&amp;col=9&amp;number=&amp;sourceID=3","")</f>
        <v/>
      </c>
      <c r="J313" s="4" t="str">
        <f>HYPERLINK("http://141.218.60.56/~jnz1568/getInfo.php?workbook=08_06.xlsx&amp;sheet=A0&amp;row=313&amp;col=10&amp;number=14337000&amp;sourceID=3","14337000")</f>
        <v>14337000</v>
      </c>
      <c r="K313" s="4" t="str">
        <f>HYPERLINK("http://141.218.60.56/~jnz1568/getInfo.php?workbook=08_06.xlsx&amp;sheet=A0&amp;row=313&amp;col=11&amp;number=&amp;sourceID=3","")</f>
        <v/>
      </c>
      <c r="L313" s="4" t="str">
        <f>HYPERLINK("http://141.218.60.56/~jnz1568/getInfo.php?workbook=08_06.xlsx&amp;sheet=A0&amp;row=313&amp;col=12&amp;number=&amp;sourceID=3","")</f>
        <v/>
      </c>
      <c r="M313" s="4" t="str">
        <f>HYPERLINK("http://141.218.60.56/~jnz1568/getInfo.php?workbook=08_06.xlsx&amp;sheet=A0&amp;row=313&amp;col=13&amp;number=&amp;sourceID=3","")</f>
        <v/>
      </c>
      <c r="N313" s="4" t="str">
        <f>HYPERLINK("http://141.218.60.56/~jnz1568/getInfo.php?workbook=08_06.xlsx&amp;sheet=A0&amp;row=313&amp;col=14&amp;number=11020000&amp;sourceID=7","11020000")</f>
        <v>11020000</v>
      </c>
      <c r="O313" s="4" t="str">
        <f>HYPERLINK("http://141.218.60.56/~jnz1568/getInfo.php?workbook=08_06.xlsx&amp;sheet=A0&amp;row=313&amp;col=15&amp;number=&amp;sourceID=5","")</f>
        <v/>
      </c>
      <c r="P313" s="4" t="str">
        <f>HYPERLINK("http://141.218.60.56/~jnz1568/getInfo.php?workbook=08_06.xlsx&amp;sheet=A0&amp;row=313&amp;col=16&amp;number=&amp;sourceID=5","")</f>
        <v/>
      </c>
      <c r="Q313" s="4" t="str">
        <f>HYPERLINK("http://141.218.60.56/~jnz1568/getInfo.php?workbook=08_06.xlsx&amp;sheet=A0&amp;row=313&amp;col=17&amp;number=&amp;sourceID=6","")</f>
        <v/>
      </c>
    </row>
    <row r="314" spans="1:17">
      <c r="A314" s="3">
        <v>8</v>
      </c>
      <c r="B314" s="3">
        <v>6</v>
      </c>
      <c r="C314" s="3">
        <v>38</v>
      </c>
      <c r="D314" s="3">
        <v>27</v>
      </c>
      <c r="E314" s="3">
        <f>((1/(INDEX(E0!J$4:J$49,C314,1)-INDEX(E0!J$4:J$49,D314,1))))*100000000</f>
        <v>0</v>
      </c>
      <c r="F314" s="4" t="str">
        <f>HYPERLINK("http://141.218.60.56/~jnz1568/getInfo.php?workbook=08_06.xlsx&amp;sheet=A0&amp;row=314&amp;col=6&amp;number=706800&amp;sourceID=3","706800")</f>
        <v>706800</v>
      </c>
      <c r="G314" s="4" t="str">
        <f>HYPERLINK("http://141.218.60.56/~jnz1568/getInfo.php?workbook=08_06.xlsx&amp;sheet=A0&amp;row=314&amp;col=7&amp;number=&amp;sourceID=3","")</f>
        <v/>
      </c>
      <c r="H314" s="4" t="str">
        <f>HYPERLINK("http://141.218.60.56/~jnz1568/getInfo.php?workbook=08_06.xlsx&amp;sheet=A0&amp;row=314&amp;col=8&amp;number=&amp;sourceID=3","")</f>
        <v/>
      </c>
      <c r="I314" s="4" t="str">
        <f>HYPERLINK("http://141.218.60.56/~jnz1568/getInfo.php?workbook=08_06.xlsx&amp;sheet=A0&amp;row=314&amp;col=9&amp;number=&amp;sourceID=3","")</f>
        <v/>
      </c>
      <c r="J314" s="4" t="str">
        <f>HYPERLINK("http://141.218.60.56/~jnz1568/getInfo.php?workbook=08_06.xlsx&amp;sheet=A0&amp;row=314&amp;col=10&amp;number=698510&amp;sourceID=3","698510")</f>
        <v>698510</v>
      </c>
      <c r="K314" s="4" t="str">
        <f>HYPERLINK("http://141.218.60.56/~jnz1568/getInfo.php?workbook=08_06.xlsx&amp;sheet=A0&amp;row=314&amp;col=11&amp;number=&amp;sourceID=3","")</f>
        <v/>
      </c>
      <c r="L314" s="4" t="str">
        <f>HYPERLINK("http://141.218.60.56/~jnz1568/getInfo.php?workbook=08_06.xlsx&amp;sheet=A0&amp;row=314&amp;col=12&amp;number=&amp;sourceID=3","")</f>
        <v/>
      </c>
      <c r="M314" s="4" t="str">
        <f>HYPERLINK("http://141.218.60.56/~jnz1568/getInfo.php?workbook=08_06.xlsx&amp;sheet=A0&amp;row=314&amp;col=13&amp;number=&amp;sourceID=3","")</f>
        <v/>
      </c>
      <c r="N314" s="4" t="str">
        <f>HYPERLINK("http://141.218.60.56/~jnz1568/getInfo.php?workbook=08_06.xlsx&amp;sheet=A0&amp;row=314&amp;col=14&amp;number=292600&amp;sourceID=7","292600")</f>
        <v>292600</v>
      </c>
      <c r="O314" s="4" t="str">
        <f>HYPERLINK("http://141.218.60.56/~jnz1568/getInfo.php?workbook=08_06.xlsx&amp;sheet=A0&amp;row=314&amp;col=15&amp;number=&amp;sourceID=5","")</f>
        <v/>
      </c>
      <c r="P314" s="4" t="str">
        <f>HYPERLINK("http://141.218.60.56/~jnz1568/getInfo.php?workbook=08_06.xlsx&amp;sheet=A0&amp;row=314&amp;col=16&amp;number=&amp;sourceID=5","")</f>
        <v/>
      </c>
      <c r="Q314" s="4" t="str">
        <f>HYPERLINK("http://141.218.60.56/~jnz1568/getInfo.php?workbook=08_06.xlsx&amp;sheet=A0&amp;row=314&amp;col=17&amp;number=&amp;sourceID=6","")</f>
        <v/>
      </c>
    </row>
    <row r="315" spans="1:17">
      <c r="A315" s="3">
        <v>8</v>
      </c>
      <c r="B315" s="3">
        <v>6</v>
      </c>
      <c r="C315" s="3">
        <v>38</v>
      </c>
      <c r="D315" s="3">
        <v>28</v>
      </c>
      <c r="E315" s="3">
        <f>((1/(INDEX(E0!J$4:J$49,C315,1)-INDEX(E0!J$4:J$49,D315,1))))*100000000</f>
        <v>0</v>
      </c>
      <c r="F315" s="4" t="str">
        <f>HYPERLINK("http://141.218.60.56/~jnz1568/getInfo.php?workbook=08_06.xlsx&amp;sheet=A0&amp;row=315&amp;col=6&amp;number=33.156&amp;sourceID=3","33.156")</f>
        <v>33.156</v>
      </c>
      <c r="G315" s="4" t="str">
        <f>HYPERLINK("http://141.218.60.56/~jnz1568/getInfo.php?workbook=08_06.xlsx&amp;sheet=A0&amp;row=315&amp;col=7&amp;number=&amp;sourceID=3","")</f>
        <v/>
      </c>
      <c r="H315" s="4" t="str">
        <f>HYPERLINK("http://141.218.60.56/~jnz1568/getInfo.php?workbook=08_06.xlsx&amp;sheet=A0&amp;row=315&amp;col=8&amp;number=&amp;sourceID=3","")</f>
        <v/>
      </c>
      <c r="I315" s="4" t="str">
        <f>HYPERLINK("http://141.218.60.56/~jnz1568/getInfo.php?workbook=08_06.xlsx&amp;sheet=A0&amp;row=315&amp;col=9&amp;number=&amp;sourceID=3","")</f>
        <v/>
      </c>
      <c r="J315" s="4" t="str">
        <f>HYPERLINK("http://141.218.60.56/~jnz1568/getInfo.php?workbook=08_06.xlsx&amp;sheet=A0&amp;row=315&amp;col=10&amp;number=126.03&amp;sourceID=3","126.03")</f>
        <v>126.03</v>
      </c>
      <c r="K315" s="4" t="str">
        <f>HYPERLINK("http://141.218.60.56/~jnz1568/getInfo.php?workbook=08_06.xlsx&amp;sheet=A0&amp;row=315&amp;col=11&amp;number=&amp;sourceID=3","")</f>
        <v/>
      </c>
      <c r="L315" s="4" t="str">
        <f>HYPERLINK("http://141.218.60.56/~jnz1568/getInfo.php?workbook=08_06.xlsx&amp;sheet=A0&amp;row=315&amp;col=12&amp;number=&amp;sourceID=3","")</f>
        <v/>
      </c>
      <c r="M315" s="4" t="str">
        <f>HYPERLINK("http://141.218.60.56/~jnz1568/getInfo.php?workbook=08_06.xlsx&amp;sheet=A0&amp;row=315&amp;col=13&amp;number=&amp;sourceID=3","")</f>
        <v/>
      </c>
      <c r="N315" s="4" t="str">
        <f>HYPERLINK("http://141.218.60.56/~jnz1568/getInfo.php?workbook=08_06.xlsx&amp;sheet=A0&amp;row=315&amp;col=14&amp;number=57.41&amp;sourceID=7","57.41")</f>
        <v>57.41</v>
      </c>
      <c r="O315" s="4" t="str">
        <f>HYPERLINK("http://141.218.60.56/~jnz1568/getInfo.php?workbook=08_06.xlsx&amp;sheet=A0&amp;row=315&amp;col=15&amp;number=&amp;sourceID=5","")</f>
        <v/>
      </c>
      <c r="P315" s="4" t="str">
        <f>HYPERLINK("http://141.218.60.56/~jnz1568/getInfo.php?workbook=08_06.xlsx&amp;sheet=A0&amp;row=315&amp;col=16&amp;number=&amp;sourceID=5","")</f>
        <v/>
      </c>
      <c r="Q315" s="4" t="str">
        <f>HYPERLINK("http://141.218.60.56/~jnz1568/getInfo.php?workbook=08_06.xlsx&amp;sheet=A0&amp;row=315&amp;col=17&amp;number=&amp;sourceID=6","")</f>
        <v/>
      </c>
    </row>
    <row r="316" spans="1:17">
      <c r="A316" s="3">
        <v>8</v>
      </c>
      <c r="B316" s="3">
        <v>6</v>
      </c>
      <c r="C316" s="3">
        <v>38</v>
      </c>
      <c r="D316" s="3">
        <v>29</v>
      </c>
      <c r="E316" s="3">
        <f>((1/(INDEX(E0!J$4:J$49,C316,1)-INDEX(E0!J$4:J$49,D316,1))))*100000000</f>
        <v>0</v>
      </c>
      <c r="F316" s="4" t="str">
        <f>HYPERLINK("http://141.218.60.56/~jnz1568/getInfo.php?workbook=08_06.xlsx&amp;sheet=A0&amp;row=316&amp;col=6&amp;number=59490000&amp;sourceID=3","59490000")</f>
        <v>59490000</v>
      </c>
      <c r="G316" s="4" t="str">
        <f>HYPERLINK("http://141.218.60.56/~jnz1568/getInfo.php?workbook=08_06.xlsx&amp;sheet=A0&amp;row=316&amp;col=7&amp;number=&amp;sourceID=3","")</f>
        <v/>
      </c>
      <c r="H316" s="4" t="str">
        <f>HYPERLINK("http://141.218.60.56/~jnz1568/getInfo.php?workbook=08_06.xlsx&amp;sheet=A0&amp;row=316&amp;col=8&amp;number=&amp;sourceID=3","")</f>
        <v/>
      </c>
      <c r="I316" s="4" t="str">
        <f>HYPERLINK("http://141.218.60.56/~jnz1568/getInfo.php?workbook=08_06.xlsx&amp;sheet=A0&amp;row=316&amp;col=9&amp;number=&amp;sourceID=3","")</f>
        <v/>
      </c>
      <c r="J316" s="4" t="str">
        <f>HYPERLINK("http://141.218.60.56/~jnz1568/getInfo.php?workbook=08_06.xlsx&amp;sheet=A0&amp;row=316&amp;col=10&amp;number=59027000&amp;sourceID=3","59027000")</f>
        <v>59027000</v>
      </c>
      <c r="K316" s="4" t="str">
        <f>HYPERLINK("http://141.218.60.56/~jnz1568/getInfo.php?workbook=08_06.xlsx&amp;sheet=A0&amp;row=316&amp;col=11&amp;number=&amp;sourceID=3","")</f>
        <v/>
      </c>
      <c r="L316" s="4" t="str">
        <f>HYPERLINK("http://141.218.60.56/~jnz1568/getInfo.php?workbook=08_06.xlsx&amp;sheet=A0&amp;row=316&amp;col=12&amp;number=&amp;sourceID=3","")</f>
        <v/>
      </c>
      <c r="M316" s="4" t="str">
        <f>HYPERLINK("http://141.218.60.56/~jnz1568/getInfo.php?workbook=08_06.xlsx&amp;sheet=A0&amp;row=316&amp;col=13&amp;number=&amp;sourceID=3","")</f>
        <v/>
      </c>
      <c r="N316" s="4" t="str">
        <f>HYPERLINK("http://141.218.60.56/~jnz1568/getInfo.php?workbook=08_06.xlsx&amp;sheet=A0&amp;row=316&amp;col=14&amp;number=38190000&amp;sourceID=7","38190000")</f>
        <v>38190000</v>
      </c>
      <c r="O316" s="4" t="str">
        <f>HYPERLINK("http://141.218.60.56/~jnz1568/getInfo.php?workbook=08_06.xlsx&amp;sheet=A0&amp;row=316&amp;col=15&amp;number=&amp;sourceID=5","")</f>
        <v/>
      </c>
      <c r="P316" s="4" t="str">
        <f>HYPERLINK("http://141.218.60.56/~jnz1568/getInfo.php?workbook=08_06.xlsx&amp;sheet=A0&amp;row=316&amp;col=16&amp;number=&amp;sourceID=5","")</f>
        <v/>
      </c>
      <c r="Q316" s="4" t="str">
        <f>HYPERLINK("http://141.218.60.56/~jnz1568/getInfo.php?workbook=08_06.xlsx&amp;sheet=A0&amp;row=316&amp;col=17&amp;number=&amp;sourceID=6","")</f>
        <v/>
      </c>
    </row>
    <row r="317" spans="1:17">
      <c r="A317" s="3">
        <v>8</v>
      </c>
      <c r="B317" s="3">
        <v>6</v>
      </c>
      <c r="C317" s="3">
        <v>38</v>
      </c>
      <c r="D317" s="3">
        <v>30</v>
      </c>
      <c r="E317" s="3">
        <f>((1/(INDEX(E0!J$4:J$49,C317,1)-INDEX(E0!J$4:J$49,D317,1))))*100000000</f>
        <v>0</v>
      </c>
      <c r="F317" s="4" t="str">
        <f>HYPERLINK("http://141.218.60.56/~jnz1568/getInfo.php?workbook=08_06.xlsx&amp;sheet=A0&amp;row=317&amp;col=6&amp;number=40299000&amp;sourceID=3","40299000")</f>
        <v>40299000</v>
      </c>
      <c r="G317" s="4" t="str">
        <f>HYPERLINK("http://141.218.60.56/~jnz1568/getInfo.php?workbook=08_06.xlsx&amp;sheet=A0&amp;row=317&amp;col=7&amp;number=&amp;sourceID=3","")</f>
        <v/>
      </c>
      <c r="H317" s="4" t="str">
        <f>HYPERLINK("http://141.218.60.56/~jnz1568/getInfo.php?workbook=08_06.xlsx&amp;sheet=A0&amp;row=317&amp;col=8&amp;number=&amp;sourceID=3","")</f>
        <v/>
      </c>
      <c r="I317" s="4" t="str">
        <f>HYPERLINK("http://141.218.60.56/~jnz1568/getInfo.php?workbook=08_06.xlsx&amp;sheet=A0&amp;row=317&amp;col=9&amp;number=&amp;sourceID=3","")</f>
        <v/>
      </c>
      <c r="J317" s="4" t="str">
        <f>HYPERLINK("http://141.218.60.56/~jnz1568/getInfo.php?workbook=08_06.xlsx&amp;sheet=A0&amp;row=317&amp;col=10&amp;number=40008000&amp;sourceID=3","40008000")</f>
        <v>40008000</v>
      </c>
      <c r="K317" s="4" t="str">
        <f>HYPERLINK("http://141.218.60.56/~jnz1568/getInfo.php?workbook=08_06.xlsx&amp;sheet=A0&amp;row=317&amp;col=11&amp;number=&amp;sourceID=3","")</f>
        <v/>
      </c>
      <c r="L317" s="4" t="str">
        <f>HYPERLINK("http://141.218.60.56/~jnz1568/getInfo.php?workbook=08_06.xlsx&amp;sheet=A0&amp;row=317&amp;col=12&amp;number=&amp;sourceID=3","")</f>
        <v/>
      </c>
      <c r="M317" s="4" t="str">
        <f>HYPERLINK("http://141.218.60.56/~jnz1568/getInfo.php?workbook=08_06.xlsx&amp;sheet=A0&amp;row=317&amp;col=13&amp;number=&amp;sourceID=3","")</f>
        <v/>
      </c>
      <c r="N317" s="4" t="str">
        <f>HYPERLINK("http://141.218.60.56/~jnz1568/getInfo.php?workbook=08_06.xlsx&amp;sheet=A0&amp;row=317&amp;col=14&amp;number=26300000&amp;sourceID=7","26300000")</f>
        <v>26300000</v>
      </c>
      <c r="O317" s="4" t="str">
        <f>HYPERLINK("http://141.218.60.56/~jnz1568/getInfo.php?workbook=08_06.xlsx&amp;sheet=A0&amp;row=317&amp;col=15&amp;number=&amp;sourceID=5","")</f>
        <v/>
      </c>
      <c r="P317" s="4" t="str">
        <f>HYPERLINK("http://141.218.60.56/~jnz1568/getInfo.php?workbook=08_06.xlsx&amp;sheet=A0&amp;row=317&amp;col=16&amp;number=&amp;sourceID=5","")</f>
        <v/>
      </c>
      <c r="Q317" s="4" t="str">
        <f>HYPERLINK("http://141.218.60.56/~jnz1568/getInfo.php?workbook=08_06.xlsx&amp;sheet=A0&amp;row=317&amp;col=17&amp;number=&amp;sourceID=6","")</f>
        <v/>
      </c>
    </row>
    <row r="318" spans="1:17">
      <c r="A318" s="3">
        <v>8</v>
      </c>
      <c r="B318" s="3">
        <v>6</v>
      </c>
      <c r="C318" s="3">
        <v>38</v>
      </c>
      <c r="D318" s="3">
        <v>31</v>
      </c>
      <c r="E318" s="3">
        <f>((1/(INDEX(E0!J$4:J$49,C318,1)-INDEX(E0!J$4:J$49,D318,1))))*100000000</f>
        <v>0</v>
      </c>
      <c r="F318" s="4" t="str">
        <f>HYPERLINK("http://141.218.60.56/~jnz1568/getInfo.php?workbook=08_06.xlsx&amp;sheet=A0&amp;row=318&amp;col=6&amp;number=2227400&amp;sourceID=3","2227400")</f>
        <v>2227400</v>
      </c>
      <c r="G318" s="4" t="str">
        <f>HYPERLINK("http://141.218.60.56/~jnz1568/getInfo.php?workbook=08_06.xlsx&amp;sheet=A0&amp;row=318&amp;col=7&amp;number=&amp;sourceID=3","")</f>
        <v/>
      </c>
      <c r="H318" s="4" t="str">
        <f>HYPERLINK("http://141.218.60.56/~jnz1568/getInfo.php?workbook=08_06.xlsx&amp;sheet=A0&amp;row=318&amp;col=8&amp;number=&amp;sourceID=3","")</f>
        <v/>
      </c>
      <c r="I318" s="4" t="str">
        <f>HYPERLINK("http://141.218.60.56/~jnz1568/getInfo.php?workbook=08_06.xlsx&amp;sheet=A0&amp;row=318&amp;col=9&amp;number=&amp;sourceID=3","")</f>
        <v/>
      </c>
      <c r="J318" s="4" t="str">
        <f>HYPERLINK("http://141.218.60.56/~jnz1568/getInfo.php?workbook=08_06.xlsx&amp;sheet=A0&amp;row=318&amp;col=10&amp;number=2214000&amp;sourceID=3","2214000")</f>
        <v>2214000</v>
      </c>
      <c r="K318" s="4" t="str">
        <f>HYPERLINK("http://141.218.60.56/~jnz1568/getInfo.php?workbook=08_06.xlsx&amp;sheet=A0&amp;row=318&amp;col=11&amp;number=&amp;sourceID=3","")</f>
        <v/>
      </c>
      <c r="L318" s="4" t="str">
        <f>HYPERLINK("http://141.218.60.56/~jnz1568/getInfo.php?workbook=08_06.xlsx&amp;sheet=A0&amp;row=318&amp;col=12&amp;number=&amp;sourceID=3","")</f>
        <v/>
      </c>
      <c r="M318" s="4" t="str">
        <f>HYPERLINK("http://141.218.60.56/~jnz1568/getInfo.php?workbook=08_06.xlsx&amp;sheet=A0&amp;row=318&amp;col=13&amp;number=&amp;sourceID=3","")</f>
        <v/>
      </c>
      <c r="N318" s="4" t="str">
        <f>HYPERLINK("http://141.218.60.56/~jnz1568/getInfo.php?workbook=08_06.xlsx&amp;sheet=A0&amp;row=318&amp;col=14&amp;number=1483000&amp;sourceID=7","1483000")</f>
        <v>1483000</v>
      </c>
      <c r="O318" s="4" t="str">
        <f>HYPERLINK("http://141.218.60.56/~jnz1568/getInfo.php?workbook=08_06.xlsx&amp;sheet=A0&amp;row=318&amp;col=15&amp;number=&amp;sourceID=5","")</f>
        <v/>
      </c>
      <c r="P318" s="4" t="str">
        <f>HYPERLINK("http://141.218.60.56/~jnz1568/getInfo.php?workbook=08_06.xlsx&amp;sheet=A0&amp;row=318&amp;col=16&amp;number=&amp;sourceID=5","")</f>
        <v/>
      </c>
      <c r="Q318" s="4" t="str">
        <f>HYPERLINK("http://141.218.60.56/~jnz1568/getInfo.php?workbook=08_06.xlsx&amp;sheet=A0&amp;row=318&amp;col=17&amp;number=&amp;sourceID=6","")</f>
        <v/>
      </c>
    </row>
    <row r="319" spans="1:17">
      <c r="A319" s="3">
        <v>8</v>
      </c>
      <c r="B319" s="3">
        <v>6</v>
      </c>
      <c r="C319" s="3">
        <v>38</v>
      </c>
      <c r="D319" s="3">
        <v>32</v>
      </c>
      <c r="E319" s="3">
        <f>((1/(INDEX(E0!J$4:J$49,C319,1)-INDEX(E0!J$4:J$49,D319,1))))*100000000</f>
        <v>0</v>
      </c>
      <c r="F319" s="4" t="str">
        <f>HYPERLINK("http://141.218.60.56/~jnz1568/getInfo.php?workbook=08_06.xlsx&amp;sheet=A0&amp;row=319&amp;col=6&amp;number=2697.7&amp;sourceID=3","2697.7")</f>
        <v>2697.7</v>
      </c>
      <c r="G319" s="4" t="str">
        <f>HYPERLINK("http://141.218.60.56/~jnz1568/getInfo.php?workbook=08_06.xlsx&amp;sheet=A0&amp;row=319&amp;col=7&amp;number=&amp;sourceID=3","")</f>
        <v/>
      </c>
      <c r="H319" s="4" t="str">
        <f>HYPERLINK("http://141.218.60.56/~jnz1568/getInfo.php?workbook=08_06.xlsx&amp;sheet=A0&amp;row=319&amp;col=8&amp;number=&amp;sourceID=3","")</f>
        <v/>
      </c>
      <c r="I319" s="4" t="str">
        <f>HYPERLINK("http://141.218.60.56/~jnz1568/getInfo.php?workbook=08_06.xlsx&amp;sheet=A0&amp;row=319&amp;col=9&amp;number=&amp;sourceID=3","")</f>
        <v/>
      </c>
      <c r="J319" s="4" t="str">
        <f>HYPERLINK("http://141.218.60.56/~jnz1568/getInfo.php?workbook=08_06.xlsx&amp;sheet=A0&amp;row=319&amp;col=10&amp;number=2583.6&amp;sourceID=3","2583.6")</f>
        <v>2583.6</v>
      </c>
      <c r="K319" s="4" t="str">
        <f>HYPERLINK("http://141.218.60.56/~jnz1568/getInfo.php?workbook=08_06.xlsx&amp;sheet=A0&amp;row=319&amp;col=11&amp;number=&amp;sourceID=3","")</f>
        <v/>
      </c>
      <c r="L319" s="4" t="str">
        <f>HYPERLINK("http://141.218.60.56/~jnz1568/getInfo.php?workbook=08_06.xlsx&amp;sheet=A0&amp;row=319&amp;col=12&amp;number=&amp;sourceID=3","")</f>
        <v/>
      </c>
      <c r="M319" s="4" t="str">
        <f>HYPERLINK("http://141.218.60.56/~jnz1568/getInfo.php?workbook=08_06.xlsx&amp;sheet=A0&amp;row=319&amp;col=13&amp;number=&amp;sourceID=3","")</f>
        <v/>
      </c>
      <c r="N319" s="4" t="str">
        <f>HYPERLINK("http://141.218.60.56/~jnz1568/getInfo.php?workbook=08_06.xlsx&amp;sheet=A0&amp;row=319&amp;col=14&amp;number=841.9&amp;sourceID=7","841.9")</f>
        <v>841.9</v>
      </c>
      <c r="O319" s="4" t="str">
        <f>HYPERLINK("http://141.218.60.56/~jnz1568/getInfo.php?workbook=08_06.xlsx&amp;sheet=A0&amp;row=319&amp;col=15&amp;number=&amp;sourceID=5","")</f>
        <v/>
      </c>
      <c r="P319" s="4" t="str">
        <f>HYPERLINK("http://141.218.60.56/~jnz1568/getInfo.php?workbook=08_06.xlsx&amp;sheet=A0&amp;row=319&amp;col=16&amp;number=&amp;sourceID=5","")</f>
        <v/>
      </c>
      <c r="Q319" s="4" t="str">
        <f>HYPERLINK("http://141.218.60.56/~jnz1568/getInfo.php?workbook=08_06.xlsx&amp;sheet=A0&amp;row=319&amp;col=17&amp;number=&amp;sourceID=6","")</f>
        <v/>
      </c>
    </row>
    <row r="320" spans="1:17">
      <c r="A320" s="3">
        <v>8</v>
      </c>
      <c r="B320" s="3">
        <v>6</v>
      </c>
      <c r="C320" s="3">
        <v>38</v>
      </c>
      <c r="D320" s="3">
        <v>33</v>
      </c>
      <c r="E320" s="3">
        <f>((1/(INDEX(E0!J$4:J$49,C320,1)-INDEX(E0!J$4:J$49,D320,1))))*100000000</f>
        <v>0</v>
      </c>
      <c r="F320" s="4" t="str">
        <f>HYPERLINK("http://141.218.60.56/~jnz1568/getInfo.php?workbook=08_06.xlsx&amp;sheet=A0&amp;row=320&amp;col=6&amp;number=4131.7&amp;sourceID=3","4131.7")</f>
        <v>4131.7</v>
      </c>
      <c r="G320" s="4" t="str">
        <f>HYPERLINK("http://141.218.60.56/~jnz1568/getInfo.php?workbook=08_06.xlsx&amp;sheet=A0&amp;row=320&amp;col=7&amp;number=&amp;sourceID=3","")</f>
        <v/>
      </c>
      <c r="H320" s="4" t="str">
        <f>HYPERLINK("http://141.218.60.56/~jnz1568/getInfo.php?workbook=08_06.xlsx&amp;sheet=A0&amp;row=320&amp;col=8&amp;number=&amp;sourceID=3","")</f>
        <v/>
      </c>
      <c r="I320" s="4" t="str">
        <f>HYPERLINK("http://141.218.60.56/~jnz1568/getInfo.php?workbook=08_06.xlsx&amp;sheet=A0&amp;row=320&amp;col=9&amp;number=&amp;sourceID=3","")</f>
        <v/>
      </c>
      <c r="J320" s="4" t="str">
        <f>HYPERLINK("http://141.218.60.56/~jnz1568/getInfo.php?workbook=08_06.xlsx&amp;sheet=A0&amp;row=320&amp;col=10&amp;number=3859&amp;sourceID=3","3859")</f>
        <v>3859</v>
      </c>
      <c r="K320" s="4" t="str">
        <f>HYPERLINK("http://141.218.60.56/~jnz1568/getInfo.php?workbook=08_06.xlsx&amp;sheet=A0&amp;row=320&amp;col=11&amp;number=&amp;sourceID=3","")</f>
        <v/>
      </c>
      <c r="L320" s="4" t="str">
        <f>HYPERLINK("http://141.218.60.56/~jnz1568/getInfo.php?workbook=08_06.xlsx&amp;sheet=A0&amp;row=320&amp;col=12&amp;number=&amp;sourceID=3","")</f>
        <v/>
      </c>
      <c r="M320" s="4" t="str">
        <f>HYPERLINK("http://141.218.60.56/~jnz1568/getInfo.php?workbook=08_06.xlsx&amp;sheet=A0&amp;row=320&amp;col=13&amp;number=&amp;sourceID=3","")</f>
        <v/>
      </c>
      <c r="N320" s="4" t="str">
        <f>HYPERLINK("http://141.218.60.56/~jnz1568/getInfo.php?workbook=08_06.xlsx&amp;sheet=A0&amp;row=320&amp;col=14&amp;number=211.2&amp;sourceID=7","211.2")</f>
        <v>211.2</v>
      </c>
      <c r="O320" s="4" t="str">
        <f>HYPERLINK("http://141.218.60.56/~jnz1568/getInfo.php?workbook=08_06.xlsx&amp;sheet=A0&amp;row=320&amp;col=15&amp;number=&amp;sourceID=5","")</f>
        <v/>
      </c>
      <c r="P320" s="4" t="str">
        <f>HYPERLINK("http://141.218.60.56/~jnz1568/getInfo.php?workbook=08_06.xlsx&amp;sheet=A0&amp;row=320&amp;col=16&amp;number=&amp;sourceID=5","")</f>
        <v/>
      </c>
      <c r="Q320" s="4" t="str">
        <f>HYPERLINK("http://141.218.60.56/~jnz1568/getInfo.php?workbook=08_06.xlsx&amp;sheet=A0&amp;row=320&amp;col=17&amp;number=&amp;sourceID=6","")</f>
        <v/>
      </c>
    </row>
    <row r="321" spans="1:17">
      <c r="A321" s="3">
        <v>8</v>
      </c>
      <c r="B321" s="3">
        <v>6</v>
      </c>
      <c r="C321" s="3">
        <v>39</v>
      </c>
      <c r="D321" s="3">
        <v>2</v>
      </c>
      <c r="E321" s="3">
        <f>((1/(INDEX(E0!J$4:J$49,C321,1)-INDEX(E0!J$4:J$49,D321,1))))*100000000</f>
        <v>0</v>
      </c>
      <c r="F321" s="4" t="str">
        <f>HYPERLINK("http://141.218.60.56/~jnz1568/getInfo.php?workbook=08_06.xlsx&amp;sheet=A0&amp;row=321&amp;col=6&amp;number=16077000000&amp;sourceID=3","16077000000")</f>
        <v>16077000000</v>
      </c>
      <c r="G321" s="4" t="str">
        <f>HYPERLINK("http://141.218.60.56/~jnz1568/getInfo.php?workbook=08_06.xlsx&amp;sheet=A0&amp;row=321&amp;col=7&amp;number=&amp;sourceID=3","")</f>
        <v/>
      </c>
      <c r="H321" s="4" t="str">
        <f>HYPERLINK("http://141.218.60.56/~jnz1568/getInfo.php?workbook=08_06.xlsx&amp;sheet=A0&amp;row=321&amp;col=8&amp;number=&amp;sourceID=3","")</f>
        <v/>
      </c>
      <c r="I321" s="4" t="str">
        <f>HYPERLINK("http://141.218.60.56/~jnz1568/getInfo.php?workbook=08_06.xlsx&amp;sheet=A0&amp;row=321&amp;col=9&amp;number=&amp;sourceID=3","")</f>
        <v/>
      </c>
      <c r="J321" s="4" t="str">
        <f>HYPERLINK("http://141.218.60.56/~jnz1568/getInfo.php?workbook=08_06.xlsx&amp;sheet=A0&amp;row=321&amp;col=10&amp;number=16162000000&amp;sourceID=3","16162000000")</f>
        <v>16162000000</v>
      </c>
      <c r="K321" s="4" t="str">
        <f>HYPERLINK("http://141.218.60.56/~jnz1568/getInfo.php?workbook=08_06.xlsx&amp;sheet=A0&amp;row=321&amp;col=11&amp;number=&amp;sourceID=3","")</f>
        <v/>
      </c>
      <c r="L321" s="4" t="str">
        <f>HYPERLINK("http://141.218.60.56/~jnz1568/getInfo.php?workbook=08_06.xlsx&amp;sheet=A0&amp;row=321&amp;col=12&amp;number=&amp;sourceID=3","")</f>
        <v/>
      </c>
      <c r="M321" s="4" t="str">
        <f>HYPERLINK("http://141.218.60.56/~jnz1568/getInfo.php?workbook=08_06.xlsx&amp;sheet=A0&amp;row=321&amp;col=13&amp;number=&amp;sourceID=3","")</f>
        <v/>
      </c>
      <c r="N321" s="4" t="str">
        <f>HYPERLINK("http://141.218.60.56/~jnz1568/getInfo.php?workbook=08_06.xlsx&amp;sheet=A0&amp;row=321&amp;col=14&amp;number=18440000000&amp;sourceID=7","18440000000")</f>
        <v>18440000000</v>
      </c>
      <c r="O321" s="4" t="str">
        <f>HYPERLINK("http://141.218.60.56/~jnz1568/getInfo.php?workbook=08_06.xlsx&amp;sheet=A0&amp;row=321&amp;col=15&amp;number=&amp;sourceID=5","")</f>
        <v/>
      </c>
      <c r="P321" s="4" t="str">
        <f>HYPERLINK("http://141.218.60.56/~jnz1568/getInfo.php?workbook=08_06.xlsx&amp;sheet=A0&amp;row=321&amp;col=16&amp;number=&amp;sourceID=5","")</f>
        <v/>
      </c>
      <c r="Q321" s="4" t="str">
        <f>HYPERLINK("http://141.218.60.56/~jnz1568/getInfo.php?workbook=08_06.xlsx&amp;sheet=A0&amp;row=321&amp;col=17&amp;number=&amp;sourceID=6","")</f>
        <v/>
      </c>
    </row>
    <row r="322" spans="1:17">
      <c r="A322" s="3">
        <v>8</v>
      </c>
      <c r="B322" s="3">
        <v>6</v>
      </c>
      <c r="C322" s="3">
        <v>39</v>
      </c>
      <c r="D322" s="3">
        <v>3</v>
      </c>
      <c r="E322" s="3">
        <f>((1/(INDEX(E0!J$4:J$49,C322,1)-INDEX(E0!J$4:J$49,D322,1))))*100000000</f>
        <v>0</v>
      </c>
      <c r="F322" s="4" t="str">
        <f>HYPERLINK("http://141.218.60.56/~jnz1568/getInfo.php?workbook=08_06.xlsx&amp;sheet=A0&amp;row=322&amp;col=6&amp;number=4230700000&amp;sourceID=3","4230700000")</f>
        <v>4230700000</v>
      </c>
      <c r="G322" s="4" t="str">
        <f>HYPERLINK("http://141.218.60.56/~jnz1568/getInfo.php?workbook=08_06.xlsx&amp;sheet=A0&amp;row=322&amp;col=7&amp;number=&amp;sourceID=3","")</f>
        <v/>
      </c>
      <c r="H322" s="4" t="str">
        <f>HYPERLINK("http://141.218.60.56/~jnz1568/getInfo.php?workbook=08_06.xlsx&amp;sheet=A0&amp;row=322&amp;col=8&amp;number=&amp;sourceID=3","")</f>
        <v/>
      </c>
      <c r="I322" s="4" t="str">
        <f>HYPERLINK("http://141.218.60.56/~jnz1568/getInfo.php?workbook=08_06.xlsx&amp;sheet=A0&amp;row=322&amp;col=9&amp;number=&amp;sourceID=3","")</f>
        <v/>
      </c>
      <c r="J322" s="4" t="str">
        <f>HYPERLINK("http://141.218.60.56/~jnz1568/getInfo.php?workbook=08_06.xlsx&amp;sheet=A0&amp;row=322&amp;col=10&amp;number=4262800000&amp;sourceID=3","4262800000")</f>
        <v>4262800000</v>
      </c>
      <c r="K322" s="4" t="str">
        <f>HYPERLINK("http://141.218.60.56/~jnz1568/getInfo.php?workbook=08_06.xlsx&amp;sheet=A0&amp;row=322&amp;col=11&amp;number=&amp;sourceID=3","")</f>
        <v/>
      </c>
      <c r="L322" s="4" t="str">
        <f>HYPERLINK("http://141.218.60.56/~jnz1568/getInfo.php?workbook=08_06.xlsx&amp;sheet=A0&amp;row=322&amp;col=12&amp;number=&amp;sourceID=3","")</f>
        <v/>
      </c>
      <c r="M322" s="4" t="str">
        <f>HYPERLINK("http://141.218.60.56/~jnz1568/getInfo.php?workbook=08_06.xlsx&amp;sheet=A0&amp;row=322&amp;col=13&amp;number=&amp;sourceID=3","")</f>
        <v/>
      </c>
      <c r="N322" s="4" t="str">
        <f>HYPERLINK("http://141.218.60.56/~jnz1568/getInfo.php?workbook=08_06.xlsx&amp;sheet=A0&amp;row=322&amp;col=14&amp;number=5009000000&amp;sourceID=7","5009000000")</f>
        <v>5009000000</v>
      </c>
      <c r="O322" s="4" t="str">
        <f>HYPERLINK("http://141.218.60.56/~jnz1568/getInfo.php?workbook=08_06.xlsx&amp;sheet=A0&amp;row=322&amp;col=15&amp;number=&amp;sourceID=5","")</f>
        <v/>
      </c>
      <c r="P322" s="4" t="str">
        <f>HYPERLINK("http://141.218.60.56/~jnz1568/getInfo.php?workbook=08_06.xlsx&amp;sheet=A0&amp;row=322&amp;col=16&amp;number=&amp;sourceID=5","")</f>
        <v/>
      </c>
      <c r="Q322" s="4" t="str">
        <f>HYPERLINK("http://141.218.60.56/~jnz1568/getInfo.php?workbook=08_06.xlsx&amp;sheet=A0&amp;row=322&amp;col=17&amp;number=&amp;sourceID=6","")</f>
        <v/>
      </c>
    </row>
    <row r="323" spans="1:17">
      <c r="A323" s="3">
        <v>8</v>
      </c>
      <c r="B323" s="3">
        <v>6</v>
      </c>
      <c r="C323" s="3">
        <v>39</v>
      </c>
      <c r="D323" s="3">
        <v>4</v>
      </c>
      <c r="E323" s="3">
        <f>((1/(INDEX(E0!J$4:J$49,C323,1)-INDEX(E0!J$4:J$49,D323,1))))*100000000</f>
        <v>0</v>
      </c>
      <c r="F323" s="4" t="str">
        <f>HYPERLINK("http://141.218.60.56/~jnz1568/getInfo.php?workbook=08_06.xlsx&amp;sheet=A0&amp;row=323&amp;col=6&amp;number=3043900&amp;sourceID=3","3043900")</f>
        <v>3043900</v>
      </c>
      <c r="G323" s="4" t="str">
        <f>HYPERLINK("http://141.218.60.56/~jnz1568/getInfo.php?workbook=08_06.xlsx&amp;sheet=A0&amp;row=323&amp;col=7&amp;number=&amp;sourceID=3","")</f>
        <v/>
      </c>
      <c r="H323" s="4" t="str">
        <f>HYPERLINK("http://141.218.60.56/~jnz1568/getInfo.php?workbook=08_06.xlsx&amp;sheet=A0&amp;row=323&amp;col=8&amp;number=&amp;sourceID=3","")</f>
        <v/>
      </c>
      <c r="I323" s="4" t="str">
        <f>HYPERLINK("http://141.218.60.56/~jnz1568/getInfo.php?workbook=08_06.xlsx&amp;sheet=A0&amp;row=323&amp;col=9&amp;number=&amp;sourceID=3","")</f>
        <v/>
      </c>
      <c r="J323" s="4" t="str">
        <f>HYPERLINK("http://141.218.60.56/~jnz1568/getInfo.php?workbook=08_06.xlsx&amp;sheet=A0&amp;row=323&amp;col=10&amp;number=3356100&amp;sourceID=3","3356100")</f>
        <v>3356100</v>
      </c>
      <c r="K323" s="4" t="str">
        <f>HYPERLINK("http://141.218.60.56/~jnz1568/getInfo.php?workbook=08_06.xlsx&amp;sheet=A0&amp;row=323&amp;col=11&amp;number=&amp;sourceID=3","")</f>
        <v/>
      </c>
      <c r="L323" s="4" t="str">
        <f>HYPERLINK("http://141.218.60.56/~jnz1568/getInfo.php?workbook=08_06.xlsx&amp;sheet=A0&amp;row=323&amp;col=12&amp;number=&amp;sourceID=3","")</f>
        <v/>
      </c>
      <c r="M323" s="4" t="str">
        <f>HYPERLINK("http://141.218.60.56/~jnz1568/getInfo.php?workbook=08_06.xlsx&amp;sheet=A0&amp;row=323&amp;col=13&amp;number=&amp;sourceID=3","")</f>
        <v/>
      </c>
      <c r="N323" s="4" t="str">
        <f>HYPERLINK("http://141.218.60.56/~jnz1568/getInfo.php?workbook=08_06.xlsx&amp;sheet=A0&amp;row=323&amp;col=14&amp;number=818000&amp;sourceID=7","818000")</f>
        <v>818000</v>
      </c>
      <c r="O323" s="4" t="str">
        <f>HYPERLINK("http://141.218.60.56/~jnz1568/getInfo.php?workbook=08_06.xlsx&amp;sheet=A0&amp;row=323&amp;col=15&amp;number=&amp;sourceID=5","")</f>
        <v/>
      </c>
      <c r="P323" s="4" t="str">
        <f>HYPERLINK("http://141.218.60.56/~jnz1568/getInfo.php?workbook=08_06.xlsx&amp;sheet=A0&amp;row=323&amp;col=16&amp;number=&amp;sourceID=5","")</f>
        <v/>
      </c>
      <c r="Q323" s="4" t="str">
        <f>HYPERLINK("http://141.218.60.56/~jnz1568/getInfo.php?workbook=08_06.xlsx&amp;sheet=A0&amp;row=323&amp;col=17&amp;number=&amp;sourceID=6","")</f>
        <v/>
      </c>
    </row>
    <row r="324" spans="1:17">
      <c r="A324" s="3">
        <v>8</v>
      </c>
      <c r="B324" s="3">
        <v>6</v>
      </c>
      <c r="C324" s="3">
        <v>39</v>
      </c>
      <c r="D324" s="3">
        <v>20</v>
      </c>
      <c r="E324" s="3">
        <f>((1/(INDEX(E0!J$4:J$49,C324,1)-INDEX(E0!J$4:J$49,D324,1))))*100000000</f>
        <v>0</v>
      </c>
      <c r="F324" s="4" t="str">
        <f>HYPERLINK("http://141.218.60.56/~jnz1568/getInfo.php?workbook=08_06.xlsx&amp;sheet=A0&amp;row=324&amp;col=6&amp;number=200300&amp;sourceID=3","200300")</f>
        <v>200300</v>
      </c>
      <c r="G324" s="4" t="str">
        <f>HYPERLINK("http://141.218.60.56/~jnz1568/getInfo.php?workbook=08_06.xlsx&amp;sheet=A0&amp;row=324&amp;col=7&amp;number=&amp;sourceID=3","")</f>
        <v/>
      </c>
      <c r="H324" s="4" t="str">
        <f>HYPERLINK("http://141.218.60.56/~jnz1568/getInfo.php?workbook=08_06.xlsx&amp;sheet=A0&amp;row=324&amp;col=8&amp;number=&amp;sourceID=3","")</f>
        <v/>
      </c>
      <c r="I324" s="4" t="str">
        <f>HYPERLINK("http://141.218.60.56/~jnz1568/getInfo.php?workbook=08_06.xlsx&amp;sheet=A0&amp;row=324&amp;col=9&amp;number=&amp;sourceID=3","")</f>
        <v/>
      </c>
      <c r="J324" s="4" t="str">
        <f>HYPERLINK("http://141.218.60.56/~jnz1568/getInfo.php?workbook=08_06.xlsx&amp;sheet=A0&amp;row=324&amp;col=10&amp;number=235950&amp;sourceID=3","235950")</f>
        <v>235950</v>
      </c>
      <c r="K324" s="4" t="str">
        <f>HYPERLINK("http://141.218.60.56/~jnz1568/getInfo.php?workbook=08_06.xlsx&amp;sheet=A0&amp;row=324&amp;col=11&amp;number=&amp;sourceID=3","")</f>
        <v/>
      </c>
      <c r="L324" s="4" t="str">
        <f>HYPERLINK("http://141.218.60.56/~jnz1568/getInfo.php?workbook=08_06.xlsx&amp;sheet=A0&amp;row=324&amp;col=12&amp;number=&amp;sourceID=3","")</f>
        <v/>
      </c>
      <c r="M324" s="4" t="str">
        <f>HYPERLINK("http://141.218.60.56/~jnz1568/getInfo.php?workbook=08_06.xlsx&amp;sheet=A0&amp;row=324&amp;col=13&amp;number=&amp;sourceID=3","")</f>
        <v/>
      </c>
      <c r="N324" s="4" t="str">
        <f>HYPERLINK("http://141.218.60.56/~jnz1568/getInfo.php?workbook=08_06.xlsx&amp;sheet=A0&amp;row=324&amp;col=14&amp;number=366000&amp;sourceID=7","366000")</f>
        <v>366000</v>
      </c>
      <c r="O324" s="4" t="str">
        <f>HYPERLINK("http://141.218.60.56/~jnz1568/getInfo.php?workbook=08_06.xlsx&amp;sheet=A0&amp;row=324&amp;col=15&amp;number=&amp;sourceID=5","")</f>
        <v/>
      </c>
      <c r="P324" s="4" t="str">
        <f>HYPERLINK("http://141.218.60.56/~jnz1568/getInfo.php?workbook=08_06.xlsx&amp;sheet=A0&amp;row=324&amp;col=16&amp;number=&amp;sourceID=5","")</f>
        <v/>
      </c>
      <c r="Q324" s="4" t="str">
        <f>HYPERLINK("http://141.218.60.56/~jnz1568/getInfo.php?workbook=08_06.xlsx&amp;sheet=A0&amp;row=324&amp;col=17&amp;number=&amp;sourceID=6","")</f>
        <v/>
      </c>
    </row>
    <row r="325" spans="1:17">
      <c r="A325" s="3">
        <v>8</v>
      </c>
      <c r="B325" s="3">
        <v>6</v>
      </c>
      <c r="C325" s="3">
        <v>39</v>
      </c>
      <c r="D325" s="3">
        <v>21</v>
      </c>
      <c r="E325" s="3">
        <f>((1/(INDEX(E0!J$4:J$49,C325,1)-INDEX(E0!J$4:J$49,D325,1))))*100000000</f>
        <v>0</v>
      </c>
      <c r="F325" s="4" t="str">
        <f>HYPERLINK("http://141.218.60.56/~jnz1568/getInfo.php?workbook=08_06.xlsx&amp;sheet=A0&amp;row=325&amp;col=6&amp;number=796480&amp;sourceID=3","796480")</f>
        <v>796480</v>
      </c>
      <c r="G325" s="4" t="str">
        <f>HYPERLINK("http://141.218.60.56/~jnz1568/getInfo.php?workbook=08_06.xlsx&amp;sheet=A0&amp;row=325&amp;col=7&amp;number=&amp;sourceID=3","")</f>
        <v/>
      </c>
      <c r="H325" s="4" t="str">
        <f>HYPERLINK("http://141.218.60.56/~jnz1568/getInfo.php?workbook=08_06.xlsx&amp;sheet=A0&amp;row=325&amp;col=8&amp;number=&amp;sourceID=3","")</f>
        <v/>
      </c>
      <c r="I325" s="4" t="str">
        <f>HYPERLINK("http://141.218.60.56/~jnz1568/getInfo.php?workbook=08_06.xlsx&amp;sheet=A0&amp;row=325&amp;col=9&amp;number=&amp;sourceID=3","")</f>
        <v/>
      </c>
      <c r="J325" s="4" t="str">
        <f>HYPERLINK("http://141.218.60.56/~jnz1568/getInfo.php?workbook=08_06.xlsx&amp;sheet=A0&amp;row=325&amp;col=10&amp;number=947770&amp;sourceID=3","947770")</f>
        <v>947770</v>
      </c>
      <c r="K325" s="4" t="str">
        <f>HYPERLINK("http://141.218.60.56/~jnz1568/getInfo.php?workbook=08_06.xlsx&amp;sheet=A0&amp;row=325&amp;col=11&amp;number=&amp;sourceID=3","")</f>
        <v/>
      </c>
      <c r="L325" s="4" t="str">
        <f>HYPERLINK("http://141.218.60.56/~jnz1568/getInfo.php?workbook=08_06.xlsx&amp;sheet=A0&amp;row=325&amp;col=12&amp;number=&amp;sourceID=3","")</f>
        <v/>
      </c>
      <c r="M325" s="4" t="str">
        <f>HYPERLINK("http://141.218.60.56/~jnz1568/getInfo.php?workbook=08_06.xlsx&amp;sheet=A0&amp;row=325&amp;col=13&amp;number=&amp;sourceID=3","")</f>
        <v/>
      </c>
      <c r="N325" s="4" t="str">
        <f>HYPERLINK("http://141.218.60.56/~jnz1568/getInfo.php?workbook=08_06.xlsx&amp;sheet=A0&amp;row=325&amp;col=14&amp;number=1447000&amp;sourceID=7","1447000")</f>
        <v>1447000</v>
      </c>
      <c r="O325" s="4" t="str">
        <f>HYPERLINK("http://141.218.60.56/~jnz1568/getInfo.php?workbook=08_06.xlsx&amp;sheet=A0&amp;row=325&amp;col=15&amp;number=&amp;sourceID=5","")</f>
        <v/>
      </c>
      <c r="P325" s="4" t="str">
        <f>HYPERLINK("http://141.218.60.56/~jnz1568/getInfo.php?workbook=08_06.xlsx&amp;sheet=A0&amp;row=325&amp;col=16&amp;number=&amp;sourceID=5","")</f>
        <v/>
      </c>
      <c r="Q325" s="4" t="str">
        <f>HYPERLINK("http://141.218.60.56/~jnz1568/getInfo.php?workbook=08_06.xlsx&amp;sheet=A0&amp;row=325&amp;col=17&amp;number=&amp;sourceID=6","")</f>
        <v/>
      </c>
    </row>
    <row r="326" spans="1:17">
      <c r="A326" s="3">
        <v>8</v>
      </c>
      <c r="B326" s="3">
        <v>6</v>
      </c>
      <c r="C326" s="3">
        <v>39</v>
      </c>
      <c r="D326" s="3">
        <v>23</v>
      </c>
      <c r="E326" s="3">
        <f>((1/(INDEX(E0!J$4:J$49,C326,1)-INDEX(E0!J$4:J$49,D326,1))))*100000000</f>
        <v>0</v>
      </c>
      <c r="F326" s="4" t="str">
        <f>HYPERLINK("http://141.218.60.56/~jnz1568/getInfo.php?workbook=08_06.xlsx&amp;sheet=A0&amp;row=326&amp;col=6&amp;number=126190&amp;sourceID=3","126190")</f>
        <v>126190</v>
      </c>
      <c r="G326" s="4" t="str">
        <f>HYPERLINK("http://141.218.60.56/~jnz1568/getInfo.php?workbook=08_06.xlsx&amp;sheet=A0&amp;row=326&amp;col=7&amp;number=&amp;sourceID=3","")</f>
        <v/>
      </c>
      <c r="H326" s="4" t="str">
        <f>HYPERLINK("http://141.218.60.56/~jnz1568/getInfo.php?workbook=08_06.xlsx&amp;sheet=A0&amp;row=326&amp;col=8&amp;number=&amp;sourceID=3","")</f>
        <v/>
      </c>
      <c r="I326" s="4" t="str">
        <f>HYPERLINK("http://141.218.60.56/~jnz1568/getInfo.php?workbook=08_06.xlsx&amp;sheet=A0&amp;row=326&amp;col=9&amp;number=&amp;sourceID=3","")</f>
        <v/>
      </c>
      <c r="J326" s="4" t="str">
        <f>HYPERLINK("http://141.218.60.56/~jnz1568/getInfo.php?workbook=08_06.xlsx&amp;sheet=A0&amp;row=326&amp;col=10&amp;number=128640&amp;sourceID=3","128640")</f>
        <v>128640</v>
      </c>
      <c r="K326" s="4" t="str">
        <f>HYPERLINK("http://141.218.60.56/~jnz1568/getInfo.php?workbook=08_06.xlsx&amp;sheet=A0&amp;row=326&amp;col=11&amp;number=&amp;sourceID=3","")</f>
        <v/>
      </c>
      <c r="L326" s="4" t="str">
        <f>HYPERLINK("http://141.218.60.56/~jnz1568/getInfo.php?workbook=08_06.xlsx&amp;sheet=A0&amp;row=326&amp;col=12&amp;number=&amp;sourceID=3","")</f>
        <v/>
      </c>
      <c r="M326" s="4" t="str">
        <f>HYPERLINK("http://141.218.60.56/~jnz1568/getInfo.php?workbook=08_06.xlsx&amp;sheet=A0&amp;row=326&amp;col=13&amp;number=&amp;sourceID=3","")</f>
        <v/>
      </c>
      <c r="N326" s="4" t="str">
        <f>HYPERLINK("http://141.218.60.56/~jnz1568/getInfo.php?workbook=08_06.xlsx&amp;sheet=A0&amp;row=326&amp;col=14&amp;number=41020&amp;sourceID=7","41020")</f>
        <v>41020</v>
      </c>
      <c r="O326" s="4" t="str">
        <f>HYPERLINK("http://141.218.60.56/~jnz1568/getInfo.php?workbook=08_06.xlsx&amp;sheet=A0&amp;row=326&amp;col=15&amp;number=&amp;sourceID=5","")</f>
        <v/>
      </c>
      <c r="P326" s="4" t="str">
        <f>HYPERLINK("http://141.218.60.56/~jnz1568/getInfo.php?workbook=08_06.xlsx&amp;sheet=A0&amp;row=326&amp;col=16&amp;number=&amp;sourceID=5","")</f>
        <v/>
      </c>
      <c r="Q326" s="4" t="str">
        <f>HYPERLINK("http://141.218.60.56/~jnz1568/getInfo.php?workbook=08_06.xlsx&amp;sheet=A0&amp;row=326&amp;col=17&amp;number=&amp;sourceID=6","")</f>
        <v/>
      </c>
    </row>
    <row r="327" spans="1:17">
      <c r="A327" s="3">
        <v>8</v>
      </c>
      <c r="B327" s="3">
        <v>6</v>
      </c>
      <c r="C327" s="3">
        <v>39</v>
      </c>
      <c r="D327" s="3">
        <v>24</v>
      </c>
      <c r="E327" s="3">
        <f>((1/(INDEX(E0!J$4:J$49,C327,1)-INDEX(E0!J$4:J$49,D327,1))))*100000000</f>
        <v>0</v>
      </c>
      <c r="F327" s="4" t="str">
        <f>HYPERLINK("http://141.218.60.56/~jnz1568/getInfo.php?workbook=08_06.xlsx&amp;sheet=A0&amp;row=327&amp;col=6&amp;number=7388800&amp;sourceID=3","7388800")</f>
        <v>7388800</v>
      </c>
      <c r="G327" s="4" t="str">
        <f>HYPERLINK("http://141.218.60.56/~jnz1568/getInfo.php?workbook=08_06.xlsx&amp;sheet=A0&amp;row=327&amp;col=7&amp;number=&amp;sourceID=3","")</f>
        <v/>
      </c>
      <c r="H327" s="4" t="str">
        <f>HYPERLINK("http://141.218.60.56/~jnz1568/getInfo.php?workbook=08_06.xlsx&amp;sheet=A0&amp;row=327&amp;col=8&amp;number=&amp;sourceID=3","")</f>
        <v/>
      </c>
      <c r="I327" s="4" t="str">
        <f>HYPERLINK("http://141.218.60.56/~jnz1568/getInfo.php?workbook=08_06.xlsx&amp;sheet=A0&amp;row=327&amp;col=9&amp;number=&amp;sourceID=3","")</f>
        <v/>
      </c>
      <c r="J327" s="4" t="str">
        <f>HYPERLINK("http://141.218.60.56/~jnz1568/getInfo.php?workbook=08_06.xlsx&amp;sheet=A0&amp;row=327&amp;col=10&amp;number=7259100&amp;sourceID=3","7259100")</f>
        <v>7259100</v>
      </c>
      <c r="K327" s="4" t="str">
        <f>HYPERLINK("http://141.218.60.56/~jnz1568/getInfo.php?workbook=08_06.xlsx&amp;sheet=A0&amp;row=327&amp;col=11&amp;number=&amp;sourceID=3","")</f>
        <v/>
      </c>
      <c r="L327" s="4" t="str">
        <f>HYPERLINK("http://141.218.60.56/~jnz1568/getInfo.php?workbook=08_06.xlsx&amp;sheet=A0&amp;row=327&amp;col=12&amp;number=&amp;sourceID=3","")</f>
        <v/>
      </c>
      <c r="M327" s="4" t="str">
        <f>HYPERLINK("http://141.218.60.56/~jnz1568/getInfo.php?workbook=08_06.xlsx&amp;sheet=A0&amp;row=327&amp;col=13&amp;number=&amp;sourceID=3","")</f>
        <v/>
      </c>
      <c r="N327" s="4" t="str">
        <f>HYPERLINK("http://141.218.60.56/~jnz1568/getInfo.php?workbook=08_06.xlsx&amp;sheet=A0&amp;row=327&amp;col=14&amp;number=6274000&amp;sourceID=7","6274000")</f>
        <v>6274000</v>
      </c>
      <c r="O327" s="4" t="str">
        <f>HYPERLINK("http://141.218.60.56/~jnz1568/getInfo.php?workbook=08_06.xlsx&amp;sheet=A0&amp;row=327&amp;col=15&amp;number=&amp;sourceID=5","")</f>
        <v/>
      </c>
      <c r="P327" s="4" t="str">
        <f>HYPERLINK("http://141.218.60.56/~jnz1568/getInfo.php?workbook=08_06.xlsx&amp;sheet=A0&amp;row=327&amp;col=16&amp;number=&amp;sourceID=5","")</f>
        <v/>
      </c>
      <c r="Q327" s="4" t="str">
        <f>HYPERLINK("http://141.218.60.56/~jnz1568/getInfo.php?workbook=08_06.xlsx&amp;sheet=A0&amp;row=327&amp;col=17&amp;number=&amp;sourceID=6","")</f>
        <v/>
      </c>
    </row>
    <row r="328" spans="1:17">
      <c r="A328" s="3">
        <v>8</v>
      </c>
      <c r="B328" s="3">
        <v>6</v>
      </c>
      <c r="C328" s="3">
        <v>39</v>
      </c>
      <c r="D328" s="3">
        <v>25</v>
      </c>
      <c r="E328" s="3">
        <f>((1/(INDEX(E0!J$4:J$49,C328,1)-INDEX(E0!J$4:J$49,D328,1))))*100000000</f>
        <v>0</v>
      </c>
      <c r="F328" s="4" t="str">
        <f>HYPERLINK("http://141.218.60.56/~jnz1568/getInfo.php?workbook=08_06.xlsx&amp;sheet=A0&amp;row=328&amp;col=6&amp;number=47460000&amp;sourceID=3","47460000")</f>
        <v>47460000</v>
      </c>
      <c r="G328" s="4" t="str">
        <f>HYPERLINK("http://141.218.60.56/~jnz1568/getInfo.php?workbook=08_06.xlsx&amp;sheet=A0&amp;row=328&amp;col=7&amp;number=&amp;sourceID=3","")</f>
        <v/>
      </c>
      <c r="H328" s="4" t="str">
        <f>HYPERLINK("http://141.218.60.56/~jnz1568/getInfo.php?workbook=08_06.xlsx&amp;sheet=A0&amp;row=328&amp;col=8&amp;number=&amp;sourceID=3","")</f>
        <v/>
      </c>
      <c r="I328" s="4" t="str">
        <f>HYPERLINK("http://141.218.60.56/~jnz1568/getInfo.php?workbook=08_06.xlsx&amp;sheet=A0&amp;row=328&amp;col=9&amp;number=&amp;sourceID=3","")</f>
        <v/>
      </c>
      <c r="J328" s="4" t="str">
        <f>HYPERLINK("http://141.218.60.56/~jnz1568/getInfo.php?workbook=08_06.xlsx&amp;sheet=A0&amp;row=328&amp;col=10&amp;number=47044000&amp;sourceID=3","47044000")</f>
        <v>47044000</v>
      </c>
      <c r="K328" s="4" t="str">
        <f>HYPERLINK("http://141.218.60.56/~jnz1568/getInfo.php?workbook=08_06.xlsx&amp;sheet=A0&amp;row=328&amp;col=11&amp;number=&amp;sourceID=3","")</f>
        <v/>
      </c>
      <c r="L328" s="4" t="str">
        <f>HYPERLINK("http://141.218.60.56/~jnz1568/getInfo.php?workbook=08_06.xlsx&amp;sheet=A0&amp;row=328&amp;col=12&amp;number=&amp;sourceID=3","")</f>
        <v/>
      </c>
      <c r="M328" s="4" t="str">
        <f>HYPERLINK("http://141.218.60.56/~jnz1568/getInfo.php?workbook=08_06.xlsx&amp;sheet=A0&amp;row=328&amp;col=13&amp;number=&amp;sourceID=3","")</f>
        <v/>
      </c>
      <c r="N328" s="4" t="str">
        <f>HYPERLINK("http://141.218.60.56/~jnz1568/getInfo.php?workbook=08_06.xlsx&amp;sheet=A0&amp;row=328&amp;col=14&amp;number=35060000&amp;sourceID=7","35060000")</f>
        <v>35060000</v>
      </c>
      <c r="O328" s="4" t="str">
        <f>HYPERLINK("http://141.218.60.56/~jnz1568/getInfo.php?workbook=08_06.xlsx&amp;sheet=A0&amp;row=328&amp;col=15&amp;number=&amp;sourceID=5","")</f>
        <v/>
      </c>
      <c r="P328" s="4" t="str">
        <f>HYPERLINK("http://141.218.60.56/~jnz1568/getInfo.php?workbook=08_06.xlsx&amp;sheet=A0&amp;row=328&amp;col=16&amp;number=&amp;sourceID=5","")</f>
        <v/>
      </c>
      <c r="Q328" s="4" t="str">
        <f>HYPERLINK("http://141.218.60.56/~jnz1568/getInfo.php?workbook=08_06.xlsx&amp;sheet=A0&amp;row=328&amp;col=17&amp;number=&amp;sourceID=6","")</f>
        <v/>
      </c>
    </row>
    <row r="329" spans="1:17">
      <c r="A329" s="3">
        <v>8</v>
      </c>
      <c r="B329" s="3">
        <v>6</v>
      </c>
      <c r="C329" s="3">
        <v>39</v>
      </c>
      <c r="D329" s="3">
        <v>26</v>
      </c>
      <c r="E329" s="3">
        <f>((1/(INDEX(E0!J$4:J$49,C329,1)-INDEX(E0!J$4:J$49,D329,1))))*100000000</f>
        <v>0</v>
      </c>
      <c r="F329" s="4" t="str">
        <f>HYPERLINK("http://141.218.60.56/~jnz1568/getInfo.php?workbook=08_06.xlsx&amp;sheet=A0&amp;row=329&amp;col=6&amp;number=8585000&amp;sourceID=3","8585000")</f>
        <v>8585000</v>
      </c>
      <c r="G329" s="4" t="str">
        <f>HYPERLINK("http://141.218.60.56/~jnz1568/getInfo.php?workbook=08_06.xlsx&amp;sheet=A0&amp;row=329&amp;col=7&amp;number=&amp;sourceID=3","")</f>
        <v/>
      </c>
      <c r="H329" s="4" t="str">
        <f>HYPERLINK("http://141.218.60.56/~jnz1568/getInfo.php?workbook=08_06.xlsx&amp;sheet=A0&amp;row=329&amp;col=8&amp;number=&amp;sourceID=3","")</f>
        <v/>
      </c>
      <c r="I329" s="4" t="str">
        <f>HYPERLINK("http://141.218.60.56/~jnz1568/getInfo.php?workbook=08_06.xlsx&amp;sheet=A0&amp;row=329&amp;col=9&amp;number=&amp;sourceID=3","")</f>
        <v/>
      </c>
      <c r="J329" s="4" t="str">
        <f>HYPERLINK("http://141.218.60.56/~jnz1568/getInfo.php?workbook=08_06.xlsx&amp;sheet=A0&amp;row=329&amp;col=10&amp;number=8511400&amp;sourceID=3","8511400")</f>
        <v>8511400</v>
      </c>
      <c r="K329" s="4" t="str">
        <f>HYPERLINK("http://141.218.60.56/~jnz1568/getInfo.php?workbook=08_06.xlsx&amp;sheet=A0&amp;row=329&amp;col=11&amp;number=&amp;sourceID=3","")</f>
        <v/>
      </c>
      <c r="L329" s="4" t="str">
        <f>HYPERLINK("http://141.218.60.56/~jnz1568/getInfo.php?workbook=08_06.xlsx&amp;sheet=A0&amp;row=329&amp;col=12&amp;number=&amp;sourceID=3","")</f>
        <v/>
      </c>
      <c r="M329" s="4" t="str">
        <f>HYPERLINK("http://141.218.60.56/~jnz1568/getInfo.php?workbook=08_06.xlsx&amp;sheet=A0&amp;row=329&amp;col=13&amp;number=&amp;sourceID=3","")</f>
        <v/>
      </c>
      <c r="N329" s="4" t="str">
        <f>HYPERLINK("http://141.218.60.56/~jnz1568/getInfo.php?workbook=08_06.xlsx&amp;sheet=A0&amp;row=329&amp;col=14&amp;number=6487000&amp;sourceID=7","6487000")</f>
        <v>6487000</v>
      </c>
      <c r="O329" s="4" t="str">
        <f>HYPERLINK("http://141.218.60.56/~jnz1568/getInfo.php?workbook=08_06.xlsx&amp;sheet=A0&amp;row=329&amp;col=15&amp;number=&amp;sourceID=5","")</f>
        <v/>
      </c>
      <c r="P329" s="4" t="str">
        <f>HYPERLINK("http://141.218.60.56/~jnz1568/getInfo.php?workbook=08_06.xlsx&amp;sheet=A0&amp;row=329&amp;col=16&amp;number=&amp;sourceID=5","")</f>
        <v/>
      </c>
      <c r="Q329" s="4" t="str">
        <f>HYPERLINK("http://141.218.60.56/~jnz1568/getInfo.php?workbook=08_06.xlsx&amp;sheet=A0&amp;row=329&amp;col=17&amp;number=&amp;sourceID=6","")</f>
        <v/>
      </c>
    </row>
    <row r="330" spans="1:17">
      <c r="A330" s="3">
        <v>8</v>
      </c>
      <c r="B330" s="3">
        <v>6</v>
      </c>
      <c r="C330" s="3">
        <v>39</v>
      </c>
      <c r="D330" s="3">
        <v>27</v>
      </c>
      <c r="E330" s="3">
        <f>((1/(INDEX(E0!J$4:J$49,C330,1)-INDEX(E0!J$4:J$49,D330,1))))*100000000</f>
        <v>0</v>
      </c>
      <c r="F330" s="4" t="str">
        <f>HYPERLINK("http://141.218.60.56/~jnz1568/getInfo.php?workbook=08_06.xlsx&amp;sheet=A0&amp;row=330&amp;col=6&amp;number=1366300&amp;sourceID=3","1366300")</f>
        <v>1366300</v>
      </c>
      <c r="G330" s="4" t="str">
        <f>HYPERLINK("http://141.218.60.56/~jnz1568/getInfo.php?workbook=08_06.xlsx&amp;sheet=A0&amp;row=330&amp;col=7&amp;number=&amp;sourceID=3","")</f>
        <v/>
      </c>
      <c r="H330" s="4" t="str">
        <f>HYPERLINK("http://141.218.60.56/~jnz1568/getInfo.php?workbook=08_06.xlsx&amp;sheet=A0&amp;row=330&amp;col=8&amp;number=&amp;sourceID=3","")</f>
        <v/>
      </c>
      <c r="I330" s="4" t="str">
        <f>HYPERLINK("http://141.218.60.56/~jnz1568/getInfo.php?workbook=08_06.xlsx&amp;sheet=A0&amp;row=330&amp;col=9&amp;number=&amp;sourceID=3","")</f>
        <v/>
      </c>
      <c r="J330" s="4" t="str">
        <f>HYPERLINK("http://141.218.60.56/~jnz1568/getInfo.php?workbook=08_06.xlsx&amp;sheet=A0&amp;row=330&amp;col=10&amp;number=1349100&amp;sourceID=3","1349100")</f>
        <v>1349100</v>
      </c>
      <c r="K330" s="4" t="str">
        <f>HYPERLINK("http://141.218.60.56/~jnz1568/getInfo.php?workbook=08_06.xlsx&amp;sheet=A0&amp;row=330&amp;col=11&amp;number=&amp;sourceID=3","")</f>
        <v/>
      </c>
      <c r="L330" s="4" t="str">
        <f>HYPERLINK("http://141.218.60.56/~jnz1568/getInfo.php?workbook=08_06.xlsx&amp;sheet=A0&amp;row=330&amp;col=12&amp;number=&amp;sourceID=3","")</f>
        <v/>
      </c>
      <c r="M330" s="4" t="str">
        <f>HYPERLINK("http://141.218.60.56/~jnz1568/getInfo.php?workbook=08_06.xlsx&amp;sheet=A0&amp;row=330&amp;col=13&amp;number=&amp;sourceID=3","")</f>
        <v/>
      </c>
      <c r="N330" s="4" t="str">
        <f>HYPERLINK("http://141.218.60.56/~jnz1568/getInfo.php?workbook=08_06.xlsx&amp;sheet=A0&amp;row=330&amp;col=14&amp;number=565100&amp;sourceID=7","565100")</f>
        <v>565100</v>
      </c>
      <c r="O330" s="4" t="str">
        <f>HYPERLINK("http://141.218.60.56/~jnz1568/getInfo.php?workbook=08_06.xlsx&amp;sheet=A0&amp;row=330&amp;col=15&amp;number=&amp;sourceID=5","")</f>
        <v/>
      </c>
      <c r="P330" s="4" t="str">
        <f>HYPERLINK("http://141.218.60.56/~jnz1568/getInfo.php?workbook=08_06.xlsx&amp;sheet=A0&amp;row=330&amp;col=16&amp;number=&amp;sourceID=5","")</f>
        <v/>
      </c>
      <c r="Q330" s="4" t="str">
        <f>HYPERLINK("http://141.218.60.56/~jnz1568/getInfo.php?workbook=08_06.xlsx&amp;sheet=A0&amp;row=330&amp;col=17&amp;number=&amp;sourceID=6","")</f>
        <v/>
      </c>
    </row>
    <row r="331" spans="1:17">
      <c r="A331" s="3">
        <v>8</v>
      </c>
      <c r="B331" s="3">
        <v>6</v>
      </c>
      <c r="C331" s="3">
        <v>39</v>
      </c>
      <c r="D331" s="3">
        <v>28</v>
      </c>
      <c r="E331" s="3">
        <f>((1/(INDEX(E0!J$4:J$49,C331,1)-INDEX(E0!J$4:J$49,D331,1))))*100000000</f>
        <v>0</v>
      </c>
      <c r="F331" s="4" t="str">
        <f>HYPERLINK("http://141.218.60.56/~jnz1568/getInfo.php?workbook=08_06.xlsx&amp;sheet=A0&amp;row=331&amp;col=6&amp;number=589.02&amp;sourceID=3","589.02")</f>
        <v>589.02</v>
      </c>
      <c r="G331" s="4" t="str">
        <f>HYPERLINK("http://141.218.60.56/~jnz1568/getInfo.php?workbook=08_06.xlsx&amp;sheet=A0&amp;row=331&amp;col=7&amp;number=&amp;sourceID=3","")</f>
        <v/>
      </c>
      <c r="H331" s="4" t="str">
        <f>HYPERLINK("http://141.218.60.56/~jnz1568/getInfo.php?workbook=08_06.xlsx&amp;sheet=A0&amp;row=331&amp;col=8&amp;number=&amp;sourceID=3","")</f>
        <v/>
      </c>
      <c r="I331" s="4" t="str">
        <f>HYPERLINK("http://141.218.60.56/~jnz1568/getInfo.php?workbook=08_06.xlsx&amp;sheet=A0&amp;row=331&amp;col=9&amp;number=&amp;sourceID=3","")</f>
        <v/>
      </c>
      <c r="J331" s="4" t="str">
        <f>HYPERLINK("http://141.218.60.56/~jnz1568/getInfo.php?workbook=08_06.xlsx&amp;sheet=A0&amp;row=331&amp;col=10&amp;number=2304.6&amp;sourceID=3","2304.6")</f>
        <v>2304.6</v>
      </c>
      <c r="K331" s="4" t="str">
        <f>HYPERLINK("http://141.218.60.56/~jnz1568/getInfo.php?workbook=08_06.xlsx&amp;sheet=A0&amp;row=331&amp;col=11&amp;number=&amp;sourceID=3","")</f>
        <v/>
      </c>
      <c r="L331" s="4" t="str">
        <f>HYPERLINK("http://141.218.60.56/~jnz1568/getInfo.php?workbook=08_06.xlsx&amp;sheet=A0&amp;row=331&amp;col=12&amp;number=&amp;sourceID=3","")</f>
        <v/>
      </c>
      <c r="M331" s="4" t="str">
        <f>HYPERLINK("http://141.218.60.56/~jnz1568/getInfo.php?workbook=08_06.xlsx&amp;sheet=A0&amp;row=331&amp;col=13&amp;number=&amp;sourceID=3","")</f>
        <v/>
      </c>
      <c r="N331" s="4" t="str">
        <f>HYPERLINK("http://141.218.60.56/~jnz1568/getInfo.php?workbook=08_06.xlsx&amp;sheet=A0&amp;row=331&amp;col=14&amp;number=186.3&amp;sourceID=7","186.3")</f>
        <v>186.3</v>
      </c>
      <c r="O331" s="4" t="str">
        <f>HYPERLINK("http://141.218.60.56/~jnz1568/getInfo.php?workbook=08_06.xlsx&amp;sheet=A0&amp;row=331&amp;col=15&amp;number=&amp;sourceID=5","")</f>
        <v/>
      </c>
      <c r="P331" s="4" t="str">
        <f>HYPERLINK("http://141.218.60.56/~jnz1568/getInfo.php?workbook=08_06.xlsx&amp;sheet=A0&amp;row=331&amp;col=16&amp;number=&amp;sourceID=5","")</f>
        <v/>
      </c>
      <c r="Q331" s="4" t="str">
        <f>HYPERLINK("http://141.218.60.56/~jnz1568/getInfo.php?workbook=08_06.xlsx&amp;sheet=A0&amp;row=331&amp;col=17&amp;number=&amp;sourceID=6","")</f>
        <v/>
      </c>
    </row>
    <row r="332" spans="1:17">
      <c r="A332" s="3">
        <v>8</v>
      </c>
      <c r="B332" s="3">
        <v>6</v>
      </c>
      <c r="C332" s="3">
        <v>39</v>
      </c>
      <c r="D332" s="3">
        <v>30</v>
      </c>
      <c r="E332" s="3">
        <f>((1/(INDEX(E0!J$4:J$49,C332,1)-INDEX(E0!J$4:J$49,D332,1))))*100000000</f>
        <v>0</v>
      </c>
      <c r="F332" s="4" t="str">
        <f>HYPERLINK("http://141.218.60.56/~jnz1568/getInfo.php?workbook=08_06.xlsx&amp;sheet=A0&amp;row=332&amp;col=6&amp;number=78851000&amp;sourceID=3","78851000")</f>
        <v>78851000</v>
      </c>
      <c r="G332" s="4" t="str">
        <f>HYPERLINK("http://141.218.60.56/~jnz1568/getInfo.php?workbook=08_06.xlsx&amp;sheet=A0&amp;row=332&amp;col=7&amp;number=&amp;sourceID=3","")</f>
        <v/>
      </c>
      <c r="H332" s="4" t="str">
        <f>HYPERLINK("http://141.218.60.56/~jnz1568/getInfo.php?workbook=08_06.xlsx&amp;sheet=A0&amp;row=332&amp;col=8&amp;number=&amp;sourceID=3","")</f>
        <v/>
      </c>
      <c r="I332" s="4" t="str">
        <f>HYPERLINK("http://141.218.60.56/~jnz1568/getInfo.php?workbook=08_06.xlsx&amp;sheet=A0&amp;row=332&amp;col=9&amp;number=&amp;sourceID=3","")</f>
        <v/>
      </c>
      <c r="J332" s="4" t="str">
        <f>HYPERLINK("http://141.218.60.56/~jnz1568/getInfo.php?workbook=08_06.xlsx&amp;sheet=A0&amp;row=332&amp;col=10&amp;number=78234000&amp;sourceID=3","78234000")</f>
        <v>78234000</v>
      </c>
      <c r="K332" s="4" t="str">
        <f>HYPERLINK("http://141.218.60.56/~jnz1568/getInfo.php?workbook=08_06.xlsx&amp;sheet=A0&amp;row=332&amp;col=11&amp;number=&amp;sourceID=3","")</f>
        <v/>
      </c>
      <c r="L332" s="4" t="str">
        <f>HYPERLINK("http://141.218.60.56/~jnz1568/getInfo.php?workbook=08_06.xlsx&amp;sheet=A0&amp;row=332&amp;col=12&amp;number=&amp;sourceID=3","")</f>
        <v/>
      </c>
      <c r="M332" s="4" t="str">
        <f>HYPERLINK("http://141.218.60.56/~jnz1568/getInfo.php?workbook=08_06.xlsx&amp;sheet=A0&amp;row=332&amp;col=13&amp;number=&amp;sourceID=3","")</f>
        <v/>
      </c>
      <c r="N332" s="4" t="str">
        <f>HYPERLINK("http://141.218.60.56/~jnz1568/getInfo.php?workbook=08_06.xlsx&amp;sheet=A0&amp;row=332&amp;col=14&amp;number=51010000&amp;sourceID=7","51010000")</f>
        <v>51010000</v>
      </c>
      <c r="O332" s="4" t="str">
        <f>HYPERLINK("http://141.218.60.56/~jnz1568/getInfo.php?workbook=08_06.xlsx&amp;sheet=A0&amp;row=332&amp;col=15&amp;number=&amp;sourceID=5","")</f>
        <v/>
      </c>
      <c r="P332" s="4" t="str">
        <f>HYPERLINK("http://141.218.60.56/~jnz1568/getInfo.php?workbook=08_06.xlsx&amp;sheet=A0&amp;row=332&amp;col=16&amp;number=&amp;sourceID=5","")</f>
        <v/>
      </c>
      <c r="Q332" s="4" t="str">
        <f>HYPERLINK("http://141.218.60.56/~jnz1568/getInfo.php?workbook=08_06.xlsx&amp;sheet=A0&amp;row=332&amp;col=17&amp;number=&amp;sourceID=6","")</f>
        <v/>
      </c>
    </row>
    <row r="333" spans="1:17">
      <c r="A333" s="3">
        <v>8</v>
      </c>
      <c r="B333" s="3">
        <v>6</v>
      </c>
      <c r="C333" s="3">
        <v>39</v>
      </c>
      <c r="D333" s="3">
        <v>31</v>
      </c>
      <c r="E333" s="3">
        <f>((1/(INDEX(E0!J$4:J$49,C333,1)-INDEX(E0!J$4:J$49,D333,1))))*100000000</f>
        <v>0</v>
      </c>
      <c r="F333" s="4" t="str">
        <f>HYPERLINK("http://141.218.60.56/~jnz1568/getInfo.php?workbook=08_06.xlsx&amp;sheet=A0&amp;row=333&amp;col=6&amp;number=21904000&amp;sourceID=3","21904000")</f>
        <v>21904000</v>
      </c>
      <c r="G333" s="4" t="str">
        <f>HYPERLINK("http://141.218.60.56/~jnz1568/getInfo.php?workbook=08_06.xlsx&amp;sheet=A0&amp;row=333&amp;col=7&amp;number=&amp;sourceID=3","")</f>
        <v/>
      </c>
      <c r="H333" s="4" t="str">
        <f>HYPERLINK("http://141.218.60.56/~jnz1568/getInfo.php?workbook=08_06.xlsx&amp;sheet=A0&amp;row=333&amp;col=8&amp;number=&amp;sourceID=3","")</f>
        <v/>
      </c>
      <c r="I333" s="4" t="str">
        <f>HYPERLINK("http://141.218.60.56/~jnz1568/getInfo.php?workbook=08_06.xlsx&amp;sheet=A0&amp;row=333&amp;col=9&amp;number=&amp;sourceID=3","")</f>
        <v/>
      </c>
      <c r="J333" s="4" t="str">
        <f>HYPERLINK("http://141.218.60.56/~jnz1568/getInfo.php?workbook=08_06.xlsx&amp;sheet=A0&amp;row=333&amp;col=10&amp;number=21758000&amp;sourceID=3","21758000")</f>
        <v>21758000</v>
      </c>
      <c r="K333" s="4" t="str">
        <f>HYPERLINK("http://141.218.60.56/~jnz1568/getInfo.php?workbook=08_06.xlsx&amp;sheet=A0&amp;row=333&amp;col=11&amp;number=&amp;sourceID=3","")</f>
        <v/>
      </c>
      <c r="L333" s="4" t="str">
        <f>HYPERLINK("http://141.218.60.56/~jnz1568/getInfo.php?workbook=08_06.xlsx&amp;sheet=A0&amp;row=333&amp;col=12&amp;number=&amp;sourceID=3","")</f>
        <v/>
      </c>
      <c r="M333" s="4" t="str">
        <f>HYPERLINK("http://141.218.60.56/~jnz1568/getInfo.php?workbook=08_06.xlsx&amp;sheet=A0&amp;row=333&amp;col=13&amp;number=&amp;sourceID=3","")</f>
        <v/>
      </c>
      <c r="N333" s="4" t="str">
        <f>HYPERLINK("http://141.218.60.56/~jnz1568/getInfo.php?workbook=08_06.xlsx&amp;sheet=A0&amp;row=333&amp;col=14&amp;number=14410000&amp;sourceID=7","14410000")</f>
        <v>14410000</v>
      </c>
      <c r="O333" s="4" t="str">
        <f>HYPERLINK("http://141.218.60.56/~jnz1568/getInfo.php?workbook=08_06.xlsx&amp;sheet=A0&amp;row=333&amp;col=15&amp;number=&amp;sourceID=5","")</f>
        <v/>
      </c>
      <c r="P333" s="4" t="str">
        <f>HYPERLINK("http://141.218.60.56/~jnz1568/getInfo.php?workbook=08_06.xlsx&amp;sheet=A0&amp;row=333&amp;col=16&amp;number=&amp;sourceID=5","")</f>
        <v/>
      </c>
      <c r="Q333" s="4" t="str">
        <f>HYPERLINK("http://141.218.60.56/~jnz1568/getInfo.php?workbook=08_06.xlsx&amp;sheet=A0&amp;row=333&amp;col=17&amp;number=&amp;sourceID=6","")</f>
        <v/>
      </c>
    </row>
    <row r="334" spans="1:17">
      <c r="A334" s="3">
        <v>8</v>
      </c>
      <c r="B334" s="3">
        <v>6</v>
      </c>
      <c r="C334" s="3">
        <v>39</v>
      </c>
      <c r="D334" s="3">
        <v>32</v>
      </c>
      <c r="E334" s="3">
        <f>((1/(INDEX(E0!J$4:J$49,C334,1)-INDEX(E0!J$4:J$49,D334,1))))*100000000</f>
        <v>0</v>
      </c>
      <c r="F334" s="4" t="str">
        <f>HYPERLINK("http://141.218.60.56/~jnz1568/getInfo.php?workbook=08_06.xlsx&amp;sheet=A0&amp;row=334&amp;col=6&amp;number=5513.1&amp;sourceID=3","5513.1")</f>
        <v>5513.1</v>
      </c>
      <c r="G334" s="4" t="str">
        <f>HYPERLINK("http://141.218.60.56/~jnz1568/getInfo.php?workbook=08_06.xlsx&amp;sheet=A0&amp;row=334&amp;col=7&amp;number=&amp;sourceID=3","")</f>
        <v/>
      </c>
      <c r="H334" s="4" t="str">
        <f>HYPERLINK("http://141.218.60.56/~jnz1568/getInfo.php?workbook=08_06.xlsx&amp;sheet=A0&amp;row=334&amp;col=8&amp;number=&amp;sourceID=3","")</f>
        <v/>
      </c>
      <c r="I334" s="4" t="str">
        <f>HYPERLINK("http://141.218.60.56/~jnz1568/getInfo.php?workbook=08_06.xlsx&amp;sheet=A0&amp;row=334&amp;col=9&amp;number=&amp;sourceID=3","")</f>
        <v/>
      </c>
      <c r="J334" s="4" t="str">
        <f>HYPERLINK("http://141.218.60.56/~jnz1568/getInfo.php?workbook=08_06.xlsx&amp;sheet=A0&amp;row=334&amp;col=10&amp;number=5708.4&amp;sourceID=3","5708.4")</f>
        <v>5708.4</v>
      </c>
      <c r="K334" s="4" t="str">
        <f>HYPERLINK("http://141.218.60.56/~jnz1568/getInfo.php?workbook=08_06.xlsx&amp;sheet=A0&amp;row=334&amp;col=11&amp;number=&amp;sourceID=3","")</f>
        <v/>
      </c>
      <c r="L334" s="4" t="str">
        <f>HYPERLINK("http://141.218.60.56/~jnz1568/getInfo.php?workbook=08_06.xlsx&amp;sheet=A0&amp;row=334&amp;col=12&amp;number=&amp;sourceID=3","")</f>
        <v/>
      </c>
      <c r="M334" s="4" t="str">
        <f>HYPERLINK("http://141.218.60.56/~jnz1568/getInfo.php?workbook=08_06.xlsx&amp;sheet=A0&amp;row=334&amp;col=13&amp;number=&amp;sourceID=3","")</f>
        <v/>
      </c>
      <c r="N334" s="4" t="str">
        <f>HYPERLINK("http://141.218.60.56/~jnz1568/getInfo.php?workbook=08_06.xlsx&amp;sheet=A0&amp;row=334&amp;col=14&amp;number=691&amp;sourceID=7","691")</f>
        <v>691</v>
      </c>
      <c r="O334" s="4" t="str">
        <f>HYPERLINK("http://141.218.60.56/~jnz1568/getInfo.php?workbook=08_06.xlsx&amp;sheet=A0&amp;row=334&amp;col=15&amp;number=&amp;sourceID=5","")</f>
        <v/>
      </c>
      <c r="P334" s="4" t="str">
        <f>HYPERLINK("http://141.218.60.56/~jnz1568/getInfo.php?workbook=08_06.xlsx&amp;sheet=A0&amp;row=334&amp;col=16&amp;number=&amp;sourceID=5","")</f>
        <v/>
      </c>
      <c r="Q334" s="4" t="str">
        <f>HYPERLINK("http://141.218.60.56/~jnz1568/getInfo.php?workbook=08_06.xlsx&amp;sheet=A0&amp;row=334&amp;col=17&amp;number=&amp;sourceID=6","")</f>
        <v/>
      </c>
    </row>
    <row r="335" spans="1:17">
      <c r="A335" s="3">
        <v>8</v>
      </c>
      <c r="B335" s="3">
        <v>6</v>
      </c>
      <c r="C335" s="3">
        <v>40</v>
      </c>
      <c r="D335" s="3">
        <v>3</v>
      </c>
      <c r="E335" s="3">
        <f>((1/(INDEX(E0!J$4:J$49,C335,1)-INDEX(E0!J$4:J$49,D335,1))))*100000000</f>
        <v>0</v>
      </c>
      <c r="F335" s="4" t="str">
        <f>HYPERLINK("http://141.218.60.56/~jnz1568/getInfo.php?workbook=08_06.xlsx&amp;sheet=A0&amp;row=335&amp;col=6&amp;number=20331000000&amp;sourceID=3","20331000000")</f>
        <v>20331000000</v>
      </c>
      <c r="G335" s="4" t="str">
        <f>HYPERLINK("http://141.218.60.56/~jnz1568/getInfo.php?workbook=08_06.xlsx&amp;sheet=A0&amp;row=335&amp;col=7&amp;number=&amp;sourceID=3","")</f>
        <v/>
      </c>
      <c r="H335" s="4" t="str">
        <f>HYPERLINK("http://141.218.60.56/~jnz1568/getInfo.php?workbook=08_06.xlsx&amp;sheet=A0&amp;row=335&amp;col=8&amp;number=&amp;sourceID=3","")</f>
        <v/>
      </c>
      <c r="I335" s="4" t="str">
        <f>HYPERLINK("http://141.218.60.56/~jnz1568/getInfo.php?workbook=08_06.xlsx&amp;sheet=A0&amp;row=335&amp;col=9&amp;number=&amp;sourceID=3","")</f>
        <v/>
      </c>
      <c r="J335" s="4" t="str">
        <f>HYPERLINK("http://141.218.60.56/~jnz1568/getInfo.php?workbook=08_06.xlsx&amp;sheet=A0&amp;row=335&amp;col=10&amp;number=20445000000&amp;sourceID=3","20445000000")</f>
        <v>20445000000</v>
      </c>
      <c r="K335" s="4" t="str">
        <f>HYPERLINK("http://141.218.60.56/~jnz1568/getInfo.php?workbook=08_06.xlsx&amp;sheet=A0&amp;row=335&amp;col=11&amp;number=&amp;sourceID=3","")</f>
        <v/>
      </c>
      <c r="L335" s="4" t="str">
        <f>HYPERLINK("http://141.218.60.56/~jnz1568/getInfo.php?workbook=08_06.xlsx&amp;sheet=A0&amp;row=335&amp;col=12&amp;number=&amp;sourceID=3","")</f>
        <v/>
      </c>
      <c r="M335" s="4" t="str">
        <f>HYPERLINK("http://141.218.60.56/~jnz1568/getInfo.php?workbook=08_06.xlsx&amp;sheet=A0&amp;row=335&amp;col=13&amp;number=&amp;sourceID=3","")</f>
        <v/>
      </c>
      <c r="N335" s="4" t="str">
        <f>HYPERLINK("http://141.218.60.56/~jnz1568/getInfo.php?workbook=08_06.xlsx&amp;sheet=A0&amp;row=335&amp;col=14&amp;number=23470000000&amp;sourceID=7","23470000000")</f>
        <v>23470000000</v>
      </c>
      <c r="O335" s="4" t="str">
        <f>HYPERLINK("http://141.218.60.56/~jnz1568/getInfo.php?workbook=08_06.xlsx&amp;sheet=A0&amp;row=335&amp;col=15&amp;number=&amp;sourceID=5","")</f>
        <v/>
      </c>
      <c r="P335" s="4" t="str">
        <f>HYPERLINK("http://141.218.60.56/~jnz1568/getInfo.php?workbook=08_06.xlsx&amp;sheet=A0&amp;row=335&amp;col=16&amp;number=&amp;sourceID=5","")</f>
        <v/>
      </c>
      <c r="Q335" s="4" t="str">
        <f>HYPERLINK("http://141.218.60.56/~jnz1568/getInfo.php?workbook=08_06.xlsx&amp;sheet=A0&amp;row=335&amp;col=17&amp;number=&amp;sourceID=6","")</f>
        <v/>
      </c>
    </row>
    <row r="336" spans="1:17">
      <c r="A336" s="3">
        <v>8</v>
      </c>
      <c r="B336" s="3">
        <v>6</v>
      </c>
      <c r="C336" s="3">
        <v>40</v>
      </c>
      <c r="D336" s="3">
        <v>4</v>
      </c>
      <c r="E336" s="3">
        <f>((1/(INDEX(E0!J$4:J$49,C336,1)-INDEX(E0!J$4:J$49,D336,1))))*100000000</f>
        <v>0</v>
      </c>
      <c r="F336" s="4" t="str">
        <f>HYPERLINK("http://141.218.60.56/~jnz1568/getInfo.php?workbook=08_06.xlsx&amp;sheet=A0&amp;row=336&amp;col=6&amp;number=4106900&amp;sourceID=3","4106900")</f>
        <v>4106900</v>
      </c>
      <c r="G336" s="4" t="str">
        <f>HYPERLINK("http://141.218.60.56/~jnz1568/getInfo.php?workbook=08_06.xlsx&amp;sheet=A0&amp;row=336&amp;col=7&amp;number=&amp;sourceID=3","")</f>
        <v/>
      </c>
      <c r="H336" s="4" t="str">
        <f>HYPERLINK("http://141.218.60.56/~jnz1568/getInfo.php?workbook=08_06.xlsx&amp;sheet=A0&amp;row=336&amp;col=8&amp;number=&amp;sourceID=3","")</f>
        <v/>
      </c>
      <c r="I336" s="4" t="str">
        <f>HYPERLINK("http://141.218.60.56/~jnz1568/getInfo.php?workbook=08_06.xlsx&amp;sheet=A0&amp;row=336&amp;col=9&amp;number=&amp;sourceID=3","")</f>
        <v/>
      </c>
      <c r="J336" s="4" t="str">
        <f>HYPERLINK("http://141.218.60.56/~jnz1568/getInfo.php?workbook=08_06.xlsx&amp;sheet=A0&amp;row=336&amp;col=10&amp;number=4003800&amp;sourceID=3","4003800")</f>
        <v>4003800</v>
      </c>
      <c r="K336" s="4" t="str">
        <f>HYPERLINK("http://141.218.60.56/~jnz1568/getInfo.php?workbook=08_06.xlsx&amp;sheet=A0&amp;row=336&amp;col=11&amp;number=&amp;sourceID=3","")</f>
        <v/>
      </c>
      <c r="L336" s="4" t="str">
        <f>HYPERLINK("http://141.218.60.56/~jnz1568/getInfo.php?workbook=08_06.xlsx&amp;sheet=A0&amp;row=336&amp;col=12&amp;number=&amp;sourceID=3","")</f>
        <v/>
      </c>
      <c r="M336" s="4" t="str">
        <f>HYPERLINK("http://141.218.60.56/~jnz1568/getInfo.php?workbook=08_06.xlsx&amp;sheet=A0&amp;row=336&amp;col=13&amp;number=&amp;sourceID=3","")</f>
        <v/>
      </c>
      <c r="N336" s="4" t="str">
        <f>HYPERLINK("http://141.218.60.56/~jnz1568/getInfo.php?workbook=08_06.xlsx&amp;sheet=A0&amp;row=336&amp;col=14&amp;number=922500&amp;sourceID=7","922500")</f>
        <v>922500</v>
      </c>
      <c r="O336" s="4" t="str">
        <f>HYPERLINK("http://141.218.60.56/~jnz1568/getInfo.php?workbook=08_06.xlsx&amp;sheet=A0&amp;row=336&amp;col=15&amp;number=&amp;sourceID=5","")</f>
        <v/>
      </c>
      <c r="P336" s="4" t="str">
        <f>HYPERLINK("http://141.218.60.56/~jnz1568/getInfo.php?workbook=08_06.xlsx&amp;sheet=A0&amp;row=336&amp;col=16&amp;number=&amp;sourceID=5","")</f>
        <v/>
      </c>
      <c r="Q336" s="4" t="str">
        <f>HYPERLINK("http://141.218.60.56/~jnz1568/getInfo.php?workbook=08_06.xlsx&amp;sheet=A0&amp;row=336&amp;col=17&amp;number=&amp;sourceID=6","")</f>
        <v/>
      </c>
    </row>
    <row r="337" spans="1:17">
      <c r="A337" s="3">
        <v>8</v>
      </c>
      <c r="B337" s="3">
        <v>6</v>
      </c>
      <c r="C337" s="3">
        <v>40</v>
      </c>
      <c r="D337" s="3">
        <v>20</v>
      </c>
      <c r="E337" s="3">
        <f>((1/(INDEX(E0!J$4:J$49,C337,1)-INDEX(E0!J$4:J$49,D337,1))))*100000000</f>
        <v>0</v>
      </c>
      <c r="F337" s="4" t="str">
        <f>HYPERLINK("http://141.218.60.56/~jnz1568/getInfo.php?workbook=08_06.xlsx&amp;sheet=A0&amp;row=337&amp;col=6&amp;number=989710&amp;sourceID=3","989710")</f>
        <v>989710</v>
      </c>
      <c r="G337" s="4" t="str">
        <f>HYPERLINK("http://141.218.60.56/~jnz1568/getInfo.php?workbook=08_06.xlsx&amp;sheet=A0&amp;row=337&amp;col=7&amp;number=&amp;sourceID=3","")</f>
        <v/>
      </c>
      <c r="H337" s="4" t="str">
        <f>HYPERLINK("http://141.218.60.56/~jnz1568/getInfo.php?workbook=08_06.xlsx&amp;sheet=A0&amp;row=337&amp;col=8&amp;number=&amp;sourceID=3","")</f>
        <v/>
      </c>
      <c r="I337" s="4" t="str">
        <f>HYPERLINK("http://141.218.60.56/~jnz1568/getInfo.php?workbook=08_06.xlsx&amp;sheet=A0&amp;row=337&amp;col=9&amp;number=&amp;sourceID=3","")</f>
        <v/>
      </c>
      <c r="J337" s="4" t="str">
        <f>HYPERLINK("http://141.218.60.56/~jnz1568/getInfo.php?workbook=08_06.xlsx&amp;sheet=A0&amp;row=337&amp;col=10&amp;number=1169000&amp;sourceID=3","1169000")</f>
        <v>1169000</v>
      </c>
      <c r="K337" s="4" t="str">
        <f>HYPERLINK("http://141.218.60.56/~jnz1568/getInfo.php?workbook=08_06.xlsx&amp;sheet=A0&amp;row=337&amp;col=11&amp;number=&amp;sourceID=3","")</f>
        <v/>
      </c>
      <c r="L337" s="4" t="str">
        <f>HYPERLINK("http://141.218.60.56/~jnz1568/getInfo.php?workbook=08_06.xlsx&amp;sheet=A0&amp;row=337&amp;col=12&amp;number=&amp;sourceID=3","")</f>
        <v/>
      </c>
      <c r="M337" s="4" t="str">
        <f>HYPERLINK("http://141.218.60.56/~jnz1568/getInfo.php?workbook=08_06.xlsx&amp;sheet=A0&amp;row=337&amp;col=13&amp;number=&amp;sourceID=3","")</f>
        <v/>
      </c>
      <c r="N337" s="4" t="str">
        <f>HYPERLINK("http://141.218.60.56/~jnz1568/getInfo.php?workbook=08_06.xlsx&amp;sheet=A0&amp;row=337&amp;col=14&amp;number=1784000&amp;sourceID=7","1784000")</f>
        <v>1784000</v>
      </c>
      <c r="O337" s="4" t="str">
        <f>HYPERLINK("http://141.218.60.56/~jnz1568/getInfo.php?workbook=08_06.xlsx&amp;sheet=A0&amp;row=337&amp;col=15&amp;number=&amp;sourceID=5","")</f>
        <v/>
      </c>
      <c r="P337" s="4" t="str">
        <f>HYPERLINK("http://141.218.60.56/~jnz1568/getInfo.php?workbook=08_06.xlsx&amp;sheet=A0&amp;row=337&amp;col=16&amp;number=&amp;sourceID=5","")</f>
        <v/>
      </c>
      <c r="Q337" s="4" t="str">
        <f>HYPERLINK("http://141.218.60.56/~jnz1568/getInfo.php?workbook=08_06.xlsx&amp;sheet=A0&amp;row=337&amp;col=17&amp;number=&amp;sourceID=6","")</f>
        <v/>
      </c>
    </row>
    <row r="338" spans="1:17">
      <c r="A338" s="3">
        <v>8</v>
      </c>
      <c r="B338" s="3">
        <v>6</v>
      </c>
      <c r="C338" s="3">
        <v>40</v>
      </c>
      <c r="D338" s="3">
        <v>25</v>
      </c>
      <c r="E338" s="3">
        <f>((1/(INDEX(E0!J$4:J$49,C338,1)-INDEX(E0!J$4:J$49,D338,1))))*100000000</f>
        <v>0</v>
      </c>
      <c r="F338" s="4" t="str">
        <f>HYPERLINK("http://141.218.60.56/~jnz1568/getInfo.php?workbook=08_06.xlsx&amp;sheet=A0&amp;row=338&amp;col=6&amp;number=4868500&amp;sourceID=3","4868500")</f>
        <v>4868500</v>
      </c>
      <c r="G338" s="4" t="str">
        <f>HYPERLINK("http://141.218.60.56/~jnz1568/getInfo.php?workbook=08_06.xlsx&amp;sheet=A0&amp;row=338&amp;col=7&amp;number=&amp;sourceID=3","")</f>
        <v/>
      </c>
      <c r="H338" s="4" t="str">
        <f>HYPERLINK("http://141.218.60.56/~jnz1568/getInfo.php?workbook=08_06.xlsx&amp;sheet=A0&amp;row=338&amp;col=8&amp;number=&amp;sourceID=3","")</f>
        <v/>
      </c>
      <c r="I338" s="4" t="str">
        <f>HYPERLINK("http://141.218.60.56/~jnz1568/getInfo.php?workbook=08_06.xlsx&amp;sheet=A0&amp;row=338&amp;col=9&amp;number=&amp;sourceID=3","")</f>
        <v/>
      </c>
      <c r="J338" s="4" t="str">
        <f>HYPERLINK("http://141.218.60.56/~jnz1568/getInfo.php?workbook=08_06.xlsx&amp;sheet=A0&amp;row=338&amp;col=10&amp;number=4766000&amp;sourceID=3","4766000")</f>
        <v>4766000</v>
      </c>
      <c r="K338" s="4" t="str">
        <f>HYPERLINK("http://141.218.60.56/~jnz1568/getInfo.php?workbook=08_06.xlsx&amp;sheet=A0&amp;row=338&amp;col=11&amp;number=&amp;sourceID=3","")</f>
        <v/>
      </c>
      <c r="L338" s="4" t="str">
        <f>HYPERLINK("http://141.218.60.56/~jnz1568/getInfo.php?workbook=08_06.xlsx&amp;sheet=A0&amp;row=338&amp;col=12&amp;number=&amp;sourceID=3","")</f>
        <v/>
      </c>
      <c r="M338" s="4" t="str">
        <f>HYPERLINK("http://141.218.60.56/~jnz1568/getInfo.php?workbook=08_06.xlsx&amp;sheet=A0&amp;row=338&amp;col=13&amp;number=&amp;sourceID=3","")</f>
        <v/>
      </c>
      <c r="N338" s="4" t="str">
        <f>HYPERLINK("http://141.218.60.56/~jnz1568/getInfo.php?workbook=08_06.xlsx&amp;sheet=A0&amp;row=338&amp;col=14&amp;number=4344000&amp;sourceID=7","4344000")</f>
        <v>4344000</v>
      </c>
      <c r="O338" s="4" t="str">
        <f>HYPERLINK("http://141.218.60.56/~jnz1568/getInfo.php?workbook=08_06.xlsx&amp;sheet=A0&amp;row=338&amp;col=15&amp;number=&amp;sourceID=5","")</f>
        <v/>
      </c>
      <c r="P338" s="4" t="str">
        <f>HYPERLINK("http://141.218.60.56/~jnz1568/getInfo.php?workbook=08_06.xlsx&amp;sheet=A0&amp;row=338&amp;col=16&amp;number=&amp;sourceID=5","")</f>
        <v/>
      </c>
      <c r="Q338" s="4" t="str">
        <f>HYPERLINK("http://141.218.60.56/~jnz1568/getInfo.php?workbook=08_06.xlsx&amp;sheet=A0&amp;row=338&amp;col=17&amp;number=&amp;sourceID=6","")</f>
        <v/>
      </c>
    </row>
    <row r="339" spans="1:17">
      <c r="A339" s="3">
        <v>8</v>
      </c>
      <c r="B339" s="3">
        <v>6</v>
      </c>
      <c r="C339" s="3">
        <v>40</v>
      </c>
      <c r="D339" s="3">
        <v>26</v>
      </c>
      <c r="E339" s="3">
        <f>((1/(INDEX(E0!J$4:J$49,C339,1)-INDEX(E0!J$4:J$49,D339,1))))*100000000</f>
        <v>0</v>
      </c>
      <c r="F339" s="4" t="str">
        <f>HYPERLINK("http://141.218.60.56/~jnz1568/getInfo.php?workbook=08_06.xlsx&amp;sheet=A0&amp;row=339&amp;col=6&amp;number=59768000&amp;sourceID=3","59768000")</f>
        <v>59768000</v>
      </c>
      <c r="G339" s="4" t="str">
        <f>HYPERLINK("http://141.218.60.56/~jnz1568/getInfo.php?workbook=08_06.xlsx&amp;sheet=A0&amp;row=339&amp;col=7&amp;number=&amp;sourceID=3","")</f>
        <v/>
      </c>
      <c r="H339" s="4" t="str">
        <f>HYPERLINK("http://141.218.60.56/~jnz1568/getInfo.php?workbook=08_06.xlsx&amp;sheet=A0&amp;row=339&amp;col=8&amp;number=&amp;sourceID=3","")</f>
        <v/>
      </c>
      <c r="I339" s="4" t="str">
        <f>HYPERLINK("http://141.218.60.56/~jnz1568/getInfo.php?workbook=08_06.xlsx&amp;sheet=A0&amp;row=339&amp;col=9&amp;number=&amp;sourceID=3","")</f>
        <v/>
      </c>
      <c r="J339" s="4" t="str">
        <f>HYPERLINK("http://141.218.60.56/~jnz1568/getInfo.php?workbook=08_06.xlsx&amp;sheet=A0&amp;row=339&amp;col=10&amp;number=59250000&amp;sourceID=3","59250000")</f>
        <v>59250000</v>
      </c>
      <c r="K339" s="4" t="str">
        <f>HYPERLINK("http://141.218.60.56/~jnz1568/getInfo.php?workbook=08_06.xlsx&amp;sheet=A0&amp;row=339&amp;col=11&amp;number=&amp;sourceID=3","")</f>
        <v/>
      </c>
      <c r="L339" s="4" t="str">
        <f>HYPERLINK("http://141.218.60.56/~jnz1568/getInfo.php?workbook=08_06.xlsx&amp;sheet=A0&amp;row=339&amp;col=12&amp;number=&amp;sourceID=3","")</f>
        <v/>
      </c>
      <c r="M339" s="4" t="str">
        <f>HYPERLINK("http://141.218.60.56/~jnz1568/getInfo.php?workbook=08_06.xlsx&amp;sheet=A0&amp;row=339&amp;col=13&amp;number=&amp;sourceID=3","")</f>
        <v/>
      </c>
      <c r="N339" s="4" t="str">
        <f>HYPERLINK("http://141.218.60.56/~jnz1568/getInfo.php?workbook=08_06.xlsx&amp;sheet=A0&amp;row=339&amp;col=14&amp;number=43970000&amp;sourceID=7","43970000")</f>
        <v>43970000</v>
      </c>
      <c r="O339" s="4" t="str">
        <f>HYPERLINK("http://141.218.60.56/~jnz1568/getInfo.php?workbook=08_06.xlsx&amp;sheet=A0&amp;row=339&amp;col=15&amp;number=&amp;sourceID=5","")</f>
        <v/>
      </c>
      <c r="P339" s="4" t="str">
        <f>HYPERLINK("http://141.218.60.56/~jnz1568/getInfo.php?workbook=08_06.xlsx&amp;sheet=A0&amp;row=339&amp;col=16&amp;number=&amp;sourceID=5","")</f>
        <v/>
      </c>
      <c r="Q339" s="4" t="str">
        <f>HYPERLINK("http://141.218.60.56/~jnz1568/getInfo.php?workbook=08_06.xlsx&amp;sheet=A0&amp;row=339&amp;col=17&amp;number=&amp;sourceID=6","")</f>
        <v/>
      </c>
    </row>
    <row r="340" spans="1:17">
      <c r="A340" s="3">
        <v>8</v>
      </c>
      <c r="B340" s="3">
        <v>6</v>
      </c>
      <c r="C340" s="3">
        <v>40</v>
      </c>
      <c r="D340" s="3">
        <v>28</v>
      </c>
      <c r="E340" s="3">
        <f>((1/(INDEX(E0!J$4:J$49,C340,1)-INDEX(E0!J$4:J$49,D340,1))))*100000000</f>
        <v>0</v>
      </c>
      <c r="F340" s="4" t="str">
        <f>HYPERLINK("http://141.218.60.56/~jnz1568/getInfo.php?workbook=08_06.xlsx&amp;sheet=A0&amp;row=340&amp;col=6&amp;number=1453.1&amp;sourceID=3","1453.1")</f>
        <v>1453.1</v>
      </c>
      <c r="G340" s="4" t="str">
        <f>HYPERLINK("http://141.218.60.56/~jnz1568/getInfo.php?workbook=08_06.xlsx&amp;sheet=A0&amp;row=340&amp;col=7&amp;number=&amp;sourceID=3","")</f>
        <v/>
      </c>
      <c r="H340" s="4" t="str">
        <f>HYPERLINK("http://141.218.60.56/~jnz1568/getInfo.php?workbook=08_06.xlsx&amp;sheet=A0&amp;row=340&amp;col=8&amp;number=&amp;sourceID=3","")</f>
        <v/>
      </c>
      <c r="I340" s="4" t="str">
        <f>HYPERLINK("http://141.218.60.56/~jnz1568/getInfo.php?workbook=08_06.xlsx&amp;sheet=A0&amp;row=340&amp;col=9&amp;number=&amp;sourceID=3","")</f>
        <v/>
      </c>
      <c r="J340" s="4" t="str">
        <f>HYPERLINK("http://141.218.60.56/~jnz1568/getInfo.php?workbook=08_06.xlsx&amp;sheet=A0&amp;row=340&amp;col=10&amp;number=9025.6&amp;sourceID=3","9025.6")</f>
        <v>9025.6</v>
      </c>
      <c r="K340" s="4" t="str">
        <f>HYPERLINK("http://141.218.60.56/~jnz1568/getInfo.php?workbook=08_06.xlsx&amp;sheet=A0&amp;row=340&amp;col=11&amp;number=&amp;sourceID=3","")</f>
        <v/>
      </c>
      <c r="L340" s="4" t="str">
        <f>HYPERLINK("http://141.218.60.56/~jnz1568/getInfo.php?workbook=08_06.xlsx&amp;sheet=A0&amp;row=340&amp;col=12&amp;number=&amp;sourceID=3","")</f>
        <v/>
      </c>
      <c r="M340" s="4" t="str">
        <f>HYPERLINK("http://141.218.60.56/~jnz1568/getInfo.php?workbook=08_06.xlsx&amp;sheet=A0&amp;row=340&amp;col=13&amp;number=&amp;sourceID=3","")</f>
        <v/>
      </c>
      <c r="N340" s="4" t="str">
        <f>HYPERLINK("http://141.218.60.56/~jnz1568/getInfo.php?workbook=08_06.xlsx&amp;sheet=A0&amp;row=340&amp;col=14&amp;number=997.5&amp;sourceID=7","997.5")</f>
        <v>997.5</v>
      </c>
      <c r="O340" s="4" t="str">
        <f>HYPERLINK("http://141.218.60.56/~jnz1568/getInfo.php?workbook=08_06.xlsx&amp;sheet=A0&amp;row=340&amp;col=15&amp;number=&amp;sourceID=5","")</f>
        <v/>
      </c>
      <c r="P340" s="4" t="str">
        <f>HYPERLINK("http://141.218.60.56/~jnz1568/getInfo.php?workbook=08_06.xlsx&amp;sheet=A0&amp;row=340&amp;col=16&amp;number=&amp;sourceID=5","")</f>
        <v/>
      </c>
      <c r="Q340" s="4" t="str">
        <f>HYPERLINK("http://141.218.60.56/~jnz1568/getInfo.php?workbook=08_06.xlsx&amp;sheet=A0&amp;row=340&amp;col=17&amp;number=&amp;sourceID=6","")</f>
        <v/>
      </c>
    </row>
    <row r="341" spans="1:17">
      <c r="A341" s="3">
        <v>8</v>
      </c>
      <c r="B341" s="3">
        <v>6</v>
      </c>
      <c r="C341" s="3">
        <v>40</v>
      </c>
      <c r="D341" s="3">
        <v>31</v>
      </c>
      <c r="E341" s="3">
        <f>((1/(INDEX(E0!J$4:J$49,C341,1)-INDEX(E0!J$4:J$49,D341,1))))*100000000</f>
        <v>0</v>
      </c>
      <c r="F341" s="4" t="str">
        <f>HYPERLINK("http://141.218.60.56/~jnz1568/getInfo.php?workbook=08_06.xlsx&amp;sheet=A0&amp;row=341&amp;col=6&amp;number=100540000&amp;sourceID=3","100540000")</f>
        <v>100540000</v>
      </c>
      <c r="G341" s="4" t="str">
        <f>HYPERLINK("http://141.218.60.56/~jnz1568/getInfo.php?workbook=08_06.xlsx&amp;sheet=A0&amp;row=341&amp;col=7&amp;number=&amp;sourceID=3","")</f>
        <v/>
      </c>
      <c r="H341" s="4" t="str">
        <f>HYPERLINK("http://141.218.60.56/~jnz1568/getInfo.php?workbook=08_06.xlsx&amp;sheet=A0&amp;row=341&amp;col=8&amp;number=&amp;sourceID=3","")</f>
        <v/>
      </c>
      <c r="I341" s="4" t="str">
        <f>HYPERLINK("http://141.218.60.56/~jnz1568/getInfo.php?workbook=08_06.xlsx&amp;sheet=A0&amp;row=341&amp;col=9&amp;number=&amp;sourceID=3","")</f>
        <v/>
      </c>
      <c r="J341" s="4" t="str">
        <f>HYPERLINK("http://141.218.60.56/~jnz1568/getInfo.php?workbook=08_06.xlsx&amp;sheet=A0&amp;row=341&amp;col=10&amp;number=99770000&amp;sourceID=3","99770000")</f>
        <v>99770000</v>
      </c>
      <c r="K341" s="4" t="str">
        <f>HYPERLINK("http://141.218.60.56/~jnz1568/getInfo.php?workbook=08_06.xlsx&amp;sheet=A0&amp;row=341&amp;col=11&amp;number=&amp;sourceID=3","")</f>
        <v/>
      </c>
      <c r="L341" s="4" t="str">
        <f>HYPERLINK("http://141.218.60.56/~jnz1568/getInfo.php?workbook=08_06.xlsx&amp;sheet=A0&amp;row=341&amp;col=12&amp;number=&amp;sourceID=3","")</f>
        <v/>
      </c>
      <c r="M341" s="4" t="str">
        <f>HYPERLINK("http://141.218.60.56/~jnz1568/getInfo.php?workbook=08_06.xlsx&amp;sheet=A0&amp;row=341&amp;col=13&amp;number=&amp;sourceID=3","")</f>
        <v/>
      </c>
      <c r="N341" s="4" t="str">
        <f>HYPERLINK("http://141.218.60.56/~jnz1568/getInfo.php?workbook=08_06.xlsx&amp;sheet=A0&amp;row=341&amp;col=14&amp;number=65200000&amp;sourceID=7","65200000")</f>
        <v>65200000</v>
      </c>
      <c r="O341" s="4" t="str">
        <f>HYPERLINK("http://141.218.60.56/~jnz1568/getInfo.php?workbook=08_06.xlsx&amp;sheet=A0&amp;row=341&amp;col=15&amp;number=&amp;sourceID=5","")</f>
        <v/>
      </c>
      <c r="P341" s="4" t="str">
        <f>HYPERLINK("http://141.218.60.56/~jnz1568/getInfo.php?workbook=08_06.xlsx&amp;sheet=A0&amp;row=341&amp;col=16&amp;number=&amp;sourceID=5","")</f>
        <v/>
      </c>
      <c r="Q341" s="4" t="str">
        <f>HYPERLINK("http://141.218.60.56/~jnz1568/getInfo.php?workbook=08_06.xlsx&amp;sheet=A0&amp;row=341&amp;col=17&amp;number=&amp;sourceID=6","")</f>
        <v/>
      </c>
    </row>
    <row r="342" spans="1:17">
      <c r="A342" s="3">
        <v>8</v>
      </c>
      <c r="B342" s="3">
        <v>6</v>
      </c>
      <c r="C342" s="3">
        <v>40</v>
      </c>
      <c r="D342" s="3">
        <v>32</v>
      </c>
      <c r="E342" s="3">
        <f>((1/(INDEX(E0!J$4:J$49,C342,1)-INDEX(E0!J$4:J$49,D342,1))))*100000000</f>
        <v>0</v>
      </c>
      <c r="F342" s="4" t="str">
        <f>HYPERLINK("http://141.218.60.56/~jnz1568/getInfo.php?workbook=08_06.xlsx&amp;sheet=A0&amp;row=342&amp;col=6&amp;number=4456.4&amp;sourceID=3","4456.4")</f>
        <v>4456.4</v>
      </c>
      <c r="G342" s="4" t="str">
        <f>HYPERLINK("http://141.218.60.56/~jnz1568/getInfo.php?workbook=08_06.xlsx&amp;sheet=A0&amp;row=342&amp;col=7&amp;number=&amp;sourceID=3","")</f>
        <v/>
      </c>
      <c r="H342" s="4" t="str">
        <f>HYPERLINK("http://141.218.60.56/~jnz1568/getInfo.php?workbook=08_06.xlsx&amp;sheet=A0&amp;row=342&amp;col=8&amp;number=&amp;sourceID=3","")</f>
        <v/>
      </c>
      <c r="I342" s="4" t="str">
        <f>HYPERLINK("http://141.218.60.56/~jnz1568/getInfo.php?workbook=08_06.xlsx&amp;sheet=A0&amp;row=342&amp;col=9&amp;number=&amp;sourceID=3","")</f>
        <v/>
      </c>
      <c r="J342" s="4" t="str">
        <f>HYPERLINK("http://141.218.60.56/~jnz1568/getInfo.php?workbook=08_06.xlsx&amp;sheet=A0&amp;row=342&amp;col=10&amp;number=4340.3&amp;sourceID=3","4340.3")</f>
        <v>4340.3</v>
      </c>
      <c r="K342" s="4" t="str">
        <f>HYPERLINK("http://141.218.60.56/~jnz1568/getInfo.php?workbook=08_06.xlsx&amp;sheet=A0&amp;row=342&amp;col=11&amp;number=&amp;sourceID=3","")</f>
        <v/>
      </c>
      <c r="L342" s="4" t="str">
        <f>HYPERLINK("http://141.218.60.56/~jnz1568/getInfo.php?workbook=08_06.xlsx&amp;sheet=A0&amp;row=342&amp;col=12&amp;number=&amp;sourceID=3","")</f>
        <v/>
      </c>
      <c r="M342" s="4" t="str">
        <f>HYPERLINK("http://141.218.60.56/~jnz1568/getInfo.php?workbook=08_06.xlsx&amp;sheet=A0&amp;row=342&amp;col=13&amp;number=&amp;sourceID=3","")</f>
        <v/>
      </c>
      <c r="N342" s="4" t="str">
        <f>HYPERLINK("http://141.218.60.56/~jnz1568/getInfo.php?workbook=08_06.xlsx&amp;sheet=A0&amp;row=342&amp;col=14&amp;number=195.2&amp;sourceID=7","195.2")</f>
        <v>195.2</v>
      </c>
      <c r="O342" s="4" t="str">
        <f>HYPERLINK("http://141.218.60.56/~jnz1568/getInfo.php?workbook=08_06.xlsx&amp;sheet=A0&amp;row=342&amp;col=15&amp;number=&amp;sourceID=5","")</f>
        <v/>
      </c>
      <c r="P342" s="4" t="str">
        <f>HYPERLINK("http://141.218.60.56/~jnz1568/getInfo.php?workbook=08_06.xlsx&amp;sheet=A0&amp;row=342&amp;col=16&amp;number=&amp;sourceID=5","")</f>
        <v/>
      </c>
      <c r="Q342" s="4" t="str">
        <f>HYPERLINK("http://141.218.60.56/~jnz1568/getInfo.php?workbook=08_06.xlsx&amp;sheet=A0&amp;row=342&amp;col=17&amp;number=&amp;sourceID=6","")</f>
        <v/>
      </c>
    </row>
    <row r="343" spans="1:17">
      <c r="A343" s="3">
        <v>8</v>
      </c>
      <c r="B343" s="3">
        <v>6</v>
      </c>
      <c r="C343" s="3">
        <v>41</v>
      </c>
      <c r="D343" s="3">
        <v>2</v>
      </c>
      <c r="E343" s="3">
        <f>((1/(INDEX(E0!J$4:J$49,C343,1)-INDEX(E0!J$4:J$49,D343,1))))*100000000</f>
        <v>0</v>
      </c>
      <c r="F343" s="4" t="str">
        <f>HYPERLINK("http://141.218.60.56/~jnz1568/getInfo.php?workbook=08_06.xlsx&amp;sheet=A0&amp;row=343&amp;col=6&amp;number=2091100000&amp;sourceID=3","2091100000")</f>
        <v>2091100000</v>
      </c>
      <c r="G343" s="4" t="str">
        <f>HYPERLINK("http://141.218.60.56/~jnz1568/getInfo.php?workbook=08_06.xlsx&amp;sheet=A0&amp;row=343&amp;col=7&amp;number=&amp;sourceID=3","")</f>
        <v/>
      </c>
      <c r="H343" s="4" t="str">
        <f>HYPERLINK("http://141.218.60.56/~jnz1568/getInfo.php?workbook=08_06.xlsx&amp;sheet=A0&amp;row=343&amp;col=8&amp;number=&amp;sourceID=3","")</f>
        <v/>
      </c>
      <c r="I343" s="4" t="str">
        <f>HYPERLINK("http://141.218.60.56/~jnz1568/getInfo.php?workbook=08_06.xlsx&amp;sheet=A0&amp;row=343&amp;col=9&amp;number=&amp;sourceID=3","")</f>
        <v/>
      </c>
      <c r="J343" s="4" t="str">
        <f>HYPERLINK("http://141.218.60.56/~jnz1568/getInfo.php?workbook=08_06.xlsx&amp;sheet=A0&amp;row=343&amp;col=10&amp;number=2100400000&amp;sourceID=3","2100400000")</f>
        <v>2100400000</v>
      </c>
      <c r="K343" s="4" t="str">
        <f>HYPERLINK("http://141.218.60.56/~jnz1568/getInfo.php?workbook=08_06.xlsx&amp;sheet=A0&amp;row=343&amp;col=11&amp;number=&amp;sourceID=3","")</f>
        <v/>
      </c>
      <c r="L343" s="4" t="str">
        <f>HYPERLINK("http://141.218.60.56/~jnz1568/getInfo.php?workbook=08_06.xlsx&amp;sheet=A0&amp;row=343&amp;col=12&amp;number=&amp;sourceID=3","")</f>
        <v/>
      </c>
      <c r="M343" s="4" t="str">
        <f>HYPERLINK("http://141.218.60.56/~jnz1568/getInfo.php?workbook=08_06.xlsx&amp;sheet=A0&amp;row=343&amp;col=13&amp;number=&amp;sourceID=3","")</f>
        <v/>
      </c>
      <c r="N343" s="4" t="str">
        <f>HYPERLINK("http://141.218.60.56/~jnz1568/getInfo.php?workbook=08_06.xlsx&amp;sheet=A0&amp;row=343&amp;col=14&amp;number=2668000000&amp;sourceID=7","2668000000")</f>
        <v>2668000000</v>
      </c>
      <c r="O343" s="4" t="str">
        <f>HYPERLINK("http://141.218.60.56/~jnz1568/getInfo.php?workbook=08_06.xlsx&amp;sheet=A0&amp;row=343&amp;col=15&amp;number=&amp;sourceID=5","")</f>
        <v/>
      </c>
      <c r="P343" s="4" t="str">
        <f>HYPERLINK("http://141.218.60.56/~jnz1568/getInfo.php?workbook=08_06.xlsx&amp;sheet=A0&amp;row=343&amp;col=16&amp;number=&amp;sourceID=5","")</f>
        <v/>
      </c>
      <c r="Q343" s="4" t="str">
        <f>HYPERLINK("http://141.218.60.56/~jnz1568/getInfo.php?workbook=08_06.xlsx&amp;sheet=A0&amp;row=343&amp;col=17&amp;number=&amp;sourceID=6","")</f>
        <v/>
      </c>
    </row>
    <row r="344" spans="1:17">
      <c r="A344" s="3">
        <v>8</v>
      </c>
      <c r="B344" s="3">
        <v>6</v>
      </c>
      <c r="C344" s="3">
        <v>41</v>
      </c>
      <c r="D344" s="3">
        <v>3</v>
      </c>
      <c r="E344" s="3">
        <f>((1/(INDEX(E0!J$4:J$49,C344,1)-INDEX(E0!J$4:J$49,D344,1))))*100000000</f>
        <v>0</v>
      </c>
      <c r="F344" s="4" t="str">
        <f>HYPERLINK("http://141.218.60.56/~jnz1568/getInfo.php?workbook=08_06.xlsx&amp;sheet=A0&amp;row=344&amp;col=6&amp;number=9637800000&amp;sourceID=3","9637800000")</f>
        <v>9637800000</v>
      </c>
      <c r="G344" s="4" t="str">
        <f>HYPERLINK("http://141.218.60.56/~jnz1568/getInfo.php?workbook=08_06.xlsx&amp;sheet=A0&amp;row=344&amp;col=7&amp;number=&amp;sourceID=3","")</f>
        <v/>
      </c>
      <c r="H344" s="4" t="str">
        <f>HYPERLINK("http://141.218.60.56/~jnz1568/getInfo.php?workbook=08_06.xlsx&amp;sheet=A0&amp;row=344&amp;col=8&amp;number=&amp;sourceID=3","")</f>
        <v/>
      </c>
      <c r="I344" s="4" t="str">
        <f>HYPERLINK("http://141.218.60.56/~jnz1568/getInfo.php?workbook=08_06.xlsx&amp;sheet=A0&amp;row=344&amp;col=9&amp;number=&amp;sourceID=3","")</f>
        <v/>
      </c>
      <c r="J344" s="4" t="str">
        <f>HYPERLINK("http://141.218.60.56/~jnz1568/getInfo.php?workbook=08_06.xlsx&amp;sheet=A0&amp;row=344&amp;col=10&amp;number=9688900000&amp;sourceID=3","9688900000")</f>
        <v>9688900000</v>
      </c>
      <c r="K344" s="4" t="str">
        <f>HYPERLINK("http://141.218.60.56/~jnz1568/getInfo.php?workbook=08_06.xlsx&amp;sheet=A0&amp;row=344&amp;col=11&amp;number=&amp;sourceID=3","")</f>
        <v/>
      </c>
      <c r="L344" s="4" t="str">
        <f>HYPERLINK("http://141.218.60.56/~jnz1568/getInfo.php?workbook=08_06.xlsx&amp;sheet=A0&amp;row=344&amp;col=12&amp;number=&amp;sourceID=3","")</f>
        <v/>
      </c>
      <c r="M344" s="4" t="str">
        <f>HYPERLINK("http://141.218.60.56/~jnz1568/getInfo.php?workbook=08_06.xlsx&amp;sheet=A0&amp;row=344&amp;col=13&amp;number=&amp;sourceID=3","")</f>
        <v/>
      </c>
      <c r="N344" s="4" t="str">
        <f>HYPERLINK("http://141.218.60.56/~jnz1568/getInfo.php?workbook=08_06.xlsx&amp;sheet=A0&amp;row=344&amp;col=14&amp;number=11390000000&amp;sourceID=7","11390000000")</f>
        <v>11390000000</v>
      </c>
      <c r="O344" s="4" t="str">
        <f>HYPERLINK("http://141.218.60.56/~jnz1568/getInfo.php?workbook=08_06.xlsx&amp;sheet=A0&amp;row=344&amp;col=15&amp;number=&amp;sourceID=5","")</f>
        <v/>
      </c>
      <c r="P344" s="4" t="str">
        <f>HYPERLINK("http://141.218.60.56/~jnz1568/getInfo.php?workbook=08_06.xlsx&amp;sheet=A0&amp;row=344&amp;col=16&amp;number=&amp;sourceID=5","")</f>
        <v/>
      </c>
      <c r="Q344" s="4" t="str">
        <f>HYPERLINK("http://141.218.60.56/~jnz1568/getInfo.php?workbook=08_06.xlsx&amp;sheet=A0&amp;row=344&amp;col=17&amp;number=&amp;sourceID=6","")</f>
        <v/>
      </c>
    </row>
    <row r="345" spans="1:17">
      <c r="A345" s="3">
        <v>8</v>
      </c>
      <c r="B345" s="3">
        <v>6</v>
      </c>
      <c r="C345" s="3">
        <v>41</v>
      </c>
      <c r="D345" s="3">
        <v>4</v>
      </c>
      <c r="E345" s="3">
        <f>((1/(INDEX(E0!J$4:J$49,C345,1)-INDEX(E0!J$4:J$49,D345,1))))*100000000</f>
        <v>0</v>
      </c>
      <c r="F345" s="4" t="str">
        <f>HYPERLINK("http://141.218.60.56/~jnz1568/getInfo.php?workbook=08_06.xlsx&amp;sheet=A0&amp;row=345&amp;col=6&amp;number=10223000&amp;sourceID=3","10223000")</f>
        <v>10223000</v>
      </c>
      <c r="G345" s="4" t="str">
        <f>HYPERLINK("http://141.218.60.56/~jnz1568/getInfo.php?workbook=08_06.xlsx&amp;sheet=A0&amp;row=345&amp;col=7&amp;number=&amp;sourceID=3","")</f>
        <v/>
      </c>
      <c r="H345" s="4" t="str">
        <f>HYPERLINK("http://141.218.60.56/~jnz1568/getInfo.php?workbook=08_06.xlsx&amp;sheet=A0&amp;row=345&amp;col=8&amp;number=&amp;sourceID=3","")</f>
        <v/>
      </c>
      <c r="I345" s="4" t="str">
        <f>HYPERLINK("http://141.218.60.56/~jnz1568/getInfo.php?workbook=08_06.xlsx&amp;sheet=A0&amp;row=345&amp;col=9&amp;number=&amp;sourceID=3","")</f>
        <v/>
      </c>
      <c r="J345" s="4" t="str">
        <f>HYPERLINK("http://141.218.60.56/~jnz1568/getInfo.php?workbook=08_06.xlsx&amp;sheet=A0&amp;row=345&amp;col=10&amp;number=10391000&amp;sourceID=3","10391000")</f>
        <v>10391000</v>
      </c>
      <c r="K345" s="4" t="str">
        <f>HYPERLINK("http://141.218.60.56/~jnz1568/getInfo.php?workbook=08_06.xlsx&amp;sheet=A0&amp;row=345&amp;col=11&amp;number=&amp;sourceID=3","")</f>
        <v/>
      </c>
      <c r="L345" s="4" t="str">
        <f>HYPERLINK("http://141.218.60.56/~jnz1568/getInfo.php?workbook=08_06.xlsx&amp;sheet=A0&amp;row=345&amp;col=12&amp;number=&amp;sourceID=3","")</f>
        <v/>
      </c>
      <c r="M345" s="4" t="str">
        <f>HYPERLINK("http://141.218.60.56/~jnz1568/getInfo.php?workbook=08_06.xlsx&amp;sheet=A0&amp;row=345&amp;col=13&amp;number=&amp;sourceID=3","")</f>
        <v/>
      </c>
      <c r="N345" s="4" t="str">
        <f>HYPERLINK("http://141.218.60.56/~jnz1568/getInfo.php?workbook=08_06.xlsx&amp;sheet=A0&amp;row=345&amp;col=14&amp;number=6325000&amp;sourceID=7","6325000")</f>
        <v>6325000</v>
      </c>
      <c r="O345" s="4" t="str">
        <f>HYPERLINK("http://141.218.60.56/~jnz1568/getInfo.php?workbook=08_06.xlsx&amp;sheet=A0&amp;row=345&amp;col=15&amp;number=&amp;sourceID=5","")</f>
        <v/>
      </c>
      <c r="P345" s="4" t="str">
        <f>HYPERLINK("http://141.218.60.56/~jnz1568/getInfo.php?workbook=08_06.xlsx&amp;sheet=A0&amp;row=345&amp;col=16&amp;number=&amp;sourceID=5","")</f>
        <v/>
      </c>
      <c r="Q345" s="4" t="str">
        <f>HYPERLINK("http://141.218.60.56/~jnz1568/getInfo.php?workbook=08_06.xlsx&amp;sheet=A0&amp;row=345&amp;col=17&amp;number=&amp;sourceID=6","")</f>
        <v/>
      </c>
    </row>
    <row r="346" spans="1:17">
      <c r="A346" s="3">
        <v>8</v>
      </c>
      <c r="B346" s="3">
        <v>6</v>
      </c>
      <c r="C346" s="3">
        <v>41</v>
      </c>
      <c r="D346" s="3">
        <v>20</v>
      </c>
      <c r="E346" s="3">
        <f>((1/(INDEX(E0!J$4:J$49,C346,1)-INDEX(E0!J$4:J$49,D346,1))))*100000000</f>
        <v>0</v>
      </c>
      <c r="F346" s="4" t="str">
        <f>HYPERLINK("http://141.218.60.56/~jnz1568/getInfo.php?workbook=08_06.xlsx&amp;sheet=A0&amp;row=346&amp;col=6&amp;number=535950&amp;sourceID=3","535950")</f>
        <v>535950</v>
      </c>
      <c r="G346" s="4" t="str">
        <f>HYPERLINK("http://141.218.60.56/~jnz1568/getInfo.php?workbook=08_06.xlsx&amp;sheet=A0&amp;row=346&amp;col=7&amp;number=&amp;sourceID=3","")</f>
        <v/>
      </c>
      <c r="H346" s="4" t="str">
        <f>HYPERLINK("http://141.218.60.56/~jnz1568/getInfo.php?workbook=08_06.xlsx&amp;sheet=A0&amp;row=346&amp;col=8&amp;number=&amp;sourceID=3","")</f>
        <v/>
      </c>
      <c r="I346" s="4" t="str">
        <f>HYPERLINK("http://141.218.60.56/~jnz1568/getInfo.php?workbook=08_06.xlsx&amp;sheet=A0&amp;row=346&amp;col=9&amp;number=&amp;sourceID=3","")</f>
        <v/>
      </c>
      <c r="J346" s="4" t="str">
        <f>HYPERLINK("http://141.218.60.56/~jnz1568/getInfo.php?workbook=08_06.xlsx&amp;sheet=A0&amp;row=346&amp;col=10&amp;number=621230&amp;sourceID=3","621230")</f>
        <v>621230</v>
      </c>
      <c r="K346" s="4" t="str">
        <f>HYPERLINK("http://141.218.60.56/~jnz1568/getInfo.php?workbook=08_06.xlsx&amp;sheet=A0&amp;row=346&amp;col=11&amp;number=&amp;sourceID=3","")</f>
        <v/>
      </c>
      <c r="L346" s="4" t="str">
        <f>HYPERLINK("http://141.218.60.56/~jnz1568/getInfo.php?workbook=08_06.xlsx&amp;sheet=A0&amp;row=346&amp;col=12&amp;number=&amp;sourceID=3","")</f>
        <v/>
      </c>
      <c r="M346" s="4" t="str">
        <f>HYPERLINK("http://141.218.60.56/~jnz1568/getInfo.php?workbook=08_06.xlsx&amp;sheet=A0&amp;row=346&amp;col=13&amp;number=&amp;sourceID=3","")</f>
        <v/>
      </c>
      <c r="N346" s="4" t="str">
        <f>HYPERLINK("http://141.218.60.56/~jnz1568/getInfo.php?workbook=08_06.xlsx&amp;sheet=A0&amp;row=346&amp;col=14&amp;number=929800&amp;sourceID=7","929800")</f>
        <v>929800</v>
      </c>
      <c r="O346" s="4" t="str">
        <f>HYPERLINK("http://141.218.60.56/~jnz1568/getInfo.php?workbook=08_06.xlsx&amp;sheet=A0&amp;row=346&amp;col=15&amp;number=&amp;sourceID=5","")</f>
        <v/>
      </c>
      <c r="P346" s="4" t="str">
        <f>HYPERLINK("http://141.218.60.56/~jnz1568/getInfo.php?workbook=08_06.xlsx&amp;sheet=A0&amp;row=346&amp;col=16&amp;number=&amp;sourceID=5","")</f>
        <v/>
      </c>
      <c r="Q346" s="4" t="str">
        <f>HYPERLINK("http://141.218.60.56/~jnz1568/getInfo.php?workbook=08_06.xlsx&amp;sheet=A0&amp;row=346&amp;col=17&amp;number=&amp;sourceID=6","")</f>
        <v/>
      </c>
    </row>
    <row r="347" spans="1:17">
      <c r="A347" s="3">
        <v>8</v>
      </c>
      <c r="B347" s="3">
        <v>6</v>
      </c>
      <c r="C347" s="3">
        <v>41</v>
      </c>
      <c r="D347" s="3">
        <v>21</v>
      </c>
      <c r="E347" s="3">
        <f>((1/(INDEX(E0!J$4:J$49,C347,1)-INDEX(E0!J$4:J$49,D347,1))))*100000000</f>
        <v>0</v>
      </c>
      <c r="F347" s="4" t="str">
        <f>HYPERLINK("http://141.218.60.56/~jnz1568/getInfo.php?workbook=08_06.xlsx&amp;sheet=A0&amp;row=347&amp;col=6&amp;number=124410&amp;sourceID=3","124410")</f>
        <v>124410</v>
      </c>
      <c r="G347" s="4" t="str">
        <f>HYPERLINK("http://141.218.60.56/~jnz1568/getInfo.php?workbook=08_06.xlsx&amp;sheet=A0&amp;row=347&amp;col=7&amp;number=&amp;sourceID=3","")</f>
        <v/>
      </c>
      <c r="H347" s="4" t="str">
        <f>HYPERLINK("http://141.218.60.56/~jnz1568/getInfo.php?workbook=08_06.xlsx&amp;sheet=A0&amp;row=347&amp;col=8&amp;number=&amp;sourceID=3","")</f>
        <v/>
      </c>
      <c r="I347" s="4" t="str">
        <f>HYPERLINK("http://141.218.60.56/~jnz1568/getInfo.php?workbook=08_06.xlsx&amp;sheet=A0&amp;row=347&amp;col=9&amp;number=&amp;sourceID=3","")</f>
        <v/>
      </c>
      <c r="J347" s="4" t="str">
        <f>HYPERLINK("http://141.218.60.56/~jnz1568/getInfo.php?workbook=08_06.xlsx&amp;sheet=A0&amp;row=347&amp;col=10&amp;number=146660&amp;sourceID=3","146660")</f>
        <v>146660</v>
      </c>
      <c r="K347" s="4" t="str">
        <f>HYPERLINK("http://141.218.60.56/~jnz1568/getInfo.php?workbook=08_06.xlsx&amp;sheet=A0&amp;row=347&amp;col=11&amp;number=&amp;sourceID=3","")</f>
        <v/>
      </c>
      <c r="L347" s="4" t="str">
        <f>HYPERLINK("http://141.218.60.56/~jnz1568/getInfo.php?workbook=08_06.xlsx&amp;sheet=A0&amp;row=347&amp;col=12&amp;number=&amp;sourceID=3","")</f>
        <v/>
      </c>
      <c r="M347" s="4" t="str">
        <f>HYPERLINK("http://141.218.60.56/~jnz1568/getInfo.php?workbook=08_06.xlsx&amp;sheet=A0&amp;row=347&amp;col=13&amp;number=&amp;sourceID=3","")</f>
        <v/>
      </c>
      <c r="N347" s="4" t="str">
        <f>HYPERLINK("http://141.218.60.56/~jnz1568/getInfo.php?workbook=08_06.xlsx&amp;sheet=A0&amp;row=347&amp;col=14&amp;number=237500&amp;sourceID=7","237500")</f>
        <v>237500</v>
      </c>
      <c r="O347" s="4" t="str">
        <f>HYPERLINK("http://141.218.60.56/~jnz1568/getInfo.php?workbook=08_06.xlsx&amp;sheet=A0&amp;row=347&amp;col=15&amp;number=&amp;sourceID=5","")</f>
        <v/>
      </c>
      <c r="P347" s="4" t="str">
        <f>HYPERLINK("http://141.218.60.56/~jnz1568/getInfo.php?workbook=08_06.xlsx&amp;sheet=A0&amp;row=347&amp;col=16&amp;number=&amp;sourceID=5","")</f>
        <v/>
      </c>
      <c r="Q347" s="4" t="str">
        <f>HYPERLINK("http://141.218.60.56/~jnz1568/getInfo.php?workbook=08_06.xlsx&amp;sheet=A0&amp;row=347&amp;col=17&amp;number=&amp;sourceID=6","")</f>
        <v/>
      </c>
    </row>
    <row r="348" spans="1:17">
      <c r="A348" s="3">
        <v>8</v>
      </c>
      <c r="B348" s="3">
        <v>6</v>
      </c>
      <c r="C348" s="3">
        <v>41</v>
      </c>
      <c r="D348" s="3">
        <v>23</v>
      </c>
      <c r="E348" s="3">
        <f>((1/(INDEX(E0!J$4:J$49,C348,1)-INDEX(E0!J$4:J$49,D348,1))))*100000000</f>
        <v>0</v>
      </c>
      <c r="F348" s="4" t="str">
        <f>HYPERLINK("http://141.218.60.56/~jnz1568/getInfo.php?workbook=08_06.xlsx&amp;sheet=A0&amp;row=348&amp;col=6&amp;number=9795.5&amp;sourceID=3","9795.5")</f>
        <v>9795.5</v>
      </c>
      <c r="G348" s="4" t="str">
        <f>HYPERLINK("http://141.218.60.56/~jnz1568/getInfo.php?workbook=08_06.xlsx&amp;sheet=A0&amp;row=348&amp;col=7&amp;number=&amp;sourceID=3","")</f>
        <v/>
      </c>
      <c r="H348" s="4" t="str">
        <f>HYPERLINK("http://141.218.60.56/~jnz1568/getInfo.php?workbook=08_06.xlsx&amp;sheet=A0&amp;row=348&amp;col=8&amp;number=&amp;sourceID=3","")</f>
        <v/>
      </c>
      <c r="I348" s="4" t="str">
        <f>HYPERLINK("http://141.218.60.56/~jnz1568/getInfo.php?workbook=08_06.xlsx&amp;sheet=A0&amp;row=348&amp;col=9&amp;number=&amp;sourceID=3","")</f>
        <v/>
      </c>
      <c r="J348" s="4" t="str">
        <f>HYPERLINK("http://141.218.60.56/~jnz1568/getInfo.php?workbook=08_06.xlsx&amp;sheet=A0&amp;row=348&amp;col=10&amp;number=9873.4&amp;sourceID=3","9873.4")</f>
        <v>9873.4</v>
      </c>
      <c r="K348" s="4" t="str">
        <f>HYPERLINK("http://141.218.60.56/~jnz1568/getInfo.php?workbook=08_06.xlsx&amp;sheet=A0&amp;row=348&amp;col=11&amp;number=&amp;sourceID=3","")</f>
        <v/>
      </c>
      <c r="L348" s="4" t="str">
        <f>HYPERLINK("http://141.218.60.56/~jnz1568/getInfo.php?workbook=08_06.xlsx&amp;sheet=A0&amp;row=348&amp;col=12&amp;number=&amp;sourceID=3","")</f>
        <v/>
      </c>
      <c r="M348" s="4" t="str">
        <f>HYPERLINK("http://141.218.60.56/~jnz1568/getInfo.php?workbook=08_06.xlsx&amp;sheet=A0&amp;row=348&amp;col=13&amp;number=&amp;sourceID=3","")</f>
        <v/>
      </c>
      <c r="N348" s="4" t="str">
        <f>HYPERLINK("http://141.218.60.56/~jnz1568/getInfo.php?workbook=08_06.xlsx&amp;sheet=A0&amp;row=348&amp;col=14&amp;number=2447&amp;sourceID=7","2447")</f>
        <v>2447</v>
      </c>
      <c r="O348" s="4" t="str">
        <f>HYPERLINK("http://141.218.60.56/~jnz1568/getInfo.php?workbook=08_06.xlsx&amp;sheet=A0&amp;row=348&amp;col=15&amp;number=&amp;sourceID=5","")</f>
        <v/>
      </c>
      <c r="P348" s="4" t="str">
        <f>HYPERLINK("http://141.218.60.56/~jnz1568/getInfo.php?workbook=08_06.xlsx&amp;sheet=A0&amp;row=348&amp;col=16&amp;number=&amp;sourceID=5","")</f>
        <v/>
      </c>
      <c r="Q348" s="4" t="str">
        <f>HYPERLINK("http://141.218.60.56/~jnz1568/getInfo.php?workbook=08_06.xlsx&amp;sheet=A0&amp;row=348&amp;col=17&amp;number=&amp;sourceID=6","")</f>
        <v/>
      </c>
    </row>
    <row r="349" spans="1:17">
      <c r="A349" s="3">
        <v>8</v>
      </c>
      <c r="B349" s="3">
        <v>6</v>
      </c>
      <c r="C349" s="3">
        <v>41</v>
      </c>
      <c r="D349" s="3">
        <v>24</v>
      </c>
      <c r="E349" s="3">
        <f>((1/(INDEX(E0!J$4:J$49,C349,1)-INDEX(E0!J$4:J$49,D349,1))))*100000000</f>
        <v>0</v>
      </c>
      <c r="F349" s="4" t="str">
        <f>HYPERLINK("http://141.218.60.56/~jnz1568/getInfo.php?workbook=08_06.xlsx&amp;sheet=A0&amp;row=349&amp;col=6&amp;number=67046&amp;sourceID=3","67046")</f>
        <v>67046</v>
      </c>
      <c r="G349" s="4" t="str">
        <f>HYPERLINK("http://141.218.60.56/~jnz1568/getInfo.php?workbook=08_06.xlsx&amp;sheet=A0&amp;row=349&amp;col=7&amp;number=&amp;sourceID=3","")</f>
        <v/>
      </c>
      <c r="H349" s="4" t="str">
        <f>HYPERLINK("http://141.218.60.56/~jnz1568/getInfo.php?workbook=08_06.xlsx&amp;sheet=A0&amp;row=349&amp;col=8&amp;number=&amp;sourceID=3","")</f>
        <v/>
      </c>
      <c r="I349" s="4" t="str">
        <f>HYPERLINK("http://141.218.60.56/~jnz1568/getInfo.php?workbook=08_06.xlsx&amp;sheet=A0&amp;row=349&amp;col=9&amp;number=&amp;sourceID=3","")</f>
        <v/>
      </c>
      <c r="J349" s="4" t="str">
        <f>HYPERLINK("http://141.218.60.56/~jnz1568/getInfo.php?workbook=08_06.xlsx&amp;sheet=A0&amp;row=349&amp;col=10&amp;number=67259&amp;sourceID=3","67259")</f>
        <v>67259</v>
      </c>
      <c r="K349" s="4" t="str">
        <f>HYPERLINK("http://141.218.60.56/~jnz1568/getInfo.php?workbook=08_06.xlsx&amp;sheet=A0&amp;row=349&amp;col=11&amp;number=&amp;sourceID=3","")</f>
        <v/>
      </c>
      <c r="L349" s="4" t="str">
        <f>HYPERLINK("http://141.218.60.56/~jnz1568/getInfo.php?workbook=08_06.xlsx&amp;sheet=A0&amp;row=349&amp;col=12&amp;number=&amp;sourceID=3","")</f>
        <v/>
      </c>
      <c r="M349" s="4" t="str">
        <f>HYPERLINK("http://141.218.60.56/~jnz1568/getInfo.php?workbook=08_06.xlsx&amp;sheet=A0&amp;row=349&amp;col=13&amp;number=&amp;sourceID=3","")</f>
        <v/>
      </c>
      <c r="N349" s="4" t="str">
        <f>HYPERLINK("http://141.218.60.56/~jnz1568/getInfo.php?workbook=08_06.xlsx&amp;sheet=A0&amp;row=349&amp;col=14&amp;number=72550&amp;sourceID=7","72550")</f>
        <v>72550</v>
      </c>
      <c r="O349" s="4" t="str">
        <f>HYPERLINK("http://141.218.60.56/~jnz1568/getInfo.php?workbook=08_06.xlsx&amp;sheet=A0&amp;row=349&amp;col=15&amp;number=&amp;sourceID=5","")</f>
        <v/>
      </c>
      <c r="P349" s="4" t="str">
        <f>HYPERLINK("http://141.218.60.56/~jnz1568/getInfo.php?workbook=08_06.xlsx&amp;sheet=A0&amp;row=349&amp;col=16&amp;number=&amp;sourceID=5","")</f>
        <v/>
      </c>
      <c r="Q349" s="4" t="str">
        <f>HYPERLINK("http://141.218.60.56/~jnz1568/getInfo.php?workbook=08_06.xlsx&amp;sheet=A0&amp;row=349&amp;col=17&amp;number=&amp;sourceID=6","")</f>
        <v/>
      </c>
    </row>
    <row r="350" spans="1:17">
      <c r="A350" s="3">
        <v>8</v>
      </c>
      <c r="B350" s="3">
        <v>6</v>
      </c>
      <c r="C350" s="3">
        <v>41</v>
      </c>
      <c r="D350" s="3">
        <v>25</v>
      </c>
      <c r="E350" s="3">
        <f>((1/(INDEX(E0!J$4:J$49,C350,1)-INDEX(E0!J$4:J$49,D350,1))))*100000000</f>
        <v>0</v>
      </c>
      <c r="F350" s="4" t="str">
        <f>HYPERLINK("http://141.218.60.56/~jnz1568/getInfo.php?workbook=08_06.xlsx&amp;sheet=A0&amp;row=350&amp;col=6&amp;number=1573600&amp;sourceID=3","1573600")</f>
        <v>1573600</v>
      </c>
      <c r="G350" s="4" t="str">
        <f>HYPERLINK("http://141.218.60.56/~jnz1568/getInfo.php?workbook=08_06.xlsx&amp;sheet=A0&amp;row=350&amp;col=7&amp;number=&amp;sourceID=3","")</f>
        <v/>
      </c>
      <c r="H350" s="4" t="str">
        <f>HYPERLINK("http://141.218.60.56/~jnz1568/getInfo.php?workbook=08_06.xlsx&amp;sheet=A0&amp;row=350&amp;col=8&amp;number=&amp;sourceID=3","")</f>
        <v/>
      </c>
      <c r="I350" s="4" t="str">
        <f>HYPERLINK("http://141.218.60.56/~jnz1568/getInfo.php?workbook=08_06.xlsx&amp;sheet=A0&amp;row=350&amp;col=9&amp;number=&amp;sourceID=3","")</f>
        <v/>
      </c>
      <c r="J350" s="4" t="str">
        <f>HYPERLINK("http://141.218.60.56/~jnz1568/getInfo.php?workbook=08_06.xlsx&amp;sheet=A0&amp;row=350&amp;col=10&amp;number=1568000&amp;sourceID=3","1568000")</f>
        <v>1568000</v>
      </c>
      <c r="K350" s="4" t="str">
        <f>HYPERLINK("http://141.218.60.56/~jnz1568/getInfo.php?workbook=08_06.xlsx&amp;sheet=A0&amp;row=350&amp;col=11&amp;number=&amp;sourceID=3","")</f>
        <v/>
      </c>
      <c r="L350" s="4" t="str">
        <f>HYPERLINK("http://141.218.60.56/~jnz1568/getInfo.php?workbook=08_06.xlsx&amp;sheet=A0&amp;row=350&amp;col=12&amp;number=&amp;sourceID=3","")</f>
        <v/>
      </c>
      <c r="M350" s="4" t="str">
        <f>HYPERLINK("http://141.218.60.56/~jnz1568/getInfo.php?workbook=08_06.xlsx&amp;sheet=A0&amp;row=350&amp;col=13&amp;number=&amp;sourceID=3","")</f>
        <v/>
      </c>
      <c r="N350" s="4" t="str">
        <f>HYPERLINK("http://141.218.60.56/~jnz1568/getInfo.php?workbook=08_06.xlsx&amp;sheet=A0&amp;row=350&amp;col=14&amp;number=1544000&amp;sourceID=7","1544000")</f>
        <v>1544000</v>
      </c>
      <c r="O350" s="4" t="str">
        <f>HYPERLINK("http://141.218.60.56/~jnz1568/getInfo.php?workbook=08_06.xlsx&amp;sheet=A0&amp;row=350&amp;col=15&amp;number=&amp;sourceID=5","")</f>
        <v/>
      </c>
      <c r="P350" s="4" t="str">
        <f>HYPERLINK("http://141.218.60.56/~jnz1568/getInfo.php?workbook=08_06.xlsx&amp;sheet=A0&amp;row=350&amp;col=16&amp;number=&amp;sourceID=5","")</f>
        <v/>
      </c>
      <c r="Q350" s="4" t="str">
        <f>HYPERLINK("http://141.218.60.56/~jnz1568/getInfo.php?workbook=08_06.xlsx&amp;sheet=A0&amp;row=350&amp;col=17&amp;number=&amp;sourceID=6","")</f>
        <v/>
      </c>
    </row>
    <row r="351" spans="1:17">
      <c r="A351" s="3">
        <v>8</v>
      </c>
      <c r="B351" s="3">
        <v>6</v>
      </c>
      <c r="C351" s="3">
        <v>41</v>
      </c>
      <c r="D351" s="3">
        <v>26</v>
      </c>
      <c r="E351" s="3">
        <f>((1/(INDEX(E0!J$4:J$49,C351,1)-INDEX(E0!J$4:J$49,D351,1))))*100000000</f>
        <v>0</v>
      </c>
      <c r="F351" s="4" t="str">
        <f>HYPERLINK("http://141.218.60.56/~jnz1568/getInfo.php?workbook=08_06.xlsx&amp;sheet=A0&amp;row=351&amp;col=6&amp;number=16080000&amp;sourceID=3","16080000")</f>
        <v>16080000</v>
      </c>
      <c r="G351" s="4" t="str">
        <f>HYPERLINK("http://141.218.60.56/~jnz1568/getInfo.php?workbook=08_06.xlsx&amp;sheet=A0&amp;row=351&amp;col=7&amp;number=&amp;sourceID=3","")</f>
        <v/>
      </c>
      <c r="H351" s="4" t="str">
        <f>HYPERLINK("http://141.218.60.56/~jnz1568/getInfo.php?workbook=08_06.xlsx&amp;sheet=A0&amp;row=351&amp;col=8&amp;number=&amp;sourceID=3","")</f>
        <v/>
      </c>
      <c r="I351" s="4" t="str">
        <f>HYPERLINK("http://141.218.60.56/~jnz1568/getInfo.php?workbook=08_06.xlsx&amp;sheet=A0&amp;row=351&amp;col=9&amp;number=&amp;sourceID=3","")</f>
        <v/>
      </c>
      <c r="J351" s="4" t="str">
        <f>HYPERLINK("http://141.218.60.56/~jnz1568/getInfo.php?workbook=08_06.xlsx&amp;sheet=A0&amp;row=351&amp;col=10&amp;number=15937000&amp;sourceID=3","15937000")</f>
        <v>15937000</v>
      </c>
      <c r="K351" s="4" t="str">
        <f>HYPERLINK("http://141.218.60.56/~jnz1568/getInfo.php?workbook=08_06.xlsx&amp;sheet=A0&amp;row=351&amp;col=11&amp;number=&amp;sourceID=3","")</f>
        <v/>
      </c>
      <c r="L351" s="4" t="str">
        <f>HYPERLINK("http://141.218.60.56/~jnz1568/getInfo.php?workbook=08_06.xlsx&amp;sheet=A0&amp;row=351&amp;col=12&amp;number=&amp;sourceID=3","")</f>
        <v/>
      </c>
      <c r="M351" s="4" t="str">
        <f>HYPERLINK("http://141.218.60.56/~jnz1568/getInfo.php?workbook=08_06.xlsx&amp;sheet=A0&amp;row=351&amp;col=13&amp;number=&amp;sourceID=3","")</f>
        <v/>
      </c>
      <c r="N351" s="4" t="str">
        <f>HYPERLINK("http://141.218.60.56/~jnz1568/getInfo.php?workbook=08_06.xlsx&amp;sheet=A0&amp;row=351&amp;col=14&amp;number=14020000&amp;sourceID=7","14020000")</f>
        <v>14020000</v>
      </c>
      <c r="O351" s="4" t="str">
        <f>HYPERLINK("http://141.218.60.56/~jnz1568/getInfo.php?workbook=08_06.xlsx&amp;sheet=A0&amp;row=351&amp;col=15&amp;number=&amp;sourceID=5","")</f>
        <v/>
      </c>
      <c r="P351" s="4" t="str">
        <f>HYPERLINK("http://141.218.60.56/~jnz1568/getInfo.php?workbook=08_06.xlsx&amp;sheet=A0&amp;row=351&amp;col=16&amp;number=&amp;sourceID=5","")</f>
        <v/>
      </c>
      <c r="Q351" s="4" t="str">
        <f>HYPERLINK("http://141.218.60.56/~jnz1568/getInfo.php?workbook=08_06.xlsx&amp;sheet=A0&amp;row=351&amp;col=17&amp;number=&amp;sourceID=6","")</f>
        <v/>
      </c>
    </row>
    <row r="352" spans="1:17">
      <c r="A352" s="3">
        <v>8</v>
      </c>
      <c r="B352" s="3">
        <v>6</v>
      </c>
      <c r="C352" s="3">
        <v>41</v>
      </c>
      <c r="D352" s="3">
        <v>27</v>
      </c>
      <c r="E352" s="3">
        <f>((1/(INDEX(E0!J$4:J$49,C352,1)-INDEX(E0!J$4:J$49,D352,1))))*100000000</f>
        <v>0</v>
      </c>
      <c r="F352" s="4" t="str">
        <f>HYPERLINK("http://141.218.60.56/~jnz1568/getInfo.php?workbook=08_06.xlsx&amp;sheet=A0&amp;row=352&amp;col=6&amp;number=145660000&amp;sourceID=3","145660000")</f>
        <v>145660000</v>
      </c>
      <c r="G352" s="4" t="str">
        <f>HYPERLINK("http://141.218.60.56/~jnz1568/getInfo.php?workbook=08_06.xlsx&amp;sheet=A0&amp;row=352&amp;col=7&amp;number=&amp;sourceID=3","")</f>
        <v/>
      </c>
      <c r="H352" s="4" t="str">
        <f>HYPERLINK("http://141.218.60.56/~jnz1568/getInfo.php?workbook=08_06.xlsx&amp;sheet=A0&amp;row=352&amp;col=8&amp;number=&amp;sourceID=3","")</f>
        <v/>
      </c>
      <c r="I352" s="4" t="str">
        <f>HYPERLINK("http://141.218.60.56/~jnz1568/getInfo.php?workbook=08_06.xlsx&amp;sheet=A0&amp;row=352&amp;col=9&amp;number=&amp;sourceID=3","")</f>
        <v/>
      </c>
      <c r="J352" s="4" t="str">
        <f>HYPERLINK("http://141.218.60.56/~jnz1568/getInfo.php?workbook=08_06.xlsx&amp;sheet=A0&amp;row=352&amp;col=10&amp;number=144850000&amp;sourceID=3","144850000")</f>
        <v>144850000</v>
      </c>
      <c r="K352" s="4" t="str">
        <f>HYPERLINK("http://141.218.60.56/~jnz1568/getInfo.php?workbook=08_06.xlsx&amp;sheet=A0&amp;row=352&amp;col=11&amp;number=&amp;sourceID=3","")</f>
        <v/>
      </c>
      <c r="L352" s="4" t="str">
        <f>HYPERLINK("http://141.218.60.56/~jnz1568/getInfo.php?workbook=08_06.xlsx&amp;sheet=A0&amp;row=352&amp;col=12&amp;number=&amp;sourceID=3","")</f>
        <v/>
      </c>
      <c r="M352" s="4" t="str">
        <f>HYPERLINK("http://141.218.60.56/~jnz1568/getInfo.php?workbook=08_06.xlsx&amp;sheet=A0&amp;row=352&amp;col=13&amp;number=&amp;sourceID=3","")</f>
        <v/>
      </c>
      <c r="N352" s="4" t="str">
        <f>HYPERLINK("http://141.218.60.56/~jnz1568/getInfo.php?workbook=08_06.xlsx&amp;sheet=A0&amp;row=352&amp;col=14&amp;number=106500000&amp;sourceID=7","106500000")</f>
        <v>106500000</v>
      </c>
      <c r="O352" s="4" t="str">
        <f>HYPERLINK("http://141.218.60.56/~jnz1568/getInfo.php?workbook=08_06.xlsx&amp;sheet=A0&amp;row=352&amp;col=15&amp;number=&amp;sourceID=5","")</f>
        <v/>
      </c>
      <c r="P352" s="4" t="str">
        <f>HYPERLINK("http://141.218.60.56/~jnz1568/getInfo.php?workbook=08_06.xlsx&amp;sheet=A0&amp;row=352&amp;col=16&amp;number=&amp;sourceID=5","")</f>
        <v/>
      </c>
      <c r="Q352" s="4" t="str">
        <f>HYPERLINK("http://141.218.60.56/~jnz1568/getInfo.php?workbook=08_06.xlsx&amp;sheet=A0&amp;row=352&amp;col=17&amp;number=&amp;sourceID=6","")</f>
        <v/>
      </c>
    </row>
    <row r="353" spans="1:17">
      <c r="A353" s="3">
        <v>8</v>
      </c>
      <c r="B353" s="3">
        <v>6</v>
      </c>
      <c r="C353" s="3">
        <v>41</v>
      </c>
      <c r="D353" s="3">
        <v>28</v>
      </c>
      <c r="E353" s="3">
        <f>((1/(INDEX(E0!J$4:J$49,C353,1)-INDEX(E0!J$4:J$49,D353,1))))*100000000</f>
        <v>0</v>
      </c>
      <c r="F353" s="4" t="str">
        <f>HYPERLINK("http://141.218.60.56/~jnz1568/getInfo.php?workbook=08_06.xlsx&amp;sheet=A0&amp;row=353&amp;col=6&amp;number=351.14&amp;sourceID=3","351.14")</f>
        <v>351.14</v>
      </c>
      <c r="G353" s="4" t="str">
        <f>HYPERLINK("http://141.218.60.56/~jnz1568/getInfo.php?workbook=08_06.xlsx&amp;sheet=A0&amp;row=353&amp;col=7&amp;number=&amp;sourceID=3","")</f>
        <v/>
      </c>
      <c r="H353" s="4" t="str">
        <f>HYPERLINK("http://141.218.60.56/~jnz1568/getInfo.php?workbook=08_06.xlsx&amp;sheet=A0&amp;row=353&amp;col=8&amp;number=&amp;sourceID=3","")</f>
        <v/>
      </c>
      <c r="I353" s="4" t="str">
        <f>HYPERLINK("http://141.218.60.56/~jnz1568/getInfo.php?workbook=08_06.xlsx&amp;sheet=A0&amp;row=353&amp;col=9&amp;number=&amp;sourceID=3","")</f>
        <v/>
      </c>
      <c r="J353" s="4" t="str">
        <f>HYPERLINK("http://141.218.60.56/~jnz1568/getInfo.php?workbook=08_06.xlsx&amp;sheet=A0&amp;row=353&amp;col=10&amp;number=2987.7&amp;sourceID=3","2987.7")</f>
        <v>2987.7</v>
      </c>
      <c r="K353" s="4" t="str">
        <f>HYPERLINK("http://141.218.60.56/~jnz1568/getInfo.php?workbook=08_06.xlsx&amp;sheet=A0&amp;row=353&amp;col=11&amp;number=&amp;sourceID=3","")</f>
        <v/>
      </c>
      <c r="L353" s="4" t="str">
        <f>HYPERLINK("http://141.218.60.56/~jnz1568/getInfo.php?workbook=08_06.xlsx&amp;sheet=A0&amp;row=353&amp;col=12&amp;number=&amp;sourceID=3","")</f>
        <v/>
      </c>
      <c r="M353" s="4" t="str">
        <f>HYPERLINK("http://141.218.60.56/~jnz1568/getInfo.php?workbook=08_06.xlsx&amp;sheet=A0&amp;row=353&amp;col=13&amp;number=&amp;sourceID=3","")</f>
        <v/>
      </c>
      <c r="N353" s="4" t="str">
        <f>HYPERLINK("http://141.218.60.56/~jnz1568/getInfo.php?workbook=08_06.xlsx&amp;sheet=A0&amp;row=353&amp;col=14&amp;number=847.5&amp;sourceID=7","847.5")</f>
        <v>847.5</v>
      </c>
      <c r="O353" s="4" t="str">
        <f>HYPERLINK("http://141.218.60.56/~jnz1568/getInfo.php?workbook=08_06.xlsx&amp;sheet=A0&amp;row=353&amp;col=15&amp;number=&amp;sourceID=5","")</f>
        <v/>
      </c>
      <c r="P353" s="4" t="str">
        <f>HYPERLINK("http://141.218.60.56/~jnz1568/getInfo.php?workbook=08_06.xlsx&amp;sheet=A0&amp;row=353&amp;col=16&amp;number=&amp;sourceID=5","")</f>
        <v/>
      </c>
      <c r="Q353" s="4" t="str">
        <f>HYPERLINK("http://141.218.60.56/~jnz1568/getInfo.php?workbook=08_06.xlsx&amp;sheet=A0&amp;row=353&amp;col=17&amp;number=&amp;sourceID=6","")</f>
        <v/>
      </c>
    </row>
    <row r="354" spans="1:17">
      <c r="A354" s="3">
        <v>8</v>
      </c>
      <c r="B354" s="3">
        <v>6</v>
      </c>
      <c r="C354" s="3">
        <v>41</v>
      </c>
      <c r="D354" s="3">
        <v>30</v>
      </c>
      <c r="E354" s="3">
        <f>((1/(INDEX(E0!J$4:J$49,C354,1)-INDEX(E0!J$4:J$49,D354,1))))*100000000</f>
        <v>0</v>
      </c>
      <c r="F354" s="4" t="str">
        <f>HYPERLINK("http://141.218.60.56/~jnz1568/getInfo.php?workbook=08_06.xlsx&amp;sheet=A0&amp;row=354&amp;col=6&amp;number=7435300&amp;sourceID=3","7435300")</f>
        <v>7435300</v>
      </c>
      <c r="G354" s="4" t="str">
        <f>HYPERLINK("http://141.218.60.56/~jnz1568/getInfo.php?workbook=08_06.xlsx&amp;sheet=A0&amp;row=354&amp;col=7&amp;number=&amp;sourceID=3","")</f>
        <v/>
      </c>
      <c r="H354" s="4" t="str">
        <f>HYPERLINK("http://141.218.60.56/~jnz1568/getInfo.php?workbook=08_06.xlsx&amp;sheet=A0&amp;row=354&amp;col=8&amp;number=&amp;sourceID=3","")</f>
        <v/>
      </c>
      <c r="I354" s="4" t="str">
        <f>HYPERLINK("http://141.218.60.56/~jnz1568/getInfo.php?workbook=08_06.xlsx&amp;sheet=A0&amp;row=354&amp;col=9&amp;number=&amp;sourceID=3","")</f>
        <v/>
      </c>
      <c r="J354" s="4" t="str">
        <f>HYPERLINK("http://141.218.60.56/~jnz1568/getInfo.php?workbook=08_06.xlsx&amp;sheet=A0&amp;row=354&amp;col=10&amp;number=7405900&amp;sourceID=3","7405900")</f>
        <v>7405900</v>
      </c>
      <c r="K354" s="4" t="str">
        <f>HYPERLINK("http://141.218.60.56/~jnz1568/getInfo.php?workbook=08_06.xlsx&amp;sheet=A0&amp;row=354&amp;col=11&amp;number=&amp;sourceID=3","")</f>
        <v/>
      </c>
      <c r="L354" s="4" t="str">
        <f>HYPERLINK("http://141.218.60.56/~jnz1568/getInfo.php?workbook=08_06.xlsx&amp;sheet=A0&amp;row=354&amp;col=12&amp;number=&amp;sourceID=3","")</f>
        <v/>
      </c>
      <c r="M354" s="4" t="str">
        <f>HYPERLINK("http://141.218.60.56/~jnz1568/getInfo.php?workbook=08_06.xlsx&amp;sheet=A0&amp;row=354&amp;col=13&amp;number=&amp;sourceID=3","")</f>
        <v/>
      </c>
      <c r="N354" s="4" t="str">
        <f>HYPERLINK("http://141.218.60.56/~jnz1568/getInfo.php?workbook=08_06.xlsx&amp;sheet=A0&amp;row=354&amp;col=14&amp;number=6064000&amp;sourceID=7","6064000")</f>
        <v>6064000</v>
      </c>
      <c r="O354" s="4" t="str">
        <f>HYPERLINK("http://141.218.60.56/~jnz1568/getInfo.php?workbook=08_06.xlsx&amp;sheet=A0&amp;row=354&amp;col=15&amp;number=&amp;sourceID=5","")</f>
        <v/>
      </c>
      <c r="P354" s="4" t="str">
        <f>HYPERLINK("http://141.218.60.56/~jnz1568/getInfo.php?workbook=08_06.xlsx&amp;sheet=A0&amp;row=354&amp;col=16&amp;number=&amp;sourceID=5","")</f>
        <v/>
      </c>
      <c r="Q354" s="4" t="str">
        <f>HYPERLINK("http://141.218.60.56/~jnz1568/getInfo.php?workbook=08_06.xlsx&amp;sheet=A0&amp;row=354&amp;col=17&amp;number=&amp;sourceID=6","")</f>
        <v/>
      </c>
    </row>
    <row r="355" spans="1:17">
      <c r="A355" s="3">
        <v>8</v>
      </c>
      <c r="B355" s="3">
        <v>6</v>
      </c>
      <c r="C355" s="3">
        <v>41</v>
      </c>
      <c r="D355" s="3">
        <v>31</v>
      </c>
      <c r="E355" s="3">
        <f>((1/(INDEX(E0!J$4:J$49,C355,1)-INDEX(E0!J$4:J$49,D355,1))))*100000000</f>
        <v>0</v>
      </c>
      <c r="F355" s="4" t="str">
        <f>HYPERLINK("http://141.218.60.56/~jnz1568/getInfo.php?workbook=08_06.xlsx&amp;sheet=A0&amp;row=355&amp;col=6&amp;number=48615000&amp;sourceID=3","48615000")</f>
        <v>48615000</v>
      </c>
      <c r="G355" s="4" t="str">
        <f>HYPERLINK("http://141.218.60.56/~jnz1568/getInfo.php?workbook=08_06.xlsx&amp;sheet=A0&amp;row=355&amp;col=7&amp;number=&amp;sourceID=3","")</f>
        <v/>
      </c>
      <c r="H355" s="4" t="str">
        <f>HYPERLINK("http://141.218.60.56/~jnz1568/getInfo.php?workbook=08_06.xlsx&amp;sheet=A0&amp;row=355&amp;col=8&amp;number=&amp;sourceID=3","")</f>
        <v/>
      </c>
      <c r="I355" s="4" t="str">
        <f>HYPERLINK("http://141.218.60.56/~jnz1568/getInfo.php?workbook=08_06.xlsx&amp;sheet=A0&amp;row=355&amp;col=9&amp;number=&amp;sourceID=3","")</f>
        <v/>
      </c>
      <c r="J355" s="4" t="str">
        <f>HYPERLINK("http://141.218.60.56/~jnz1568/getInfo.php?workbook=08_06.xlsx&amp;sheet=A0&amp;row=355&amp;col=10&amp;number=48299000&amp;sourceID=3","48299000")</f>
        <v>48299000</v>
      </c>
      <c r="K355" s="4" t="str">
        <f>HYPERLINK("http://141.218.60.56/~jnz1568/getInfo.php?workbook=08_06.xlsx&amp;sheet=A0&amp;row=355&amp;col=11&amp;number=&amp;sourceID=3","")</f>
        <v/>
      </c>
      <c r="L355" s="4" t="str">
        <f>HYPERLINK("http://141.218.60.56/~jnz1568/getInfo.php?workbook=08_06.xlsx&amp;sheet=A0&amp;row=355&amp;col=12&amp;number=&amp;sourceID=3","")</f>
        <v/>
      </c>
      <c r="M355" s="4" t="str">
        <f>HYPERLINK("http://141.218.60.56/~jnz1568/getInfo.php?workbook=08_06.xlsx&amp;sheet=A0&amp;row=355&amp;col=13&amp;number=&amp;sourceID=3","")</f>
        <v/>
      </c>
      <c r="N355" s="4" t="str">
        <f>HYPERLINK("http://141.218.60.56/~jnz1568/getInfo.php?workbook=08_06.xlsx&amp;sheet=A0&amp;row=355&amp;col=14&amp;number=31870000&amp;sourceID=7","31870000")</f>
        <v>31870000</v>
      </c>
      <c r="O355" s="4" t="str">
        <f>HYPERLINK("http://141.218.60.56/~jnz1568/getInfo.php?workbook=08_06.xlsx&amp;sheet=A0&amp;row=355&amp;col=15&amp;number=&amp;sourceID=5","")</f>
        <v/>
      </c>
      <c r="P355" s="4" t="str">
        <f>HYPERLINK("http://141.218.60.56/~jnz1568/getInfo.php?workbook=08_06.xlsx&amp;sheet=A0&amp;row=355&amp;col=16&amp;number=&amp;sourceID=5","")</f>
        <v/>
      </c>
      <c r="Q355" s="4" t="str">
        <f>HYPERLINK("http://141.218.60.56/~jnz1568/getInfo.php?workbook=08_06.xlsx&amp;sheet=A0&amp;row=355&amp;col=17&amp;number=&amp;sourceID=6","")</f>
        <v/>
      </c>
    </row>
    <row r="356" spans="1:17">
      <c r="A356" s="3">
        <v>8</v>
      </c>
      <c r="B356" s="3">
        <v>6</v>
      </c>
      <c r="C356" s="3">
        <v>41</v>
      </c>
      <c r="D356" s="3">
        <v>32</v>
      </c>
      <c r="E356" s="3">
        <f>((1/(INDEX(E0!J$4:J$49,C356,1)-INDEX(E0!J$4:J$49,D356,1))))*100000000</f>
        <v>0</v>
      </c>
      <c r="F356" s="4" t="str">
        <f>HYPERLINK("http://141.218.60.56/~jnz1568/getInfo.php?workbook=08_06.xlsx&amp;sheet=A0&amp;row=356&amp;col=6&amp;number=39712&amp;sourceID=3","39712")</f>
        <v>39712</v>
      </c>
      <c r="G356" s="4" t="str">
        <f>HYPERLINK("http://141.218.60.56/~jnz1568/getInfo.php?workbook=08_06.xlsx&amp;sheet=A0&amp;row=356&amp;col=7&amp;number=&amp;sourceID=3","")</f>
        <v/>
      </c>
      <c r="H356" s="4" t="str">
        <f>HYPERLINK("http://141.218.60.56/~jnz1568/getInfo.php?workbook=08_06.xlsx&amp;sheet=A0&amp;row=356&amp;col=8&amp;number=&amp;sourceID=3","")</f>
        <v/>
      </c>
      <c r="I356" s="4" t="str">
        <f>HYPERLINK("http://141.218.60.56/~jnz1568/getInfo.php?workbook=08_06.xlsx&amp;sheet=A0&amp;row=356&amp;col=9&amp;number=&amp;sourceID=3","")</f>
        <v/>
      </c>
      <c r="J356" s="4" t="str">
        <f>HYPERLINK("http://141.218.60.56/~jnz1568/getInfo.php?workbook=08_06.xlsx&amp;sheet=A0&amp;row=356&amp;col=10&amp;number=38991&amp;sourceID=3","38991")</f>
        <v>38991</v>
      </c>
      <c r="K356" s="4" t="str">
        <f>HYPERLINK("http://141.218.60.56/~jnz1568/getInfo.php?workbook=08_06.xlsx&amp;sheet=A0&amp;row=356&amp;col=11&amp;number=&amp;sourceID=3","")</f>
        <v/>
      </c>
      <c r="L356" s="4" t="str">
        <f>HYPERLINK("http://141.218.60.56/~jnz1568/getInfo.php?workbook=08_06.xlsx&amp;sheet=A0&amp;row=356&amp;col=12&amp;number=&amp;sourceID=3","")</f>
        <v/>
      </c>
      <c r="M356" s="4" t="str">
        <f>HYPERLINK("http://141.218.60.56/~jnz1568/getInfo.php?workbook=08_06.xlsx&amp;sheet=A0&amp;row=356&amp;col=13&amp;number=&amp;sourceID=3","")</f>
        <v/>
      </c>
      <c r="N356" s="4" t="str">
        <f>HYPERLINK("http://141.218.60.56/~jnz1568/getInfo.php?workbook=08_06.xlsx&amp;sheet=A0&amp;row=356&amp;col=14&amp;number=9222&amp;sourceID=7","9222")</f>
        <v>9222</v>
      </c>
      <c r="O356" s="4" t="str">
        <f>HYPERLINK("http://141.218.60.56/~jnz1568/getInfo.php?workbook=08_06.xlsx&amp;sheet=A0&amp;row=356&amp;col=15&amp;number=&amp;sourceID=5","")</f>
        <v/>
      </c>
      <c r="P356" s="4" t="str">
        <f>HYPERLINK("http://141.218.60.56/~jnz1568/getInfo.php?workbook=08_06.xlsx&amp;sheet=A0&amp;row=356&amp;col=16&amp;number=&amp;sourceID=5","")</f>
        <v/>
      </c>
      <c r="Q356" s="4" t="str">
        <f>HYPERLINK("http://141.218.60.56/~jnz1568/getInfo.php?workbook=08_06.xlsx&amp;sheet=A0&amp;row=356&amp;col=17&amp;number=&amp;sourceID=6","")</f>
        <v/>
      </c>
    </row>
    <row r="357" spans="1:17">
      <c r="A357" s="3">
        <v>8</v>
      </c>
      <c r="B357" s="3">
        <v>6</v>
      </c>
      <c r="C357" s="3">
        <v>42</v>
      </c>
      <c r="D357" s="3">
        <v>1</v>
      </c>
      <c r="E357" s="3">
        <f>((1/(INDEX(E0!J$4:J$49,C357,1)-INDEX(E0!J$4:J$49,D357,1))))*100000000</f>
        <v>0</v>
      </c>
      <c r="F357" s="4" t="str">
        <f>HYPERLINK("http://141.218.60.56/~jnz1568/getInfo.php?workbook=08_06.xlsx&amp;sheet=A0&amp;row=357&amp;col=6&amp;number=3277300000&amp;sourceID=3","3277300000")</f>
        <v>3277300000</v>
      </c>
      <c r="G357" s="4" t="str">
        <f>HYPERLINK("http://141.218.60.56/~jnz1568/getInfo.php?workbook=08_06.xlsx&amp;sheet=A0&amp;row=357&amp;col=7&amp;number=&amp;sourceID=3","")</f>
        <v/>
      </c>
      <c r="H357" s="4" t="str">
        <f>HYPERLINK("http://141.218.60.56/~jnz1568/getInfo.php?workbook=08_06.xlsx&amp;sheet=A0&amp;row=357&amp;col=8&amp;number=&amp;sourceID=3","")</f>
        <v/>
      </c>
      <c r="I357" s="4" t="str">
        <f>HYPERLINK("http://141.218.60.56/~jnz1568/getInfo.php?workbook=08_06.xlsx&amp;sheet=A0&amp;row=357&amp;col=9&amp;number=&amp;sourceID=3","")</f>
        <v/>
      </c>
      <c r="J357" s="4" t="str">
        <f>HYPERLINK("http://141.218.60.56/~jnz1568/getInfo.php?workbook=08_06.xlsx&amp;sheet=A0&amp;row=357&amp;col=10&amp;number=3299200000&amp;sourceID=3","3299200000")</f>
        <v>3299200000</v>
      </c>
      <c r="K357" s="4" t="str">
        <f>HYPERLINK("http://141.218.60.56/~jnz1568/getInfo.php?workbook=08_06.xlsx&amp;sheet=A0&amp;row=357&amp;col=11&amp;number=&amp;sourceID=3","")</f>
        <v/>
      </c>
      <c r="L357" s="4" t="str">
        <f>HYPERLINK("http://141.218.60.56/~jnz1568/getInfo.php?workbook=08_06.xlsx&amp;sheet=A0&amp;row=357&amp;col=12&amp;number=&amp;sourceID=3","")</f>
        <v/>
      </c>
      <c r="M357" s="4" t="str">
        <f>HYPERLINK("http://141.218.60.56/~jnz1568/getInfo.php?workbook=08_06.xlsx&amp;sheet=A0&amp;row=357&amp;col=13&amp;number=&amp;sourceID=3","")</f>
        <v/>
      </c>
      <c r="N357" s="4" t="str">
        <f>HYPERLINK("http://141.218.60.56/~jnz1568/getInfo.php?workbook=08_06.xlsx&amp;sheet=A0&amp;row=357&amp;col=14&amp;number=4062000000&amp;sourceID=7","4062000000")</f>
        <v>4062000000</v>
      </c>
      <c r="O357" s="4" t="str">
        <f>HYPERLINK("http://141.218.60.56/~jnz1568/getInfo.php?workbook=08_06.xlsx&amp;sheet=A0&amp;row=357&amp;col=15&amp;number=&amp;sourceID=5","")</f>
        <v/>
      </c>
      <c r="P357" s="4" t="str">
        <f>HYPERLINK("http://141.218.60.56/~jnz1568/getInfo.php?workbook=08_06.xlsx&amp;sheet=A0&amp;row=357&amp;col=16&amp;number=&amp;sourceID=5","")</f>
        <v/>
      </c>
      <c r="Q357" s="4" t="str">
        <f>HYPERLINK("http://141.218.60.56/~jnz1568/getInfo.php?workbook=08_06.xlsx&amp;sheet=A0&amp;row=357&amp;col=17&amp;number=&amp;sourceID=6","")</f>
        <v/>
      </c>
    </row>
    <row r="358" spans="1:17">
      <c r="A358" s="3">
        <v>8</v>
      </c>
      <c r="B358" s="3">
        <v>6</v>
      </c>
      <c r="C358" s="3">
        <v>42</v>
      </c>
      <c r="D358" s="3">
        <v>2</v>
      </c>
      <c r="E358" s="3">
        <f>((1/(INDEX(E0!J$4:J$49,C358,1)-INDEX(E0!J$4:J$49,D358,1))))*100000000</f>
        <v>0</v>
      </c>
      <c r="F358" s="4" t="str">
        <f>HYPERLINK("http://141.218.60.56/~jnz1568/getInfo.php?workbook=08_06.xlsx&amp;sheet=A0&amp;row=358&amp;col=6&amp;number=3424200000&amp;sourceID=3","3424200000")</f>
        <v>3424200000</v>
      </c>
      <c r="G358" s="4" t="str">
        <f>HYPERLINK("http://141.218.60.56/~jnz1568/getInfo.php?workbook=08_06.xlsx&amp;sheet=A0&amp;row=358&amp;col=7&amp;number=&amp;sourceID=3","")</f>
        <v/>
      </c>
      <c r="H358" s="4" t="str">
        <f>HYPERLINK("http://141.218.60.56/~jnz1568/getInfo.php?workbook=08_06.xlsx&amp;sheet=A0&amp;row=358&amp;col=8&amp;number=&amp;sourceID=3","")</f>
        <v/>
      </c>
      <c r="I358" s="4" t="str">
        <f>HYPERLINK("http://141.218.60.56/~jnz1568/getInfo.php?workbook=08_06.xlsx&amp;sheet=A0&amp;row=358&amp;col=9&amp;number=&amp;sourceID=3","")</f>
        <v/>
      </c>
      <c r="J358" s="4" t="str">
        <f>HYPERLINK("http://141.218.60.56/~jnz1568/getInfo.php?workbook=08_06.xlsx&amp;sheet=A0&amp;row=358&amp;col=10&amp;number=3449600000&amp;sourceID=3","3449600000")</f>
        <v>3449600000</v>
      </c>
      <c r="K358" s="4" t="str">
        <f>HYPERLINK("http://141.218.60.56/~jnz1568/getInfo.php?workbook=08_06.xlsx&amp;sheet=A0&amp;row=358&amp;col=11&amp;number=&amp;sourceID=3","")</f>
        <v/>
      </c>
      <c r="L358" s="4" t="str">
        <f>HYPERLINK("http://141.218.60.56/~jnz1568/getInfo.php?workbook=08_06.xlsx&amp;sheet=A0&amp;row=358&amp;col=12&amp;number=&amp;sourceID=3","")</f>
        <v/>
      </c>
      <c r="M358" s="4" t="str">
        <f>HYPERLINK("http://141.218.60.56/~jnz1568/getInfo.php?workbook=08_06.xlsx&amp;sheet=A0&amp;row=358&amp;col=13&amp;number=&amp;sourceID=3","")</f>
        <v/>
      </c>
      <c r="N358" s="4" t="str">
        <f>HYPERLINK("http://141.218.60.56/~jnz1568/getInfo.php?workbook=08_06.xlsx&amp;sheet=A0&amp;row=358&amp;col=14&amp;number=3998000000&amp;sourceID=7","3998000000")</f>
        <v>3998000000</v>
      </c>
      <c r="O358" s="4" t="str">
        <f>HYPERLINK("http://141.218.60.56/~jnz1568/getInfo.php?workbook=08_06.xlsx&amp;sheet=A0&amp;row=358&amp;col=15&amp;number=&amp;sourceID=5","")</f>
        <v/>
      </c>
      <c r="P358" s="4" t="str">
        <f>HYPERLINK("http://141.218.60.56/~jnz1568/getInfo.php?workbook=08_06.xlsx&amp;sheet=A0&amp;row=358&amp;col=16&amp;number=&amp;sourceID=5","")</f>
        <v/>
      </c>
      <c r="Q358" s="4" t="str">
        <f>HYPERLINK("http://141.218.60.56/~jnz1568/getInfo.php?workbook=08_06.xlsx&amp;sheet=A0&amp;row=358&amp;col=17&amp;number=&amp;sourceID=6","")</f>
        <v/>
      </c>
    </row>
    <row r="359" spans="1:17">
      <c r="A359" s="3">
        <v>8</v>
      </c>
      <c r="B359" s="3">
        <v>6</v>
      </c>
      <c r="C359" s="3">
        <v>42</v>
      </c>
      <c r="D359" s="3">
        <v>3</v>
      </c>
      <c r="E359" s="3">
        <f>((1/(INDEX(E0!J$4:J$49,C359,1)-INDEX(E0!J$4:J$49,D359,1))))*100000000</f>
        <v>0</v>
      </c>
      <c r="F359" s="4" t="str">
        <f>HYPERLINK("http://141.218.60.56/~jnz1568/getInfo.php?workbook=08_06.xlsx&amp;sheet=A0&amp;row=359&amp;col=6&amp;number=5027700000&amp;sourceID=3","5027700000")</f>
        <v>5027700000</v>
      </c>
      <c r="G359" s="4" t="str">
        <f>HYPERLINK("http://141.218.60.56/~jnz1568/getInfo.php?workbook=08_06.xlsx&amp;sheet=A0&amp;row=359&amp;col=7&amp;number=&amp;sourceID=3","")</f>
        <v/>
      </c>
      <c r="H359" s="4" t="str">
        <f>HYPERLINK("http://141.218.60.56/~jnz1568/getInfo.php?workbook=08_06.xlsx&amp;sheet=A0&amp;row=359&amp;col=8&amp;number=&amp;sourceID=3","")</f>
        <v/>
      </c>
      <c r="I359" s="4" t="str">
        <f>HYPERLINK("http://141.218.60.56/~jnz1568/getInfo.php?workbook=08_06.xlsx&amp;sheet=A0&amp;row=359&amp;col=9&amp;number=&amp;sourceID=3","")</f>
        <v/>
      </c>
      <c r="J359" s="4" t="str">
        <f>HYPERLINK("http://141.218.60.56/~jnz1568/getInfo.php?workbook=08_06.xlsx&amp;sheet=A0&amp;row=359&amp;col=10&amp;number=5058400000&amp;sourceID=3","5058400000")</f>
        <v>5058400000</v>
      </c>
      <c r="K359" s="4" t="str">
        <f>HYPERLINK("http://141.218.60.56/~jnz1568/getInfo.php?workbook=08_06.xlsx&amp;sheet=A0&amp;row=359&amp;col=11&amp;number=&amp;sourceID=3","")</f>
        <v/>
      </c>
      <c r="L359" s="4" t="str">
        <f>HYPERLINK("http://141.218.60.56/~jnz1568/getInfo.php?workbook=08_06.xlsx&amp;sheet=A0&amp;row=359&amp;col=12&amp;number=&amp;sourceID=3","")</f>
        <v/>
      </c>
      <c r="M359" s="4" t="str">
        <f>HYPERLINK("http://141.218.60.56/~jnz1568/getInfo.php?workbook=08_06.xlsx&amp;sheet=A0&amp;row=359&amp;col=13&amp;number=&amp;sourceID=3","")</f>
        <v/>
      </c>
      <c r="N359" s="4" t="str">
        <f>HYPERLINK("http://141.218.60.56/~jnz1568/getInfo.php?workbook=08_06.xlsx&amp;sheet=A0&amp;row=359&amp;col=14&amp;number=6001000000&amp;sourceID=7","6001000000")</f>
        <v>6001000000</v>
      </c>
      <c r="O359" s="4" t="str">
        <f>HYPERLINK("http://141.218.60.56/~jnz1568/getInfo.php?workbook=08_06.xlsx&amp;sheet=A0&amp;row=359&amp;col=15&amp;number=&amp;sourceID=5","")</f>
        <v/>
      </c>
      <c r="P359" s="4" t="str">
        <f>HYPERLINK("http://141.218.60.56/~jnz1568/getInfo.php?workbook=08_06.xlsx&amp;sheet=A0&amp;row=359&amp;col=16&amp;number=&amp;sourceID=5","")</f>
        <v/>
      </c>
      <c r="Q359" s="4" t="str">
        <f>HYPERLINK("http://141.218.60.56/~jnz1568/getInfo.php?workbook=08_06.xlsx&amp;sheet=A0&amp;row=359&amp;col=17&amp;number=&amp;sourceID=6","")</f>
        <v/>
      </c>
    </row>
    <row r="360" spans="1:17">
      <c r="A360" s="3">
        <v>8</v>
      </c>
      <c r="B360" s="3">
        <v>6</v>
      </c>
      <c r="C360" s="3">
        <v>42</v>
      </c>
      <c r="D360" s="3">
        <v>4</v>
      </c>
      <c r="E360" s="3">
        <f>((1/(INDEX(E0!J$4:J$49,C360,1)-INDEX(E0!J$4:J$49,D360,1))))*100000000</f>
        <v>0</v>
      </c>
      <c r="F360" s="4" t="str">
        <f>HYPERLINK("http://141.218.60.56/~jnz1568/getInfo.php?workbook=08_06.xlsx&amp;sheet=A0&amp;row=360&amp;col=6&amp;number=7505.9&amp;sourceID=3","7505.9")</f>
        <v>7505.9</v>
      </c>
      <c r="G360" s="4" t="str">
        <f>HYPERLINK("http://141.218.60.56/~jnz1568/getInfo.php?workbook=08_06.xlsx&amp;sheet=A0&amp;row=360&amp;col=7&amp;number=&amp;sourceID=3","")</f>
        <v/>
      </c>
      <c r="H360" s="4" t="str">
        <f>HYPERLINK("http://141.218.60.56/~jnz1568/getInfo.php?workbook=08_06.xlsx&amp;sheet=A0&amp;row=360&amp;col=8&amp;number=&amp;sourceID=3","")</f>
        <v/>
      </c>
      <c r="I360" s="4" t="str">
        <f>HYPERLINK("http://141.218.60.56/~jnz1568/getInfo.php?workbook=08_06.xlsx&amp;sheet=A0&amp;row=360&amp;col=9&amp;number=&amp;sourceID=3","")</f>
        <v/>
      </c>
      <c r="J360" s="4" t="str">
        <f>HYPERLINK("http://141.218.60.56/~jnz1568/getInfo.php?workbook=08_06.xlsx&amp;sheet=A0&amp;row=360&amp;col=10&amp;number=4677.1&amp;sourceID=3","4677.1")</f>
        <v>4677.1</v>
      </c>
      <c r="K360" s="4" t="str">
        <f>HYPERLINK("http://141.218.60.56/~jnz1568/getInfo.php?workbook=08_06.xlsx&amp;sheet=A0&amp;row=360&amp;col=11&amp;number=&amp;sourceID=3","")</f>
        <v/>
      </c>
      <c r="L360" s="4" t="str">
        <f>HYPERLINK("http://141.218.60.56/~jnz1568/getInfo.php?workbook=08_06.xlsx&amp;sheet=A0&amp;row=360&amp;col=12&amp;number=&amp;sourceID=3","")</f>
        <v/>
      </c>
      <c r="M360" s="4" t="str">
        <f>HYPERLINK("http://141.218.60.56/~jnz1568/getInfo.php?workbook=08_06.xlsx&amp;sheet=A0&amp;row=360&amp;col=13&amp;number=&amp;sourceID=3","")</f>
        <v/>
      </c>
      <c r="N360" s="4" t="str">
        <f>HYPERLINK("http://141.218.60.56/~jnz1568/getInfo.php?workbook=08_06.xlsx&amp;sheet=A0&amp;row=360&amp;col=14&amp;number=18420&amp;sourceID=7","18420")</f>
        <v>18420</v>
      </c>
      <c r="O360" s="4" t="str">
        <f>HYPERLINK("http://141.218.60.56/~jnz1568/getInfo.php?workbook=08_06.xlsx&amp;sheet=A0&amp;row=360&amp;col=15&amp;number=&amp;sourceID=5","")</f>
        <v/>
      </c>
      <c r="P360" s="4" t="str">
        <f>HYPERLINK("http://141.218.60.56/~jnz1568/getInfo.php?workbook=08_06.xlsx&amp;sheet=A0&amp;row=360&amp;col=16&amp;number=&amp;sourceID=5","")</f>
        <v/>
      </c>
      <c r="Q360" s="4" t="str">
        <f>HYPERLINK("http://141.218.60.56/~jnz1568/getInfo.php?workbook=08_06.xlsx&amp;sheet=A0&amp;row=360&amp;col=17&amp;number=&amp;sourceID=6","")</f>
        <v/>
      </c>
    </row>
    <row r="361" spans="1:17">
      <c r="A361" s="3">
        <v>8</v>
      </c>
      <c r="B361" s="3">
        <v>6</v>
      </c>
      <c r="C361" s="3">
        <v>42</v>
      </c>
      <c r="D361" s="3">
        <v>5</v>
      </c>
      <c r="E361" s="3">
        <f>((1/(INDEX(E0!J$4:J$49,C361,1)-INDEX(E0!J$4:J$49,D361,1))))*100000000</f>
        <v>0</v>
      </c>
      <c r="F361" s="4" t="str">
        <f>HYPERLINK("http://141.218.60.56/~jnz1568/getInfo.php?workbook=08_06.xlsx&amp;sheet=A0&amp;row=361&amp;col=6&amp;number=6389100&amp;sourceID=3","6389100")</f>
        <v>6389100</v>
      </c>
      <c r="G361" s="4" t="str">
        <f>HYPERLINK("http://141.218.60.56/~jnz1568/getInfo.php?workbook=08_06.xlsx&amp;sheet=A0&amp;row=361&amp;col=7&amp;number=&amp;sourceID=3","")</f>
        <v/>
      </c>
      <c r="H361" s="4" t="str">
        <f>HYPERLINK("http://141.218.60.56/~jnz1568/getInfo.php?workbook=08_06.xlsx&amp;sheet=A0&amp;row=361&amp;col=8&amp;number=&amp;sourceID=3","")</f>
        <v/>
      </c>
      <c r="I361" s="4" t="str">
        <f>HYPERLINK("http://141.218.60.56/~jnz1568/getInfo.php?workbook=08_06.xlsx&amp;sheet=A0&amp;row=361&amp;col=9&amp;number=&amp;sourceID=3","")</f>
        <v/>
      </c>
      <c r="J361" s="4" t="str">
        <f>HYPERLINK("http://141.218.60.56/~jnz1568/getInfo.php?workbook=08_06.xlsx&amp;sheet=A0&amp;row=361&amp;col=10&amp;number=6283800&amp;sourceID=3","6283800")</f>
        <v>6283800</v>
      </c>
      <c r="K361" s="4" t="str">
        <f>HYPERLINK("http://141.218.60.56/~jnz1568/getInfo.php?workbook=08_06.xlsx&amp;sheet=A0&amp;row=361&amp;col=11&amp;number=&amp;sourceID=3","")</f>
        <v/>
      </c>
      <c r="L361" s="4" t="str">
        <f>HYPERLINK("http://141.218.60.56/~jnz1568/getInfo.php?workbook=08_06.xlsx&amp;sheet=A0&amp;row=361&amp;col=12&amp;number=&amp;sourceID=3","")</f>
        <v/>
      </c>
      <c r="M361" s="4" t="str">
        <f>HYPERLINK("http://141.218.60.56/~jnz1568/getInfo.php?workbook=08_06.xlsx&amp;sheet=A0&amp;row=361&amp;col=13&amp;number=&amp;sourceID=3","")</f>
        <v/>
      </c>
      <c r="N361" s="4" t="str">
        <f>HYPERLINK("http://141.218.60.56/~jnz1568/getInfo.php?workbook=08_06.xlsx&amp;sheet=A0&amp;row=361&amp;col=14&amp;number=1540000&amp;sourceID=7","1540000")</f>
        <v>1540000</v>
      </c>
      <c r="O361" s="4" t="str">
        <f>HYPERLINK("http://141.218.60.56/~jnz1568/getInfo.php?workbook=08_06.xlsx&amp;sheet=A0&amp;row=361&amp;col=15&amp;number=&amp;sourceID=5","")</f>
        <v/>
      </c>
      <c r="P361" s="4" t="str">
        <f>HYPERLINK("http://141.218.60.56/~jnz1568/getInfo.php?workbook=08_06.xlsx&amp;sheet=A0&amp;row=361&amp;col=16&amp;number=&amp;sourceID=5","")</f>
        <v/>
      </c>
      <c r="Q361" s="4" t="str">
        <f>HYPERLINK("http://141.218.60.56/~jnz1568/getInfo.php?workbook=08_06.xlsx&amp;sheet=A0&amp;row=361&amp;col=17&amp;number=&amp;sourceID=6","")</f>
        <v/>
      </c>
    </row>
    <row r="362" spans="1:17">
      <c r="A362" s="3">
        <v>8</v>
      </c>
      <c r="B362" s="3">
        <v>6</v>
      </c>
      <c r="C362" s="3">
        <v>42</v>
      </c>
      <c r="D362" s="3">
        <v>20</v>
      </c>
      <c r="E362" s="3">
        <f>((1/(INDEX(E0!J$4:J$49,C362,1)-INDEX(E0!J$4:J$49,D362,1))))*100000000</f>
        <v>0</v>
      </c>
      <c r="F362" s="4" t="str">
        <f>HYPERLINK("http://141.218.60.56/~jnz1568/getInfo.php?workbook=08_06.xlsx&amp;sheet=A0&amp;row=362&amp;col=6&amp;number=277480&amp;sourceID=3","277480")</f>
        <v>277480</v>
      </c>
      <c r="G362" s="4" t="str">
        <f>HYPERLINK("http://141.218.60.56/~jnz1568/getInfo.php?workbook=08_06.xlsx&amp;sheet=A0&amp;row=362&amp;col=7&amp;number=&amp;sourceID=3","")</f>
        <v/>
      </c>
      <c r="H362" s="4" t="str">
        <f>HYPERLINK("http://141.218.60.56/~jnz1568/getInfo.php?workbook=08_06.xlsx&amp;sheet=A0&amp;row=362&amp;col=8&amp;number=&amp;sourceID=3","")</f>
        <v/>
      </c>
      <c r="I362" s="4" t="str">
        <f>HYPERLINK("http://141.218.60.56/~jnz1568/getInfo.php?workbook=08_06.xlsx&amp;sheet=A0&amp;row=362&amp;col=9&amp;number=&amp;sourceID=3","")</f>
        <v/>
      </c>
      <c r="J362" s="4" t="str">
        <f>HYPERLINK("http://141.218.60.56/~jnz1568/getInfo.php?workbook=08_06.xlsx&amp;sheet=A0&amp;row=362&amp;col=10&amp;number=320700&amp;sourceID=3","320700")</f>
        <v>320700</v>
      </c>
      <c r="K362" s="4" t="str">
        <f>HYPERLINK("http://141.218.60.56/~jnz1568/getInfo.php?workbook=08_06.xlsx&amp;sheet=A0&amp;row=362&amp;col=11&amp;number=&amp;sourceID=3","")</f>
        <v/>
      </c>
      <c r="L362" s="4" t="str">
        <f>HYPERLINK("http://141.218.60.56/~jnz1568/getInfo.php?workbook=08_06.xlsx&amp;sheet=A0&amp;row=362&amp;col=12&amp;number=&amp;sourceID=3","")</f>
        <v/>
      </c>
      <c r="M362" s="4" t="str">
        <f>HYPERLINK("http://141.218.60.56/~jnz1568/getInfo.php?workbook=08_06.xlsx&amp;sheet=A0&amp;row=362&amp;col=13&amp;number=&amp;sourceID=3","")</f>
        <v/>
      </c>
      <c r="N362" s="4" t="str">
        <f>HYPERLINK("http://141.218.60.56/~jnz1568/getInfo.php?workbook=08_06.xlsx&amp;sheet=A0&amp;row=362&amp;col=14&amp;number=480100&amp;sourceID=7","480100")</f>
        <v>480100</v>
      </c>
      <c r="O362" s="4" t="str">
        <f>HYPERLINK("http://141.218.60.56/~jnz1568/getInfo.php?workbook=08_06.xlsx&amp;sheet=A0&amp;row=362&amp;col=15&amp;number=&amp;sourceID=5","")</f>
        <v/>
      </c>
      <c r="P362" s="4" t="str">
        <f>HYPERLINK("http://141.218.60.56/~jnz1568/getInfo.php?workbook=08_06.xlsx&amp;sheet=A0&amp;row=362&amp;col=16&amp;number=&amp;sourceID=5","")</f>
        <v/>
      </c>
      <c r="Q362" s="4" t="str">
        <f>HYPERLINK("http://141.218.60.56/~jnz1568/getInfo.php?workbook=08_06.xlsx&amp;sheet=A0&amp;row=362&amp;col=17&amp;number=&amp;sourceID=6","")</f>
        <v/>
      </c>
    </row>
    <row r="363" spans="1:17">
      <c r="A363" s="3">
        <v>8</v>
      </c>
      <c r="B363" s="3">
        <v>6</v>
      </c>
      <c r="C363" s="3">
        <v>42</v>
      </c>
      <c r="D363" s="3">
        <v>21</v>
      </c>
      <c r="E363" s="3">
        <f>((1/(INDEX(E0!J$4:J$49,C363,1)-INDEX(E0!J$4:J$49,D363,1))))*100000000</f>
        <v>0</v>
      </c>
      <c r="F363" s="4" t="str">
        <f>HYPERLINK("http://141.218.60.56/~jnz1568/getInfo.php?workbook=08_06.xlsx&amp;sheet=A0&amp;row=363&amp;col=6&amp;number=187370&amp;sourceID=3","187370")</f>
        <v>187370</v>
      </c>
      <c r="G363" s="4" t="str">
        <f>HYPERLINK("http://141.218.60.56/~jnz1568/getInfo.php?workbook=08_06.xlsx&amp;sheet=A0&amp;row=363&amp;col=7&amp;number=&amp;sourceID=3","")</f>
        <v/>
      </c>
      <c r="H363" s="4" t="str">
        <f>HYPERLINK("http://141.218.60.56/~jnz1568/getInfo.php?workbook=08_06.xlsx&amp;sheet=A0&amp;row=363&amp;col=8&amp;number=&amp;sourceID=3","")</f>
        <v/>
      </c>
      <c r="I363" s="4" t="str">
        <f>HYPERLINK("http://141.218.60.56/~jnz1568/getInfo.php?workbook=08_06.xlsx&amp;sheet=A0&amp;row=363&amp;col=9&amp;number=&amp;sourceID=3","")</f>
        <v/>
      </c>
      <c r="J363" s="4" t="str">
        <f>HYPERLINK("http://141.218.60.56/~jnz1568/getInfo.php?workbook=08_06.xlsx&amp;sheet=A0&amp;row=363&amp;col=10&amp;number=216710&amp;sourceID=3","216710")</f>
        <v>216710</v>
      </c>
      <c r="K363" s="4" t="str">
        <f>HYPERLINK("http://141.218.60.56/~jnz1568/getInfo.php?workbook=08_06.xlsx&amp;sheet=A0&amp;row=363&amp;col=11&amp;number=&amp;sourceID=3","")</f>
        <v/>
      </c>
      <c r="L363" s="4" t="str">
        <f>HYPERLINK("http://141.218.60.56/~jnz1568/getInfo.php?workbook=08_06.xlsx&amp;sheet=A0&amp;row=363&amp;col=12&amp;number=&amp;sourceID=3","")</f>
        <v/>
      </c>
      <c r="M363" s="4" t="str">
        <f>HYPERLINK("http://141.218.60.56/~jnz1568/getInfo.php?workbook=08_06.xlsx&amp;sheet=A0&amp;row=363&amp;col=13&amp;number=&amp;sourceID=3","")</f>
        <v/>
      </c>
      <c r="N363" s="4" t="str">
        <f>HYPERLINK("http://141.218.60.56/~jnz1568/getInfo.php?workbook=08_06.xlsx&amp;sheet=A0&amp;row=363&amp;col=14&amp;number=320600&amp;sourceID=7","320600")</f>
        <v>320600</v>
      </c>
      <c r="O363" s="4" t="str">
        <f>HYPERLINK("http://141.218.60.56/~jnz1568/getInfo.php?workbook=08_06.xlsx&amp;sheet=A0&amp;row=363&amp;col=15&amp;number=&amp;sourceID=5","")</f>
        <v/>
      </c>
      <c r="P363" s="4" t="str">
        <f>HYPERLINK("http://141.218.60.56/~jnz1568/getInfo.php?workbook=08_06.xlsx&amp;sheet=A0&amp;row=363&amp;col=16&amp;number=&amp;sourceID=5","")</f>
        <v/>
      </c>
      <c r="Q363" s="4" t="str">
        <f>HYPERLINK("http://141.218.60.56/~jnz1568/getInfo.php?workbook=08_06.xlsx&amp;sheet=A0&amp;row=363&amp;col=17&amp;number=&amp;sourceID=6","")</f>
        <v/>
      </c>
    </row>
    <row r="364" spans="1:17">
      <c r="A364" s="3">
        <v>8</v>
      </c>
      <c r="B364" s="3">
        <v>6</v>
      </c>
      <c r="C364" s="3">
        <v>42</v>
      </c>
      <c r="D364" s="3">
        <v>22</v>
      </c>
      <c r="E364" s="3">
        <f>((1/(INDEX(E0!J$4:J$49,C364,1)-INDEX(E0!J$4:J$49,D364,1))))*100000000</f>
        <v>0</v>
      </c>
      <c r="F364" s="4" t="str">
        <f>HYPERLINK("http://141.218.60.56/~jnz1568/getInfo.php?workbook=08_06.xlsx&amp;sheet=A0&amp;row=364&amp;col=6&amp;number=188140&amp;sourceID=3","188140")</f>
        <v>188140</v>
      </c>
      <c r="G364" s="4" t="str">
        <f>HYPERLINK("http://141.218.60.56/~jnz1568/getInfo.php?workbook=08_06.xlsx&amp;sheet=A0&amp;row=364&amp;col=7&amp;number=&amp;sourceID=3","")</f>
        <v/>
      </c>
      <c r="H364" s="4" t="str">
        <f>HYPERLINK("http://141.218.60.56/~jnz1568/getInfo.php?workbook=08_06.xlsx&amp;sheet=A0&amp;row=364&amp;col=8&amp;number=&amp;sourceID=3","")</f>
        <v/>
      </c>
      <c r="I364" s="4" t="str">
        <f>HYPERLINK("http://141.218.60.56/~jnz1568/getInfo.php?workbook=08_06.xlsx&amp;sheet=A0&amp;row=364&amp;col=9&amp;number=&amp;sourceID=3","")</f>
        <v/>
      </c>
      <c r="J364" s="4" t="str">
        <f>HYPERLINK("http://141.218.60.56/~jnz1568/getInfo.php?workbook=08_06.xlsx&amp;sheet=A0&amp;row=364&amp;col=10&amp;number=220070&amp;sourceID=3","220070")</f>
        <v>220070</v>
      </c>
      <c r="K364" s="4" t="str">
        <f>HYPERLINK("http://141.218.60.56/~jnz1568/getInfo.php?workbook=08_06.xlsx&amp;sheet=A0&amp;row=364&amp;col=11&amp;number=&amp;sourceID=3","")</f>
        <v/>
      </c>
      <c r="L364" s="4" t="str">
        <f>HYPERLINK("http://141.218.60.56/~jnz1568/getInfo.php?workbook=08_06.xlsx&amp;sheet=A0&amp;row=364&amp;col=12&amp;number=&amp;sourceID=3","")</f>
        <v/>
      </c>
      <c r="M364" s="4" t="str">
        <f>HYPERLINK("http://141.218.60.56/~jnz1568/getInfo.php?workbook=08_06.xlsx&amp;sheet=A0&amp;row=364&amp;col=13&amp;number=&amp;sourceID=3","")</f>
        <v/>
      </c>
      <c r="N364" s="4" t="str">
        <f>HYPERLINK("http://141.218.60.56/~jnz1568/getInfo.php?workbook=08_06.xlsx&amp;sheet=A0&amp;row=364&amp;col=14&amp;number=346700&amp;sourceID=7","346700")</f>
        <v>346700</v>
      </c>
      <c r="O364" s="4" t="str">
        <f>HYPERLINK("http://141.218.60.56/~jnz1568/getInfo.php?workbook=08_06.xlsx&amp;sheet=A0&amp;row=364&amp;col=15&amp;number=&amp;sourceID=5","")</f>
        <v/>
      </c>
      <c r="P364" s="4" t="str">
        <f>HYPERLINK("http://141.218.60.56/~jnz1568/getInfo.php?workbook=08_06.xlsx&amp;sheet=A0&amp;row=364&amp;col=16&amp;number=&amp;sourceID=5","")</f>
        <v/>
      </c>
      <c r="Q364" s="4" t="str">
        <f>HYPERLINK("http://141.218.60.56/~jnz1568/getInfo.php?workbook=08_06.xlsx&amp;sheet=A0&amp;row=364&amp;col=17&amp;number=&amp;sourceID=6","")</f>
        <v/>
      </c>
    </row>
    <row r="365" spans="1:17">
      <c r="A365" s="3">
        <v>8</v>
      </c>
      <c r="B365" s="3">
        <v>6</v>
      </c>
      <c r="C365" s="3">
        <v>42</v>
      </c>
      <c r="D365" s="3">
        <v>23</v>
      </c>
      <c r="E365" s="3">
        <f>((1/(INDEX(E0!J$4:J$49,C365,1)-INDEX(E0!J$4:J$49,D365,1))))*100000000</f>
        <v>0</v>
      </c>
      <c r="F365" s="4" t="str">
        <f>HYPERLINK("http://141.218.60.56/~jnz1568/getInfo.php?workbook=08_06.xlsx&amp;sheet=A0&amp;row=365&amp;col=6&amp;number=413320&amp;sourceID=3","413320")</f>
        <v>413320</v>
      </c>
      <c r="G365" s="4" t="str">
        <f>HYPERLINK("http://141.218.60.56/~jnz1568/getInfo.php?workbook=08_06.xlsx&amp;sheet=A0&amp;row=365&amp;col=7&amp;number=&amp;sourceID=3","")</f>
        <v/>
      </c>
      <c r="H365" s="4" t="str">
        <f>HYPERLINK("http://141.218.60.56/~jnz1568/getInfo.php?workbook=08_06.xlsx&amp;sheet=A0&amp;row=365&amp;col=8&amp;number=&amp;sourceID=3","")</f>
        <v/>
      </c>
      <c r="I365" s="4" t="str">
        <f>HYPERLINK("http://141.218.60.56/~jnz1568/getInfo.php?workbook=08_06.xlsx&amp;sheet=A0&amp;row=365&amp;col=9&amp;number=&amp;sourceID=3","")</f>
        <v/>
      </c>
      <c r="J365" s="4" t="str">
        <f>HYPERLINK("http://141.218.60.56/~jnz1568/getInfo.php?workbook=08_06.xlsx&amp;sheet=A0&amp;row=365&amp;col=10&amp;number=408230&amp;sourceID=3","408230")</f>
        <v>408230</v>
      </c>
      <c r="K365" s="4" t="str">
        <f>HYPERLINK("http://141.218.60.56/~jnz1568/getInfo.php?workbook=08_06.xlsx&amp;sheet=A0&amp;row=365&amp;col=11&amp;number=&amp;sourceID=3","")</f>
        <v/>
      </c>
      <c r="L365" s="4" t="str">
        <f>HYPERLINK("http://141.218.60.56/~jnz1568/getInfo.php?workbook=08_06.xlsx&amp;sheet=A0&amp;row=365&amp;col=12&amp;number=&amp;sourceID=3","")</f>
        <v/>
      </c>
      <c r="M365" s="4" t="str">
        <f>HYPERLINK("http://141.218.60.56/~jnz1568/getInfo.php?workbook=08_06.xlsx&amp;sheet=A0&amp;row=365&amp;col=13&amp;number=&amp;sourceID=3","")</f>
        <v/>
      </c>
      <c r="N365" s="4" t="str">
        <f>HYPERLINK("http://141.218.60.56/~jnz1568/getInfo.php?workbook=08_06.xlsx&amp;sheet=A0&amp;row=365&amp;col=14&amp;number=131400&amp;sourceID=7","131400")</f>
        <v>131400</v>
      </c>
      <c r="O365" s="4" t="str">
        <f>HYPERLINK("http://141.218.60.56/~jnz1568/getInfo.php?workbook=08_06.xlsx&amp;sheet=A0&amp;row=365&amp;col=15&amp;number=&amp;sourceID=5","")</f>
        <v/>
      </c>
      <c r="P365" s="4" t="str">
        <f>HYPERLINK("http://141.218.60.56/~jnz1568/getInfo.php?workbook=08_06.xlsx&amp;sheet=A0&amp;row=365&amp;col=16&amp;number=&amp;sourceID=5","")</f>
        <v/>
      </c>
      <c r="Q365" s="4" t="str">
        <f>HYPERLINK("http://141.218.60.56/~jnz1568/getInfo.php?workbook=08_06.xlsx&amp;sheet=A0&amp;row=365&amp;col=17&amp;number=&amp;sourceID=6","")</f>
        <v/>
      </c>
    </row>
    <row r="366" spans="1:17">
      <c r="A366" s="3">
        <v>8</v>
      </c>
      <c r="B366" s="3">
        <v>6</v>
      </c>
      <c r="C366" s="3">
        <v>42</v>
      </c>
      <c r="D366" s="3">
        <v>24</v>
      </c>
      <c r="E366" s="3">
        <f>((1/(INDEX(E0!J$4:J$49,C366,1)-INDEX(E0!J$4:J$49,D366,1))))*100000000</f>
        <v>0</v>
      </c>
      <c r="F366" s="4" t="str">
        <f>HYPERLINK("http://141.218.60.56/~jnz1568/getInfo.php?workbook=08_06.xlsx&amp;sheet=A0&amp;row=366&amp;col=6&amp;number=3078200&amp;sourceID=3","3078200")</f>
        <v>3078200</v>
      </c>
      <c r="G366" s="4" t="str">
        <f>HYPERLINK("http://141.218.60.56/~jnz1568/getInfo.php?workbook=08_06.xlsx&amp;sheet=A0&amp;row=366&amp;col=7&amp;number=&amp;sourceID=3","")</f>
        <v/>
      </c>
      <c r="H366" s="4" t="str">
        <f>HYPERLINK("http://141.218.60.56/~jnz1568/getInfo.php?workbook=08_06.xlsx&amp;sheet=A0&amp;row=366&amp;col=8&amp;number=&amp;sourceID=3","")</f>
        <v/>
      </c>
      <c r="I366" s="4" t="str">
        <f>HYPERLINK("http://141.218.60.56/~jnz1568/getInfo.php?workbook=08_06.xlsx&amp;sheet=A0&amp;row=366&amp;col=9&amp;number=&amp;sourceID=3","")</f>
        <v/>
      </c>
      <c r="J366" s="4" t="str">
        <f>HYPERLINK("http://141.218.60.56/~jnz1568/getInfo.php?workbook=08_06.xlsx&amp;sheet=A0&amp;row=366&amp;col=10&amp;number=3059200&amp;sourceID=3","3059200")</f>
        <v>3059200</v>
      </c>
      <c r="K366" s="4" t="str">
        <f>HYPERLINK("http://141.218.60.56/~jnz1568/getInfo.php?workbook=08_06.xlsx&amp;sheet=A0&amp;row=366&amp;col=11&amp;number=&amp;sourceID=3","")</f>
        <v/>
      </c>
      <c r="L366" s="4" t="str">
        <f>HYPERLINK("http://141.218.60.56/~jnz1568/getInfo.php?workbook=08_06.xlsx&amp;sheet=A0&amp;row=366&amp;col=12&amp;number=&amp;sourceID=3","")</f>
        <v/>
      </c>
      <c r="M366" s="4" t="str">
        <f>HYPERLINK("http://141.218.60.56/~jnz1568/getInfo.php?workbook=08_06.xlsx&amp;sheet=A0&amp;row=366&amp;col=13&amp;number=&amp;sourceID=3","")</f>
        <v/>
      </c>
      <c r="N366" s="4" t="str">
        <f>HYPERLINK("http://141.218.60.56/~jnz1568/getInfo.php?workbook=08_06.xlsx&amp;sheet=A0&amp;row=366&amp;col=14&amp;number=3003000&amp;sourceID=7","3003000")</f>
        <v>3003000</v>
      </c>
      <c r="O366" s="4" t="str">
        <f>HYPERLINK("http://141.218.60.56/~jnz1568/getInfo.php?workbook=08_06.xlsx&amp;sheet=A0&amp;row=366&amp;col=15&amp;number=&amp;sourceID=5","")</f>
        <v/>
      </c>
      <c r="P366" s="4" t="str">
        <f>HYPERLINK("http://141.218.60.56/~jnz1568/getInfo.php?workbook=08_06.xlsx&amp;sheet=A0&amp;row=366&amp;col=16&amp;number=&amp;sourceID=5","")</f>
        <v/>
      </c>
      <c r="Q366" s="4" t="str">
        <f>HYPERLINK("http://141.218.60.56/~jnz1568/getInfo.php?workbook=08_06.xlsx&amp;sheet=A0&amp;row=366&amp;col=17&amp;number=&amp;sourceID=6","")</f>
        <v/>
      </c>
    </row>
    <row r="367" spans="1:17">
      <c r="A367" s="3">
        <v>8</v>
      </c>
      <c r="B367" s="3">
        <v>6</v>
      </c>
      <c r="C367" s="3">
        <v>42</v>
      </c>
      <c r="D367" s="3">
        <v>25</v>
      </c>
      <c r="E367" s="3">
        <f>((1/(INDEX(E0!J$4:J$49,C367,1)-INDEX(E0!J$4:J$49,D367,1))))*100000000</f>
        <v>0</v>
      </c>
      <c r="F367" s="4" t="str">
        <f>HYPERLINK("http://141.218.60.56/~jnz1568/getInfo.php?workbook=08_06.xlsx&amp;sheet=A0&amp;row=367&amp;col=6&amp;number=13966000&amp;sourceID=3","13966000")</f>
        <v>13966000</v>
      </c>
      <c r="G367" s="4" t="str">
        <f>HYPERLINK("http://141.218.60.56/~jnz1568/getInfo.php?workbook=08_06.xlsx&amp;sheet=A0&amp;row=367&amp;col=7&amp;number=&amp;sourceID=3","")</f>
        <v/>
      </c>
      <c r="H367" s="4" t="str">
        <f>HYPERLINK("http://141.218.60.56/~jnz1568/getInfo.php?workbook=08_06.xlsx&amp;sheet=A0&amp;row=367&amp;col=8&amp;number=&amp;sourceID=3","")</f>
        <v/>
      </c>
      <c r="I367" s="4" t="str">
        <f>HYPERLINK("http://141.218.60.56/~jnz1568/getInfo.php?workbook=08_06.xlsx&amp;sheet=A0&amp;row=367&amp;col=9&amp;number=&amp;sourceID=3","")</f>
        <v/>
      </c>
      <c r="J367" s="4" t="str">
        <f>HYPERLINK("http://141.218.60.56/~jnz1568/getInfo.php?workbook=08_06.xlsx&amp;sheet=A0&amp;row=367&amp;col=10&amp;number=13839000&amp;sourceID=3","13839000")</f>
        <v>13839000</v>
      </c>
      <c r="K367" s="4" t="str">
        <f>HYPERLINK("http://141.218.60.56/~jnz1568/getInfo.php?workbook=08_06.xlsx&amp;sheet=A0&amp;row=367&amp;col=11&amp;number=&amp;sourceID=3","")</f>
        <v/>
      </c>
      <c r="L367" s="4" t="str">
        <f>HYPERLINK("http://141.218.60.56/~jnz1568/getInfo.php?workbook=08_06.xlsx&amp;sheet=A0&amp;row=367&amp;col=12&amp;number=&amp;sourceID=3","")</f>
        <v/>
      </c>
      <c r="M367" s="4" t="str">
        <f>HYPERLINK("http://141.218.60.56/~jnz1568/getInfo.php?workbook=08_06.xlsx&amp;sheet=A0&amp;row=367&amp;col=13&amp;number=&amp;sourceID=3","")</f>
        <v/>
      </c>
      <c r="N367" s="4" t="str">
        <f>HYPERLINK("http://141.218.60.56/~jnz1568/getInfo.php?workbook=08_06.xlsx&amp;sheet=A0&amp;row=367&amp;col=14&amp;number=12350000&amp;sourceID=7","12350000")</f>
        <v>12350000</v>
      </c>
      <c r="O367" s="4" t="str">
        <f>HYPERLINK("http://141.218.60.56/~jnz1568/getInfo.php?workbook=08_06.xlsx&amp;sheet=A0&amp;row=367&amp;col=15&amp;number=&amp;sourceID=5","")</f>
        <v/>
      </c>
      <c r="P367" s="4" t="str">
        <f>HYPERLINK("http://141.218.60.56/~jnz1568/getInfo.php?workbook=08_06.xlsx&amp;sheet=A0&amp;row=367&amp;col=16&amp;number=&amp;sourceID=5","")</f>
        <v/>
      </c>
      <c r="Q367" s="4" t="str">
        <f>HYPERLINK("http://141.218.60.56/~jnz1568/getInfo.php?workbook=08_06.xlsx&amp;sheet=A0&amp;row=367&amp;col=17&amp;number=&amp;sourceID=6","")</f>
        <v/>
      </c>
    </row>
    <row r="368" spans="1:17">
      <c r="A368" s="3">
        <v>8</v>
      </c>
      <c r="B368" s="3">
        <v>6</v>
      </c>
      <c r="C368" s="3">
        <v>42</v>
      </c>
      <c r="D368" s="3">
        <v>27</v>
      </c>
      <c r="E368" s="3">
        <f>((1/(INDEX(E0!J$4:J$49,C368,1)-INDEX(E0!J$4:J$49,D368,1))))*100000000</f>
        <v>0</v>
      </c>
      <c r="F368" s="4" t="str">
        <f>HYPERLINK("http://141.218.60.56/~jnz1568/getInfo.php?workbook=08_06.xlsx&amp;sheet=A0&amp;row=368&amp;col=6&amp;number=138210000&amp;sourceID=3","138210000")</f>
        <v>138210000</v>
      </c>
      <c r="G368" s="4" t="str">
        <f>HYPERLINK("http://141.218.60.56/~jnz1568/getInfo.php?workbook=08_06.xlsx&amp;sheet=A0&amp;row=368&amp;col=7&amp;number=&amp;sourceID=3","")</f>
        <v/>
      </c>
      <c r="H368" s="4" t="str">
        <f>HYPERLINK("http://141.218.60.56/~jnz1568/getInfo.php?workbook=08_06.xlsx&amp;sheet=A0&amp;row=368&amp;col=8&amp;number=&amp;sourceID=3","")</f>
        <v/>
      </c>
      <c r="I368" s="4" t="str">
        <f>HYPERLINK("http://141.218.60.56/~jnz1568/getInfo.php?workbook=08_06.xlsx&amp;sheet=A0&amp;row=368&amp;col=9&amp;number=&amp;sourceID=3","")</f>
        <v/>
      </c>
      <c r="J368" s="4" t="str">
        <f>HYPERLINK("http://141.218.60.56/~jnz1568/getInfo.php?workbook=08_06.xlsx&amp;sheet=A0&amp;row=368&amp;col=10&amp;number=137430000&amp;sourceID=3","137430000")</f>
        <v>137430000</v>
      </c>
      <c r="K368" s="4" t="str">
        <f>HYPERLINK("http://141.218.60.56/~jnz1568/getInfo.php?workbook=08_06.xlsx&amp;sheet=A0&amp;row=368&amp;col=11&amp;number=&amp;sourceID=3","")</f>
        <v/>
      </c>
      <c r="L368" s="4" t="str">
        <f>HYPERLINK("http://141.218.60.56/~jnz1568/getInfo.php?workbook=08_06.xlsx&amp;sheet=A0&amp;row=368&amp;col=12&amp;number=&amp;sourceID=3","")</f>
        <v/>
      </c>
      <c r="M368" s="4" t="str">
        <f>HYPERLINK("http://141.218.60.56/~jnz1568/getInfo.php?workbook=08_06.xlsx&amp;sheet=A0&amp;row=368&amp;col=13&amp;number=&amp;sourceID=3","")</f>
        <v/>
      </c>
      <c r="N368" s="4" t="str">
        <f>HYPERLINK("http://141.218.60.56/~jnz1568/getInfo.php?workbook=08_06.xlsx&amp;sheet=A0&amp;row=368&amp;col=14&amp;number=103500000&amp;sourceID=7","103500000")</f>
        <v>103500000</v>
      </c>
      <c r="O368" s="4" t="str">
        <f>HYPERLINK("http://141.218.60.56/~jnz1568/getInfo.php?workbook=08_06.xlsx&amp;sheet=A0&amp;row=368&amp;col=15&amp;number=&amp;sourceID=5","")</f>
        <v/>
      </c>
      <c r="P368" s="4" t="str">
        <f>HYPERLINK("http://141.218.60.56/~jnz1568/getInfo.php?workbook=08_06.xlsx&amp;sheet=A0&amp;row=368&amp;col=16&amp;number=&amp;sourceID=5","")</f>
        <v/>
      </c>
      <c r="Q368" s="4" t="str">
        <f>HYPERLINK("http://141.218.60.56/~jnz1568/getInfo.php?workbook=08_06.xlsx&amp;sheet=A0&amp;row=368&amp;col=17&amp;number=&amp;sourceID=6","")</f>
        <v/>
      </c>
    </row>
    <row r="369" spans="1:17">
      <c r="A369" s="3">
        <v>8</v>
      </c>
      <c r="B369" s="3">
        <v>6</v>
      </c>
      <c r="C369" s="3">
        <v>42</v>
      </c>
      <c r="D369" s="3">
        <v>28</v>
      </c>
      <c r="E369" s="3">
        <f>((1/(INDEX(E0!J$4:J$49,C369,1)-INDEX(E0!J$4:J$49,D369,1))))*100000000</f>
        <v>0</v>
      </c>
      <c r="F369" s="4" t="str">
        <f>HYPERLINK("http://141.218.60.56/~jnz1568/getInfo.php?workbook=08_06.xlsx&amp;sheet=A0&amp;row=369&amp;col=6&amp;number=573.88&amp;sourceID=3","573.88")</f>
        <v>573.88</v>
      </c>
      <c r="G369" s="4" t="str">
        <f>HYPERLINK("http://141.218.60.56/~jnz1568/getInfo.php?workbook=08_06.xlsx&amp;sheet=A0&amp;row=369&amp;col=7&amp;number=&amp;sourceID=3","")</f>
        <v/>
      </c>
      <c r="H369" s="4" t="str">
        <f>HYPERLINK("http://141.218.60.56/~jnz1568/getInfo.php?workbook=08_06.xlsx&amp;sheet=A0&amp;row=369&amp;col=8&amp;number=&amp;sourceID=3","")</f>
        <v/>
      </c>
      <c r="I369" s="4" t="str">
        <f>HYPERLINK("http://141.218.60.56/~jnz1568/getInfo.php?workbook=08_06.xlsx&amp;sheet=A0&amp;row=369&amp;col=9&amp;number=&amp;sourceID=3","")</f>
        <v/>
      </c>
      <c r="J369" s="4" t="str">
        <f>HYPERLINK("http://141.218.60.56/~jnz1568/getInfo.php?workbook=08_06.xlsx&amp;sheet=A0&amp;row=369&amp;col=10&amp;number=2538&amp;sourceID=3","2538")</f>
        <v>2538</v>
      </c>
      <c r="K369" s="4" t="str">
        <f>HYPERLINK("http://141.218.60.56/~jnz1568/getInfo.php?workbook=08_06.xlsx&amp;sheet=A0&amp;row=369&amp;col=11&amp;number=&amp;sourceID=3","")</f>
        <v/>
      </c>
      <c r="L369" s="4" t="str">
        <f>HYPERLINK("http://141.218.60.56/~jnz1568/getInfo.php?workbook=08_06.xlsx&amp;sheet=A0&amp;row=369&amp;col=12&amp;number=&amp;sourceID=3","")</f>
        <v/>
      </c>
      <c r="M369" s="4" t="str">
        <f>HYPERLINK("http://141.218.60.56/~jnz1568/getInfo.php?workbook=08_06.xlsx&amp;sheet=A0&amp;row=369&amp;col=13&amp;number=&amp;sourceID=3","")</f>
        <v/>
      </c>
      <c r="N369" s="4" t="str">
        <f>HYPERLINK("http://141.218.60.56/~jnz1568/getInfo.php?workbook=08_06.xlsx&amp;sheet=A0&amp;row=369&amp;col=14&amp;number=245.9&amp;sourceID=7","245.9")</f>
        <v>245.9</v>
      </c>
      <c r="O369" s="4" t="str">
        <f>HYPERLINK("http://141.218.60.56/~jnz1568/getInfo.php?workbook=08_06.xlsx&amp;sheet=A0&amp;row=369&amp;col=15&amp;number=&amp;sourceID=5","")</f>
        <v/>
      </c>
      <c r="P369" s="4" t="str">
        <f>HYPERLINK("http://141.218.60.56/~jnz1568/getInfo.php?workbook=08_06.xlsx&amp;sheet=A0&amp;row=369&amp;col=16&amp;number=&amp;sourceID=5","")</f>
        <v/>
      </c>
      <c r="Q369" s="4" t="str">
        <f>HYPERLINK("http://141.218.60.56/~jnz1568/getInfo.php?workbook=08_06.xlsx&amp;sheet=A0&amp;row=369&amp;col=17&amp;number=&amp;sourceID=6","")</f>
        <v/>
      </c>
    </row>
    <row r="370" spans="1:17">
      <c r="A370" s="3">
        <v>8</v>
      </c>
      <c r="B370" s="3">
        <v>6</v>
      </c>
      <c r="C370" s="3">
        <v>42</v>
      </c>
      <c r="D370" s="3">
        <v>29</v>
      </c>
      <c r="E370" s="3">
        <f>((1/(INDEX(E0!J$4:J$49,C370,1)-INDEX(E0!J$4:J$49,D370,1))))*100000000</f>
        <v>0</v>
      </c>
      <c r="F370" s="4" t="str">
        <f>HYPERLINK("http://141.218.60.56/~jnz1568/getInfo.php?workbook=08_06.xlsx&amp;sheet=A0&amp;row=370&amp;col=6&amp;number=16642000&amp;sourceID=3","16642000")</f>
        <v>16642000</v>
      </c>
      <c r="G370" s="4" t="str">
        <f>HYPERLINK("http://141.218.60.56/~jnz1568/getInfo.php?workbook=08_06.xlsx&amp;sheet=A0&amp;row=370&amp;col=7&amp;number=&amp;sourceID=3","")</f>
        <v/>
      </c>
      <c r="H370" s="4" t="str">
        <f>HYPERLINK("http://141.218.60.56/~jnz1568/getInfo.php?workbook=08_06.xlsx&amp;sheet=A0&amp;row=370&amp;col=8&amp;number=&amp;sourceID=3","")</f>
        <v/>
      </c>
      <c r="I370" s="4" t="str">
        <f>HYPERLINK("http://141.218.60.56/~jnz1568/getInfo.php?workbook=08_06.xlsx&amp;sheet=A0&amp;row=370&amp;col=9&amp;number=&amp;sourceID=3","")</f>
        <v/>
      </c>
      <c r="J370" s="4" t="str">
        <f>HYPERLINK("http://141.218.60.56/~jnz1568/getInfo.php?workbook=08_06.xlsx&amp;sheet=A0&amp;row=370&amp;col=10&amp;number=16558000&amp;sourceID=3","16558000")</f>
        <v>16558000</v>
      </c>
      <c r="K370" s="4" t="str">
        <f>HYPERLINK("http://141.218.60.56/~jnz1568/getInfo.php?workbook=08_06.xlsx&amp;sheet=A0&amp;row=370&amp;col=11&amp;number=&amp;sourceID=3","")</f>
        <v/>
      </c>
      <c r="L370" s="4" t="str">
        <f>HYPERLINK("http://141.218.60.56/~jnz1568/getInfo.php?workbook=08_06.xlsx&amp;sheet=A0&amp;row=370&amp;col=12&amp;number=&amp;sourceID=3","")</f>
        <v/>
      </c>
      <c r="M370" s="4" t="str">
        <f>HYPERLINK("http://141.218.60.56/~jnz1568/getInfo.php?workbook=08_06.xlsx&amp;sheet=A0&amp;row=370&amp;col=13&amp;number=&amp;sourceID=3","")</f>
        <v/>
      </c>
      <c r="N370" s="4" t="str">
        <f>HYPERLINK("http://141.218.60.56/~jnz1568/getInfo.php?workbook=08_06.xlsx&amp;sheet=A0&amp;row=370&amp;col=14&amp;number=11410000&amp;sourceID=7","11410000")</f>
        <v>11410000</v>
      </c>
      <c r="O370" s="4" t="str">
        <f>HYPERLINK("http://141.218.60.56/~jnz1568/getInfo.php?workbook=08_06.xlsx&amp;sheet=A0&amp;row=370&amp;col=15&amp;number=&amp;sourceID=5","")</f>
        <v/>
      </c>
      <c r="P370" s="4" t="str">
        <f>HYPERLINK("http://141.218.60.56/~jnz1568/getInfo.php?workbook=08_06.xlsx&amp;sheet=A0&amp;row=370&amp;col=16&amp;number=&amp;sourceID=5","")</f>
        <v/>
      </c>
      <c r="Q370" s="4" t="str">
        <f>HYPERLINK("http://141.218.60.56/~jnz1568/getInfo.php?workbook=08_06.xlsx&amp;sheet=A0&amp;row=370&amp;col=17&amp;number=&amp;sourceID=6","")</f>
        <v/>
      </c>
    </row>
    <row r="371" spans="1:17">
      <c r="A371" s="3">
        <v>8</v>
      </c>
      <c r="B371" s="3">
        <v>6</v>
      </c>
      <c r="C371" s="3">
        <v>42</v>
      </c>
      <c r="D371" s="3">
        <v>30</v>
      </c>
      <c r="E371" s="3">
        <f>((1/(INDEX(E0!J$4:J$49,C371,1)-INDEX(E0!J$4:J$49,D371,1))))*100000000</f>
        <v>0</v>
      </c>
      <c r="F371" s="4" t="str">
        <f>HYPERLINK("http://141.218.60.56/~jnz1568/getInfo.php?workbook=08_06.xlsx&amp;sheet=A0&amp;row=371&amp;col=6&amp;number=21886000&amp;sourceID=3","21886000")</f>
        <v>21886000</v>
      </c>
      <c r="G371" s="4" t="str">
        <f>HYPERLINK("http://141.218.60.56/~jnz1568/getInfo.php?workbook=08_06.xlsx&amp;sheet=A0&amp;row=371&amp;col=7&amp;number=&amp;sourceID=3","")</f>
        <v/>
      </c>
      <c r="H371" s="4" t="str">
        <f>HYPERLINK("http://141.218.60.56/~jnz1568/getInfo.php?workbook=08_06.xlsx&amp;sheet=A0&amp;row=371&amp;col=8&amp;number=&amp;sourceID=3","")</f>
        <v/>
      </c>
      <c r="I371" s="4" t="str">
        <f>HYPERLINK("http://141.218.60.56/~jnz1568/getInfo.php?workbook=08_06.xlsx&amp;sheet=A0&amp;row=371&amp;col=9&amp;number=&amp;sourceID=3","")</f>
        <v/>
      </c>
      <c r="J371" s="4" t="str">
        <f>HYPERLINK("http://141.218.60.56/~jnz1568/getInfo.php?workbook=08_06.xlsx&amp;sheet=A0&amp;row=371&amp;col=10&amp;number=21742000&amp;sourceID=3","21742000")</f>
        <v>21742000</v>
      </c>
      <c r="K371" s="4" t="str">
        <f>HYPERLINK("http://141.218.60.56/~jnz1568/getInfo.php?workbook=08_06.xlsx&amp;sheet=A0&amp;row=371&amp;col=11&amp;number=&amp;sourceID=3","")</f>
        <v/>
      </c>
      <c r="L371" s="4" t="str">
        <f>HYPERLINK("http://141.218.60.56/~jnz1568/getInfo.php?workbook=08_06.xlsx&amp;sheet=A0&amp;row=371&amp;col=12&amp;number=&amp;sourceID=3","")</f>
        <v/>
      </c>
      <c r="M371" s="4" t="str">
        <f>HYPERLINK("http://141.218.60.56/~jnz1568/getInfo.php?workbook=08_06.xlsx&amp;sheet=A0&amp;row=371&amp;col=13&amp;number=&amp;sourceID=3","")</f>
        <v/>
      </c>
      <c r="N371" s="4" t="str">
        <f>HYPERLINK("http://141.218.60.56/~jnz1568/getInfo.php?workbook=08_06.xlsx&amp;sheet=A0&amp;row=371&amp;col=14&amp;number=13050000&amp;sourceID=7","13050000")</f>
        <v>13050000</v>
      </c>
      <c r="O371" s="4" t="str">
        <f>HYPERLINK("http://141.218.60.56/~jnz1568/getInfo.php?workbook=08_06.xlsx&amp;sheet=A0&amp;row=371&amp;col=15&amp;number=&amp;sourceID=5","")</f>
        <v/>
      </c>
      <c r="P371" s="4" t="str">
        <f>HYPERLINK("http://141.218.60.56/~jnz1568/getInfo.php?workbook=08_06.xlsx&amp;sheet=A0&amp;row=371&amp;col=16&amp;number=&amp;sourceID=5","")</f>
        <v/>
      </c>
      <c r="Q371" s="4" t="str">
        <f>HYPERLINK("http://141.218.60.56/~jnz1568/getInfo.php?workbook=08_06.xlsx&amp;sheet=A0&amp;row=371&amp;col=17&amp;number=&amp;sourceID=6","")</f>
        <v/>
      </c>
    </row>
    <row r="372" spans="1:17">
      <c r="A372" s="3">
        <v>8</v>
      </c>
      <c r="B372" s="3">
        <v>6</v>
      </c>
      <c r="C372" s="3">
        <v>42</v>
      </c>
      <c r="D372" s="3">
        <v>31</v>
      </c>
      <c r="E372" s="3">
        <f>((1/(INDEX(E0!J$4:J$49,C372,1)-INDEX(E0!J$4:J$49,D372,1))))*100000000</f>
        <v>0</v>
      </c>
      <c r="F372" s="4" t="str">
        <f>HYPERLINK("http://141.218.60.56/~jnz1568/getInfo.php?workbook=08_06.xlsx&amp;sheet=A0&amp;row=372&amp;col=6&amp;number=25989000&amp;sourceID=3","25989000")</f>
        <v>25989000</v>
      </c>
      <c r="G372" s="4" t="str">
        <f>HYPERLINK("http://141.218.60.56/~jnz1568/getInfo.php?workbook=08_06.xlsx&amp;sheet=A0&amp;row=372&amp;col=7&amp;number=&amp;sourceID=3","")</f>
        <v/>
      </c>
      <c r="H372" s="4" t="str">
        <f>HYPERLINK("http://141.218.60.56/~jnz1568/getInfo.php?workbook=08_06.xlsx&amp;sheet=A0&amp;row=372&amp;col=8&amp;number=&amp;sourceID=3","")</f>
        <v/>
      </c>
      <c r="I372" s="4" t="str">
        <f>HYPERLINK("http://141.218.60.56/~jnz1568/getInfo.php?workbook=08_06.xlsx&amp;sheet=A0&amp;row=372&amp;col=9&amp;number=&amp;sourceID=3","")</f>
        <v/>
      </c>
      <c r="J372" s="4" t="str">
        <f>HYPERLINK("http://141.218.60.56/~jnz1568/getInfo.php?workbook=08_06.xlsx&amp;sheet=A0&amp;row=372&amp;col=10&amp;number=25832000&amp;sourceID=3","25832000")</f>
        <v>25832000</v>
      </c>
      <c r="K372" s="4" t="str">
        <f>HYPERLINK("http://141.218.60.56/~jnz1568/getInfo.php?workbook=08_06.xlsx&amp;sheet=A0&amp;row=372&amp;col=11&amp;number=&amp;sourceID=3","")</f>
        <v/>
      </c>
      <c r="L372" s="4" t="str">
        <f>HYPERLINK("http://141.218.60.56/~jnz1568/getInfo.php?workbook=08_06.xlsx&amp;sheet=A0&amp;row=372&amp;col=12&amp;number=&amp;sourceID=3","")</f>
        <v/>
      </c>
      <c r="M372" s="4" t="str">
        <f>HYPERLINK("http://141.218.60.56/~jnz1568/getInfo.php?workbook=08_06.xlsx&amp;sheet=A0&amp;row=372&amp;col=13&amp;number=&amp;sourceID=3","")</f>
        <v/>
      </c>
      <c r="N372" s="4" t="str">
        <f>HYPERLINK("http://141.218.60.56/~jnz1568/getInfo.php?workbook=08_06.xlsx&amp;sheet=A0&amp;row=372&amp;col=14&amp;number=17120000&amp;sourceID=7","17120000")</f>
        <v>17120000</v>
      </c>
      <c r="O372" s="4" t="str">
        <f>HYPERLINK("http://141.218.60.56/~jnz1568/getInfo.php?workbook=08_06.xlsx&amp;sheet=A0&amp;row=372&amp;col=15&amp;number=&amp;sourceID=5","")</f>
        <v/>
      </c>
      <c r="P372" s="4" t="str">
        <f>HYPERLINK("http://141.218.60.56/~jnz1568/getInfo.php?workbook=08_06.xlsx&amp;sheet=A0&amp;row=372&amp;col=16&amp;number=&amp;sourceID=5","")</f>
        <v/>
      </c>
      <c r="Q372" s="4" t="str">
        <f>HYPERLINK("http://141.218.60.56/~jnz1568/getInfo.php?workbook=08_06.xlsx&amp;sheet=A0&amp;row=372&amp;col=17&amp;number=&amp;sourceID=6","")</f>
        <v/>
      </c>
    </row>
    <row r="373" spans="1:17">
      <c r="A373" s="3">
        <v>8</v>
      </c>
      <c r="B373" s="3">
        <v>6</v>
      </c>
      <c r="C373" s="3">
        <v>42</v>
      </c>
      <c r="D373" s="3">
        <v>32</v>
      </c>
      <c r="E373" s="3">
        <f>((1/(INDEX(E0!J$4:J$49,C373,1)-INDEX(E0!J$4:J$49,D373,1))))*100000000</f>
        <v>0</v>
      </c>
      <c r="F373" s="4" t="str">
        <f>HYPERLINK("http://141.218.60.56/~jnz1568/getInfo.php?workbook=08_06.xlsx&amp;sheet=A0&amp;row=373&amp;col=6&amp;number=444.69&amp;sourceID=3","444.69")</f>
        <v>444.69</v>
      </c>
      <c r="G373" s="4" t="str">
        <f>HYPERLINK("http://141.218.60.56/~jnz1568/getInfo.php?workbook=08_06.xlsx&amp;sheet=A0&amp;row=373&amp;col=7&amp;number=&amp;sourceID=3","")</f>
        <v/>
      </c>
      <c r="H373" s="4" t="str">
        <f>HYPERLINK("http://141.218.60.56/~jnz1568/getInfo.php?workbook=08_06.xlsx&amp;sheet=A0&amp;row=373&amp;col=8&amp;number=&amp;sourceID=3","")</f>
        <v/>
      </c>
      <c r="I373" s="4" t="str">
        <f>HYPERLINK("http://141.218.60.56/~jnz1568/getInfo.php?workbook=08_06.xlsx&amp;sheet=A0&amp;row=373&amp;col=9&amp;number=&amp;sourceID=3","")</f>
        <v/>
      </c>
      <c r="J373" s="4" t="str">
        <f>HYPERLINK("http://141.218.60.56/~jnz1568/getInfo.php?workbook=08_06.xlsx&amp;sheet=A0&amp;row=373&amp;col=10&amp;number=438.11&amp;sourceID=3","438.11")</f>
        <v>438.11</v>
      </c>
      <c r="K373" s="4" t="str">
        <f>HYPERLINK("http://141.218.60.56/~jnz1568/getInfo.php?workbook=08_06.xlsx&amp;sheet=A0&amp;row=373&amp;col=11&amp;number=&amp;sourceID=3","")</f>
        <v/>
      </c>
      <c r="L373" s="4" t="str">
        <f>HYPERLINK("http://141.218.60.56/~jnz1568/getInfo.php?workbook=08_06.xlsx&amp;sheet=A0&amp;row=373&amp;col=12&amp;number=&amp;sourceID=3","")</f>
        <v/>
      </c>
      <c r="M373" s="4" t="str">
        <f>HYPERLINK("http://141.218.60.56/~jnz1568/getInfo.php?workbook=08_06.xlsx&amp;sheet=A0&amp;row=373&amp;col=13&amp;number=&amp;sourceID=3","")</f>
        <v/>
      </c>
      <c r="N373" s="4" t="str">
        <f>HYPERLINK("http://141.218.60.56/~jnz1568/getInfo.php?workbook=08_06.xlsx&amp;sheet=A0&amp;row=373&amp;col=14&amp;number=124&amp;sourceID=7","124")</f>
        <v>124</v>
      </c>
      <c r="O373" s="4" t="str">
        <f>HYPERLINK("http://141.218.60.56/~jnz1568/getInfo.php?workbook=08_06.xlsx&amp;sheet=A0&amp;row=373&amp;col=15&amp;number=&amp;sourceID=5","")</f>
        <v/>
      </c>
      <c r="P373" s="4" t="str">
        <f>HYPERLINK("http://141.218.60.56/~jnz1568/getInfo.php?workbook=08_06.xlsx&amp;sheet=A0&amp;row=373&amp;col=16&amp;number=&amp;sourceID=5","")</f>
        <v/>
      </c>
      <c r="Q373" s="4" t="str">
        <f>HYPERLINK("http://141.218.60.56/~jnz1568/getInfo.php?workbook=08_06.xlsx&amp;sheet=A0&amp;row=373&amp;col=17&amp;number=&amp;sourceID=6","")</f>
        <v/>
      </c>
    </row>
    <row r="374" spans="1:17">
      <c r="A374" s="3">
        <v>8</v>
      </c>
      <c r="B374" s="3">
        <v>6</v>
      </c>
      <c r="C374" s="3">
        <v>42</v>
      </c>
      <c r="D374" s="3">
        <v>33</v>
      </c>
      <c r="E374" s="3">
        <f>((1/(INDEX(E0!J$4:J$49,C374,1)-INDEX(E0!J$4:J$49,D374,1))))*100000000</f>
        <v>0</v>
      </c>
      <c r="F374" s="4" t="str">
        <f>HYPERLINK("http://141.218.60.56/~jnz1568/getInfo.php?workbook=08_06.xlsx&amp;sheet=A0&amp;row=374&amp;col=6&amp;number=9166.6&amp;sourceID=3","9166.6")</f>
        <v>9166.6</v>
      </c>
      <c r="G374" s="4" t="str">
        <f>HYPERLINK("http://141.218.60.56/~jnz1568/getInfo.php?workbook=08_06.xlsx&amp;sheet=A0&amp;row=374&amp;col=7&amp;number=&amp;sourceID=3","")</f>
        <v/>
      </c>
      <c r="H374" s="4" t="str">
        <f>HYPERLINK("http://141.218.60.56/~jnz1568/getInfo.php?workbook=08_06.xlsx&amp;sheet=A0&amp;row=374&amp;col=8&amp;number=&amp;sourceID=3","")</f>
        <v/>
      </c>
      <c r="I374" s="4" t="str">
        <f>HYPERLINK("http://141.218.60.56/~jnz1568/getInfo.php?workbook=08_06.xlsx&amp;sheet=A0&amp;row=374&amp;col=9&amp;number=&amp;sourceID=3","")</f>
        <v/>
      </c>
      <c r="J374" s="4" t="str">
        <f>HYPERLINK("http://141.218.60.56/~jnz1568/getInfo.php?workbook=08_06.xlsx&amp;sheet=A0&amp;row=374&amp;col=10&amp;number=8563.9&amp;sourceID=3","8563.9")</f>
        <v>8563.9</v>
      </c>
      <c r="K374" s="4" t="str">
        <f>HYPERLINK("http://141.218.60.56/~jnz1568/getInfo.php?workbook=08_06.xlsx&amp;sheet=A0&amp;row=374&amp;col=11&amp;number=&amp;sourceID=3","")</f>
        <v/>
      </c>
      <c r="L374" s="4" t="str">
        <f>HYPERLINK("http://141.218.60.56/~jnz1568/getInfo.php?workbook=08_06.xlsx&amp;sheet=A0&amp;row=374&amp;col=12&amp;number=&amp;sourceID=3","")</f>
        <v/>
      </c>
      <c r="M374" s="4" t="str">
        <f>HYPERLINK("http://141.218.60.56/~jnz1568/getInfo.php?workbook=08_06.xlsx&amp;sheet=A0&amp;row=374&amp;col=13&amp;number=&amp;sourceID=3","")</f>
        <v/>
      </c>
      <c r="N374" s="4" t="str">
        <f>HYPERLINK("http://141.218.60.56/~jnz1568/getInfo.php?workbook=08_06.xlsx&amp;sheet=A0&amp;row=374&amp;col=14&amp;number=422.9&amp;sourceID=7","422.9")</f>
        <v>422.9</v>
      </c>
      <c r="O374" s="4" t="str">
        <f>HYPERLINK("http://141.218.60.56/~jnz1568/getInfo.php?workbook=08_06.xlsx&amp;sheet=A0&amp;row=374&amp;col=15&amp;number=&amp;sourceID=5","")</f>
        <v/>
      </c>
      <c r="P374" s="4" t="str">
        <f>HYPERLINK("http://141.218.60.56/~jnz1568/getInfo.php?workbook=08_06.xlsx&amp;sheet=A0&amp;row=374&amp;col=16&amp;number=&amp;sourceID=5","")</f>
        <v/>
      </c>
      <c r="Q374" s="4" t="str">
        <f>HYPERLINK("http://141.218.60.56/~jnz1568/getInfo.php?workbook=08_06.xlsx&amp;sheet=A0&amp;row=374&amp;col=17&amp;number=&amp;sourceID=6","")</f>
        <v/>
      </c>
    </row>
    <row r="375" spans="1:17">
      <c r="A375" s="3">
        <v>8</v>
      </c>
      <c r="B375" s="3">
        <v>6</v>
      </c>
      <c r="C375" s="3">
        <v>43</v>
      </c>
      <c r="D375" s="3">
        <v>2</v>
      </c>
      <c r="E375" s="3">
        <f>((1/(INDEX(E0!J$4:J$49,C375,1)-INDEX(E0!J$4:J$49,D375,1))))*100000000</f>
        <v>0</v>
      </c>
      <c r="F375" s="4" t="str">
        <f>HYPERLINK("http://141.218.60.56/~jnz1568/getInfo.php?workbook=08_06.xlsx&amp;sheet=A0&amp;row=375&amp;col=6&amp;number=11719000000&amp;sourceID=3","11719000000")</f>
        <v>11719000000</v>
      </c>
      <c r="G375" s="4" t="str">
        <f>HYPERLINK("http://141.218.60.56/~jnz1568/getInfo.php?workbook=08_06.xlsx&amp;sheet=A0&amp;row=375&amp;col=7&amp;number=&amp;sourceID=3","")</f>
        <v/>
      </c>
      <c r="H375" s="4" t="str">
        <f>HYPERLINK("http://141.218.60.56/~jnz1568/getInfo.php?workbook=08_06.xlsx&amp;sheet=A0&amp;row=375&amp;col=8&amp;number=&amp;sourceID=3","")</f>
        <v/>
      </c>
      <c r="I375" s="4" t="str">
        <f>HYPERLINK("http://141.218.60.56/~jnz1568/getInfo.php?workbook=08_06.xlsx&amp;sheet=A0&amp;row=375&amp;col=9&amp;number=&amp;sourceID=3","")</f>
        <v/>
      </c>
      <c r="J375" s="4" t="str">
        <f>HYPERLINK("http://141.218.60.56/~jnz1568/getInfo.php?workbook=08_06.xlsx&amp;sheet=A0&amp;row=375&amp;col=10&amp;number=11805000000&amp;sourceID=3","11805000000")</f>
        <v>11805000000</v>
      </c>
      <c r="K375" s="4" t="str">
        <f>HYPERLINK("http://141.218.60.56/~jnz1568/getInfo.php?workbook=08_06.xlsx&amp;sheet=A0&amp;row=375&amp;col=11&amp;number=&amp;sourceID=3","")</f>
        <v/>
      </c>
      <c r="L375" s="4" t="str">
        <f>HYPERLINK("http://141.218.60.56/~jnz1568/getInfo.php?workbook=08_06.xlsx&amp;sheet=A0&amp;row=375&amp;col=12&amp;number=&amp;sourceID=3","")</f>
        <v/>
      </c>
      <c r="M375" s="4" t="str">
        <f>HYPERLINK("http://141.218.60.56/~jnz1568/getInfo.php?workbook=08_06.xlsx&amp;sheet=A0&amp;row=375&amp;col=13&amp;number=&amp;sourceID=3","")</f>
        <v/>
      </c>
      <c r="N375" s="4" t="str">
        <f>HYPERLINK("http://141.218.60.56/~jnz1568/getInfo.php?workbook=08_06.xlsx&amp;sheet=A0&amp;row=375&amp;col=14&amp;number=14050000000&amp;sourceID=7","14050000000")</f>
        <v>14050000000</v>
      </c>
      <c r="O375" s="4" t="str">
        <f>HYPERLINK("http://141.218.60.56/~jnz1568/getInfo.php?workbook=08_06.xlsx&amp;sheet=A0&amp;row=375&amp;col=15&amp;number=&amp;sourceID=5","")</f>
        <v/>
      </c>
      <c r="P375" s="4" t="str">
        <f>HYPERLINK("http://141.218.60.56/~jnz1568/getInfo.php?workbook=08_06.xlsx&amp;sheet=A0&amp;row=375&amp;col=16&amp;number=&amp;sourceID=5","")</f>
        <v/>
      </c>
      <c r="Q375" s="4" t="str">
        <f>HYPERLINK("http://141.218.60.56/~jnz1568/getInfo.php?workbook=08_06.xlsx&amp;sheet=A0&amp;row=375&amp;col=17&amp;number=&amp;sourceID=6","")</f>
        <v/>
      </c>
    </row>
    <row r="376" spans="1:17">
      <c r="A376" s="3">
        <v>8</v>
      </c>
      <c r="B376" s="3">
        <v>6</v>
      </c>
      <c r="C376" s="3">
        <v>43</v>
      </c>
      <c r="D376" s="3">
        <v>21</v>
      </c>
      <c r="E376" s="3">
        <f>((1/(INDEX(E0!J$4:J$49,C376,1)-INDEX(E0!J$4:J$49,D376,1))))*100000000</f>
        <v>0</v>
      </c>
      <c r="F376" s="4" t="str">
        <f>HYPERLINK("http://141.218.60.56/~jnz1568/getInfo.php?workbook=08_06.xlsx&amp;sheet=A0&amp;row=376&amp;col=6&amp;number=649670&amp;sourceID=3","649670")</f>
        <v>649670</v>
      </c>
      <c r="G376" s="4" t="str">
        <f>HYPERLINK("http://141.218.60.56/~jnz1568/getInfo.php?workbook=08_06.xlsx&amp;sheet=A0&amp;row=376&amp;col=7&amp;number=&amp;sourceID=3","")</f>
        <v/>
      </c>
      <c r="H376" s="4" t="str">
        <f>HYPERLINK("http://141.218.60.56/~jnz1568/getInfo.php?workbook=08_06.xlsx&amp;sheet=A0&amp;row=376&amp;col=8&amp;number=&amp;sourceID=3","")</f>
        <v/>
      </c>
      <c r="I376" s="4" t="str">
        <f>HYPERLINK("http://141.218.60.56/~jnz1568/getInfo.php?workbook=08_06.xlsx&amp;sheet=A0&amp;row=376&amp;col=9&amp;number=&amp;sourceID=3","")</f>
        <v/>
      </c>
      <c r="J376" s="4" t="str">
        <f>HYPERLINK("http://141.218.60.56/~jnz1568/getInfo.php?workbook=08_06.xlsx&amp;sheet=A0&amp;row=376&amp;col=10&amp;number=752950&amp;sourceID=3","752950")</f>
        <v>752950</v>
      </c>
      <c r="K376" s="4" t="str">
        <f>HYPERLINK("http://141.218.60.56/~jnz1568/getInfo.php?workbook=08_06.xlsx&amp;sheet=A0&amp;row=376&amp;col=11&amp;number=&amp;sourceID=3","")</f>
        <v/>
      </c>
      <c r="L376" s="4" t="str">
        <f>HYPERLINK("http://141.218.60.56/~jnz1568/getInfo.php?workbook=08_06.xlsx&amp;sheet=A0&amp;row=376&amp;col=12&amp;number=&amp;sourceID=3","")</f>
        <v/>
      </c>
      <c r="M376" s="4" t="str">
        <f>HYPERLINK("http://141.218.60.56/~jnz1568/getInfo.php?workbook=08_06.xlsx&amp;sheet=A0&amp;row=376&amp;col=13&amp;number=&amp;sourceID=3","")</f>
        <v/>
      </c>
      <c r="N376" s="4" t="str">
        <f>HYPERLINK("http://141.218.60.56/~jnz1568/getInfo.php?workbook=08_06.xlsx&amp;sheet=A0&amp;row=376&amp;col=14&amp;number=1139000&amp;sourceID=7","1139000")</f>
        <v>1139000</v>
      </c>
      <c r="O376" s="4" t="str">
        <f>HYPERLINK("http://141.218.60.56/~jnz1568/getInfo.php?workbook=08_06.xlsx&amp;sheet=A0&amp;row=376&amp;col=15&amp;number=&amp;sourceID=5","")</f>
        <v/>
      </c>
      <c r="P376" s="4" t="str">
        <f>HYPERLINK("http://141.218.60.56/~jnz1568/getInfo.php?workbook=08_06.xlsx&amp;sheet=A0&amp;row=376&amp;col=16&amp;number=&amp;sourceID=5","")</f>
        <v/>
      </c>
      <c r="Q376" s="4" t="str">
        <f>HYPERLINK("http://141.218.60.56/~jnz1568/getInfo.php?workbook=08_06.xlsx&amp;sheet=A0&amp;row=376&amp;col=17&amp;number=&amp;sourceID=6","")</f>
        <v/>
      </c>
    </row>
    <row r="377" spans="1:17">
      <c r="A377" s="3">
        <v>8</v>
      </c>
      <c r="B377" s="3">
        <v>6</v>
      </c>
      <c r="C377" s="3">
        <v>43</v>
      </c>
      <c r="D377" s="3">
        <v>23</v>
      </c>
      <c r="E377" s="3">
        <f>((1/(INDEX(E0!J$4:J$49,C377,1)-INDEX(E0!J$4:J$49,D377,1))))*100000000</f>
        <v>0</v>
      </c>
      <c r="F377" s="4" t="str">
        <f>HYPERLINK("http://141.218.60.56/~jnz1568/getInfo.php?workbook=08_06.xlsx&amp;sheet=A0&amp;row=377&amp;col=6&amp;number=441.08&amp;sourceID=3","441.08")</f>
        <v>441.08</v>
      </c>
      <c r="G377" s="4" t="str">
        <f>HYPERLINK("http://141.218.60.56/~jnz1568/getInfo.php?workbook=08_06.xlsx&amp;sheet=A0&amp;row=377&amp;col=7&amp;number=&amp;sourceID=3","")</f>
        <v/>
      </c>
      <c r="H377" s="4" t="str">
        <f>HYPERLINK("http://141.218.60.56/~jnz1568/getInfo.php?workbook=08_06.xlsx&amp;sheet=A0&amp;row=377&amp;col=8&amp;number=&amp;sourceID=3","")</f>
        <v/>
      </c>
      <c r="I377" s="4" t="str">
        <f>HYPERLINK("http://141.218.60.56/~jnz1568/getInfo.php?workbook=08_06.xlsx&amp;sheet=A0&amp;row=377&amp;col=9&amp;number=&amp;sourceID=3","")</f>
        <v/>
      </c>
      <c r="J377" s="4" t="str">
        <f>HYPERLINK("http://141.218.60.56/~jnz1568/getInfo.php?workbook=08_06.xlsx&amp;sheet=A0&amp;row=377&amp;col=10&amp;number=395.61&amp;sourceID=3","395.61")</f>
        <v>395.61</v>
      </c>
      <c r="K377" s="4" t="str">
        <f>HYPERLINK("http://141.218.60.56/~jnz1568/getInfo.php?workbook=08_06.xlsx&amp;sheet=A0&amp;row=377&amp;col=11&amp;number=&amp;sourceID=3","")</f>
        <v/>
      </c>
      <c r="L377" s="4" t="str">
        <f>HYPERLINK("http://141.218.60.56/~jnz1568/getInfo.php?workbook=08_06.xlsx&amp;sheet=A0&amp;row=377&amp;col=12&amp;number=&amp;sourceID=3","")</f>
        <v/>
      </c>
      <c r="M377" s="4" t="str">
        <f>HYPERLINK("http://141.218.60.56/~jnz1568/getInfo.php?workbook=08_06.xlsx&amp;sheet=A0&amp;row=377&amp;col=13&amp;number=&amp;sourceID=3","")</f>
        <v/>
      </c>
      <c r="N377" s="4" t="str">
        <f>HYPERLINK("http://141.218.60.56/~jnz1568/getInfo.php?workbook=08_06.xlsx&amp;sheet=A0&amp;row=377&amp;col=14&amp;number=57.15&amp;sourceID=7","57.15")</f>
        <v>57.15</v>
      </c>
      <c r="O377" s="4" t="str">
        <f>HYPERLINK("http://141.218.60.56/~jnz1568/getInfo.php?workbook=08_06.xlsx&amp;sheet=A0&amp;row=377&amp;col=15&amp;number=&amp;sourceID=5","")</f>
        <v/>
      </c>
      <c r="P377" s="4" t="str">
        <f>HYPERLINK("http://141.218.60.56/~jnz1568/getInfo.php?workbook=08_06.xlsx&amp;sheet=A0&amp;row=377&amp;col=16&amp;number=&amp;sourceID=5","")</f>
        <v/>
      </c>
      <c r="Q377" s="4" t="str">
        <f>HYPERLINK("http://141.218.60.56/~jnz1568/getInfo.php?workbook=08_06.xlsx&amp;sheet=A0&amp;row=377&amp;col=17&amp;number=&amp;sourceID=6","")</f>
        <v/>
      </c>
    </row>
    <row r="378" spans="1:17">
      <c r="A378" s="3">
        <v>8</v>
      </c>
      <c r="B378" s="3">
        <v>6</v>
      </c>
      <c r="C378" s="3">
        <v>43</v>
      </c>
      <c r="D378" s="3">
        <v>24</v>
      </c>
      <c r="E378" s="3">
        <f>((1/(INDEX(E0!J$4:J$49,C378,1)-INDEX(E0!J$4:J$49,D378,1))))*100000000</f>
        <v>0</v>
      </c>
      <c r="F378" s="4" t="str">
        <f>HYPERLINK("http://141.218.60.56/~jnz1568/getInfo.php?workbook=08_06.xlsx&amp;sheet=A0&amp;row=378&amp;col=6&amp;number=17026000&amp;sourceID=3","17026000")</f>
        <v>17026000</v>
      </c>
      <c r="G378" s="4" t="str">
        <f>HYPERLINK("http://141.218.60.56/~jnz1568/getInfo.php?workbook=08_06.xlsx&amp;sheet=A0&amp;row=378&amp;col=7&amp;number=&amp;sourceID=3","")</f>
        <v/>
      </c>
      <c r="H378" s="4" t="str">
        <f>HYPERLINK("http://141.218.60.56/~jnz1568/getInfo.php?workbook=08_06.xlsx&amp;sheet=A0&amp;row=378&amp;col=8&amp;number=&amp;sourceID=3","")</f>
        <v/>
      </c>
      <c r="I378" s="4" t="str">
        <f>HYPERLINK("http://141.218.60.56/~jnz1568/getInfo.php?workbook=08_06.xlsx&amp;sheet=A0&amp;row=378&amp;col=9&amp;number=&amp;sourceID=3","")</f>
        <v/>
      </c>
      <c r="J378" s="4" t="str">
        <f>HYPERLINK("http://141.218.60.56/~jnz1568/getInfo.php?workbook=08_06.xlsx&amp;sheet=A0&amp;row=378&amp;col=10&amp;number=16881000&amp;sourceID=3","16881000")</f>
        <v>16881000</v>
      </c>
      <c r="K378" s="4" t="str">
        <f>HYPERLINK("http://141.218.60.56/~jnz1568/getInfo.php?workbook=08_06.xlsx&amp;sheet=A0&amp;row=378&amp;col=11&amp;number=&amp;sourceID=3","")</f>
        <v/>
      </c>
      <c r="L378" s="4" t="str">
        <f>HYPERLINK("http://141.218.60.56/~jnz1568/getInfo.php?workbook=08_06.xlsx&amp;sheet=A0&amp;row=378&amp;col=12&amp;number=&amp;sourceID=3","")</f>
        <v/>
      </c>
      <c r="M378" s="4" t="str">
        <f>HYPERLINK("http://141.218.60.56/~jnz1568/getInfo.php?workbook=08_06.xlsx&amp;sheet=A0&amp;row=378&amp;col=13&amp;number=&amp;sourceID=3","")</f>
        <v/>
      </c>
      <c r="N378" s="4" t="str">
        <f>HYPERLINK("http://141.218.60.56/~jnz1568/getInfo.php?workbook=08_06.xlsx&amp;sheet=A0&amp;row=378&amp;col=14&amp;number=15360000&amp;sourceID=7","15360000")</f>
        <v>15360000</v>
      </c>
      <c r="O378" s="4" t="str">
        <f>HYPERLINK("http://141.218.60.56/~jnz1568/getInfo.php?workbook=08_06.xlsx&amp;sheet=A0&amp;row=378&amp;col=15&amp;number=&amp;sourceID=5","")</f>
        <v/>
      </c>
      <c r="P378" s="4" t="str">
        <f>HYPERLINK("http://141.218.60.56/~jnz1568/getInfo.php?workbook=08_06.xlsx&amp;sheet=A0&amp;row=378&amp;col=16&amp;number=&amp;sourceID=5","")</f>
        <v/>
      </c>
      <c r="Q378" s="4" t="str">
        <f>HYPERLINK("http://141.218.60.56/~jnz1568/getInfo.php?workbook=08_06.xlsx&amp;sheet=A0&amp;row=378&amp;col=17&amp;number=&amp;sourceID=6","")</f>
        <v/>
      </c>
    </row>
    <row r="379" spans="1:17">
      <c r="A379" s="3">
        <v>8</v>
      </c>
      <c r="B379" s="3">
        <v>6</v>
      </c>
      <c r="C379" s="3">
        <v>43</v>
      </c>
      <c r="D379" s="3">
        <v>27</v>
      </c>
      <c r="E379" s="3">
        <f>((1/(INDEX(E0!J$4:J$49,C379,1)-INDEX(E0!J$4:J$49,D379,1))))*100000000</f>
        <v>0</v>
      </c>
      <c r="F379" s="4" t="str">
        <f>HYPERLINK("http://141.218.60.56/~jnz1568/getInfo.php?workbook=08_06.xlsx&amp;sheet=A0&amp;row=379&amp;col=6&amp;number=135130000&amp;sourceID=3","135130000")</f>
        <v>135130000</v>
      </c>
      <c r="G379" s="4" t="str">
        <f>HYPERLINK("http://141.218.60.56/~jnz1568/getInfo.php?workbook=08_06.xlsx&amp;sheet=A0&amp;row=379&amp;col=7&amp;number=&amp;sourceID=3","")</f>
        <v/>
      </c>
      <c r="H379" s="4" t="str">
        <f>HYPERLINK("http://141.218.60.56/~jnz1568/getInfo.php?workbook=08_06.xlsx&amp;sheet=A0&amp;row=379&amp;col=8&amp;number=&amp;sourceID=3","")</f>
        <v/>
      </c>
      <c r="I379" s="4" t="str">
        <f>HYPERLINK("http://141.218.60.56/~jnz1568/getInfo.php?workbook=08_06.xlsx&amp;sheet=A0&amp;row=379&amp;col=9&amp;number=&amp;sourceID=3","")</f>
        <v/>
      </c>
      <c r="J379" s="4" t="str">
        <f>HYPERLINK("http://141.218.60.56/~jnz1568/getInfo.php?workbook=08_06.xlsx&amp;sheet=A0&amp;row=379&amp;col=10&amp;number=134360000&amp;sourceID=3","134360000")</f>
        <v>134360000</v>
      </c>
      <c r="K379" s="4" t="str">
        <f>HYPERLINK("http://141.218.60.56/~jnz1568/getInfo.php?workbook=08_06.xlsx&amp;sheet=A0&amp;row=379&amp;col=11&amp;number=&amp;sourceID=3","")</f>
        <v/>
      </c>
      <c r="L379" s="4" t="str">
        <f>HYPERLINK("http://141.218.60.56/~jnz1568/getInfo.php?workbook=08_06.xlsx&amp;sheet=A0&amp;row=379&amp;col=12&amp;number=&amp;sourceID=3","")</f>
        <v/>
      </c>
      <c r="M379" s="4" t="str">
        <f>HYPERLINK("http://141.218.60.56/~jnz1568/getInfo.php?workbook=08_06.xlsx&amp;sheet=A0&amp;row=379&amp;col=13&amp;number=&amp;sourceID=3","")</f>
        <v/>
      </c>
      <c r="N379" s="4" t="str">
        <f>HYPERLINK("http://141.218.60.56/~jnz1568/getInfo.php?workbook=08_06.xlsx&amp;sheet=A0&amp;row=379&amp;col=14&amp;number=102300000&amp;sourceID=7","102300000")</f>
        <v>102300000</v>
      </c>
      <c r="O379" s="4" t="str">
        <f>HYPERLINK("http://141.218.60.56/~jnz1568/getInfo.php?workbook=08_06.xlsx&amp;sheet=A0&amp;row=379&amp;col=15&amp;number=&amp;sourceID=5","")</f>
        <v/>
      </c>
      <c r="P379" s="4" t="str">
        <f>HYPERLINK("http://141.218.60.56/~jnz1568/getInfo.php?workbook=08_06.xlsx&amp;sheet=A0&amp;row=379&amp;col=16&amp;number=&amp;sourceID=5","")</f>
        <v/>
      </c>
      <c r="Q379" s="4" t="str">
        <f>HYPERLINK("http://141.218.60.56/~jnz1568/getInfo.php?workbook=08_06.xlsx&amp;sheet=A0&amp;row=379&amp;col=17&amp;number=&amp;sourceID=6","")</f>
        <v/>
      </c>
    </row>
    <row r="380" spans="1:17">
      <c r="A380" s="3">
        <v>8</v>
      </c>
      <c r="B380" s="3">
        <v>6</v>
      </c>
      <c r="C380" s="3">
        <v>43</v>
      </c>
      <c r="D380" s="3">
        <v>30</v>
      </c>
      <c r="E380" s="3">
        <f>((1/(INDEX(E0!J$4:J$49,C380,1)-INDEX(E0!J$4:J$49,D380,1))))*100000000</f>
        <v>0</v>
      </c>
      <c r="F380" s="4" t="str">
        <f>HYPERLINK("http://141.218.60.56/~jnz1568/getInfo.php?workbook=08_06.xlsx&amp;sheet=A0&amp;row=380&amp;col=6&amp;number=68456000&amp;sourceID=3","68456000")</f>
        <v>68456000</v>
      </c>
      <c r="G380" s="4" t="str">
        <f>HYPERLINK("http://141.218.60.56/~jnz1568/getInfo.php?workbook=08_06.xlsx&amp;sheet=A0&amp;row=380&amp;col=7&amp;number=&amp;sourceID=3","")</f>
        <v/>
      </c>
      <c r="H380" s="4" t="str">
        <f>HYPERLINK("http://141.218.60.56/~jnz1568/getInfo.php?workbook=08_06.xlsx&amp;sheet=A0&amp;row=380&amp;col=8&amp;number=&amp;sourceID=3","")</f>
        <v/>
      </c>
      <c r="I380" s="4" t="str">
        <f>HYPERLINK("http://141.218.60.56/~jnz1568/getInfo.php?workbook=08_06.xlsx&amp;sheet=A0&amp;row=380&amp;col=9&amp;number=&amp;sourceID=3","")</f>
        <v/>
      </c>
      <c r="J380" s="4" t="str">
        <f>HYPERLINK("http://141.218.60.56/~jnz1568/getInfo.php?workbook=08_06.xlsx&amp;sheet=A0&amp;row=380&amp;col=10&amp;number=68055000&amp;sourceID=3","68055000")</f>
        <v>68055000</v>
      </c>
      <c r="K380" s="4" t="str">
        <f>HYPERLINK("http://141.218.60.56/~jnz1568/getInfo.php?workbook=08_06.xlsx&amp;sheet=A0&amp;row=380&amp;col=11&amp;number=&amp;sourceID=3","")</f>
        <v/>
      </c>
      <c r="L380" s="4" t="str">
        <f>HYPERLINK("http://141.218.60.56/~jnz1568/getInfo.php?workbook=08_06.xlsx&amp;sheet=A0&amp;row=380&amp;col=12&amp;number=&amp;sourceID=3","")</f>
        <v/>
      </c>
      <c r="M380" s="4" t="str">
        <f>HYPERLINK("http://141.218.60.56/~jnz1568/getInfo.php?workbook=08_06.xlsx&amp;sheet=A0&amp;row=380&amp;col=13&amp;number=&amp;sourceID=3","")</f>
        <v/>
      </c>
      <c r="N380" s="4" t="str">
        <f>HYPERLINK("http://141.218.60.56/~jnz1568/getInfo.php?workbook=08_06.xlsx&amp;sheet=A0&amp;row=380&amp;col=14&amp;number=43290000&amp;sourceID=7","43290000")</f>
        <v>43290000</v>
      </c>
      <c r="O380" s="4" t="str">
        <f>HYPERLINK("http://141.218.60.56/~jnz1568/getInfo.php?workbook=08_06.xlsx&amp;sheet=A0&amp;row=380&amp;col=15&amp;number=&amp;sourceID=5","")</f>
        <v/>
      </c>
      <c r="P380" s="4" t="str">
        <f>HYPERLINK("http://141.218.60.56/~jnz1568/getInfo.php?workbook=08_06.xlsx&amp;sheet=A0&amp;row=380&amp;col=16&amp;number=&amp;sourceID=5","")</f>
        <v/>
      </c>
      <c r="Q380" s="4" t="str">
        <f>HYPERLINK("http://141.218.60.56/~jnz1568/getInfo.php?workbook=08_06.xlsx&amp;sheet=A0&amp;row=380&amp;col=17&amp;number=&amp;sourceID=6","")</f>
        <v/>
      </c>
    </row>
    <row r="381" spans="1:17">
      <c r="A381" s="3">
        <v>8</v>
      </c>
      <c r="B381" s="3">
        <v>6</v>
      </c>
      <c r="C381" s="3">
        <v>44</v>
      </c>
      <c r="D381" s="3">
        <v>3</v>
      </c>
      <c r="E381" s="3">
        <f>((1/(INDEX(E0!J$4:J$49,C381,1)-INDEX(E0!J$4:J$49,D381,1))))*100000000</f>
        <v>0</v>
      </c>
      <c r="F381" s="4" t="str">
        <f>HYPERLINK("http://141.218.60.56/~jnz1568/getInfo.php?workbook=08_06.xlsx&amp;sheet=A0&amp;row=381&amp;col=6&amp;number=4854200&amp;sourceID=3","4854200")</f>
        <v>4854200</v>
      </c>
      <c r="G381" s="4" t="str">
        <f>HYPERLINK("http://141.218.60.56/~jnz1568/getInfo.php?workbook=08_06.xlsx&amp;sheet=A0&amp;row=381&amp;col=7&amp;number=&amp;sourceID=3","")</f>
        <v/>
      </c>
      <c r="H381" s="4" t="str">
        <f>HYPERLINK("http://141.218.60.56/~jnz1568/getInfo.php?workbook=08_06.xlsx&amp;sheet=A0&amp;row=381&amp;col=8&amp;number=&amp;sourceID=3","")</f>
        <v/>
      </c>
      <c r="I381" s="4" t="str">
        <f>HYPERLINK("http://141.218.60.56/~jnz1568/getInfo.php?workbook=08_06.xlsx&amp;sheet=A0&amp;row=381&amp;col=9&amp;number=&amp;sourceID=3","")</f>
        <v/>
      </c>
      <c r="J381" s="4" t="str">
        <f>HYPERLINK("http://141.218.60.56/~jnz1568/getInfo.php?workbook=08_06.xlsx&amp;sheet=A0&amp;row=381&amp;col=10&amp;number=4803200&amp;sourceID=3","4803200")</f>
        <v>4803200</v>
      </c>
      <c r="K381" s="4" t="str">
        <f>HYPERLINK("http://141.218.60.56/~jnz1568/getInfo.php?workbook=08_06.xlsx&amp;sheet=A0&amp;row=381&amp;col=11&amp;number=&amp;sourceID=3","")</f>
        <v/>
      </c>
      <c r="L381" s="4" t="str">
        <f>HYPERLINK("http://141.218.60.56/~jnz1568/getInfo.php?workbook=08_06.xlsx&amp;sheet=A0&amp;row=381&amp;col=12&amp;number=&amp;sourceID=3","")</f>
        <v/>
      </c>
      <c r="M381" s="4" t="str">
        <f>HYPERLINK("http://141.218.60.56/~jnz1568/getInfo.php?workbook=08_06.xlsx&amp;sheet=A0&amp;row=381&amp;col=13&amp;number=&amp;sourceID=3","")</f>
        <v/>
      </c>
      <c r="N381" s="4" t="str">
        <f>HYPERLINK("http://141.218.60.56/~jnz1568/getInfo.php?workbook=08_06.xlsx&amp;sheet=A0&amp;row=381&amp;col=14&amp;number=789400&amp;sourceID=7","789400")</f>
        <v>789400</v>
      </c>
      <c r="O381" s="4" t="str">
        <f>HYPERLINK("http://141.218.60.56/~jnz1568/getInfo.php?workbook=08_06.xlsx&amp;sheet=A0&amp;row=381&amp;col=15&amp;number=&amp;sourceID=5","")</f>
        <v/>
      </c>
      <c r="P381" s="4" t="str">
        <f>HYPERLINK("http://141.218.60.56/~jnz1568/getInfo.php?workbook=08_06.xlsx&amp;sheet=A0&amp;row=381&amp;col=16&amp;number=&amp;sourceID=5","")</f>
        <v/>
      </c>
      <c r="Q381" s="4" t="str">
        <f>HYPERLINK("http://141.218.60.56/~jnz1568/getInfo.php?workbook=08_06.xlsx&amp;sheet=A0&amp;row=381&amp;col=17&amp;number=&amp;sourceID=6","")</f>
        <v/>
      </c>
    </row>
    <row r="382" spans="1:17">
      <c r="A382" s="3">
        <v>8</v>
      </c>
      <c r="B382" s="3">
        <v>6</v>
      </c>
      <c r="C382" s="3">
        <v>44</v>
      </c>
      <c r="D382" s="3">
        <v>4</v>
      </c>
      <c r="E382" s="3">
        <f>((1/(INDEX(E0!J$4:J$49,C382,1)-INDEX(E0!J$4:J$49,D382,1))))*100000000</f>
        <v>0</v>
      </c>
      <c r="F382" s="4" t="str">
        <f>HYPERLINK("http://141.218.60.56/~jnz1568/getInfo.php?workbook=08_06.xlsx&amp;sheet=A0&amp;row=382&amp;col=6&amp;number=19706000000&amp;sourceID=3","19706000000")</f>
        <v>19706000000</v>
      </c>
      <c r="G382" s="4" t="str">
        <f>HYPERLINK("http://141.218.60.56/~jnz1568/getInfo.php?workbook=08_06.xlsx&amp;sheet=A0&amp;row=382&amp;col=7&amp;number=&amp;sourceID=3","")</f>
        <v/>
      </c>
      <c r="H382" s="4" t="str">
        <f>HYPERLINK("http://141.218.60.56/~jnz1568/getInfo.php?workbook=08_06.xlsx&amp;sheet=A0&amp;row=382&amp;col=8&amp;number=&amp;sourceID=3","")</f>
        <v/>
      </c>
      <c r="I382" s="4" t="str">
        <f>HYPERLINK("http://141.218.60.56/~jnz1568/getInfo.php?workbook=08_06.xlsx&amp;sheet=A0&amp;row=382&amp;col=9&amp;number=&amp;sourceID=3","")</f>
        <v/>
      </c>
      <c r="J382" s="4" t="str">
        <f>HYPERLINK("http://141.218.60.56/~jnz1568/getInfo.php?workbook=08_06.xlsx&amp;sheet=A0&amp;row=382&amp;col=10&amp;number=19812000000&amp;sourceID=3","19812000000")</f>
        <v>19812000000</v>
      </c>
      <c r="K382" s="4" t="str">
        <f>HYPERLINK("http://141.218.60.56/~jnz1568/getInfo.php?workbook=08_06.xlsx&amp;sheet=A0&amp;row=382&amp;col=11&amp;number=&amp;sourceID=3","")</f>
        <v/>
      </c>
      <c r="L382" s="4" t="str">
        <f>HYPERLINK("http://141.218.60.56/~jnz1568/getInfo.php?workbook=08_06.xlsx&amp;sheet=A0&amp;row=382&amp;col=12&amp;number=&amp;sourceID=3","")</f>
        <v/>
      </c>
      <c r="M382" s="4" t="str">
        <f>HYPERLINK("http://141.218.60.56/~jnz1568/getInfo.php?workbook=08_06.xlsx&amp;sheet=A0&amp;row=382&amp;col=13&amp;number=&amp;sourceID=3","")</f>
        <v/>
      </c>
      <c r="N382" s="4" t="str">
        <f>HYPERLINK("http://141.218.60.56/~jnz1568/getInfo.php?workbook=08_06.xlsx&amp;sheet=A0&amp;row=382&amp;col=14&amp;number=24640000000&amp;sourceID=7","24640000000")</f>
        <v>24640000000</v>
      </c>
      <c r="O382" s="4" t="str">
        <f>HYPERLINK("http://141.218.60.56/~jnz1568/getInfo.php?workbook=08_06.xlsx&amp;sheet=A0&amp;row=382&amp;col=15&amp;number=&amp;sourceID=5","")</f>
        <v/>
      </c>
      <c r="P382" s="4" t="str">
        <f>HYPERLINK("http://141.218.60.56/~jnz1568/getInfo.php?workbook=08_06.xlsx&amp;sheet=A0&amp;row=382&amp;col=16&amp;number=&amp;sourceID=5","")</f>
        <v/>
      </c>
      <c r="Q382" s="4" t="str">
        <f>HYPERLINK("http://141.218.60.56/~jnz1568/getInfo.php?workbook=08_06.xlsx&amp;sheet=A0&amp;row=382&amp;col=17&amp;number=&amp;sourceID=6","")</f>
        <v/>
      </c>
    </row>
    <row r="383" spans="1:17">
      <c r="A383" s="3">
        <v>8</v>
      </c>
      <c r="B383" s="3">
        <v>6</v>
      </c>
      <c r="C383" s="3">
        <v>44</v>
      </c>
      <c r="D383" s="3">
        <v>20</v>
      </c>
      <c r="E383" s="3">
        <f>((1/(INDEX(E0!J$4:J$49,C383,1)-INDEX(E0!J$4:J$49,D383,1))))*100000000</f>
        <v>0</v>
      </c>
      <c r="F383" s="4" t="str">
        <f>HYPERLINK("http://141.218.60.56/~jnz1568/getInfo.php?workbook=08_06.xlsx&amp;sheet=A0&amp;row=383&amp;col=6&amp;number=815.12&amp;sourceID=3","815.12")</f>
        <v>815.12</v>
      </c>
      <c r="G383" s="4" t="str">
        <f>HYPERLINK("http://141.218.60.56/~jnz1568/getInfo.php?workbook=08_06.xlsx&amp;sheet=A0&amp;row=383&amp;col=7&amp;number=&amp;sourceID=3","")</f>
        <v/>
      </c>
      <c r="H383" s="4" t="str">
        <f>HYPERLINK("http://141.218.60.56/~jnz1568/getInfo.php?workbook=08_06.xlsx&amp;sheet=A0&amp;row=383&amp;col=8&amp;number=&amp;sourceID=3","")</f>
        <v/>
      </c>
      <c r="I383" s="4" t="str">
        <f>HYPERLINK("http://141.218.60.56/~jnz1568/getInfo.php?workbook=08_06.xlsx&amp;sheet=A0&amp;row=383&amp;col=9&amp;number=&amp;sourceID=3","")</f>
        <v/>
      </c>
      <c r="J383" s="4" t="str">
        <f>HYPERLINK("http://141.218.60.56/~jnz1568/getInfo.php?workbook=08_06.xlsx&amp;sheet=A0&amp;row=383&amp;col=10&amp;number=848.64&amp;sourceID=3","848.64")</f>
        <v>848.64</v>
      </c>
      <c r="K383" s="4" t="str">
        <f>HYPERLINK("http://141.218.60.56/~jnz1568/getInfo.php?workbook=08_06.xlsx&amp;sheet=A0&amp;row=383&amp;col=11&amp;number=&amp;sourceID=3","")</f>
        <v/>
      </c>
      <c r="L383" s="4" t="str">
        <f>HYPERLINK("http://141.218.60.56/~jnz1568/getInfo.php?workbook=08_06.xlsx&amp;sheet=A0&amp;row=383&amp;col=12&amp;number=&amp;sourceID=3","")</f>
        <v/>
      </c>
      <c r="M383" s="4" t="str">
        <f>HYPERLINK("http://141.218.60.56/~jnz1568/getInfo.php?workbook=08_06.xlsx&amp;sheet=A0&amp;row=383&amp;col=13&amp;number=&amp;sourceID=3","")</f>
        <v/>
      </c>
      <c r="N383" s="4" t="str">
        <f>HYPERLINK("http://141.218.60.56/~jnz1568/getInfo.php?workbook=08_06.xlsx&amp;sheet=A0&amp;row=383&amp;col=14&amp;number=327.9&amp;sourceID=7","327.9")</f>
        <v>327.9</v>
      </c>
      <c r="O383" s="4" t="str">
        <f>HYPERLINK("http://141.218.60.56/~jnz1568/getInfo.php?workbook=08_06.xlsx&amp;sheet=A0&amp;row=383&amp;col=15&amp;number=&amp;sourceID=5","")</f>
        <v/>
      </c>
      <c r="P383" s="4" t="str">
        <f>HYPERLINK("http://141.218.60.56/~jnz1568/getInfo.php?workbook=08_06.xlsx&amp;sheet=A0&amp;row=383&amp;col=16&amp;number=&amp;sourceID=5","")</f>
        <v/>
      </c>
      <c r="Q383" s="4" t="str">
        <f>HYPERLINK("http://141.218.60.56/~jnz1568/getInfo.php?workbook=08_06.xlsx&amp;sheet=A0&amp;row=383&amp;col=17&amp;number=&amp;sourceID=6","")</f>
        <v/>
      </c>
    </row>
    <row r="384" spans="1:17">
      <c r="A384" s="3">
        <v>8</v>
      </c>
      <c r="B384" s="3">
        <v>6</v>
      </c>
      <c r="C384" s="3">
        <v>44</v>
      </c>
      <c r="D384" s="3">
        <v>25</v>
      </c>
      <c r="E384" s="3">
        <f>((1/(INDEX(E0!J$4:J$49,C384,1)-INDEX(E0!J$4:J$49,D384,1))))*100000000</f>
        <v>0</v>
      </c>
      <c r="F384" s="4" t="str">
        <f>HYPERLINK("http://141.218.60.56/~jnz1568/getInfo.php?workbook=08_06.xlsx&amp;sheet=A0&amp;row=384&amp;col=6&amp;number=46595&amp;sourceID=3","46595")</f>
        <v>46595</v>
      </c>
      <c r="G384" s="4" t="str">
        <f>HYPERLINK("http://141.218.60.56/~jnz1568/getInfo.php?workbook=08_06.xlsx&amp;sheet=A0&amp;row=384&amp;col=7&amp;number=&amp;sourceID=3","")</f>
        <v/>
      </c>
      <c r="H384" s="4" t="str">
        <f>HYPERLINK("http://141.218.60.56/~jnz1568/getInfo.php?workbook=08_06.xlsx&amp;sheet=A0&amp;row=384&amp;col=8&amp;number=&amp;sourceID=3","")</f>
        <v/>
      </c>
      <c r="I384" s="4" t="str">
        <f>HYPERLINK("http://141.218.60.56/~jnz1568/getInfo.php?workbook=08_06.xlsx&amp;sheet=A0&amp;row=384&amp;col=9&amp;number=&amp;sourceID=3","")</f>
        <v/>
      </c>
      <c r="J384" s="4" t="str">
        <f>HYPERLINK("http://141.218.60.56/~jnz1568/getInfo.php?workbook=08_06.xlsx&amp;sheet=A0&amp;row=384&amp;col=10&amp;number=46813&amp;sourceID=3","46813")</f>
        <v>46813</v>
      </c>
      <c r="K384" s="4" t="str">
        <f>HYPERLINK("http://141.218.60.56/~jnz1568/getInfo.php?workbook=08_06.xlsx&amp;sheet=A0&amp;row=384&amp;col=11&amp;number=&amp;sourceID=3","")</f>
        <v/>
      </c>
      <c r="L384" s="4" t="str">
        <f>HYPERLINK("http://141.218.60.56/~jnz1568/getInfo.php?workbook=08_06.xlsx&amp;sheet=A0&amp;row=384&amp;col=12&amp;number=&amp;sourceID=3","")</f>
        <v/>
      </c>
      <c r="M384" s="4" t="str">
        <f>HYPERLINK("http://141.218.60.56/~jnz1568/getInfo.php?workbook=08_06.xlsx&amp;sheet=A0&amp;row=384&amp;col=13&amp;number=&amp;sourceID=3","")</f>
        <v/>
      </c>
      <c r="N384" s="4" t="str">
        <f>HYPERLINK("http://141.218.60.56/~jnz1568/getInfo.php?workbook=08_06.xlsx&amp;sheet=A0&amp;row=384&amp;col=14&amp;number=9271&amp;sourceID=7","9271")</f>
        <v>9271</v>
      </c>
      <c r="O384" s="4" t="str">
        <f>HYPERLINK("http://141.218.60.56/~jnz1568/getInfo.php?workbook=08_06.xlsx&amp;sheet=A0&amp;row=384&amp;col=15&amp;number=&amp;sourceID=5","")</f>
        <v/>
      </c>
      <c r="P384" s="4" t="str">
        <f>HYPERLINK("http://141.218.60.56/~jnz1568/getInfo.php?workbook=08_06.xlsx&amp;sheet=A0&amp;row=384&amp;col=16&amp;number=&amp;sourceID=5","")</f>
        <v/>
      </c>
      <c r="Q384" s="4" t="str">
        <f>HYPERLINK("http://141.218.60.56/~jnz1568/getInfo.php?workbook=08_06.xlsx&amp;sheet=A0&amp;row=384&amp;col=17&amp;number=&amp;sourceID=6","")</f>
        <v/>
      </c>
    </row>
    <row r="385" spans="1:17">
      <c r="A385" s="3">
        <v>8</v>
      </c>
      <c r="B385" s="3">
        <v>6</v>
      </c>
      <c r="C385" s="3">
        <v>44</v>
      </c>
      <c r="D385" s="3">
        <v>26</v>
      </c>
      <c r="E385" s="3">
        <f>((1/(INDEX(E0!J$4:J$49,C385,1)-INDEX(E0!J$4:J$49,D385,1))))*100000000</f>
        <v>0</v>
      </c>
      <c r="F385" s="4" t="str">
        <f>HYPERLINK("http://141.218.60.56/~jnz1568/getInfo.php?workbook=08_06.xlsx&amp;sheet=A0&amp;row=385&amp;col=6&amp;number=7547.3&amp;sourceID=3","7547.3")</f>
        <v>7547.3</v>
      </c>
      <c r="G385" s="4" t="str">
        <f>HYPERLINK("http://141.218.60.56/~jnz1568/getInfo.php?workbook=08_06.xlsx&amp;sheet=A0&amp;row=385&amp;col=7&amp;number=&amp;sourceID=3","")</f>
        <v/>
      </c>
      <c r="H385" s="4" t="str">
        <f>HYPERLINK("http://141.218.60.56/~jnz1568/getInfo.php?workbook=08_06.xlsx&amp;sheet=A0&amp;row=385&amp;col=8&amp;number=&amp;sourceID=3","")</f>
        <v/>
      </c>
      <c r="I385" s="4" t="str">
        <f>HYPERLINK("http://141.218.60.56/~jnz1568/getInfo.php?workbook=08_06.xlsx&amp;sheet=A0&amp;row=385&amp;col=9&amp;number=&amp;sourceID=3","")</f>
        <v/>
      </c>
      <c r="J385" s="4" t="str">
        <f>HYPERLINK("http://141.218.60.56/~jnz1568/getInfo.php?workbook=08_06.xlsx&amp;sheet=A0&amp;row=385&amp;col=10&amp;number=7175.2&amp;sourceID=3","7175.2")</f>
        <v>7175.2</v>
      </c>
      <c r="K385" s="4" t="str">
        <f>HYPERLINK("http://141.218.60.56/~jnz1568/getInfo.php?workbook=08_06.xlsx&amp;sheet=A0&amp;row=385&amp;col=11&amp;number=&amp;sourceID=3","")</f>
        <v/>
      </c>
      <c r="L385" s="4" t="str">
        <f>HYPERLINK("http://141.218.60.56/~jnz1568/getInfo.php?workbook=08_06.xlsx&amp;sheet=A0&amp;row=385&amp;col=12&amp;number=&amp;sourceID=3","")</f>
        <v/>
      </c>
      <c r="M385" s="4" t="str">
        <f>HYPERLINK("http://141.218.60.56/~jnz1568/getInfo.php?workbook=08_06.xlsx&amp;sheet=A0&amp;row=385&amp;col=13&amp;number=&amp;sourceID=3","")</f>
        <v/>
      </c>
      <c r="N385" s="4" t="str">
        <f>HYPERLINK("http://141.218.60.56/~jnz1568/getInfo.php?workbook=08_06.xlsx&amp;sheet=A0&amp;row=385&amp;col=14&amp;number=1800&amp;sourceID=7","1800")</f>
        <v>1800</v>
      </c>
      <c r="O385" s="4" t="str">
        <f>HYPERLINK("http://141.218.60.56/~jnz1568/getInfo.php?workbook=08_06.xlsx&amp;sheet=A0&amp;row=385&amp;col=15&amp;number=&amp;sourceID=5","")</f>
        <v/>
      </c>
      <c r="P385" s="4" t="str">
        <f>HYPERLINK("http://141.218.60.56/~jnz1568/getInfo.php?workbook=08_06.xlsx&amp;sheet=A0&amp;row=385&amp;col=16&amp;number=&amp;sourceID=5","")</f>
        <v/>
      </c>
      <c r="Q385" s="4" t="str">
        <f>HYPERLINK("http://141.218.60.56/~jnz1568/getInfo.php?workbook=08_06.xlsx&amp;sheet=A0&amp;row=385&amp;col=17&amp;number=&amp;sourceID=6","")</f>
        <v/>
      </c>
    </row>
    <row r="386" spans="1:17">
      <c r="A386" s="3">
        <v>8</v>
      </c>
      <c r="B386" s="3">
        <v>6</v>
      </c>
      <c r="C386" s="3">
        <v>44</v>
      </c>
      <c r="D386" s="3">
        <v>28</v>
      </c>
      <c r="E386" s="3">
        <f>((1/(INDEX(E0!J$4:J$49,C386,1)-INDEX(E0!J$4:J$49,D386,1))))*100000000</f>
        <v>0</v>
      </c>
      <c r="F386" s="4" t="str">
        <f>HYPERLINK("http://141.218.60.56/~jnz1568/getInfo.php?workbook=08_06.xlsx&amp;sheet=A0&amp;row=386&amp;col=6&amp;number=311650&amp;sourceID=3","311650")</f>
        <v>311650</v>
      </c>
      <c r="G386" s="4" t="str">
        <f>HYPERLINK("http://141.218.60.56/~jnz1568/getInfo.php?workbook=08_06.xlsx&amp;sheet=A0&amp;row=386&amp;col=7&amp;number=&amp;sourceID=3","")</f>
        <v/>
      </c>
      <c r="H386" s="4" t="str">
        <f>HYPERLINK("http://141.218.60.56/~jnz1568/getInfo.php?workbook=08_06.xlsx&amp;sheet=A0&amp;row=386&amp;col=8&amp;number=&amp;sourceID=3","")</f>
        <v/>
      </c>
      <c r="I386" s="4" t="str">
        <f>HYPERLINK("http://141.218.60.56/~jnz1568/getInfo.php?workbook=08_06.xlsx&amp;sheet=A0&amp;row=386&amp;col=9&amp;number=&amp;sourceID=3","")</f>
        <v/>
      </c>
      <c r="J386" s="4" t="str">
        <f>HYPERLINK("http://141.218.60.56/~jnz1568/getInfo.php?workbook=08_06.xlsx&amp;sheet=A0&amp;row=386&amp;col=10&amp;number=508170&amp;sourceID=3","508170")</f>
        <v>508170</v>
      </c>
      <c r="K386" s="4" t="str">
        <f>HYPERLINK("http://141.218.60.56/~jnz1568/getInfo.php?workbook=08_06.xlsx&amp;sheet=A0&amp;row=386&amp;col=11&amp;number=&amp;sourceID=3","")</f>
        <v/>
      </c>
      <c r="L386" s="4" t="str">
        <f>HYPERLINK("http://141.218.60.56/~jnz1568/getInfo.php?workbook=08_06.xlsx&amp;sheet=A0&amp;row=386&amp;col=12&amp;number=&amp;sourceID=3","")</f>
        <v/>
      </c>
      <c r="M386" s="4" t="str">
        <f>HYPERLINK("http://141.218.60.56/~jnz1568/getInfo.php?workbook=08_06.xlsx&amp;sheet=A0&amp;row=386&amp;col=13&amp;number=&amp;sourceID=3","")</f>
        <v/>
      </c>
      <c r="N386" s="4" t="str">
        <f>HYPERLINK("http://141.218.60.56/~jnz1568/getInfo.php?workbook=08_06.xlsx&amp;sheet=A0&amp;row=386&amp;col=14&amp;number=505300&amp;sourceID=7","505300")</f>
        <v>505300</v>
      </c>
      <c r="O386" s="4" t="str">
        <f>HYPERLINK("http://141.218.60.56/~jnz1568/getInfo.php?workbook=08_06.xlsx&amp;sheet=A0&amp;row=386&amp;col=15&amp;number=&amp;sourceID=5","")</f>
        <v/>
      </c>
      <c r="P386" s="4" t="str">
        <f>HYPERLINK("http://141.218.60.56/~jnz1568/getInfo.php?workbook=08_06.xlsx&amp;sheet=A0&amp;row=386&amp;col=16&amp;number=&amp;sourceID=5","")</f>
        <v/>
      </c>
      <c r="Q386" s="4" t="str">
        <f>HYPERLINK("http://141.218.60.56/~jnz1568/getInfo.php?workbook=08_06.xlsx&amp;sheet=A0&amp;row=386&amp;col=17&amp;number=&amp;sourceID=6","")</f>
        <v/>
      </c>
    </row>
    <row r="387" spans="1:17">
      <c r="A387" s="3">
        <v>8</v>
      </c>
      <c r="B387" s="3">
        <v>6</v>
      </c>
      <c r="C387" s="3">
        <v>44</v>
      </c>
      <c r="D387" s="3">
        <v>31</v>
      </c>
      <c r="E387" s="3">
        <f>((1/(INDEX(E0!J$4:J$49,C387,1)-INDEX(E0!J$4:J$49,D387,1))))*100000000</f>
        <v>0</v>
      </c>
      <c r="F387" s="4" t="str">
        <f>HYPERLINK("http://141.218.60.56/~jnz1568/getInfo.php?workbook=08_06.xlsx&amp;sheet=A0&amp;row=387&amp;col=6&amp;number=1686.6&amp;sourceID=3","1686.6")</f>
        <v>1686.6</v>
      </c>
      <c r="G387" s="4" t="str">
        <f>HYPERLINK("http://141.218.60.56/~jnz1568/getInfo.php?workbook=08_06.xlsx&amp;sheet=A0&amp;row=387&amp;col=7&amp;number=&amp;sourceID=3","")</f>
        <v/>
      </c>
      <c r="H387" s="4" t="str">
        <f>HYPERLINK("http://141.218.60.56/~jnz1568/getInfo.php?workbook=08_06.xlsx&amp;sheet=A0&amp;row=387&amp;col=8&amp;number=&amp;sourceID=3","")</f>
        <v/>
      </c>
      <c r="I387" s="4" t="str">
        <f>HYPERLINK("http://141.218.60.56/~jnz1568/getInfo.php?workbook=08_06.xlsx&amp;sheet=A0&amp;row=387&amp;col=9&amp;number=&amp;sourceID=3","")</f>
        <v/>
      </c>
      <c r="J387" s="4" t="str">
        <f>HYPERLINK("http://141.218.60.56/~jnz1568/getInfo.php?workbook=08_06.xlsx&amp;sheet=A0&amp;row=387&amp;col=10&amp;number=1795.1&amp;sourceID=3","1795.1")</f>
        <v>1795.1</v>
      </c>
      <c r="K387" s="4" t="str">
        <f>HYPERLINK("http://141.218.60.56/~jnz1568/getInfo.php?workbook=08_06.xlsx&amp;sheet=A0&amp;row=387&amp;col=11&amp;number=&amp;sourceID=3","")</f>
        <v/>
      </c>
      <c r="L387" s="4" t="str">
        <f>HYPERLINK("http://141.218.60.56/~jnz1568/getInfo.php?workbook=08_06.xlsx&amp;sheet=A0&amp;row=387&amp;col=12&amp;number=&amp;sourceID=3","")</f>
        <v/>
      </c>
      <c r="M387" s="4" t="str">
        <f>HYPERLINK("http://141.218.60.56/~jnz1568/getInfo.php?workbook=08_06.xlsx&amp;sheet=A0&amp;row=387&amp;col=13&amp;number=&amp;sourceID=3","")</f>
        <v/>
      </c>
      <c r="N387" s="4" t="str">
        <f>HYPERLINK("http://141.218.60.56/~jnz1568/getInfo.php?workbook=08_06.xlsx&amp;sheet=A0&amp;row=387&amp;col=14&amp;number=200.1&amp;sourceID=7","200.1")</f>
        <v>200.1</v>
      </c>
      <c r="O387" s="4" t="str">
        <f>HYPERLINK("http://141.218.60.56/~jnz1568/getInfo.php?workbook=08_06.xlsx&amp;sheet=A0&amp;row=387&amp;col=15&amp;number=&amp;sourceID=5","")</f>
        <v/>
      </c>
      <c r="P387" s="4" t="str">
        <f>HYPERLINK("http://141.218.60.56/~jnz1568/getInfo.php?workbook=08_06.xlsx&amp;sheet=A0&amp;row=387&amp;col=16&amp;number=&amp;sourceID=5","")</f>
        <v/>
      </c>
      <c r="Q387" s="4" t="str">
        <f>HYPERLINK("http://141.218.60.56/~jnz1568/getInfo.php?workbook=08_06.xlsx&amp;sheet=A0&amp;row=387&amp;col=17&amp;number=&amp;sourceID=6","")</f>
        <v/>
      </c>
    </row>
    <row r="388" spans="1:17">
      <c r="A388" s="3">
        <v>8</v>
      </c>
      <c r="B388" s="3">
        <v>6</v>
      </c>
      <c r="C388" s="3">
        <v>44</v>
      </c>
      <c r="D388" s="3">
        <v>32</v>
      </c>
      <c r="E388" s="3">
        <f>((1/(INDEX(E0!J$4:J$49,C388,1)-INDEX(E0!J$4:J$49,D388,1))))*100000000</f>
        <v>0</v>
      </c>
      <c r="F388" s="4" t="str">
        <f>HYPERLINK("http://141.218.60.56/~jnz1568/getInfo.php?workbook=08_06.xlsx&amp;sheet=A0&amp;row=388&amp;col=6&amp;number=127720000&amp;sourceID=3","127720000")</f>
        <v>127720000</v>
      </c>
      <c r="G388" s="4" t="str">
        <f>HYPERLINK("http://141.218.60.56/~jnz1568/getInfo.php?workbook=08_06.xlsx&amp;sheet=A0&amp;row=388&amp;col=7&amp;number=&amp;sourceID=3","")</f>
        <v/>
      </c>
      <c r="H388" s="4" t="str">
        <f>HYPERLINK("http://141.218.60.56/~jnz1568/getInfo.php?workbook=08_06.xlsx&amp;sheet=A0&amp;row=388&amp;col=8&amp;number=&amp;sourceID=3","")</f>
        <v/>
      </c>
      <c r="I388" s="4" t="str">
        <f>HYPERLINK("http://141.218.60.56/~jnz1568/getInfo.php?workbook=08_06.xlsx&amp;sheet=A0&amp;row=388&amp;col=9&amp;number=&amp;sourceID=3","")</f>
        <v/>
      </c>
      <c r="J388" s="4" t="str">
        <f>HYPERLINK("http://141.218.60.56/~jnz1568/getInfo.php?workbook=08_06.xlsx&amp;sheet=A0&amp;row=388&amp;col=10&amp;number=126120000&amp;sourceID=3","126120000")</f>
        <v>126120000</v>
      </c>
      <c r="K388" s="4" t="str">
        <f>HYPERLINK("http://141.218.60.56/~jnz1568/getInfo.php?workbook=08_06.xlsx&amp;sheet=A0&amp;row=388&amp;col=11&amp;number=&amp;sourceID=3","")</f>
        <v/>
      </c>
      <c r="L388" s="4" t="str">
        <f>HYPERLINK("http://141.218.60.56/~jnz1568/getInfo.php?workbook=08_06.xlsx&amp;sheet=A0&amp;row=388&amp;col=12&amp;number=&amp;sourceID=3","")</f>
        <v/>
      </c>
      <c r="M388" s="4" t="str">
        <f>HYPERLINK("http://141.218.60.56/~jnz1568/getInfo.php?workbook=08_06.xlsx&amp;sheet=A0&amp;row=388&amp;col=13&amp;number=&amp;sourceID=3","")</f>
        <v/>
      </c>
      <c r="N388" s="4" t="str">
        <f>HYPERLINK("http://141.218.60.56/~jnz1568/getInfo.php?workbook=08_06.xlsx&amp;sheet=A0&amp;row=388&amp;col=14&amp;number=88490000&amp;sourceID=7","88490000")</f>
        <v>88490000</v>
      </c>
      <c r="O388" s="4" t="str">
        <f>HYPERLINK("http://141.218.60.56/~jnz1568/getInfo.php?workbook=08_06.xlsx&amp;sheet=A0&amp;row=388&amp;col=15&amp;number=&amp;sourceID=5","")</f>
        <v/>
      </c>
      <c r="P388" s="4" t="str">
        <f>HYPERLINK("http://141.218.60.56/~jnz1568/getInfo.php?workbook=08_06.xlsx&amp;sheet=A0&amp;row=388&amp;col=16&amp;number=&amp;sourceID=5","")</f>
        <v/>
      </c>
      <c r="Q388" s="4" t="str">
        <f>HYPERLINK("http://141.218.60.56/~jnz1568/getInfo.php?workbook=08_06.xlsx&amp;sheet=A0&amp;row=388&amp;col=17&amp;number=&amp;sourceID=6","")</f>
        <v/>
      </c>
    </row>
    <row r="389" spans="1:17">
      <c r="A389" s="3">
        <v>8</v>
      </c>
      <c r="B389" s="3">
        <v>6</v>
      </c>
      <c r="C389" s="3">
        <v>45</v>
      </c>
      <c r="D389" s="3">
        <v>1</v>
      </c>
      <c r="E389" s="3">
        <f>((1/(INDEX(E0!J$4:J$49,C389,1)-INDEX(E0!J$4:J$49,D389,1))))*100000000</f>
        <v>0</v>
      </c>
      <c r="F389" s="4" t="str">
        <f>HYPERLINK("http://141.218.60.56/~jnz1568/getInfo.php?workbook=08_06.xlsx&amp;sheet=A0&amp;row=389&amp;col=6&amp;number=15678000&amp;sourceID=3","15678000")</f>
        <v>15678000</v>
      </c>
      <c r="G389" s="4" t="str">
        <f>HYPERLINK("http://141.218.60.56/~jnz1568/getInfo.php?workbook=08_06.xlsx&amp;sheet=A0&amp;row=389&amp;col=7&amp;number=&amp;sourceID=3","")</f>
        <v/>
      </c>
      <c r="H389" s="4" t="str">
        <f>HYPERLINK("http://141.218.60.56/~jnz1568/getInfo.php?workbook=08_06.xlsx&amp;sheet=A0&amp;row=389&amp;col=8&amp;number=&amp;sourceID=3","")</f>
        <v/>
      </c>
      <c r="I389" s="4" t="str">
        <f>HYPERLINK("http://141.218.60.56/~jnz1568/getInfo.php?workbook=08_06.xlsx&amp;sheet=A0&amp;row=389&amp;col=9&amp;number=&amp;sourceID=3","")</f>
        <v/>
      </c>
      <c r="J389" s="4" t="str">
        <f>HYPERLINK("http://141.218.60.56/~jnz1568/getInfo.php?workbook=08_06.xlsx&amp;sheet=A0&amp;row=389&amp;col=10&amp;number=15462000&amp;sourceID=3","15462000")</f>
        <v>15462000</v>
      </c>
      <c r="K389" s="4" t="str">
        <f>HYPERLINK("http://141.218.60.56/~jnz1568/getInfo.php?workbook=08_06.xlsx&amp;sheet=A0&amp;row=389&amp;col=11&amp;number=&amp;sourceID=3","")</f>
        <v/>
      </c>
      <c r="L389" s="4" t="str">
        <f>HYPERLINK("http://141.218.60.56/~jnz1568/getInfo.php?workbook=08_06.xlsx&amp;sheet=A0&amp;row=389&amp;col=12&amp;number=&amp;sourceID=3","")</f>
        <v/>
      </c>
      <c r="M389" s="4" t="str">
        <f>HYPERLINK("http://141.218.60.56/~jnz1568/getInfo.php?workbook=08_06.xlsx&amp;sheet=A0&amp;row=389&amp;col=13&amp;number=&amp;sourceID=3","")</f>
        <v/>
      </c>
      <c r="N389" s="4" t="str">
        <f>HYPERLINK("http://141.218.60.56/~jnz1568/getInfo.php?workbook=08_06.xlsx&amp;sheet=A0&amp;row=389&amp;col=14&amp;number=3993000&amp;sourceID=7","3993000")</f>
        <v>3993000</v>
      </c>
      <c r="O389" s="4" t="str">
        <f>HYPERLINK("http://141.218.60.56/~jnz1568/getInfo.php?workbook=08_06.xlsx&amp;sheet=A0&amp;row=389&amp;col=15&amp;number=&amp;sourceID=5","")</f>
        <v/>
      </c>
      <c r="P389" s="4" t="str">
        <f>HYPERLINK("http://141.218.60.56/~jnz1568/getInfo.php?workbook=08_06.xlsx&amp;sheet=A0&amp;row=389&amp;col=16&amp;number=&amp;sourceID=5","")</f>
        <v/>
      </c>
      <c r="Q389" s="4" t="str">
        <f>HYPERLINK("http://141.218.60.56/~jnz1568/getInfo.php?workbook=08_06.xlsx&amp;sheet=A0&amp;row=389&amp;col=17&amp;number=&amp;sourceID=6","")</f>
        <v/>
      </c>
    </row>
    <row r="390" spans="1:17">
      <c r="A390" s="3">
        <v>8</v>
      </c>
      <c r="B390" s="3">
        <v>6</v>
      </c>
      <c r="C390" s="3">
        <v>45</v>
      </c>
      <c r="D390" s="3">
        <v>2</v>
      </c>
      <c r="E390" s="3">
        <f>((1/(INDEX(E0!J$4:J$49,C390,1)-INDEX(E0!J$4:J$49,D390,1))))*100000000</f>
        <v>0</v>
      </c>
      <c r="F390" s="4" t="str">
        <f>HYPERLINK("http://141.218.60.56/~jnz1568/getInfo.php?workbook=08_06.xlsx&amp;sheet=A0&amp;row=390&amp;col=6&amp;number=1169900&amp;sourceID=3","1169900")</f>
        <v>1169900</v>
      </c>
      <c r="G390" s="4" t="str">
        <f>HYPERLINK("http://141.218.60.56/~jnz1568/getInfo.php?workbook=08_06.xlsx&amp;sheet=A0&amp;row=390&amp;col=7&amp;number=&amp;sourceID=3","")</f>
        <v/>
      </c>
      <c r="H390" s="4" t="str">
        <f>HYPERLINK("http://141.218.60.56/~jnz1568/getInfo.php?workbook=08_06.xlsx&amp;sheet=A0&amp;row=390&amp;col=8&amp;number=&amp;sourceID=3","")</f>
        <v/>
      </c>
      <c r="I390" s="4" t="str">
        <f>HYPERLINK("http://141.218.60.56/~jnz1568/getInfo.php?workbook=08_06.xlsx&amp;sheet=A0&amp;row=390&amp;col=9&amp;number=&amp;sourceID=3","")</f>
        <v/>
      </c>
      <c r="J390" s="4" t="str">
        <f>HYPERLINK("http://141.218.60.56/~jnz1568/getInfo.php?workbook=08_06.xlsx&amp;sheet=A0&amp;row=390&amp;col=10&amp;number=1241500&amp;sourceID=3","1241500")</f>
        <v>1241500</v>
      </c>
      <c r="K390" s="4" t="str">
        <f>HYPERLINK("http://141.218.60.56/~jnz1568/getInfo.php?workbook=08_06.xlsx&amp;sheet=A0&amp;row=390&amp;col=11&amp;number=&amp;sourceID=3","")</f>
        <v/>
      </c>
      <c r="L390" s="4" t="str">
        <f>HYPERLINK("http://141.218.60.56/~jnz1568/getInfo.php?workbook=08_06.xlsx&amp;sheet=A0&amp;row=390&amp;col=12&amp;number=&amp;sourceID=3","")</f>
        <v/>
      </c>
      <c r="M390" s="4" t="str">
        <f>HYPERLINK("http://141.218.60.56/~jnz1568/getInfo.php?workbook=08_06.xlsx&amp;sheet=A0&amp;row=390&amp;col=13&amp;number=&amp;sourceID=3","")</f>
        <v/>
      </c>
      <c r="N390" s="4" t="str">
        <f>HYPERLINK("http://141.218.60.56/~jnz1568/getInfo.php?workbook=08_06.xlsx&amp;sheet=A0&amp;row=390&amp;col=14&amp;number=681100&amp;sourceID=7","681100")</f>
        <v>681100</v>
      </c>
      <c r="O390" s="4" t="str">
        <f>HYPERLINK("http://141.218.60.56/~jnz1568/getInfo.php?workbook=08_06.xlsx&amp;sheet=A0&amp;row=390&amp;col=15&amp;number=&amp;sourceID=5","")</f>
        <v/>
      </c>
      <c r="P390" s="4" t="str">
        <f>HYPERLINK("http://141.218.60.56/~jnz1568/getInfo.php?workbook=08_06.xlsx&amp;sheet=A0&amp;row=390&amp;col=16&amp;number=&amp;sourceID=5","")</f>
        <v/>
      </c>
      <c r="Q390" s="4" t="str">
        <f>HYPERLINK("http://141.218.60.56/~jnz1568/getInfo.php?workbook=08_06.xlsx&amp;sheet=A0&amp;row=390&amp;col=17&amp;number=&amp;sourceID=6","")</f>
        <v/>
      </c>
    </row>
    <row r="391" spans="1:17">
      <c r="A391" s="3">
        <v>8</v>
      </c>
      <c r="B391" s="3">
        <v>6</v>
      </c>
      <c r="C391" s="3">
        <v>45</v>
      </c>
      <c r="D391" s="3">
        <v>3</v>
      </c>
      <c r="E391" s="3">
        <f>((1/(INDEX(E0!J$4:J$49,C391,1)-INDEX(E0!J$4:J$49,D391,1))))*100000000</f>
        <v>0</v>
      </c>
      <c r="F391" s="4" t="str">
        <f>HYPERLINK("http://141.218.60.56/~jnz1568/getInfo.php?workbook=08_06.xlsx&amp;sheet=A0&amp;row=391&amp;col=6&amp;number=1371000&amp;sourceID=3","1371000")</f>
        <v>1371000</v>
      </c>
      <c r="G391" s="4" t="str">
        <f>HYPERLINK("http://141.218.60.56/~jnz1568/getInfo.php?workbook=08_06.xlsx&amp;sheet=A0&amp;row=391&amp;col=7&amp;number=&amp;sourceID=3","")</f>
        <v/>
      </c>
      <c r="H391" s="4" t="str">
        <f>HYPERLINK("http://141.218.60.56/~jnz1568/getInfo.php?workbook=08_06.xlsx&amp;sheet=A0&amp;row=391&amp;col=8&amp;number=&amp;sourceID=3","")</f>
        <v/>
      </c>
      <c r="I391" s="4" t="str">
        <f>HYPERLINK("http://141.218.60.56/~jnz1568/getInfo.php?workbook=08_06.xlsx&amp;sheet=A0&amp;row=391&amp;col=9&amp;number=&amp;sourceID=3","")</f>
        <v/>
      </c>
      <c r="J391" s="4" t="str">
        <f>HYPERLINK("http://141.218.60.56/~jnz1568/getInfo.php?workbook=08_06.xlsx&amp;sheet=A0&amp;row=391&amp;col=10&amp;number=1345800&amp;sourceID=3","1345800")</f>
        <v>1345800</v>
      </c>
      <c r="K391" s="4" t="str">
        <f>HYPERLINK("http://141.218.60.56/~jnz1568/getInfo.php?workbook=08_06.xlsx&amp;sheet=A0&amp;row=391&amp;col=11&amp;number=&amp;sourceID=3","")</f>
        <v/>
      </c>
      <c r="L391" s="4" t="str">
        <f>HYPERLINK("http://141.218.60.56/~jnz1568/getInfo.php?workbook=08_06.xlsx&amp;sheet=A0&amp;row=391&amp;col=12&amp;number=&amp;sourceID=3","")</f>
        <v/>
      </c>
      <c r="M391" s="4" t="str">
        <f>HYPERLINK("http://141.218.60.56/~jnz1568/getInfo.php?workbook=08_06.xlsx&amp;sheet=A0&amp;row=391&amp;col=13&amp;number=&amp;sourceID=3","")</f>
        <v/>
      </c>
      <c r="N391" s="4" t="str">
        <f>HYPERLINK("http://141.218.60.56/~jnz1568/getInfo.php?workbook=08_06.xlsx&amp;sheet=A0&amp;row=391&amp;col=14&amp;number=170800&amp;sourceID=7","170800")</f>
        <v>170800</v>
      </c>
      <c r="O391" s="4" t="str">
        <f>HYPERLINK("http://141.218.60.56/~jnz1568/getInfo.php?workbook=08_06.xlsx&amp;sheet=A0&amp;row=391&amp;col=15&amp;number=&amp;sourceID=5","")</f>
        <v/>
      </c>
      <c r="P391" s="4" t="str">
        <f>HYPERLINK("http://141.218.60.56/~jnz1568/getInfo.php?workbook=08_06.xlsx&amp;sheet=A0&amp;row=391&amp;col=16&amp;number=&amp;sourceID=5","")</f>
        <v/>
      </c>
      <c r="Q391" s="4" t="str">
        <f>HYPERLINK("http://141.218.60.56/~jnz1568/getInfo.php?workbook=08_06.xlsx&amp;sheet=A0&amp;row=391&amp;col=17&amp;number=&amp;sourceID=6","")</f>
        <v/>
      </c>
    </row>
    <row r="392" spans="1:17">
      <c r="A392" s="3">
        <v>8</v>
      </c>
      <c r="B392" s="3">
        <v>6</v>
      </c>
      <c r="C392" s="3">
        <v>45</v>
      </c>
      <c r="D392" s="3">
        <v>4</v>
      </c>
      <c r="E392" s="3">
        <f>((1/(INDEX(E0!J$4:J$49,C392,1)-INDEX(E0!J$4:J$49,D392,1))))*100000000</f>
        <v>0</v>
      </c>
      <c r="F392" s="4" t="str">
        <f>HYPERLINK("http://141.218.60.56/~jnz1568/getInfo.php?workbook=08_06.xlsx&amp;sheet=A0&amp;row=392&amp;col=6&amp;number=286240000&amp;sourceID=3","286240000")</f>
        <v>286240000</v>
      </c>
      <c r="G392" s="4" t="str">
        <f>HYPERLINK("http://141.218.60.56/~jnz1568/getInfo.php?workbook=08_06.xlsx&amp;sheet=A0&amp;row=392&amp;col=7&amp;number=&amp;sourceID=3","")</f>
        <v/>
      </c>
      <c r="H392" s="4" t="str">
        <f>HYPERLINK("http://141.218.60.56/~jnz1568/getInfo.php?workbook=08_06.xlsx&amp;sheet=A0&amp;row=392&amp;col=8&amp;number=&amp;sourceID=3","")</f>
        <v/>
      </c>
      <c r="I392" s="4" t="str">
        <f>HYPERLINK("http://141.218.60.56/~jnz1568/getInfo.php?workbook=08_06.xlsx&amp;sheet=A0&amp;row=392&amp;col=9&amp;number=&amp;sourceID=3","")</f>
        <v/>
      </c>
      <c r="J392" s="4" t="str">
        <f>HYPERLINK("http://141.218.60.56/~jnz1568/getInfo.php?workbook=08_06.xlsx&amp;sheet=A0&amp;row=392&amp;col=10&amp;number=287860000&amp;sourceID=3","287860000")</f>
        <v>287860000</v>
      </c>
      <c r="K392" s="4" t="str">
        <f>HYPERLINK("http://141.218.60.56/~jnz1568/getInfo.php?workbook=08_06.xlsx&amp;sheet=A0&amp;row=392&amp;col=11&amp;number=&amp;sourceID=3","")</f>
        <v/>
      </c>
      <c r="L392" s="4" t="str">
        <f>HYPERLINK("http://141.218.60.56/~jnz1568/getInfo.php?workbook=08_06.xlsx&amp;sheet=A0&amp;row=392&amp;col=12&amp;number=&amp;sourceID=3","")</f>
        <v/>
      </c>
      <c r="M392" s="4" t="str">
        <f>HYPERLINK("http://141.218.60.56/~jnz1568/getInfo.php?workbook=08_06.xlsx&amp;sheet=A0&amp;row=392&amp;col=13&amp;number=&amp;sourceID=3","")</f>
        <v/>
      </c>
      <c r="N392" s="4" t="str">
        <f>HYPERLINK("http://141.218.60.56/~jnz1568/getInfo.php?workbook=08_06.xlsx&amp;sheet=A0&amp;row=392&amp;col=14&amp;number=775400000&amp;sourceID=7","775400000")</f>
        <v>775400000</v>
      </c>
      <c r="O392" s="4" t="str">
        <f>HYPERLINK("http://141.218.60.56/~jnz1568/getInfo.php?workbook=08_06.xlsx&amp;sheet=A0&amp;row=392&amp;col=15&amp;number=&amp;sourceID=5","")</f>
        <v/>
      </c>
      <c r="P392" s="4" t="str">
        <f>HYPERLINK("http://141.218.60.56/~jnz1568/getInfo.php?workbook=08_06.xlsx&amp;sheet=A0&amp;row=392&amp;col=16&amp;number=&amp;sourceID=5","")</f>
        <v/>
      </c>
      <c r="Q392" s="4" t="str">
        <f>HYPERLINK("http://141.218.60.56/~jnz1568/getInfo.php?workbook=08_06.xlsx&amp;sheet=A0&amp;row=392&amp;col=17&amp;number=&amp;sourceID=6","")</f>
        <v/>
      </c>
    </row>
    <row r="393" spans="1:17">
      <c r="A393" s="3">
        <v>8</v>
      </c>
      <c r="B393" s="3">
        <v>6</v>
      </c>
      <c r="C393" s="3">
        <v>45</v>
      </c>
      <c r="D393" s="3">
        <v>5</v>
      </c>
      <c r="E393" s="3">
        <f>((1/(INDEX(E0!J$4:J$49,C393,1)-INDEX(E0!J$4:J$49,D393,1))))*100000000</f>
        <v>0</v>
      </c>
      <c r="F393" s="4" t="str">
        <f>HYPERLINK("http://141.218.60.56/~jnz1568/getInfo.php?workbook=08_06.xlsx&amp;sheet=A0&amp;row=393&amp;col=6&amp;number=11803000000&amp;sourceID=3","11803000000")</f>
        <v>11803000000</v>
      </c>
      <c r="G393" s="4" t="str">
        <f>HYPERLINK("http://141.218.60.56/~jnz1568/getInfo.php?workbook=08_06.xlsx&amp;sheet=A0&amp;row=393&amp;col=7&amp;number=&amp;sourceID=3","")</f>
        <v/>
      </c>
      <c r="H393" s="4" t="str">
        <f>HYPERLINK("http://141.218.60.56/~jnz1568/getInfo.php?workbook=08_06.xlsx&amp;sheet=A0&amp;row=393&amp;col=8&amp;number=&amp;sourceID=3","")</f>
        <v/>
      </c>
      <c r="I393" s="4" t="str">
        <f>HYPERLINK("http://141.218.60.56/~jnz1568/getInfo.php?workbook=08_06.xlsx&amp;sheet=A0&amp;row=393&amp;col=9&amp;number=&amp;sourceID=3","")</f>
        <v/>
      </c>
      <c r="J393" s="4" t="str">
        <f>HYPERLINK("http://141.218.60.56/~jnz1568/getInfo.php?workbook=08_06.xlsx&amp;sheet=A0&amp;row=393&amp;col=10&amp;number=11874000000&amp;sourceID=3","11874000000")</f>
        <v>11874000000</v>
      </c>
      <c r="K393" s="4" t="str">
        <f>HYPERLINK("http://141.218.60.56/~jnz1568/getInfo.php?workbook=08_06.xlsx&amp;sheet=A0&amp;row=393&amp;col=11&amp;number=&amp;sourceID=3","")</f>
        <v/>
      </c>
      <c r="L393" s="4" t="str">
        <f>HYPERLINK("http://141.218.60.56/~jnz1568/getInfo.php?workbook=08_06.xlsx&amp;sheet=A0&amp;row=393&amp;col=12&amp;number=&amp;sourceID=3","")</f>
        <v/>
      </c>
      <c r="M393" s="4" t="str">
        <f>HYPERLINK("http://141.218.60.56/~jnz1568/getInfo.php?workbook=08_06.xlsx&amp;sheet=A0&amp;row=393&amp;col=13&amp;number=&amp;sourceID=3","")</f>
        <v/>
      </c>
      <c r="N393" s="4" t="str">
        <f>HYPERLINK("http://141.218.60.56/~jnz1568/getInfo.php?workbook=08_06.xlsx&amp;sheet=A0&amp;row=393&amp;col=14&amp;number=15620000000&amp;sourceID=7","15620000000")</f>
        <v>15620000000</v>
      </c>
      <c r="O393" s="4" t="str">
        <f>HYPERLINK("http://141.218.60.56/~jnz1568/getInfo.php?workbook=08_06.xlsx&amp;sheet=A0&amp;row=393&amp;col=15&amp;number=&amp;sourceID=5","")</f>
        <v/>
      </c>
      <c r="P393" s="4" t="str">
        <f>HYPERLINK("http://141.218.60.56/~jnz1568/getInfo.php?workbook=08_06.xlsx&amp;sheet=A0&amp;row=393&amp;col=16&amp;number=&amp;sourceID=5","")</f>
        <v/>
      </c>
      <c r="Q393" s="4" t="str">
        <f>HYPERLINK("http://141.218.60.56/~jnz1568/getInfo.php?workbook=08_06.xlsx&amp;sheet=A0&amp;row=393&amp;col=17&amp;number=&amp;sourceID=6","")</f>
        <v/>
      </c>
    </row>
    <row r="394" spans="1:17">
      <c r="A394" s="3">
        <v>8</v>
      </c>
      <c r="B394" s="3">
        <v>6</v>
      </c>
      <c r="C394" s="3">
        <v>45</v>
      </c>
      <c r="D394" s="3">
        <v>20</v>
      </c>
      <c r="E394" s="3">
        <f>((1/(INDEX(E0!J$4:J$49,C394,1)-INDEX(E0!J$4:J$49,D394,1))))*100000000</f>
        <v>0</v>
      </c>
      <c r="F394" s="4" t="str">
        <f>HYPERLINK("http://141.218.60.56/~jnz1568/getInfo.php?workbook=08_06.xlsx&amp;sheet=A0&amp;row=394&amp;col=6&amp;number=109.6&amp;sourceID=3","109.6")</f>
        <v>109.6</v>
      </c>
      <c r="G394" s="4" t="str">
        <f>HYPERLINK("http://141.218.60.56/~jnz1568/getInfo.php?workbook=08_06.xlsx&amp;sheet=A0&amp;row=394&amp;col=7&amp;number=&amp;sourceID=3","")</f>
        <v/>
      </c>
      <c r="H394" s="4" t="str">
        <f>HYPERLINK("http://141.218.60.56/~jnz1568/getInfo.php?workbook=08_06.xlsx&amp;sheet=A0&amp;row=394&amp;col=8&amp;number=&amp;sourceID=3","")</f>
        <v/>
      </c>
      <c r="I394" s="4" t="str">
        <f>HYPERLINK("http://141.218.60.56/~jnz1568/getInfo.php?workbook=08_06.xlsx&amp;sheet=A0&amp;row=394&amp;col=9&amp;number=&amp;sourceID=3","")</f>
        <v/>
      </c>
      <c r="J394" s="4" t="str">
        <f>HYPERLINK("http://141.218.60.56/~jnz1568/getInfo.php?workbook=08_06.xlsx&amp;sheet=A0&amp;row=394&amp;col=10&amp;number=123.4&amp;sourceID=3","123.4")</f>
        <v>123.4</v>
      </c>
      <c r="K394" s="4" t="str">
        <f>HYPERLINK("http://141.218.60.56/~jnz1568/getInfo.php?workbook=08_06.xlsx&amp;sheet=A0&amp;row=394&amp;col=11&amp;number=&amp;sourceID=3","")</f>
        <v/>
      </c>
      <c r="L394" s="4" t="str">
        <f>HYPERLINK("http://141.218.60.56/~jnz1568/getInfo.php?workbook=08_06.xlsx&amp;sheet=A0&amp;row=394&amp;col=12&amp;number=&amp;sourceID=3","")</f>
        <v/>
      </c>
      <c r="M394" s="4" t="str">
        <f>HYPERLINK("http://141.218.60.56/~jnz1568/getInfo.php?workbook=08_06.xlsx&amp;sheet=A0&amp;row=394&amp;col=13&amp;number=&amp;sourceID=3","")</f>
        <v/>
      </c>
      <c r="N394" s="4" t="str">
        <f>HYPERLINK("http://141.218.60.56/~jnz1568/getInfo.php?workbook=08_06.xlsx&amp;sheet=A0&amp;row=394&amp;col=14&amp;number=45.57&amp;sourceID=7","45.57")</f>
        <v>45.57</v>
      </c>
      <c r="O394" s="4" t="str">
        <f>HYPERLINK("http://141.218.60.56/~jnz1568/getInfo.php?workbook=08_06.xlsx&amp;sheet=A0&amp;row=394&amp;col=15&amp;number=&amp;sourceID=5","")</f>
        <v/>
      </c>
      <c r="P394" s="4" t="str">
        <f>HYPERLINK("http://141.218.60.56/~jnz1568/getInfo.php?workbook=08_06.xlsx&amp;sheet=A0&amp;row=394&amp;col=16&amp;number=&amp;sourceID=5","")</f>
        <v/>
      </c>
      <c r="Q394" s="4" t="str">
        <f>HYPERLINK("http://141.218.60.56/~jnz1568/getInfo.php?workbook=08_06.xlsx&amp;sheet=A0&amp;row=394&amp;col=17&amp;number=&amp;sourceID=6","")</f>
        <v/>
      </c>
    </row>
    <row r="395" spans="1:17">
      <c r="A395" s="3">
        <v>8</v>
      </c>
      <c r="B395" s="3">
        <v>6</v>
      </c>
      <c r="C395" s="3">
        <v>45</v>
      </c>
      <c r="D395" s="3">
        <v>21</v>
      </c>
      <c r="E395" s="3">
        <f>((1/(INDEX(E0!J$4:J$49,C395,1)-INDEX(E0!J$4:J$49,D395,1))))*100000000</f>
        <v>0</v>
      </c>
      <c r="F395" s="4" t="str">
        <f>HYPERLINK("http://141.218.60.56/~jnz1568/getInfo.php?workbook=08_06.xlsx&amp;sheet=A0&amp;row=395&amp;col=6&amp;number=0.38351&amp;sourceID=3","0.38351")</f>
        <v>0.38351</v>
      </c>
      <c r="G395" s="4" t="str">
        <f>HYPERLINK("http://141.218.60.56/~jnz1568/getInfo.php?workbook=08_06.xlsx&amp;sheet=A0&amp;row=395&amp;col=7&amp;number=&amp;sourceID=3","")</f>
        <v/>
      </c>
      <c r="H395" s="4" t="str">
        <f>HYPERLINK("http://141.218.60.56/~jnz1568/getInfo.php?workbook=08_06.xlsx&amp;sheet=A0&amp;row=395&amp;col=8&amp;number=&amp;sourceID=3","")</f>
        <v/>
      </c>
      <c r="I395" s="4" t="str">
        <f>HYPERLINK("http://141.218.60.56/~jnz1568/getInfo.php?workbook=08_06.xlsx&amp;sheet=A0&amp;row=395&amp;col=9&amp;number=&amp;sourceID=3","")</f>
        <v/>
      </c>
      <c r="J395" s="4" t="str">
        <f>HYPERLINK("http://141.218.60.56/~jnz1568/getInfo.php?workbook=08_06.xlsx&amp;sheet=A0&amp;row=395&amp;col=10&amp;number=2.7565&amp;sourceID=3","2.7565")</f>
        <v>2.7565</v>
      </c>
      <c r="K395" s="4" t="str">
        <f>HYPERLINK("http://141.218.60.56/~jnz1568/getInfo.php?workbook=08_06.xlsx&amp;sheet=A0&amp;row=395&amp;col=11&amp;number=&amp;sourceID=3","")</f>
        <v/>
      </c>
      <c r="L395" s="4" t="str">
        <f>HYPERLINK("http://141.218.60.56/~jnz1568/getInfo.php?workbook=08_06.xlsx&amp;sheet=A0&amp;row=395&amp;col=12&amp;number=&amp;sourceID=3","")</f>
        <v/>
      </c>
      <c r="M395" s="4" t="str">
        <f>HYPERLINK("http://141.218.60.56/~jnz1568/getInfo.php?workbook=08_06.xlsx&amp;sheet=A0&amp;row=395&amp;col=13&amp;number=&amp;sourceID=3","")</f>
        <v/>
      </c>
      <c r="N395" s="4" t="str">
        <f>HYPERLINK("http://141.218.60.56/~jnz1568/getInfo.php?workbook=08_06.xlsx&amp;sheet=A0&amp;row=395&amp;col=14&amp;number=2063&amp;sourceID=7","2063")</f>
        <v>2063</v>
      </c>
      <c r="O395" s="4" t="str">
        <f>HYPERLINK("http://141.218.60.56/~jnz1568/getInfo.php?workbook=08_06.xlsx&amp;sheet=A0&amp;row=395&amp;col=15&amp;number=&amp;sourceID=5","")</f>
        <v/>
      </c>
      <c r="P395" s="4" t="str">
        <f>HYPERLINK("http://141.218.60.56/~jnz1568/getInfo.php?workbook=08_06.xlsx&amp;sheet=A0&amp;row=395&amp;col=16&amp;number=&amp;sourceID=5","")</f>
        <v/>
      </c>
      <c r="Q395" s="4" t="str">
        <f>HYPERLINK("http://141.218.60.56/~jnz1568/getInfo.php?workbook=08_06.xlsx&amp;sheet=A0&amp;row=395&amp;col=17&amp;number=&amp;sourceID=6","")</f>
        <v/>
      </c>
    </row>
    <row r="396" spans="1:17">
      <c r="A396" s="3">
        <v>8</v>
      </c>
      <c r="B396" s="3">
        <v>6</v>
      </c>
      <c r="C396" s="3">
        <v>45</v>
      </c>
      <c r="D396" s="3">
        <v>22</v>
      </c>
      <c r="E396" s="3">
        <f>((1/(INDEX(E0!J$4:J$49,C396,1)-INDEX(E0!J$4:J$49,D396,1))))*100000000</f>
        <v>0</v>
      </c>
      <c r="F396" s="4" t="str">
        <f>HYPERLINK("http://141.218.60.56/~jnz1568/getInfo.php?workbook=08_06.xlsx&amp;sheet=A0&amp;row=396&amp;col=6&amp;number=816.04&amp;sourceID=3","816.04")</f>
        <v>816.04</v>
      </c>
      <c r="G396" s="4" t="str">
        <f>HYPERLINK("http://141.218.60.56/~jnz1568/getInfo.php?workbook=08_06.xlsx&amp;sheet=A0&amp;row=396&amp;col=7&amp;number=&amp;sourceID=3","")</f>
        <v/>
      </c>
      <c r="H396" s="4" t="str">
        <f>HYPERLINK("http://141.218.60.56/~jnz1568/getInfo.php?workbook=08_06.xlsx&amp;sheet=A0&amp;row=396&amp;col=8&amp;number=&amp;sourceID=3","")</f>
        <v/>
      </c>
      <c r="I396" s="4" t="str">
        <f>HYPERLINK("http://141.218.60.56/~jnz1568/getInfo.php?workbook=08_06.xlsx&amp;sheet=A0&amp;row=396&amp;col=9&amp;number=&amp;sourceID=3","")</f>
        <v/>
      </c>
      <c r="J396" s="4" t="str">
        <f>HYPERLINK("http://141.218.60.56/~jnz1568/getInfo.php?workbook=08_06.xlsx&amp;sheet=A0&amp;row=396&amp;col=10&amp;number=879.79&amp;sourceID=3","879.79")</f>
        <v>879.79</v>
      </c>
      <c r="K396" s="4" t="str">
        <f>HYPERLINK("http://141.218.60.56/~jnz1568/getInfo.php?workbook=08_06.xlsx&amp;sheet=A0&amp;row=396&amp;col=11&amp;number=&amp;sourceID=3","")</f>
        <v/>
      </c>
      <c r="L396" s="4" t="str">
        <f>HYPERLINK("http://141.218.60.56/~jnz1568/getInfo.php?workbook=08_06.xlsx&amp;sheet=A0&amp;row=396&amp;col=12&amp;number=&amp;sourceID=3","")</f>
        <v/>
      </c>
      <c r="M396" s="4" t="str">
        <f>HYPERLINK("http://141.218.60.56/~jnz1568/getInfo.php?workbook=08_06.xlsx&amp;sheet=A0&amp;row=396&amp;col=13&amp;number=&amp;sourceID=3","")</f>
        <v/>
      </c>
      <c r="N396" s="4" t="str">
        <f>HYPERLINK("http://141.218.60.56/~jnz1568/getInfo.php?workbook=08_06.xlsx&amp;sheet=A0&amp;row=396&amp;col=14&amp;number=316.2&amp;sourceID=7","316.2")</f>
        <v>316.2</v>
      </c>
      <c r="O396" s="4" t="str">
        <f>HYPERLINK("http://141.218.60.56/~jnz1568/getInfo.php?workbook=08_06.xlsx&amp;sheet=A0&amp;row=396&amp;col=15&amp;number=&amp;sourceID=5","")</f>
        <v/>
      </c>
      <c r="P396" s="4" t="str">
        <f>HYPERLINK("http://141.218.60.56/~jnz1568/getInfo.php?workbook=08_06.xlsx&amp;sheet=A0&amp;row=396&amp;col=16&amp;number=&amp;sourceID=5","")</f>
        <v/>
      </c>
      <c r="Q396" s="4" t="str">
        <f>HYPERLINK("http://141.218.60.56/~jnz1568/getInfo.php?workbook=08_06.xlsx&amp;sheet=A0&amp;row=396&amp;col=17&amp;number=&amp;sourceID=6","")</f>
        <v/>
      </c>
    </row>
    <row r="397" spans="1:17">
      <c r="A397" s="3">
        <v>8</v>
      </c>
      <c r="B397" s="3">
        <v>6</v>
      </c>
      <c r="C397" s="3">
        <v>45</v>
      </c>
      <c r="D397" s="3">
        <v>23</v>
      </c>
      <c r="E397" s="3">
        <f>((1/(INDEX(E0!J$4:J$49,C397,1)-INDEX(E0!J$4:J$49,D397,1))))*100000000</f>
        <v>0</v>
      </c>
      <c r="F397" s="4" t="str">
        <f>HYPERLINK("http://141.218.60.56/~jnz1568/getInfo.php?workbook=08_06.xlsx&amp;sheet=A0&amp;row=397&amp;col=6&amp;number=184420000&amp;sourceID=3","184420000")</f>
        <v>184420000</v>
      </c>
      <c r="G397" s="4" t="str">
        <f>HYPERLINK("http://141.218.60.56/~jnz1568/getInfo.php?workbook=08_06.xlsx&amp;sheet=A0&amp;row=397&amp;col=7&amp;number=&amp;sourceID=3","")</f>
        <v/>
      </c>
      <c r="H397" s="4" t="str">
        <f>HYPERLINK("http://141.218.60.56/~jnz1568/getInfo.php?workbook=08_06.xlsx&amp;sheet=A0&amp;row=397&amp;col=8&amp;number=&amp;sourceID=3","")</f>
        <v/>
      </c>
      <c r="I397" s="4" t="str">
        <f>HYPERLINK("http://141.218.60.56/~jnz1568/getInfo.php?workbook=08_06.xlsx&amp;sheet=A0&amp;row=397&amp;col=9&amp;number=&amp;sourceID=3","")</f>
        <v/>
      </c>
      <c r="J397" s="4" t="str">
        <f>HYPERLINK("http://141.218.60.56/~jnz1568/getInfo.php?workbook=08_06.xlsx&amp;sheet=A0&amp;row=397&amp;col=10&amp;number=183480000&amp;sourceID=3","183480000")</f>
        <v>183480000</v>
      </c>
      <c r="K397" s="4" t="str">
        <f>HYPERLINK("http://141.218.60.56/~jnz1568/getInfo.php?workbook=08_06.xlsx&amp;sheet=A0&amp;row=397&amp;col=11&amp;number=&amp;sourceID=3","")</f>
        <v/>
      </c>
      <c r="L397" s="4" t="str">
        <f>HYPERLINK("http://141.218.60.56/~jnz1568/getInfo.php?workbook=08_06.xlsx&amp;sheet=A0&amp;row=397&amp;col=12&amp;number=&amp;sourceID=3","")</f>
        <v/>
      </c>
      <c r="M397" s="4" t="str">
        <f>HYPERLINK("http://141.218.60.56/~jnz1568/getInfo.php?workbook=08_06.xlsx&amp;sheet=A0&amp;row=397&amp;col=13&amp;number=&amp;sourceID=3","")</f>
        <v/>
      </c>
      <c r="N397" s="4" t="str">
        <f>HYPERLINK("http://141.218.60.56/~jnz1568/getInfo.php?workbook=08_06.xlsx&amp;sheet=A0&amp;row=397&amp;col=14&amp;number=151900000&amp;sourceID=7","151900000")</f>
        <v>151900000</v>
      </c>
      <c r="O397" s="4" t="str">
        <f>HYPERLINK("http://141.218.60.56/~jnz1568/getInfo.php?workbook=08_06.xlsx&amp;sheet=A0&amp;row=397&amp;col=15&amp;number=&amp;sourceID=5","")</f>
        <v/>
      </c>
      <c r="P397" s="4" t="str">
        <f>HYPERLINK("http://141.218.60.56/~jnz1568/getInfo.php?workbook=08_06.xlsx&amp;sheet=A0&amp;row=397&amp;col=16&amp;number=&amp;sourceID=5","")</f>
        <v/>
      </c>
      <c r="Q397" s="4" t="str">
        <f>HYPERLINK("http://141.218.60.56/~jnz1568/getInfo.php?workbook=08_06.xlsx&amp;sheet=A0&amp;row=397&amp;col=17&amp;number=&amp;sourceID=6","")</f>
        <v/>
      </c>
    </row>
    <row r="398" spans="1:17">
      <c r="A398" s="3">
        <v>8</v>
      </c>
      <c r="B398" s="3">
        <v>6</v>
      </c>
      <c r="C398" s="3">
        <v>45</v>
      </c>
      <c r="D398" s="3">
        <v>24</v>
      </c>
      <c r="E398" s="3">
        <f>((1/(INDEX(E0!J$4:J$49,C398,1)-INDEX(E0!J$4:J$49,D398,1))))*100000000</f>
        <v>0</v>
      </c>
      <c r="F398" s="4" t="str">
        <f>HYPERLINK("http://141.218.60.56/~jnz1568/getInfo.php?workbook=08_06.xlsx&amp;sheet=A0&amp;row=398&amp;col=6&amp;number=746780&amp;sourceID=3","746780")</f>
        <v>746780</v>
      </c>
      <c r="G398" s="4" t="str">
        <f>HYPERLINK("http://141.218.60.56/~jnz1568/getInfo.php?workbook=08_06.xlsx&amp;sheet=A0&amp;row=398&amp;col=7&amp;number=&amp;sourceID=3","")</f>
        <v/>
      </c>
      <c r="H398" s="4" t="str">
        <f>HYPERLINK("http://141.218.60.56/~jnz1568/getInfo.php?workbook=08_06.xlsx&amp;sheet=A0&amp;row=398&amp;col=8&amp;number=&amp;sourceID=3","")</f>
        <v/>
      </c>
      <c r="I398" s="4" t="str">
        <f>HYPERLINK("http://141.218.60.56/~jnz1568/getInfo.php?workbook=08_06.xlsx&amp;sheet=A0&amp;row=398&amp;col=9&amp;number=&amp;sourceID=3","")</f>
        <v/>
      </c>
      <c r="J398" s="4" t="str">
        <f>HYPERLINK("http://141.218.60.56/~jnz1568/getInfo.php?workbook=08_06.xlsx&amp;sheet=A0&amp;row=398&amp;col=10&amp;number=740450&amp;sourceID=3","740450")</f>
        <v>740450</v>
      </c>
      <c r="K398" s="4" t="str">
        <f>HYPERLINK("http://141.218.60.56/~jnz1568/getInfo.php?workbook=08_06.xlsx&amp;sheet=A0&amp;row=398&amp;col=11&amp;number=&amp;sourceID=3","")</f>
        <v/>
      </c>
      <c r="L398" s="4" t="str">
        <f>HYPERLINK("http://141.218.60.56/~jnz1568/getInfo.php?workbook=08_06.xlsx&amp;sheet=A0&amp;row=398&amp;col=12&amp;number=&amp;sourceID=3","")</f>
        <v/>
      </c>
      <c r="M398" s="4" t="str">
        <f>HYPERLINK("http://141.218.60.56/~jnz1568/getInfo.php?workbook=08_06.xlsx&amp;sheet=A0&amp;row=398&amp;col=13&amp;number=&amp;sourceID=3","")</f>
        <v/>
      </c>
      <c r="N398" s="4" t="str">
        <f>HYPERLINK("http://141.218.60.56/~jnz1568/getInfo.php?workbook=08_06.xlsx&amp;sheet=A0&amp;row=398&amp;col=14&amp;number=295100&amp;sourceID=7","295100")</f>
        <v>295100</v>
      </c>
      <c r="O398" s="4" t="str">
        <f>HYPERLINK("http://141.218.60.56/~jnz1568/getInfo.php?workbook=08_06.xlsx&amp;sheet=A0&amp;row=398&amp;col=15&amp;number=&amp;sourceID=5","")</f>
        <v/>
      </c>
      <c r="P398" s="4" t="str">
        <f>HYPERLINK("http://141.218.60.56/~jnz1568/getInfo.php?workbook=08_06.xlsx&amp;sheet=A0&amp;row=398&amp;col=16&amp;number=&amp;sourceID=5","")</f>
        <v/>
      </c>
      <c r="Q398" s="4" t="str">
        <f>HYPERLINK("http://141.218.60.56/~jnz1568/getInfo.php?workbook=08_06.xlsx&amp;sheet=A0&amp;row=398&amp;col=17&amp;number=&amp;sourceID=6","")</f>
        <v/>
      </c>
    </row>
    <row r="399" spans="1:17">
      <c r="A399" s="3">
        <v>8</v>
      </c>
      <c r="B399" s="3">
        <v>6</v>
      </c>
      <c r="C399" s="3">
        <v>45</v>
      </c>
      <c r="D399" s="3">
        <v>25</v>
      </c>
      <c r="E399" s="3">
        <f>((1/(INDEX(E0!J$4:J$49,C399,1)-INDEX(E0!J$4:J$49,D399,1))))*100000000</f>
        <v>0</v>
      </c>
      <c r="F399" s="4" t="str">
        <f>HYPERLINK("http://141.218.60.56/~jnz1568/getInfo.php?workbook=08_06.xlsx&amp;sheet=A0&amp;row=399&amp;col=6&amp;number=437.43&amp;sourceID=3","437.43")</f>
        <v>437.43</v>
      </c>
      <c r="G399" s="4" t="str">
        <f>HYPERLINK("http://141.218.60.56/~jnz1568/getInfo.php?workbook=08_06.xlsx&amp;sheet=A0&amp;row=399&amp;col=7&amp;number=&amp;sourceID=3","")</f>
        <v/>
      </c>
      <c r="H399" s="4" t="str">
        <f>HYPERLINK("http://141.218.60.56/~jnz1568/getInfo.php?workbook=08_06.xlsx&amp;sheet=A0&amp;row=399&amp;col=8&amp;number=&amp;sourceID=3","")</f>
        <v/>
      </c>
      <c r="I399" s="4" t="str">
        <f>HYPERLINK("http://141.218.60.56/~jnz1568/getInfo.php?workbook=08_06.xlsx&amp;sheet=A0&amp;row=399&amp;col=9&amp;number=&amp;sourceID=3","")</f>
        <v/>
      </c>
      <c r="J399" s="4" t="str">
        <f>HYPERLINK("http://141.218.60.56/~jnz1568/getInfo.php?workbook=08_06.xlsx&amp;sheet=A0&amp;row=399&amp;col=10&amp;number=426.38&amp;sourceID=3","426.38")</f>
        <v>426.38</v>
      </c>
      <c r="K399" s="4" t="str">
        <f>HYPERLINK("http://141.218.60.56/~jnz1568/getInfo.php?workbook=08_06.xlsx&amp;sheet=A0&amp;row=399&amp;col=11&amp;number=&amp;sourceID=3","")</f>
        <v/>
      </c>
      <c r="L399" s="4" t="str">
        <f>HYPERLINK("http://141.218.60.56/~jnz1568/getInfo.php?workbook=08_06.xlsx&amp;sheet=A0&amp;row=399&amp;col=12&amp;number=&amp;sourceID=3","")</f>
        <v/>
      </c>
      <c r="M399" s="4" t="str">
        <f>HYPERLINK("http://141.218.60.56/~jnz1568/getInfo.php?workbook=08_06.xlsx&amp;sheet=A0&amp;row=399&amp;col=13&amp;number=&amp;sourceID=3","")</f>
        <v/>
      </c>
      <c r="N399" s="4" t="str">
        <f>HYPERLINK("http://141.218.60.56/~jnz1568/getInfo.php?workbook=08_06.xlsx&amp;sheet=A0&amp;row=399&amp;col=14&amp;number=335.1&amp;sourceID=7","335.1")</f>
        <v>335.1</v>
      </c>
      <c r="O399" s="4" t="str">
        <f>HYPERLINK("http://141.218.60.56/~jnz1568/getInfo.php?workbook=08_06.xlsx&amp;sheet=A0&amp;row=399&amp;col=15&amp;number=&amp;sourceID=5","")</f>
        <v/>
      </c>
      <c r="P399" s="4" t="str">
        <f>HYPERLINK("http://141.218.60.56/~jnz1568/getInfo.php?workbook=08_06.xlsx&amp;sheet=A0&amp;row=399&amp;col=16&amp;number=&amp;sourceID=5","")</f>
        <v/>
      </c>
      <c r="Q399" s="4" t="str">
        <f>HYPERLINK("http://141.218.60.56/~jnz1568/getInfo.php?workbook=08_06.xlsx&amp;sheet=A0&amp;row=399&amp;col=17&amp;number=&amp;sourceID=6","")</f>
        <v/>
      </c>
    </row>
    <row r="400" spans="1:17">
      <c r="A400" s="3">
        <v>8</v>
      </c>
      <c r="B400" s="3">
        <v>6</v>
      </c>
      <c r="C400" s="3">
        <v>45</v>
      </c>
      <c r="D400" s="3">
        <v>27</v>
      </c>
      <c r="E400" s="3">
        <f>((1/(INDEX(E0!J$4:J$49,C400,1)-INDEX(E0!J$4:J$49,D400,1))))*100000000</f>
        <v>0</v>
      </c>
      <c r="F400" s="4" t="str">
        <f>HYPERLINK("http://141.218.60.56/~jnz1568/getInfo.php?workbook=08_06.xlsx&amp;sheet=A0&amp;row=400&amp;col=6&amp;number=345270&amp;sourceID=3","345270")</f>
        <v>345270</v>
      </c>
      <c r="G400" s="4" t="str">
        <f>HYPERLINK("http://141.218.60.56/~jnz1568/getInfo.php?workbook=08_06.xlsx&amp;sheet=A0&amp;row=400&amp;col=7&amp;number=&amp;sourceID=3","")</f>
        <v/>
      </c>
      <c r="H400" s="4" t="str">
        <f>HYPERLINK("http://141.218.60.56/~jnz1568/getInfo.php?workbook=08_06.xlsx&amp;sheet=A0&amp;row=400&amp;col=8&amp;number=&amp;sourceID=3","")</f>
        <v/>
      </c>
      <c r="I400" s="4" t="str">
        <f>HYPERLINK("http://141.218.60.56/~jnz1568/getInfo.php?workbook=08_06.xlsx&amp;sheet=A0&amp;row=400&amp;col=9&amp;number=&amp;sourceID=3","")</f>
        <v/>
      </c>
      <c r="J400" s="4" t="str">
        <f>HYPERLINK("http://141.218.60.56/~jnz1568/getInfo.php?workbook=08_06.xlsx&amp;sheet=A0&amp;row=400&amp;col=10&amp;number=341320&amp;sourceID=3","341320")</f>
        <v>341320</v>
      </c>
      <c r="K400" s="4" t="str">
        <f>HYPERLINK("http://141.218.60.56/~jnz1568/getInfo.php?workbook=08_06.xlsx&amp;sheet=A0&amp;row=400&amp;col=11&amp;number=&amp;sourceID=3","")</f>
        <v/>
      </c>
      <c r="L400" s="4" t="str">
        <f>HYPERLINK("http://141.218.60.56/~jnz1568/getInfo.php?workbook=08_06.xlsx&amp;sheet=A0&amp;row=400&amp;col=12&amp;number=&amp;sourceID=3","")</f>
        <v/>
      </c>
      <c r="M400" s="4" t="str">
        <f>HYPERLINK("http://141.218.60.56/~jnz1568/getInfo.php?workbook=08_06.xlsx&amp;sheet=A0&amp;row=400&amp;col=13&amp;number=&amp;sourceID=3","")</f>
        <v/>
      </c>
      <c r="N400" s="4" t="str">
        <f>HYPERLINK("http://141.218.60.56/~jnz1568/getInfo.php?workbook=08_06.xlsx&amp;sheet=A0&amp;row=400&amp;col=14&amp;number=99500&amp;sourceID=7","99500")</f>
        <v>99500</v>
      </c>
      <c r="O400" s="4" t="str">
        <f>HYPERLINK("http://141.218.60.56/~jnz1568/getInfo.php?workbook=08_06.xlsx&amp;sheet=A0&amp;row=400&amp;col=15&amp;number=&amp;sourceID=5","")</f>
        <v/>
      </c>
      <c r="P400" s="4" t="str">
        <f>HYPERLINK("http://141.218.60.56/~jnz1568/getInfo.php?workbook=08_06.xlsx&amp;sheet=A0&amp;row=400&amp;col=16&amp;number=&amp;sourceID=5","")</f>
        <v/>
      </c>
      <c r="Q400" s="4" t="str">
        <f>HYPERLINK("http://141.218.60.56/~jnz1568/getInfo.php?workbook=08_06.xlsx&amp;sheet=A0&amp;row=400&amp;col=17&amp;number=&amp;sourceID=6","")</f>
        <v/>
      </c>
    </row>
    <row r="401" spans="1:17">
      <c r="A401" s="3">
        <v>8</v>
      </c>
      <c r="B401" s="3">
        <v>6</v>
      </c>
      <c r="C401" s="3">
        <v>45</v>
      </c>
      <c r="D401" s="3">
        <v>28</v>
      </c>
      <c r="E401" s="3">
        <f>((1/(INDEX(E0!J$4:J$49,C401,1)-INDEX(E0!J$4:J$49,D401,1))))*100000000</f>
        <v>0</v>
      </c>
      <c r="F401" s="4" t="str">
        <f>HYPERLINK("http://141.218.60.56/~jnz1568/getInfo.php?workbook=08_06.xlsx&amp;sheet=A0&amp;row=401&amp;col=6&amp;number=20186&amp;sourceID=3","20186")</f>
        <v>20186</v>
      </c>
      <c r="G401" s="4" t="str">
        <f>HYPERLINK("http://141.218.60.56/~jnz1568/getInfo.php?workbook=08_06.xlsx&amp;sheet=A0&amp;row=401&amp;col=7&amp;number=&amp;sourceID=3","")</f>
        <v/>
      </c>
      <c r="H401" s="4" t="str">
        <f>HYPERLINK("http://141.218.60.56/~jnz1568/getInfo.php?workbook=08_06.xlsx&amp;sheet=A0&amp;row=401&amp;col=8&amp;number=&amp;sourceID=3","")</f>
        <v/>
      </c>
      <c r="I401" s="4" t="str">
        <f>HYPERLINK("http://141.218.60.56/~jnz1568/getInfo.php?workbook=08_06.xlsx&amp;sheet=A0&amp;row=401&amp;col=9&amp;number=&amp;sourceID=3","")</f>
        <v/>
      </c>
      <c r="J401" s="4" t="str">
        <f>HYPERLINK("http://141.218.60.56/~jnz1568/getInfo.php?workbook=08_06.xlsx&amp;sheet=A0&amp;row=401&amp;col=10&amp;number=37528&amp;sourceID=3","37528")</f>
        <v>37528</v>
      </c>
      <c r="K401" s="4" t="str">
        <f>HYPERLINK("http://141.218.60.56/~jnz1568/getInfo.php?workbook=08_06.xlsx&amp;sheet=A0&amp;row=401&amp;col=11&amp;number=&amp;sourceID=3","")</f>
        <v/>
      </c>
      <c r="L401" s="4" t="str">
        <f>HYPERLINK("http://141.218.60.56/~jnz1568/getInfo.php?workbook=08_06.xlsx&amp;sheet=A0&amp;row=401&amp;col=12&amp;number=&amp;sourceID=3","")</f>
        <v/>
      </c>
      <c r="M401" s="4" t="str">
        <f>HYPERLINK("http://141.218.60.56/~jnz1568/getInfo.php?workbook=08_06.xlsx&amp;sheet=A0&amp;row=401&amp;col=13&amp;number=&amp;sourceID=3","")</f>
        <v/>
      </c>
      <c r="N401" s="4" t="str">
        <f>HYPERLINK("http://141.218.60.56/~jnz1568/getInfo.php?workbook=08_06.xlsx&amp;sheet=A0&amp;row=401&amp;col=14&amp;number=63040&amp;sourceID=7","63040")</f>
        <v>63040</v>
      </c>
      <c r="O401" s="4" t="str">
        <f>HYPERLINK("http://141.218.60.56/~jnz1568/getInfo.php?workbook=08_06.xlsx&amp;sheet=A0&amp;row=401&amp;col=15&amp;number=&amp;sourceID=5","")</f>
        <v/>
      </c>
      <c r="P401" s="4" t="str">
        <f>HYPERLINK("http://141.218.60.56/~jnz1568/getInfo.php?workbook=08_06.xlsx&amp;sheet=A0&amp;row=401&amp;col=16&amp;number=&amp;sourceID=5","")</f>
        <v/>
      </c>
      <c r="Q401" s="4" t="str">
        <f>HYPERLINK("http://141.218.60.56/~jnz1568/getInfo.php?workbook=08_06.xlsx&amp;sheet=A0&amp;row=401&amp;col=17&amp;number=&amp;sourceID=6","")</f>
        <v/>
      </c>
    </row>
    <row r="402" spans="1:17">
      <c r="A402" s="3">
        <v>8</v>
      </c>
      <c r="B402" s="3">
        <v>6</v>
      </c>
      <c r="C402" s="3">
        <v>45</v>
      </c>
      <c r="D402" s="3">
        <v>29</v>
      </c>
      <c r="E402" s="3">
        <f>((1/(INDEX(E0!J$4:J$49,C402,1)-INDEX(E0!J$4:J$49,D402,1))))*100000000</f>
        <v>0</v>
      </c>
      <c r="F402" s="4" t="str">
        <f>HYPERLINK("http://141.218.60.56/~jnz1568/getInfo.php?workbook=08_06.xlsx&amp;sheet=A0&amp;row=402&amp;col=6&amp;number=57294&amp;sourceID=3","57294")</f>
        <v>57294</v>
      </c>
      <c r="G402" s="4" t="str">
        <f>HYPERLINK("http://141.218.60.56/~jnz1568/getInfo.php?workbook=08_06.xlsx&amp;sheet=A0&amp;row=402&amp;col=7&amp;number=&amp;sourceID=3","")</f>
        <v/>
      </c>
      <c r="H402" s="4" t="str">
        <f>HYPERLINK("http://141.218.60.56/~jnz1568/getInfo.php?workbook=08_06.xlsx&amp;sheet=A0&amp;row=402&amp;col=8&amp;number=&amp;sourceID=3","")</f>
        <v/>
      </c>
      <c r="I402" s="4" t="str">
        <f>HYPERLINK("http://141.218.60.56/~jnz1568/getInfo.php?workbook=08_06.xlsx&amp;sheet=A0&amp;row=402&amp;col=9&amp;number=&amp;sourceID=3","")</f>
        <v/>
      </c>
      <c r="J402" s="4" t="str">
        <f>HYPERLINK("http://141.218.60.56/~jnz1568/getInfo.php?workbook=08_06.xlsx&amp;sheet=A0&amp;row=402&amp;col=10&amp;number=56787&amp;sourceID=3","56787")</f>
        <v>56787</v>
      </c>
      <c r="K402" s="4" t="str">
        <f>HYPERLINK("http://141.218.60.56/~jnz1568/getInfo.php?workbook=08_06.xlsx&amp;sheet=A0&amp;row=402&amp;col=11&amp;number=&amp;sourceID=3","")</f>
        <v/>
      </c>
      <c r="L402" s="4" t="str">
        <f>HYPERLINK("http://141.218.60.56/~jnz1568/getInfo.php?workbook=08_06.xlsx&amp;sheet=A0&amp;row=402&amp;col=12&amp;number=&amp;sourceID=3","")</f>
        <v/>
      </c>
      <c r="M402" s="4" t="str">
        <f>HYPERLINK("http://141.218.60.56/~jnz1568/getInfo.php?workbook=08_06.xlsx&amp;sheet=A0&amp;row=402&amp;col=13&amp;number=&amp;sourceID=3","")</f>
        <v/>
      </c>
      <c r="N402" s="4" t="str">
        <f>HYPERLINK("http://141.218.60.56/~jnz1568/getInfo.php?workbook=08_06.xlsx&amp;sheet=A0&amp;row=402&amp;col=14&amp;number=8865&amp;sourceID=7","8865")</f>
        <v>8865</v>
      </c>
      <c r="O402" s="4" t="str">
        <f>HYPERLINK("http://141.218.60.56/~jnz1568/getInfo.php?workbook=08_06.xlsx&amp;sheet=A0&amp;row=402&amp;col=15&amp;number=&amp;sourceID=5","")</f>
        <v/>
      </c>
      <c r="P402" s="4" t="str">
        <f>HYPERLINK("http://141.218.60.56/~jnz1568/getInfo.php?workbook=08_06.xlsx&amp;sheet=A0&amp;row=402&amp;col=16&amp;number=&amp;sourceID=5","")</f>
        <v/>
      </c>
      <c r="Q402" s="4" t="str">
        <f>HYPERLINK("http://141.218.60.56/~jnz1568/getInfo.php?workbook=08_06.xlsx&amp;sheet=A0&amp;row=402&amp;col=17&amp;number=&amp;sourceID=6","")</f>
        <v/>
      </c>
    </row>
    <row r="403" spans="1:17">
      <c r="A403" s="3">
        <v>8</v>
      </c>
      <c r="B403" s="3">
        <v>6</v>
      </c>
      <c r="C403" s="3">
        <v>45</v>
      </c>
      <c r="D403" s="3">
        <v>30</v>
      </c>
      <c r="E403" s="3">
        <f>((1/(INDEX(E0!J$4:J$49,C403,1)-INDEX(E0!J$4:J$49,D403,1))))*100000000</f>
        <v>0</v>
      </c>
      <c r="F403" s="4" t="str">
        <f>HYPERLINK("http://141.218.60.56/~jnz1568/getInfo.php?workbook=08_06.xlsx&amp;sheet=A0&amp;row=403&amp;col=6&amp;number=29198&amp;sourceID=3","29198")</f>
        <v>29198</v>
      </c>
      <c r="G403" s="4" t="str">
        <f>HYPERLINK("http://141.218.60.56/~jnz1568/getInfo.php?workbook=08_06.xlsx&amp;sheet=A0&amp;row=403&amp;col=7&amp;number=&amp;sourceID=3","")</f>
        <v/>
      </c>
      <c r="H403" s="4" t="str">
        <f>HYPERLINK("http://141.218.60.56/~jnz1568/getInfo.php?workbook=08_06.xlsx&amp;sheet=A0&amp;row=403&amp;col=8&amp;number=&amp;sourceID=3","")</f>
        <v/>
      </c>
      <c r="I403" s="4" t="str">
        <f>HYPERLINK("http://141.218.60.56/~jnz1568/getInfo.php?workbook=08_06.xlsx&amp;sheet=A0&amp;row=403&amp;col=9&amp;number=&amp;sourceID=3","")</f>
        <v/>
      </c>
      <c r="J403" s="4" t="str">
        <f>HYPERLINK("http://141.218.60.56/~jnz1568/getInfo.php?workbook=08_06.xlsx&amp;sheet=A0&amp;row=403&amp;col=10&amp;number=29108&amp;sourceID=3","29108")</f>
        <v>29108</v>
      </c>
      <c r="K403" s="4" t="str">
        <f>HYPERLINK("http://141.218.60.56/~jnz1568/getInfo.php?workbook=08_06.xlsx&amp;sheet=A0&amp;row=403&amp;col=11&amp;number=&amp;sourceID=3","")</f>
        <v/>
      </c>
      <c r="L403" s="4" t="str">
        <f>HYPERLINK("http://141.218.60.56/~jnz1568/getInfo.php?workbook=08_06.xlsx&amp;sheet=A0&amp;row=403&amp;col=12&amp;number=&amp;sourceID=3","")</f>
        <v/>
      </c>
      <c r="M403" s="4" t="str">
        <f>HYPERLINK("http://141.218.60.56/~jnz1568/getInfo.php?workbook=08_06.xlsx&amp;sheet=A0&amp;row=403&amp;col=13&amp;number=&amp;sourceID=3","")</f>
        <v/>
      </c>
      <c r="N403" s="4" t="str">
        <f>HYPERLINK("http://141.218.60.56/~jnz1568/getInfo.php?workbook=08_06.xlsx&amp;sheet=A0&amp;row=403&amp;col=14&amp;number=12790&amp;sourceID=7","12790")</f>
        <v>12790</v>
      </c>
      <c r="O403" s="4" t="str">
        <f>HYPERLINK("http://141.218.60.56/~jnz1568/getInfo.php?workbook=08_06.xlsx&amp;sheet=A0&amp;row=403&amp;col=15&amp;number=&amp;sourceID=5","")</f>
        <v/>
      </c>
      <c r="P403" s="4" t="str">
        <f>HYPERLINK("http://141.218.60.56/~jnz1568/getInfo.php?workbook=08_06.xlsx&amp;sheet=A0&amp;row=403&amp;col=16&amp;number=&amp;sourceID=5","")</f>
        <v/>
      </c>
      <c r="Q403" s="4" t="str">
        <f>HYPERLINK("http://141.218.60.56/~jnz1568/getInfo.php?workbook=08_06.xlsx&amp;sheet=A0&amp;row=403&amp;col=17&amp;number=&amp;sourceID=6","")</f>
        <v/>
      </c>
    </row>
    <row r="404" spans="1:17">
      <c r="A404" s="3">
        <v>8</v>
      </c>
      <c r="B404" s="3">
        <v>6</v>
      </c>
      <c r="C404" s="3">
        <v>45</v>
      </c>
      <c r="D404" s="3">
        <v>31</v>
      </c>
      <c r="E404" s="3">
        <f>((1/(INDEX(E0!J$4:J$49,C404,1)-INDEX(E0!J$4:J$49,D404,1))))*100000000</f>
        <v>0</v>
      </c>
      <c r="F404" s="4" t="str">
        <f>HYPERLINK("http://141.218.60.56/~jnz1568/getInfo.php?workbook=08_06.xlsx&amp;sheet=A0&amp;row=404&amp;col=6&amp;number=1896.7&amp;sourceID=3","1896.7")</f>
        <v>1896.7</v>
      </c>
      <c r="G404" s="4" t="str">
        <f>HYPERLINK("http://141.218.60.56/~jnz1568/getInfo.php?workbook=08_06.xlsx&amp;sheet=A0&amp;row=404&amp;col=7&amp;number=&amp;sourceID=3","")</f>
        <v/>
      </c>
      <c r="H404" s="4" t="str">
        <f>HYPERLINK("http://141.218.60.56/~jnz1568/getInfo.php?workbook=08_06.xlsx&amp;sheet=A0&amp;row=404&amp;col=8&amp;number=&amp;sourceID=3","")</f>
        <v/>
      </c>
      <c r="I404" s="4" t="str">
        <f>HYPERLINK("http://141.218.60.56/~jnz1568/getInfo.php?workbook=08_06.xlsx&amp;sheet=A0&amp;row=404&amp;col=9&amp;number=&amp;sourceID=3","")</f>
        <v/>
      </c>
      <c r="J404" s="4" t="str">
        <f>HYPERLINK("http://141.218.60.56/~jnz1568/getInfo.php?workbook=08_06.xlsx&amp;sheet=A0&amp;row=404&amp;col=10&amp;number=1861.8&amp;sourceID=3","1861.8")</f>
        <v>1861.8</v>
      </c>
      <c r="K404" s="4" t="str">
        <f>HYPERLINK("http://141.218.60.56/~jnz1568/getInfo.php?workbook=08_06.xlsx&amp;sheet=A0&amp;row=404&amp;col=11&amp;number=&amp;sourceID=3","")</f>
        <v/>
      </c>
      <c r="L404" s="4" t="str">
        <f>HYPERLINK("http://141.218.60.56/~jnz1568/getInfo.php?workbook=08_06.xlsx&amp;sheet=A0&amp;row=404&amp;col=12&amp;number=&amp;sourceID=3","")</f>
        <v/>
      </c>
      <c r="M404" s="4" t="str">
        <f>HYPERLINK("http://141.218.60.56/~jnz1568/getInfo.php?workbook=08_06.xlsx&amp;sheet=A0&amp;row=404&amp;col=13&amp;number=&amp;sourceID=3","")</f>
        <v/>
      </c>
      <c r="N404" s="4" t="str">
        <f>HYPERLINK("http://141.218.60.56/~jnz1568/getInfo.php?workbook=08_06.xlsx&amp;sheet=A0&amp;row=404&amp;col=14&amp;number=169.6&amp;sourceID=7","169.6")</f>
        <v>169.6</v>
      </c>
      <c r="O404" s="4" t="str">
        <f>HYPERLINK("http://141.218.60.56/~jnz1568/getInfo.php?workbook=08_06.xlsx&amp;sheet=A0&amp;row=404&amp;col=15&amp;number=&amp;sourceID=5","")</f>
        <v/>
      </c>
      <c r="P404" s="4" t="str">
        <f>HYPERLINK("http://141.218.60.56/~jnz1568/getInfo.php?workbook=08_06.xlsx&amp;sheet=A0&amp;row=404&amp;col=16&amp;number=&amp;sourceID=5","")</f>
        <v/>
      </c>
      <c r="Q404" s="4" t="str">
        <f>HYPERLINK("http://141.218.60.56/~jnz1568/getInfo.php?workbook=08_06.xlsx&amp;sheet=A0&amp;row=404&amp;col=17&amp;number=&amp;sourceID=6","")</f>
        <v/>
      </c>
    </row>
    <row r="405" spans="1:17">
      <c r="A405" s="3">
        <v>8</v>
      </c>
      <c r="B405" s="3">
        <v>6</v>
      </c>
      <c r="C405" s="3">
        <v>45</v>
      </c>
      <c r="D405" s="3">
        <v>32</v>
      </c>
      <c r="E405" s="3">
        <f>((1/(INDEX(E0!J$4:J$49,C405,1)-INDEX(E0!J$4:J$49,D405,1))))*100000000</f>
        <v>0</v>
      </c>
      <c r="F405" s="4" t="str">
        <f>HYPERLINK("http://141.218.60.56/~jnz1568/getInfo.php?workbook=08_06.xlsx&amp;sheet=A0&amp;row=405&amp;col=6&amp;number=7108900&amp;sourceID=3","7108900")</f>
        <v>7108900</v>
      </c>
      <c r="G405" s="4" t="str">
        <f>HYPERLINK("http://141.218.60.56/~jnz1568/getInfo.php?workbook=08_06.xlsx&amp;sheet=A0&amp;row=405&amp;col=7&amp;number=&amp;sourceID=3","")</f>
        <v/>
      </c>
      <c r="H405" s="4" t="str">
        <f>HYPERLINK("http://141.218.60.56/~jnz1568/getInfo.php?workbook=08_06.xlsx&amp;sheet=A0&amp;row=405&amp;col=8&amp;number=&amp;sourceID=3","")</f>
        <v/>
      </c>
      <c r="I405" s="4" t="str">
        <f>HYPERLINK("http://141.218.60.56/~jnz1568/getInfo.php?workbook=08_06.xlsx&amp;sheet=A0&amp;row=405&amp;col=9&amp;number=&amp;sourceID=3","")</f>
        <v/>
      </c>
      <c r="J405" s="4" t="str">
        <f>HYPERLINK("http://141.218.60.56/~jnz1568/getInfo.php?workbook=08_06.xlsx&amp;sheet=A0&amp;row=405&amp;col=10&amp;number=7032800&amp;sourceID=3","7032800")</f>
        <v>7032800</v>
      </c>
      <c r="K405" s="4" t="str">
        <f>HYPERLINK("http://141.218.60.56/~jnz1568/getInfo.php?workbook=08_06.xlsx&amp;sheet=A0&amp;row=405&amp;col=11&amp;number=&amp;sourceID=3","")</f>
        <v/>
      </c>
      <c r="L405" s="4" t="str">
        <f>HYPERLINK("http://141.218.60.56/~jnz1568/getInfo.php?workbook=08_06.xlsx&amp;sheet=A0&amp;row=405&amp;col=12&amp;number=&amp;sourceID=3","")</f>
        <v/>
      </c>
      <c r="M405" s="4" t="str">
        <f>HYPERLINK("http://141.218.60.56/~jnz1568/getInfo.php?workbook=08_06.xlsx&amp;sheet=A0&amp;row=405&amp;col=13&amp;number=&amp;sourceID=3","")</f>
        <v/>
      </c>
      <c r="N405" s="4" t="str">
        <f>HYPERLINK("http://141.218.60.56/~jnz1568/getInfo.php?workbook=08_06.xlsx&amp;sheet=A0&amp;row=405&amp;col=14&amp;number=9622000&amp;sourceID=7","9622000")</f>
        <v>9622000</v>
      </c>
      <c r="O405" s="4" t="str">
        <f>HYPERLINK("http://141.218.60.56/~jnz1568/getInfo.php?workbook=08_06.xlsx&amp;sheet=A0&amp;row=405&amp;col=15&amp;number=&amp;sourceID=5","")</f>
        <v/>
      </c>
      <c r="P405" s="4" t="str">
        <f>HYPERLINK("http://141.218.60.56/~jnz1568/getInfo.php?workbook=08_06.xlsx&amp;sheet=A0&amp;row=405&amp;col=16&amp;number=&amp;sourceID=5","")</f>
        <v/>
      </c>
      <c r="Q405" s="4" t="str">
        <f>HYPERLINK("http://141.218.60.56/~jnz1568/getInfo.php?workbook=08_06.xlsx&amp;sheet=A0&amp;row=405&amp;col=17&amp;number=&amp;sourceID=6","")</f>
        <v/>
      </c>
    </row>
    <row r="406" spans="1:17">
      <c r="A406" s="3">
        <v>8</v>
      </c>
      <c r="B406" s="3">
        <v>6</v>
      </c>
      <c r="C406" s="3">
        <v>45</v>
      </c>
      <c r="D406" s="3">
        <v>33</v>
      </c>
      <c r="E406" s="3">
        <f>((1/(INDEX(E0!J$4:J$49,C406,1)-INDEX(E0!J$4:J$49,D406,1))))*100000000</f>
        <v>0</v>
      </c>
      <c r="F406" s="4" t="str">
        <f>HYPERLINK("http://141.218.60.56/~jnz1568/getInfo.php?workbook=08_06.xlsx&amp;sheet=A0&amp;row=406&amp;col=6&amp;number=34466000&amp;sourceID=3","34466000")</f>
        <v>34466000</v>
      </c>
      <c r="G406" s="4" t="str">
        <f>HYPERLINK("http://141.218.60.56/~jnz1568/getInfo.php?workbook=08_06.xlsx&amp;sheet=A0&amp;row=406&amp;col=7&amp;number=&amp;sourceID=3","")</f>
        <v/>
      </c>
      <c r="H406" s="4" t="str">
        <f>HYPERLINK("http://141.218.60.56/~jnz1568/getInfo.php?workbook=08_06.xlsx&amp;sheet=A0&amp;row=406&amp;col=8&amp;number=&amp;sourceID=3","")</f>
        <v/>
      </c>
      <c r="I406" s="4" t="str">
        <f>HYPERLINK("http://141.218.60.56/~jnz1568/getInfo.php?workbook=08_06.xlsx&amp;sheet=A0&amp;row=406&amp;col=9&amp;number=&amp;sourceID=3","")</f>
        <v/>
      </c>
      <c r="J406" s="4" t="str">
        <f>HYPERLINK("http://141.218.60.56/~jnz1568/getInfo.php?workbook=08_06.xlsx&amp;sheet=A0&amp;row=406&amp;col=10&amp;number=33248000&amp;sourceID=3","33248000")</f>
        <v>33248000</v>
      </c>
      <c r="K406" s="4" t="str">
        <f>HYPERLINK("http://141.218.60.56/~jnz1568/getInfo.php?workbook=08_06.xlsx&amp;sheet=A0&amp;row=406&amp;col=11&amp;number=&amp;sourceID=3","")</f>
        <v/>
      </c>
      <c r="L406" s="4" t="str">
        <f>HYPERLINK("http://141.218.60.56/~jnz1568/getInfo.php?workbook=08_06.xlsx&amp;sheet=A0&amp;row=406&amp;col=12&amp;number=&amp;sourceID=3","")</f>
        <v/>
      </c>
      <c r="M406" s="4" t="str">
        <f>HYPERLINK("http://141.218.60.56/~jnz1568/getInfo.php?workbook=08_06.xlsx&amp;sheet=A0&amp;row=406&amp;col=13&amp;number=&amp;sourceID=3","")</f>
        <v/>
      </c>
      <c r="N406" s="4" t="str">
        <f>HYPERLINK("http://141.218.60.56/~jnz1568/getInfo.php?workbook=08_06.xlsx&amp;sheet=A0&amp;row=406&amp;col=14&amp;number=19220000&amp;sourceID=7","19220000")</f>
        <v>19220000</v>
      </c>
      <c r="O406" s="4" t="str">
        <f>HYPERLINK("http://141.218.60.56/~jnz1568/getInfo.php?workbook=08_06.xlsx&amp;sheet=A0&amp;row=406&amp;col=15&amp;number=&amp;sourceID=5","")</f>
        <v/>
      </c>
      <c r="P406" s="4" t="str">
        <f>HYPERLINK("http://141.218.60.56/~jnz1568/getInfo.php?workbook=08_06.xlsx&amp;sheet=A0&amp;row=406&amp;col=16&amp;number=&amp;sourceID=5","")</f>
        <v/>
      </c>
      <c r="Q406" s="4" t="str">
        <f>HYPERLINK("http://141.218.60.56/~jnz1568/getInfo.php?workbook=08_06.xlsx&amp;sheet=A0&amp;row=406&amp;col=17&amp;number=&amp;sourceID=6","")</f>
        <v/>
      </c>
    </row>
    <row r="407" spans="1:17">
      <c r="A407" s="3">
        <v>8</v>
      </c>
      <c r="B407" s="3">
        <v>6</v>
      </c>
      <c r="C407" s="3">
        <v>46</v>
      </c>
      <c r="D407" s="3">
        <v>9</v>
      </c>
      <c r="E407" s="3">
        <f>((1/(INDEX(E0!J$4:J$49,C407,1)-INDEX(E0!J$4:J$49,D407,1))))*100000000</f>
        <v>0</v>
      </c>
      <c r="F407" s="4" t="str">
        <f>HYPERLINK("http://141.218.60.56/~jnz1568/getInfo.php?workbook=08_06.xlsx&amp;sheet=A0&amp;row=407&amp;col=6&amp;number=12054&amp;sourceID=3","12054")</f>
        <v>12054</v>
      </c>
      <c r="G407" s="4" t="str">
        <f>HYPERLINK("http://141.218.60.56/~jnz1568/getInfo.php?workbook=08_06.xlsx&amp;sheet=A0&amp;row=407&amp;col=7&amp;number=&amp;sourceID=3","")</f>
        <v/>
      </c>
      <c r="H407" s="4" t="str">
        <f>HYPERLINK("http://141.218.60.56/~jnz1568/getInfo.php?workbook=08_06.xlsx&amp;sheet=A0&amp;row=407&amp;col=8&amp;number=&amp;sourceID=3","")</f>
        <v/>
      </c>
      <c r="I407" s="4" t="str">
        <f>HYPERLINK("http://141.218.60.56/~jnz1568/getInfo.php?workbook=08_06.xlsx&amp;sheet=A0&amp;row=407&amp;col=9&amp;number=&amp;sourceID=3","")</f>
        <v/>
      </c>
      <c r="J407" s="4" t="str">
        <f>HYPERLINK("http://141.218.60.56/~jnz1568/getInfo.php?workbook=08_06.xlsx&amp;sheet=A0&amp;row=407&amp;col=10&amp;number=9295.3&amp;sourceID=3","9295.3")</f>
        <v>9295.3</v>
      </c>
      <c r="K407" s="4" t="str">
        <f>HYPERLINK("http://141.218.60.56/~jnz1568/getInfo.php?workbook=08_06.xlsx&amp;sheet=A0&amp;row=407&amp;col=11&amp;number=&amp;sourceID=3","")</f>
        <v/>
      </c>
      <c r="L407" s="4" t="str">
        <f>HYPERLINK("http://141.218.60.56/~jnz1568/getInfo.php?workbook=08_06.xlsx&amp;sheet=A0&amp;row=407&amp;col=12&amp;number=&amp;sourceID=3","")</f>
        <v/>
      </c>
      <c r="M407" s="4" t="str">
        <f>HYPERLINK("http://141.218.60.56/~jnz1568/getInfo.php?workbook=08_06.xlsx&amp;sheet=A0&amp;row=407&amp;col=13&amp;number=&amp;sourceID=3","")</f>
        <v/>
      </c>
      <c r="N407" s="4" t="str">
        <f>HYPERLINK("http://141.218.60.56/~jnz1568/getInfo.php?workbook=08_06.xlsx&amp;sheet=A0&amp;row=407&amp;col=14&amp;number=33300&amp;sourceID=7","33300")</f>
        <v>33300</v>
      </c>
      <c r="O407" s="4" t="str">
        <f>HYPERLINK("http://141.218.60.56/~jnz1568/getInfo.php?workbook=08_06.xlsx&amp;sheet=A0&amp;row=407&amp;col=15&amp;number=&amp;sourceID=5","")</f>
        <v/>
      </c>
      <c r="P407" s="4" t="str">
        <f>HYPERLINK("http://141.218.60.56/~jnz1568/getInfo.php?workbook=08_06.xlsx&amp;sheet=A0&amp;row=407&amp;col=16&amp;number=&amp;sourceID=5","")</f>
        <v/>
      </c>
      <c r="Q407" s="4" t="str">
        <f>HYPERLINK("http://141.218.60.56/~jnz1568/getInfo.php?workbook=08_06.xlsx&amp;sheet=A0&amp;row=407&amp;col=17&amp;number=&amp;sourceID=6","")</f>
        <v/>
      </c>
    </row>
    <row r="408" spans="1:17">
      <c r="A408" s="3">
        <v>8</v>
      </c>
      <c r="B408" s="3">
        <v>6</v>
      </c>
      <c r="C408" s="3">
        <v>46</v>
      </c>
      <c r="D408" s="3">
        <v>11</v>
      </c>
      <c r="E408" s="3">
        <f>((1/(INDEX(E0!J$4:J$49,C408,1)-INDEX(E0!J$4:J$49,D408,1))))*100000000</f>
        <v>0</v>
      </c>
      <c r="F408" s="4" t="str">
        <f>HYPERLINK("http://141.218.60.56/~jnz1568/getInfo.php?workbook=08_06.xlsx&amp;sheet=A0&amp;row=408&amp;col=6&amp;number=79126&amp;sourceID=3","79126")</f>
        <v>79126</v>
      </c>
      <c r="G408" s="4" t="str">
        <f>HYPERLINK("http://141.218.60.56/~jnz1568/getInfo.php?workbook=08_06.xlsx&amp;sheet=A0&amp;row=408&amp;col=7&amp;number=&amp;sourceID=3","")</f>
        <v/>
      </c>
      <c r="H408" s="4" t="str">
        <f>HYPERLINK("http://141.218.60.56/~jnz1568/getInfo.php?workbook=08_06.xlsx&amp;sheet=A0&amp;row=408&amp;col=8&amp;number=&amp;sourceID=3","")</f>
        <v/>
      </c>
      <c r="I408" s="4" t="str">
        <f>HYPERLINK("http://141.218.60.56/~jnz1568/getInfo.php?workbook=08_06.xlsx&amp;sheet=A0&amp;row=408&amp;col=9&amp;number=&amp;sourceID=3","")</f>
        <v/>
      </c>
      <c r="J408" s="4" t="str">
        <f>HYPERLINK("http://141.218.60.56/~jnz1568/getInfo.php?workbook=08_06.xlsx&amp;sheet=A0&amp;row=408&amp;col=10&amp;number=83420&amp;sourceID=3","83420")</f>
        <v>83420</v>
      </c>
      <c r="K408" s="4" t="str">
        <f>HYPERLINK("http://141.218.60.56/~jnz1568/getInfo.php?workbook=08_06.xlsx&amp;sheet=A0&amp;row=408&amp;col=11&amp;number=&amp;sourceID=3","")</f>
        <v/>
      </c>
      <c r="L408" s="4" t="str">
        <f>HYPERLINK("http://141.218.60.56/~jnz1568/getInfo.php?workbook=08_06.xlsx&amp;sheet=A0&amp;row=408&amp;col=12&amp;number=&amp;sourceID=3","")</f>
        <v/>
      </c>
      <c r="M408" s="4" t="str">
        <f>HYPERLINK("http://141.218.60.56/~jnz1568/getInfo.php?workbook=08_06.xlsx&amp;sheet=A0&amp;row=408&amp;col=13&amp;number=&amp;sourceID=3","")</f>
        <v/>
      </c>
      <c r="N408" s="4" t="str">
        <f>HYPERLINK("http://141.218.60.56/~jnz1568/getInfo.php?workbook=08_06.xlsx&amp;sheet=A0&amp;row=408&amp;col=14&amp;number=20290&amp;sourceID=7","20290")</f>
        <v>20290</v>
      </c>
      <c r="O408" s="4" t="str">
        <f>HYPERLINK("http://141.218.60.56/~jnz1568/getInfo.php?workbook=08_06.xlsx&amp;sheet=A0&amp;row=408&amp;col=15&amp;number=&amp;sourceID=5","")</f>
        <v/>
      </c>
      <c r="P408" s="4" t="str">
        <f>HYPERLINK("http://141.218.60.56/~jnz1568/getInfo.php?workbook=08_06.xlsx&amp;sheet=A0&amp;row=408&amp;col=16&amp;number=&amp;sourceID=5","")</f>
        <v/>
      </c>
      <c r="Q408" s="4" t="str">
        <f>HYPERLINK("http://141.218.60.56/~jnz1568/getInfo.php?workbook=08_06.xlsx&amp;sheet=A0&amp;row=408&amp;col=17&amp;number=&amp;sourceID=6","")</f>
        <v/>
      </c>
    </row>
    <row r="409" spans="1:17">
      <c r="A409" s="3">
        <v>8</v>
      </c>
      <c r="B409" s="3">
        <v>6</v>
      </c>
      <c r="C409" s="3">
        <v>46</v>
      </c>
      <c r="D409" s="3">
        <v>14</v>
      </c>
      <c r="E409" s="3">
        <f>((1/(INDEX(E0!J$4:J$49,C409,1)-INDEX(E0!J$4:J$49,D409,1))))*100000000</f>
        <v>0</v>
      </c>
      <c r="F409" s="4" t="str">
        <f>HYPERLINK("http://141.218.60.56/~jnz1568/getInfo.php?workbook=08_06.xlsx&amp;sheet=A0&amp;row=409&amp;col=6&amp;number=934160&amp;sourceID=3","934160")</f>
        <v>934160</v>
      </c>
      <c r="G409" s="4" t="str">
        <f>HYPERLINK("http://141.218.60.56/~jnz1568/getInfo.php?workbook=08_06.xlsx&amp;sheet=A0&amp;row=409&amp;col=7&amp;number=&amp;sourceID=3","")</f>
        <v/>
      </c>
      <c r="H409" s="4" t="str">
        <f>HYPERLINK("http://141.218.60.56/~jnz1568/getInfo.php?workbook=08_06.xlsx&amp;sheet=A0&amp;row=409&amp;col=8&amp;number=&amp;sourceID=3","")</f>
        <v/>
      </c>
      <c r="I409" s="4" t="str">
        <f>HYPERLINK("http://141.218.60.56/~jnz1568/getInfo.php?workbook=08_06.xlsx&amp;sheet=A0&amp;row=409&amp;col=9&amp;number=&amp;sourceID=3","")</f>
        <v/>
      </c>
      <c r="J409" s="4" t="str">
        <f>HYPERLINK("http://141.218.60.56/~jnz1568/getInfo.php?workbook=08_06.xlsx&amp;sheet=A0&amp;row=409&amp;col=10&amp;number=931670&amp;sourceID=3","931670")</f>
        <v>931670</v>
      </c>
      <c r="K409" s="4" t="str">
        <f>HYPERLINK("http://141.218.60.56/~jnz1568/getInfo.php?workbook=08_06.xlsx&amp;sheet=A0&amp;row=409&amp;col=11&amp;number=&amp;sourceID=3","")</f>
        <v/>
      </c>
      <c r="L409" s="4" t="str">
        <f>HYPERLINK("http://141.218.60.56/~jnz1568/getInfo.php?workbook=08_06.xlsx&amp;sheet=A0&amp;row=409&amp;col=12&amp;number=&amp;sourceID=3","")</f>
        <v/>
      </c>
      <c r="M409" s="4" t="str">
        <f>HYPERLINK("http://141.218.60.56/~jnz1568/getInfo.php?workbook=08_06.xlsx&amp;sheet=A0&amp;row=409&amp;col=13&amp;number=&amp;sourceID=3","")</f>
        <v/>
      </c>
      <c r="N409" s="4" t="str">
        <f>HYPERLINK("http://141.218.60.56/~jnz1568/getInfo.php?workbook=08_06.xlsx&amp;sheet=A0&amp;row=409&amp;col=14&amp;number=507000&amp;sourceID=7","507000")</f>
        <v>507000</v>
      </c>
      <c r="O409" s="4" t="str">
        <f>HYPERLINK("http://141.218.60.56/~jnz1568/getInfo.php?workbook=08_06.xlsx&amp;sheet=A0&amp;row=409&amp;col=15&amp;number=&amp;sourceID=5","")</f>
        <v/>
      </c>
      <c r="P409" s="4" t="str">
        <f>HYPERLINK("http://141.218.60.56/~jnz1568/getInfo.php?workbook=08_06.xlsx&amp;sheet=A0&amp;row=409&amp;col=16&amp;number=&amp;sourceID=5","")</f>
        <v/>
      </c>
      <c r="Q409" s="4" t="str">
        <f>HYPERLINK("http://141.218.60.56/~jnz1568/getInfo.php?workbook=08_06.xlsx&amp;sheet=A0&amp;row=409&amp;col=17&amp;number=&amp;sourceID=6","")</f>
        <v/>
      </c>
    </row>
    <row r="410" spans="1:17">
      <c r="A410" s="3">
        <v>8</v>
      </c>
      <c r="B410" s="3">
        <v>6</v>
      </c>
      <c r="C410" s="3">
        <v>46</v>
      </c>
      <c r="D410" s="3">
        <v>15</v>
      </c>
      <c r="E410" s="3">
        <f>((1/(INDEX(E0!J$4:J$49,C410,1)-INDEX(E0!J$4:J$49,D410,1))))*100000000</f>
        <v>0</v>
      </c>
      <c r="F410" s="4" t="str">
        <f>HYPERLINK("http://141.218.60.56/~jnz1568/getInfo.php?workbook=08_06.xlsx&amp;sheet=A0&amp;row=410&amp;col=6&amp;number=5920600000&amp;sourceID=3","5920600000")</f>
        <v>5920600000</v>
      </c>
      <c r="G410" s="4" t="str">
        <f>HYPERLINK("http://141.218.60.56/~jnz1568/getInfo.php?workbook=08_06.xlsx&amp;sheet=A0&amp;row=410&amp;col=7&amp;number=&amp;sourceID=3","")</f>
        <v/>
      </c>
      <c r="H410" s="4" t="str">
        <f>HYPERLINK("http://141.218.60.56/~jnz1568/getInfo.php?workbook=08_06.xlsx&amp;sheet=A0&amp;row=410&amp;col=8&amp;number=&amp;sourceID=3","")</f>
        <v/>
      </c>
      <c r="I410" s="4" t="str">
        <f>HYPERLINK("http://141.218.60.56/~jnz1568/getInfo.php?workbook=08_06.xlsx&amp;sheet=A0&amp;row=410&amp;col=9&amp;number=&amp;sourceID=3","")</f>
        <v/>
      </c>
      <c r="J410" s="4" t="str">
        <f>HYPERLINK("http://141.218.60.56/~jnz1568/getInfo.php?workbook=08_06.xlsx&amp;sheet=A0&amp;row=410&amp;col=10&amp;number=6082800000&amp;sourceID=3","6082800000")</f>
        <v>6082800000</v>
      </c>
      <c r="K410" s="4" t="str">
        <f>HYPERLINK("http://141.218.60.56/~jnz1568/getInfo.php?workbook=08_06.xlsx&amp;sheet=A0&amp;row=410&amp;col=11&amp;number=&amp;sourceID=3","")</f>
        <v/>
      </c>
      <c r="L410" s="4" t="str">
        <f>HYPERLINK("http://141.218.60.56/~jnz1568/getInfo.php?workbook=08_06.xlsx&amp;sheet=A0&amp;row=410&amp;col=12&amp;number=&amp;sourceID=3","")</f>
        <v/>
      </c>
      <c r="M410" s="4" t="str">
        <f>HYPERLINK("http://141.218.60.56/~jnz1568/getInfo.php?workbook=08_06.xlsx&amp;sheet=A0&amp;row=410&amp;col=13&amp;number=&amp;sourceID=3","")</f>
        <v/>
      </c>
      <c r="N410" s="4" t="str">
        <f>HYPERLINK("http://141.218.60.56/~jnz1568/getInfo.php?workbook=08_06.xlsx&amp;sheet=A0&amp;row=410&amp;col=14&amp;number=6676000000&amp;sourceID=7","6676000000")</f>
        <v>6676000000</v>
      </c>
      <c r="O410" s="4" t="str">
        <f>HYPERLINK("http://141.218.60.56/~jnz1568/getInfo.php?workbook=08_06.xlsx&amp;sheet=A0&amp;row=410&amp;col=15&amp;number=&amp;sourceID=5","")</f>
        <v/>
      </c>
      <c r="P410" s="4" t="str">
        <f>HYPERLINK("http://141.218.60.56/~jnz1568/getInfo.php?workbook=08_06.xlsx&amp;sheet=A0&amp;row=410&amp;col=16&amp;number=&amp;sourceID=5","")</f>
        <v/>
      </c>
      <c r="Q410" s="4" t="str">
        <f>HYPERLINK("http://141.218.60.56/~jnz1568/getInfo.php?workbook=08_06.xlsx&amp;sheet=A0&amp;row=410&amp;col=17&amp;number=&amp;sourceID=6","")</f>
        <v/>
      </c>
    </row>
    <row r="411" spans="1:17">
      <c r="A411" s="3">
        <v>8</v>
      </c>
      <c r="B411" s="3">
        <v>6</v>
      </c>
      <c r="C411" s="3">
        <v>46</v>
      </c>
      <c r="D411" s="3">
        <v>17</v>
      </c>
      <c r="E411" s="3">
        <f>((1/(INDEX(E0!J$4:J$49,C411,1)-INDEX(E0!J$4:J$49,D411,1))))*100000000</f>
        <v>0</v>
      </c>
      <c r="F411" s="4" t="str">
        <f>HYPERLINK("http://141.218.60.56/~jnz1568/getInfo.php?workbook=08_06.xlsx&amp;sheet=A0&amp;row=411&amp;col=6&amp;number=16111&amp;sourceID=3","16111")</f>
        <v>16111</v>
      </c>
      <c r="G411" s="4" t="str">
        <f>HYPERLINK("http://141.218.60.56/~jnz1568/getInfo.php?workbook=08_06.xlsx&amp;sheet=A0&amp;row=411&amp;col=7&amp;number=&amp;sourceID=3","")</f>
        <v/>
      </c>
      <c r="H411" s="4" t="str">
        <f>HYPERLINK("http://141.218.60.56/~jnz1568/getInfo.php?workbook=08_06.xlsx&amp;sheet=A0&amp;row=411&amp;col=8&amp;number=&amp;sourceID=3","")</f>
        <v/>
      </c>
      <c r="I411" s="4" t="str">
        <f>HYPERLINK("http://141.218.60.56/~jnz1568/getInfo.php?workbook=08_06.xlsx&amp;sheet=A0&amp;row=411&amp;col=9&amp;number=&amp;sourceID=3","")</f>
        <v/>
      </c>
      <c r="J411" s="4" t="str">
        <f>HYPERLINK("http://141.218.60.56/~jnz1568/getInfo.php?workbook=08_06.xlsx&amp;sheet=A0&amp;row=411&amp;col=10&amp;number=13666&amp;sourceID=3","13666")</f>
        <v>13666</v>
      </c>
      <c r="K411" s="4" t="str">
        <f>HYPERLINK("http://141.218.60.56/~jnz1568/getInfo.php?workbook=08_06.xlsx&amp;sheet=A0&amp;row=411&amp;col=11&amp;number=&amp;sourceID=3","")</f>
        <v/>
      </c>
      <c r="L411" s="4" t="str">
        <f>HYPERLINK("http://141.218.60.56/~jnz1568/getInfo.php?workbook=08_06.xlsx&amp;sheet=A0&amp;row=411&amp;col=12&amp;number=&amp;sourceID=3","")</f>
        <v/>
      </c>
      <c r="M411" s="4" t="str">
        <f>HYPERLINK("http://141.218.60.56/~jnz1568/getInfo.php?workbook=08_06.xlsx&amp;sheet=A0&amp;row=411&amp;col=13&amp;number=&amp;sourceID=3","")</f>
        <v/>
      </c>
      <c r="N411" s="4" t="str">
        <f>HYPERLINK("http://141.218.60.56/~jnz1568/getInfo.php?workbook=08_06.xlsx&amp;sheet=A0&amp;row=411&amp;col=14&amp;number=4151&amp;sourceID=7","4151")</f>
        <v>4151</v>
      </c>
      <c r="O411" s="4" t="str">
        <f>HYPERLINK("http://141.218.60.56/~jnz1568/getInfo.php?workbook=08_06.xlsx&amp;sheet=A0&amp;row=411&amp;col=15&amp;number=&amp;sourceID=5","")</f>
        <v/>
      </c>
      <c r="P411" s="4" t="str">
        <f>HYPERLINK("http://141.218.60.56/~jnz1568/getInfo.php?workbook=08_06.xlsx&amp;sheet=A0&amp;row=411&amp;col=16&amp;number=&amp;sourceID=5","")</f>
        <v/>
      </c>
      <c r="Q411" s="4" t="str">
        <f>HYPERLINK("http://141.218.60.56/~jnz1568/getInfo.php?workbook=08_06.xlsx&amp;sheet=A0&amp;row=411&amp;col=17&amp;number=&amp;sourceID=6","")</f>
        <v/>
      </c>
    </row>
    <row r="412" spans="1:17">
      <c r="A412" s="3">
        <v>8</v>
      </c>
      <c r="B412" s="3">
        <v>6</v>
      </c>
      <c r="C412" s="3">
        <v>46</v>
      </c>
      <c r="D412" s="3">
        <v>19</v>
      </c>
      <c r="E412" s="3">
        <f>((1/(INDEX(E0!J$4:J$49,C412,1)-INDEX(E0!J$4:J$49,D412,1))))*100000000</f>
        <v>0</v>
      </c>
      <c r="F412" s="4" t="str">
        <f>HYPERLINK("http://141.218.60.56/~jnz1568/getInfo.php?workbook=08_06.xlsx&amp;sheet=A0&amp;row=412&amp;col=6&amp;number=13752000&amp;sourceID=3","13752000")</f>
        <v>13752000</v>
      </c>
      <c r="G412" s="4" t="str">
        <f>HYPERLINK("http://141.218.60.56/~jnz1568/getInfo.php?workbook=08_06.xlsx&amp;sheet=A0&amp;row=412&amp;col=7&amp;number=&amp;sourceID=3","")</f>
        <v/>
      </c>
      <c r="H412" s="4" t="str">
        <f>HYPERLINK("http://141.218.60.56/~jnz1568/getInfo.php?workbook=08_06.xlsx&amp;sheet=A0&amp;row=412&amp;col=8&amp;number=&amp;sourceID=3","")</f>
        <v/>
      </c>
      <c r="I412" s="4" t="str">
        <f>HYPERLINK("http://141.218.60.56/~jnz1568/getInfo.php?workbook=08_06.xlsx&amp;sheet=A0&amp;row=412&amp;col=9&amp;number=&amp;sourceID=3","")</f>
        <v/>
      </c>
      <c r="J412" s="4" t="str">
        <f>HYPERLINK("http://141.218.60.56/~jnz1568/getInfo.php?workbook=08_06.xlsx&amp;sheet=A0&amp;row=412&amp;col=10&amp;number=10628000&amp;sourceID=3","10628000")</f>
        <v>10628000</v>
      </c>
      <c r="K412" s="4" t="str">
        <f>HYPERLINK("http://141.218.60.56/~jnz1568/getInfo.php?workbook=08_06.xlsx&amp;sheet=A0&amp;row=412&amp;col=11&amp;number=&amp;sourceID=3","")</f>
        <v/>
      </c>
      <c r="L412" s="4" t="str">
        <f>HYPERLINK("http://141.218.60.56/~jnz1568/getInfo.php?workbook=08_06.xlsx&amp;sheet=A0&amp;row=412&amp;col=12&amp;number=&amp;sourceID=3","")</f>
        <v/>
      </c>
      <c r="M412" s="4" t="str">
        <f>HYPERLINK("http://141.218.60.56/~jnz1568/getInfo.php?workbook=08_06.xlsx&amp;sheet=A0&amp;row=412&amp;col=13&amp;number=&amp;sourceID=3","")</f>
        <v/>
      </c>
      <c r="N412" s="4" t="str">
        <f>HYPERLINK("http://141.218.60.56/~jnz1568/getInfo.php?workbook=08_06.xlsx&amp;sheet=A0&amp;row=412&amp;col=14&amp;number=13580000&amp;sourceID=7","13580000")</f>
        <v>13580000</v>
      </c>
      <c r="O412" s="4" t="str">
        <f>HYPERLINK("http://141.218.60.56/~jnz1568/getInfo.php?workbook=08_06.xlsx&amp;sheet=A0&amp;row=412&amp;col=15&amp;number=&amp;sourceID=5","")</f>
        <v/>
      </c>
      <c r="P412" s="4" t="str">
        <f>HYPERLINK("http://141.218.60.56/~jnz1568/getInfo.php?workbook=08_06.xlsx&amp;sheet=A0&amp;row=412&amp;col=16&amp;number=&amp;sourceID=5","")</f>
        <v/>
      </c>
      <c r="Q412" s="4" t="str">
        <f>HYPERLINK("http://141.218.60.56/~jnz1568/getInfo.php?workbook=08_06.xlsx&amp;sheet=A0&amp;row=412&amp;col=17&amp;number=&amp;sourceID=6","")</f>
        <v/>
      </c>
    </row>
    <row r="413" spans="1:17">
      <c r="A413" s="3">
        <v>8</v>
      </c>
      <c r="B413" s="3">
        <v>6</v>
      </c>
      <c r="C413" s="3">
        <v>46</v>
      </c>
      <c r="D413" s="3">
        <v>38</v>
      </c>
      <c r="E413" s="3">
        <f>((1/(INDEX(E0!J$4:J$49,C413,1)-INDEX(E0!J$4:J$49,D413,1))))*100000000</f>
        <v>0</v>
      </c>
      <c r="F413" s="4" t="str">
        <f>HYPERLINK("http://141.218.60.56/~jnz1568/getInfo.php?workbook=08_06.xlsx&amp;sheet=A0&amp;row=413&amp;col=6&amp;number=41.607&amp;sourceID=3","41.607")</f>
        <v>41.607</v>
      </c>
      <c r="G413" s="4" t="str">
        <f>HYPERLINK("http://141.218.60.56/~jnz1568/getInfo.php?workbook=08_06.xlsx&amp;sheet=A0&amp;row=413&amp;col=7&amp;number=&amp;sourceID=3","")</f>
        <v/>
      </c>
      <c r="H413" s="4" t="str">
        <f>HYPERLINK("http://141.218.60.56/~jnz1568/getInfo.php?workbook=08_06.xlsx&amp;sheet=A0&amp;row=413&amp;col=8&amp;number=&amp;sourceID=3","")</f>
        <v/>
      </c>
      <c r="I413" s="4" t="str">
        <f>HYPERLINK("http://141.218.60.56/~jnz1568/getInfo.php?workbook=08_06.xlsx&amp;sheet=A0&amp;row=413&amp;col=9&amp;number=&amp;sourceID=3","")</f>
        <v/>
      </c>
      <c r="J413" s="4" t="str">
        <f>HYPERLINK("http://141.218.60.56/~jnz1568/getInfo.php?workbook=08_06.xlsx&amp;sheet=A0&amp;row=413&amp;col=10&amp;number=36.526&amp;sourceID=3","36.526")</f>
        <v>36.526</v>
      </c>
      <c r="K413" s="4" t="str">
        <f>HYPERLINK("http://141.218.60.56/~jnz1568/getInfo.php?workbook=08_06.xlsx&amp;sheet=A0&amp;row=413&amp;col=11&amp;number=&amp;sourceID=3","")</f>
        <v/>
      </c>
      <c r="L413" s="4" t="str">
        <f>HYPERLINK("http://141.218.60.56/~jnz1568/getInfo.php?workbook=08_06.xlsx&amp;sheet=A0&amp;row=413&amp;col=12&amp;number=&amp;sourceID=3","")</f>
        <v/>
      </c>
      <c r="M413" s="4" t="str">
        <f>HYPERLINK("http://141.218.60.56/~jnz1568/getInfo.php?workbook=08_06.xlsx&amp;sheet=A0&amp;row=413&amp;col=13&amp;number=&amp;sourceID=3","")</f>
        <v/>
      </c>
      <c r="N413" s="4" t="str">
        <f>HYPERLINK("http://141.218.60.56/~jnz1568/getInfo.php?workbook=08_06.xlsx&amp;sheet=A0&amp;row=413&amp;col=14&amp;number=59.5&amp;sourceID=7","59.5")</f>
        <v>59.5</v>
      </c>
      <c r="O413" s="4" t="str">
        <f>HYPERLINK("http://141.218.60.56/~jnz1568/getInfo.php?workbook=08_06.xlsx&amp;sheet=A0&amp;row=413&amp;col=15&amp;number=&amp;sourceID=5","")</f>
        <v/>
      </c>
      <c r="P413" s="4" t="str">
        <f>HYPERLINK("http://141.218.60.56/~jnz1568/getInfo.php?workbook=08_06.xlsx&amp;sheet=A0&amp;row=413&amp;col=16&amp;number=&amp;sourceID=5","")</f>
        <v/>
      </c>
      <c r="Q413" s="4" t="str">
        <f>HYPERLINK("http://141.218.60.56/~jnz1568/getInfo.php?workbook=08_06.xlsx&amp;sheet=A0&amp;row=413&amp;col=17&amp;number=&amp;sourceID=6","")</f>
        <v/>
      </c>
    </row>
    <row r="414" spans="1:17">
      <c r="A414" s="3">
        <v>8</v>
      </c>
      <c r="B414" s="3">
        <v>6</v>
      </c>
      <c r="C414" s="3">
        <v>46</v>
      </c>
      <c r="D414" s="3">
        <v>42</v>
      </c>
      <c r="E414" s="3">
        <f>((1/(INDEX(E0!J$4:J$49,C414,1)-INDEX(E0!J$4:J$49,D414,1))))*100000000</f>
        <v>0</v>
      </c>
      <c r="F414" s="4" t="str">
        <f>HYPERLINK("http://141.218.60.56/~jnz1568/getInfo.php?workbook=08_06.xlsx&amp;sheet=A0&amp;row=414&amp;col=6&amp;number=28.222&amp;sourceID=3","28.222")</f>
        <v>28.222</v>
      </c>
      <c r="G414" s="4" t="str">
        <f>HYPERLINK("http://141.218.60.56/~jnz1568/getInfo.php?workbook=08_06.xlsx&amp;sheet=A0&amp;row=414&amp;col=7&amp;number=&amp;sourceID=3","")</f>
        <v/>
      </c>
      <c r="H414" s="4" t="str">
        <f>HYPERLINK("http://141.218.60.56/~jnz1568/getInfo.php?workbook=08_06.xlsx&amp;sheet=A0&amp;row=414&amp;col=8&amp;number=&amp;sourceID=3","")</f>
        <v/>
      </c>
      <c r="I414" s="4" t="str">
        <f>HYPERLINK("http://141.218.60.56/~jnz1568/getInfo.php?workbook=08_06.xlsx&amp;sheet=A0&amp;row=414&amp;col=9&amp;number=&amp;sourceID=3","")</f>
        <v/>
      </c>
      <c r="J414" s="4" t="str">
        <f>HYPERLINK("http://141.218.60.56/~jnz1568/getInfo.php?workbook=08_06.xlsx&amp;sheet=A0&amp;row=414&amp;col=10&amp;number=22.646&amp;sourceID=3","22.646")</f>
        <v>22.646</v>
      </c>
      <c r="K414" s="4" t="str">
        <f>HYPERLINK("http://141.218.60.56/~jnz1568/getInfo.php?workbook=08_06.xlsx&amp;sheet=A0&amp;row=414&amp;col=11&amp;number=&amp;sourceID=3","")</f>
        <v/>
      </c>
      <c r="L414" s="4" t="str">
        <f>HYPERLINK("http://141.218.60.56/~jnz1568/getInfo.php?workbook=08_06.xlsx&amp;sheet=A0&amp;row=414&amp;col=12&amp;number=&amp;sourceID=3","")</f>
        <v/>
      </c>
      <c r="M414" s="4" t="str">
        <f>HYPERLINK("http://141.218.60.56/~jnz1568/getInfo.php?workbook=08_06.xlsx&amp;sheet=A0&amp;row=414&amp;col=13&amp;number=&amp;sourceID=3","")</f>
        <v/>
      </c>
      <c r="N414" s="4" t="str">
        <f>HYPERLINK("http://141.218.60.56/~jnz1568/getInfo.php?workbook=08_06.xlsx&amp;sheet=A0&amp;row=414&amp;col=14&amp;number=4.476&amp;sourceID=7","4.476")</f>
        <v>4.476</v>
      </c>
      <c r="O414" s="4" t="str">
        <f>HYPERLINK("http://141.218.60.56/~jnz1568/getInfo.php?workbook=08_06.xlsx&amp;sheet=A0&amp;row=414&amp;col=15&amp;number=&amp;sourceID=5","")</f>
        <v/>
      </c>
      <c r="P414" s="4" t="str">
        <f>HYPERLINK("http://141.218.60.56/~jnz1568/getInfo.php?workbook=08_06.xlsx&amp;sheet=A0&amp;row=414&amp;col=16&amp;number=&amp;sourceID=5","")</f>
        <v/>
      </c>
      <c r="Q414" s="4" t="str">
        <f>HYPERLINK("http://141.218.60.56/~jnz1568/getInfo.php?workbook=08_06.xlsx&amp;sheet=A0&amp;row=414&amp;col=17&amp;number=&amp;sourceID=6","")</f>
        <v/>
      </c>
    </row>
    <row r="415" spans="1:17">
      <c r="A415" s="3">
        <v>8</v>
      </c>
      <c r="B415" s="3">
        <v>6</v>
      </c>
      <c r="C415" s="3">
        <v>46</v>
      </c>
      <c r="D415" s="3">
        <v>45</v>
      </c>
      <c r="E415" s="3">
        <f>((1/(INDEX(E0!J$4:J$49,C415,1)-INDEX(E0!J$4:J$49,D415,1))))*100000000</f>
        <v>0</v>
      </c>
      <c r="F415" s="4" t="str">
        <f>HYPERLINK("http://141.218.60.56/~jnz1568/getInfo.php?workbook=08_06.xlsx&amp;sheet=A0&amp;row=415&amp;col=6&amp;number=18304&amp;sourceID=3","18304")</f>
        <v>18304</v>
      </c>
      <c r="G415" s="4" t="str">
        <f>HYPERLINK("http://141.218.60.56/~jnz1568/getInfo.php?workbook=08_06.xlsx&amp;sheet=A0&amp;row=415&amp;col=7&amp;number=&amp;sourceID=3","")</f>
        <v/>
      </c>
      <c r="H415" s="4" t="str">
        <f>HYPERLINK("http://141.218.60.56/~jnz1568/getInfo.php?workbook=08_06.xlsx&amp;sheet=A0&amp;row=415&amp;col=8&amp;number=&amp;sourceID=3","")</f>
        <v/>
      </c>
      <c r="I415" s="4" t="str">
        <f>HYPERLINK("http://141.218.60.56/~jnz1568/getInfo.php?workbook=08_06.xlsx&amp;sheet=A0&amp;row=415&amp;col=9&amp;number=&amp;sourceID=3","")</f>
        <v/>
      </c>
      <c r="J415" s="4" t="str">
        <f>HYPERLINK("http://141.218.60.56/~jnz1568/getInfo.php?workbook=08_06.xlsx&amp;sheet=A0&amp;row=415&amp;col=10&amp;number=13228&amp;sourceID=3","13228")</f>
        <v>13228</v>
      </c>
      <c r="K415" s="4" t="str">
        <f>HYPERLINK("http://141.218.60.56/~jnz1568/getInfo.php?workbook=08_06.xlsx&amp;sheet=A0&amp;row=415&amp;col=11&amp;number=&amp;sourceID=3","")</f>
        <v/>
      </c>
      <c r="L415" s="4" t="str">
        <f>HYPERLINK("http://141.218.60.56/~jnz1568/getInfo.php?workbook=08_06.xlsx&amp;sheet=A0&amp;row=415&amp;col=12&amp;number=&amp;sourceID=3","")</f>
        <v/>
      </c>
      <c r="M415" s="4" t="str">
        <f>HYPERLINK("http://141.218.60.56/~jnz1568/getInfo.php?workbook=08_06.xlsx&amp;sheet=A0&amp;row=415&amp;col=13&amp;number=&amp;sourceID=3","")</f>
        <v/>
      </c>
      <c r="N415" s="4" t="str">
        <f>HYPERLINK("http://141.218.60.56/~jnz1568/getInfo.php?workbook=08_06.xlsx&amp;sheet=A0&amp;row=415&amp;col=14&amp;number=1416&amp;sourceID=7","1416")</f>
        <v>1416</v>
      </c>
      <c r="O415" s="4" t="str">
        <f>HYPERLINK("http://141.218.60.56/~jnz1568/getInfo.php?workbook=08_06.xlsx&amp;sheet=A0&amp;row=415&amp;col=15&amp;number=&amp;sourceID=5","")</f>
        <v/>
      </c>
      <c r="P415" s="4" t="str">
        <f>HYPERLINK("http://141.218.60.56/~jnz1568/getInfo.php?workbook=08_06.xlsx&amp;sheet=A0&amp;row=415&amp;col=16&amp;number=&amp;sourceID=5","")</f>
        <v/>
      </c>
      <c r="Q415" s="4" t="str">
        <f>HYPERLINK("http://141.218.60.56/~jnz1568/getInfo.php?workbook=08_06.xlsx&amp;sheet=A0&amp;row=415&amp;col=17&amp;number=&amp;sourceID=6","")</f>
        <v/>
      </c>
    </row>
  </sheetData>
  <mergeCells count="1">
    <mergeCell ref="A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3"/>
  <sheetViews>
    <sheetView workbookViewId="0"/>
  </sheetViews>
  <sheetFormatPr defaultRowHeight="15"/>
  <cols>
    <col min="1" max="1" width="2.7109375" customWidth="1"/>
    <col min="2" max="2" width="2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15.7109375" customWidth="1"/>
    <col min="8" max="8" width="14.7109375" customWidth="1"/>
    <col min="9" max="9" width="8.7109375" customWidth="1"/>
    <col min="10" max="10" width="9.7109375" customWidth="1"/>
    <col min="11" max="11" width="16.7109375" customWidth="1"/>
    <col min="12" max="12" width="14.7109375" customWidth="1"/>
    <col min="13" max="13" width="15.7109375" customWidth="1"/>
  </cols>
  <sheetData>
    <row r="1" spans="1:13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 t="s">
        <v>3</v>
      </c>
      <c r="G2" s="2" t="s">
        <v>3</v>
      </c>
      <c r="H2" s="2" t="s">
        <v>46</v>
      </c>
      <c r="I2" s="2" t="s">
        <v>46</v>
      </c>
      <c r="J2" s="2" t="s">
        <v>47</v>
      </c>
      <c r="K2" s="2" t="s">
        <v>47</v>
      </c>
      <c r="L2" s="2" t="s">
        <v>48</v>
      </c>
      <c r="M2" s="2" t="s">
        <v>48</v>
      </c>
    </row>
    <row r="3" spans="1:13">
      <c r="A3" s="2" t="s">
        <v>4</v>
      </c>
      <c r="B3" s="2" t="s">
        <v>5</v>
      </c>
      <c r="C3" s="2" t="s">
        <v>39</v>
      </c>
      <c r="D3" s="2" t="s">
        <v>6</v>
      </c>
      <c r="E3" s="2" t="s">
        <v>49</v>
      </c>
      <c r="F3" s="2" t="s">
        <v>50</v>
      </c>
      <c r="G3" s="2" t="s">
        <v>51</v>
      </c>
      <c r="H3" s="2" t="s">
        <v>50</v>
      </c>
      <c r="I3" s="2" t="s">
        <v>51</v>
      </c>
      <c r="J3" s="2" t="s">
        <v>50</v>
      </c>
      <c r="K3" s="2" t="s">
        <v>51</v>
      </c>
      <c r="L3" s="2" t="s">
        <v>50</v>
      </c>
      <c r="M3" s="2" t="s">
        <v>51</v>
      </c>
    </row>
    <row r="4" spans="1:13">
      <c r="A4" s="3">
        <v>8</v>
      </c>
      <c r="B4" s="3">
        <v>6</v>
      </c>
      <c r="C4" s="3">
        <v>2</v>
      </c>
      <c r="D4" s="3">
        <v>1</v>
      </c>
      <c r="E4" s="3">
        <v>1</v>
      </c>
      <c r="F4" s="4" t="str">
        <f>HYPERLINK("http://141.218.60.56/~jnz1568/getInfo.php?workbook=08_06.xlsx&amp;sheet=U0&amp;row=4&amp;col=6&amp;number=3.4&amp;sourceID=4","3.4")</f>
        <v>3.4</v>
      </c>
      <c r="G4" s="4" t="str">
        <f>HYPERLINK("http://141.218.60.56/~jnz1568/getInfo.php?workbook=08_06.xlsx&amp;sheet=U0&amp;row=4&amp;col=7&amp;number=0.501&amp;sourceID=4","0.501")</f>
        <v>0.501</v>
      </c>
      <c r="H4" s="4" t="str">
        <f>HYPERLINK("http://141.218.60.56/~jnz1568/getInfo.php?workbook=08_06.xlsx&amp;sheet=U0&amp;row=4&amp;col=8&amp;number=2&amp;sourceID=8","2")</f>
        <v>2</v>
      </c>
      <c r="I4" s="4" t="str">
        <f>HYPERLINK("http://141.218.60.56/~jnz1568/getInfo.php?workbook=08_06.xlsx&amp;sheet=U0&amp;row=4&amp;col=9&amp;number=0.5814&amp;sourceID=8","0.5814")</f>
        <v>0.5814</v>
      </c>
      <c r="J4" s="4" t="str">
        <f>HYPERLINK("http://141.218.60.56/~jnz1568/getInfo.php?workbook=08_06.xlsx&amp;sheet=U0&amp;row=4&amp;col=10&amp;number=3&amp;sourceID=9","3")</f>
        <v>3</v>
      </c>
      <c r="K4" s="4" t="str">
        <f>HYPERLINK("http://141.218.60.56/~jnz1568/getInfo.php?workbook=08_06.xlsx&amp;sheet=U0&amp;row=4&amp;col=11&amp;number=0.4975&amp;sourceID=9","0.4975")</f>
        <v>0.4975</v>
      </c>
      <c r="L4" s="4" t="str">
        <f>HYPERLINK("http://141.218.60.56/~jnz1568/getInfo.php?workbook=08_06.xlsx&amp;sheet=U0&amp;row=4&amp;col=12&amp;number=3.69897000434&amp;sourceID=10","3.69897000434")</f>
        <v>3.69897000434</v>
      </c>
      <c r="M4" s="4" t="str">
        <f>HYPERLINK("http://141.218.60.56/~jnz1568/getInfo.php?workbook=08_06.xlsx&amp;sheet=U0&amp;row=4&amp;col=13&amp;number=0.40377452992&amp;sourceID=10","0.40377452992")</f>
        <v>0.40377452992</v>
      </c>
    </row>
    <row r="5" spans="1:13">
      <c r="A5" s="3"/>
      <c r="B5" s="3"/>
      <c r="C5" s="3"/>
      <c r="D5" s="3"/>
      <c r="E5" s="3">
        <v>2</v>
      </c>
      <c r="F5" s="4" t="str">
        <f>HYPERLINK("http://141.218.60.56/~jnz1568/getInfo.php?workbook=08_06.xlsx&amp;sheet=U0&amp;row=5&amp;col=6&amp;number=3.7&amp;sourceID=4","3.7")</f>
        <v>3.7</v>
      </c>
      <c r="G5" s="4" t="str">
        <f>HYPERLINK("http://141.218.60.56/~jnz1568/getInfo.php?workbook=08_06.xlsx&amp;sheet=U0&amp;row=5&amp;col=7&amp;number=0.508&amp;sourceID=4","0.508")</f>
        <v>0.508</v>
      </c>
      <c r="H5" s="4" t="str">
        <f>HYPERLINK("http://141.218.60.56/~jnz1568/getInfo.php?workbook=08_06.xlsx&amp;sheet=U0&amp;row=5&amp;col=8&amp;number=2.69897000434&amp;sourceID=8","2.69897000434")</f>
        <v>2.69897000434</v>
      </c>
      <c r="I5" s="4" t="str">
        <f>HYPERLINK("http://141.218.60.56/~jnz1568/getInfo.php?workbook=08_06.xlsx&amp;sheet=U0&amp;row=5&amp;col=9&amp;number=0.5005&amp;sourceID=8","0.5005")</f>
        <v>0.5005</v>
      </c>
      <c r="J5" s="4" t="str">
        <f>HYPERLINK("http://141.218.60.56/~jnz1568/getInfo.php?workbook=08_06.xlsx&amp;sheet=U0&amp;row=5&amp;col=10&amp;number=3.2&amp;sourceID=9","3.2")</f>
        <v>3.2</v>
      </c>
      <c r="K5" s="4" t="str">
        <f>HYPERLINK("http://141.218.60.56/~jnz1568/getInfo.php?workbook=08_06.xlsx&amp;sheet=U0&amp;row=5&amp;col=11&amp;number=0.5066&amp;sourceID=9","0.5066")</f>
        <v>0.5066</v>
      </c>
      <c r="L5" s="4" t="str">
        <f>HYPERLINK("http://141.218.60.56/~jnz1568/getInfo.php?workbook=08_06.xlsx&amp;sheet=U0&amp;row=5&amp;col=12&amp;number=3.77815125038&amp;sourceID=10","3.77815125038")</f>
        <v>3.77815125038</v>
      </c>
      <c r="M5" s="4" t="str">
        <f>HYPERLINK("http://141.218.60.56/~jnz1568/getInfo.php?workbook=08_06.xlsx&amp;sheet=U0&amp;row=5&amp;col=13&amp;number=0.41117328557&amp;sourceID=10","0.41117328557")</f>
        <v>0.41117328557</v>
      </c>
    </row>
    <row r="6" spans="1:13">
      <c r="A6" s="3"/>
      <c r="B6" s="3"/>
      <c r="C6" s="3"/>
      <c r="D6" s="3"/>
      <c r="E6" s="3">
        <v>3</v>
      </c>
      <c r="F6" s="4" t="str">
        <f>HYPERLINK("http://141.218.60.56/~jnz1568/getInfo.php?workbook=08_06.xlsx&amp;sheet=U0&amp;row=6&amp;col=6&amp;number=3.88&amp;sourceID=4","3.88")</f>
        <v>3.88</v>
      </c>
      <c r="G6" s="4" t="str">
        <f>HYPERLINK("http://141.218.60.56/~jnz1568/getInfo.php?workbook=08_06.xlsx&amp;sheet=U0&amp;row=6&amp;col=7&amp;number=0.516&amp;sourceID=4","0.516")</f>
        <v>0.516</v>
      </c>
      <c r="H6" s="4" t="str">
        <f>HYPERLINK("http://141.218.60.56/~jnz1568/getInfo.php?workbook=08_06.xlsx&amp;sheet=U0&amp;row=6&amp;col=8&amp;number=3&amp;sourceID=8","3")</f>
        <v>3</v>
      </c>
      <c r="I6" s="4" t="str">
        <f>HYPERLINK("http://141.218.60.56/~jnz1568/getInfo.php?workbook=08_06.xlsx&amp;sheet=U0&amp;row=6&amp;col=9&amp;number=0.4866&amp;sourceID=8","0.4866")</f>
        <v>0.4866</v>
      </c>
      <c r="J6" s="4" t="str">
        <f>HYPERLINK("http://141.218.60.56/~jnz1568/getInfo.php?workbook=08_06.xlsx&amp;sheet=U0&amp;row=6&amp;col=10&amp;number=3.4&amp;sourceID=9","3.4")</f>
        <v>3.4</v>
      </c>
      <c r="K6" s="4" t="str">
        <f>HYPERLINK("http://141.218.60.56/~jnz1568/getInfo.php?workbook=08_06.xlsx&amp;sheet=U0&amp;row=6&amp;col=11&amp;number=0.5115&amp;sourceID=9","0.5115")</f>
        <v>0.5115</v>
      </c>
      <c r="L6" s="4" t="str">
        <f>HYPERLINK("http://141.218.60.56/~jnz1568/getInfo.php?workbook=08_06.xlsx&amp;sheet=U0&amp;row=6&amp;col=12&amp;number=3.84509804001&amp;sourceID=10","3.84509804001")</f>
        <v>3.84509804001</v>
      </c>
      <c r="M6" s="4" t="str">
        <f>HYPERLINK("http://141.218.60.56/~jnz1568/getInfo.php?workbook=08_06.xlsx&amp;sheet=U0&amp;row=6&amp;col=13&amp;number=0.418658990285&amp;sourceID=10","0.418658990285")</f>
        <v>0.418658990285</v>
      </c>
    </row>
    <row r="7" spans="1:13">
      <c r="A7" s="3"/>
      <c r="B7" s="3"/>
      <c r="C7" s="3"/>
      <c r="D7" s="3"/>
      <c r="E7" s="3">
        <v>4</v>
      </c>
      <c r="F7" s="4" t="str">
        <f>HYPERLINK("http://141.218.60.56/~jnz1568/getInfo.php?workbook=08_06.xlsx&amp;sheet=U0&amp;row=7&amp;col=6&amp;number=4&amp;sourceID=4","4")</f>
        <v>4</v>
      </c>
      <c r="G7" s="4" t="str">
        <f>HYPERLINK("http://141.218.60.56/~jnz1568/getInfo.php?workbook=08_06.xlsx&amp;sheet=U0&amp;row=7&amp;col=7&amp;number=0.522&amp;sourceID=4","0.522")</f>
        <v>0.522</v>
      </c>
      <c r="H7" s="4" t="str">
        <f>HYPERLINK("http://141.218.60.56/~jnz1568/getInfo.php?workbook=08_06.xlsx&amp;sheet=U0&amp;row=7&amp;col=8&amp;number=3.69897000434&amp;sourceID=8","3.69897000434")</f>
        <v>3.69897000434</v>
      </c>
      <c r="I7" s="4" t="str">
        <f>HYPERLINK("http://141.218.60.56/~jnz1568/getInfo.php?workbook=08_06.xlsx&amp;sheet=U0&amp;row=7&amp;col=9&amp;number=0.524&amp;sourceID=8","0.524")</f>
        <v>0.524</v>
      </c>
      <c r="J7" s="4" t="str">
        <f>HYPERLINK("http://141.218.60.56/~jnz1568/getInfo.php?workbook=08_06.xlsx&amp;sheet=U0&amp;row=7&amp;col=10&amp;number=3.6&amp;sourceID=9","3.6")</f>
        <v>3.6</v>
      </c>
      <c r="K7" s="4" t="str">
        <f>HYPERLINK("http://141.218.60.56/~jnz1568/getInfo.php?workbook=08_06.xlsx&amp;sheet=U0&amp;row=7&amp;col=11&amp;number=0.518&amp;sourceID=9","0.518")</f>
        <v>0.518</v>
      </c>
      <c r="L7" s="4" t="str">
        <f>HYPERLINK("http://141.218.60.56/~jnz1568/getInfo.php?workbook=08_06.xlsx&amp;sheet=U0&amp;row=7&amp;col=12&amp;number=3.90308998699&amp;sourceID=10","3.90308998699")</f>
        <v>3.90308998699</v>
      </c>
      <c r="M7" s="4" t="str">
        <f>HYPERLINK("http://141.218.60.56/~jnz1568/getInfo.php?workbook=08_06.xlsx&amp;sheet=U0&amp;row=7&amp;col=13&amp;number=0.425739368525&amp;sourceID=10","0.425739368525")</f>
        <v>0.425739368525</v>
      </c>
    </row>
    <row r="8" spans="1:13">
      <c r="A8" s="3"/>
      <c r="B8" s="3"/>
      <c r="C8" s="3"/>
      <c r="D8" s="3"/>
      <c r="E8" s="3">
        <v>5</v>
      </c>
      <c r="F8" s="4" t="str">
        <f>HYPERLINK("http://141.218.60.56/~jnz1568/getInfo.php?workbook=08_06.xlsx&amp;sheet=U0&amp;row=8&amp;col=6&amp;number=4.1&amp;sourceID=4","4.1")</f>
        <v>4.1</v>
      </c>
      <c r="G8" s="4" t="str">
        <f>HYPERLINK("http://141.218.60.56/~jnz1568/getInfo.php?workbook=08_06.xlsx&amp;sheet=U0&amp;row=8&amp;col=7&amp;number=0.527&amp;sourceID=4","0.527")</f>
        <v>0.527</v>
      </c>
      <c r="H8" s="4" t="str">
        <f>HYPERLINK("http://141.218.60.56/~jnz1568/getInfo.php?workbook=08_06.xlsx&amp;sheet=U0&amp;row=8&amp;col=8&amp;number=4&amp;sourceID=8","4")</f>
        <v>4</v>
      </c>
      <c r="I8" s="4" t="str">
        <f>HYPERLINK("http://141.218.60.56/~jnz1568/getInfo.php?workbook=08_06.xlsx&amp;sheet=U0&amp;row=8&amp;col=9&amp;number=0.5648&amp;sourceID=8","0.5648")</f>
        <v>0.5648</v>
      </c>
      <c r="J8" s="4" t="str">
        <f>HYPERLINK("http://141.218.60.56/~jnz1568/getInfo.php?workbook=08_06.xlsx&amp;sheet=U0&amp;row=8&amp;col=10&amp;number=3.8&amp;sourceID=9","3.8")</f>
        <v>3.8</v>
      </c>
      <c r="K8" s="4" t="str">
        <f>HYPERLINK("http://141.218.60.56/~jnz1568/getInfo.php?workbook=08_06.xlsx&amp;sheet=U0&amp;row=8&amp;col=11&amp;number=0.5296&amp;sourceID=9","0.5296")</f>
        <v>0.5296</v>
      </c>
      <c r="L8" s="4" t="str">
        <f>HYPERLINK("http://141.218.60.56/~jnz1568/getInfo.php?workbook=08_06.xlsx&amp;sheet=U0&amp;row=8&amp;col=12&amp;number=3.95424250944&amp;sourceID=10","3.95424250944")</f>
        <v>3.95424250944</v>
      </c>
      <c r="M8" s="4" t="str">
        <f>HYPERLINK("http://141.218.60.56/~jnz1568/getInfo.php?workbook=08_06.xlsx&amp;sheet=U0&amp;row=8&amp;col=13&amp;number=0.432162058688&amp;sourceID=10","0.432162058688")</f>
        <v>0.432162058688</v>
      </c>
    </row>
    <row r="9" spans="1:13">
      <c r="A9" s="3"/>
      <c r="B9" s="3"/>
      <c r="C9" s="3"/>
      <c r="D9" s="3"/>
      <c r="E9" s="3">
        <v>6</v>
      </c>
      <c r="F9" s="4" t="str">
        <f>HYPERLINK("http://141.218.60.56/~jnz1568/getInfo.php?workbook=08_06.xlsx&amp;sheet=U0&amp;row=9&amp;col=6&amp;number=4.18&amp;sourceID=4","4.18")</f>
        <v>4.18</v>
      </c>
      <c r="G9" s="4" t="str">
        <f>HYPERLINK("http://141.218.60.56/~jnz1568/getInfo.php?workbook=08_06.xlsx&amp;sheet=U0&amp;row=9&amp;col=7&amp;number=0.529&amp;sourceID=4","0.529")</f>
        <v>0.529</v>
      </c>
      <c r="H9" s="4" t="str">
        <f>HYPERLINK("http://141.218.60.56/~jnz1568/getInfo.php?workbook=08_06.xlsx&amp;sheet=U0&amp;row=9&amp;col=8&amp;number=4.30102999566&amp;sourceID=8","4.30102999566")</f>
        <v>4.30102999566</v>
      </c>
      <c r="I9" s="4" t="str">
        <f>HYPERLINK("http://141.218.60.56/~jnz1568/getInfo.php?workbook=08_06.xlsx&amp;sheet=U0&amp;row=9&amp;col=9&amp;number=0.6007&amp;sourceID=8","0.6007")</f>
        <v>0.6007</v>
      </c>
      <c r="J9" s="4" t="str">
        <f>HYPERLINK("http://141.218.60.56/~jnz1568/getInfo.php?workbook=08_06.xlsx&amp;sheet=U0&amp;row=9&amp;col=10&amp;number=4&amp;sourceID=9","4")</f>
        <v>4</v>
      </c>
      <c r="K9" s="4" t="str">
        <f>HYPERLINK("http://141.218.60.56/~jnz1568/getInfo.php?workbook=08_06.xlsx&amp;sheet=U0&amp;row=9&amp;col=11&amp;number=0.5454&amp;sourceID=9","0.5454")</f>
        <v>0.5454</v>
      </c>
      <c r="L9" s="4" t="str">
        <f>HYPERLINK("http://141.218.60.56/~jnz1568/getInfo.php?workbook=08_06.xlsx&amp;sheet=U0&amp;row=9&amp;col=12&amp;number=4&amp;sourceID=10","4")</f>
        <v>4</v>
      </c>
      <c r="M9" s="4" t="str">
        <f>HYPERLINK("http://141.218.60.56/~jnz1568/getInfo.php?workbook=08_06.xlsx&amp;sheet=U0&amp;row=9&amp;col=13&amp;number=0.43783099528&amp;sourceID=10","0.43783099528")</f>
        <v>0.43783099528</v>
      </c>
    </row>
    <row r="10" spans="1:13">
      <c r="A10" s="3"/>
      <c r="B10" s="3"/>
      <c r="C10" s="3"/>
      <c r="D10" s="3"/>
      <c r="E10" s="3">
        <v>7</v>
      </c>
      <c r="F10" s="4" t="str">
        <f>HYPERLINK("http://141.218.60.56/~jnz1568/getInfo.php?workbook=08_06.xlsx&amp;sheet=U0&amp;row=10&amp;col=6&amp;number=4.24&amp;sourceID=4","4.24")</f>
        <v>4.24</v>
      </c>
      <c r="G10" s="4" t="str">
        <f>HYPERLINK("http://141.218.60.56/~jnz1568/getInfo.php?workbook=08_06.xlsx&amp;sheet=U0&amp;row=10&amp;col=7&amp;number=0.531&amp;sourceID=4","0.531")</f>
        <v>0.531</v>
      </c>
      <c r="H10" s="4" t="str">
        <f>HYPERLINK("http://141.218.60.56/~jnz1568/getInfo.php?workbook=08_06.xlsx&amp;sheet=U0&amp;row=10&amp;col=8&amp;number=4.47712125472&amp;sourceID=8","4.47712125472")</f>
        <v>4.47712125472</v>
      </c>
      <c r="I10" s="4" t="str">
        <f>HYPERLINK("http://141.218.60.56/~jnz1568/getInfo.php?workbook=08_06.xlsx&amp;sheet=U0&amp;row=10&amp;col=9&amp;number=0.6116&amp;sourceID=8","0.6116")</f>
        <v>0.6116</v>
      </c>
      <c r="J10" s="4" t="str">
        <f>HYPERLINK("http://141.218.60.56/~jnz1568/getInfo.php?workbook=08_06.xlsx&amp;sheet=U0&amp;row=10&amp;col=10&amp;number=4.2&amp;sourceID=9","4.2")</f>
        <v>4.2</v>
      </c>
      <c r="K10" s="4" t="str">
        <f>HYPERLINK("http://141.218.60.56/~jnz1568/getInfo.php?workbook=08_06.xlsx&amp;sheet=U0&amp;row=10&amp;col=11&amp;number=0.559&amp;sourceID=9","0.559")</f>
        <v>0.559</v>
      </c>
      <c r="L10" s="4" t="str">
        <f>HYPERLINK("http://141.218.60.56/~jnz1568/getInfo.php?workbook=08_06.xlsx&amp;sheet=U0&amp;row=10&amp;col=12&amp;number=4.04139268516&amp;sourceID=10","4.04139268516")</f>
        <v>4.04139268516</v>
      </c>
      <c r="M10" s="4" t="str">
        <f>HYPERLINK("http://141.218.60.56/~jnz1568/getInfo.php?workbook=08_06.xlsx&amp;sheet=U0&amp;row=10&amp;col=13&amp;number=0.44274546324&amp;sourceID=10","0.44274546324")</f>
        <v>0.44274546324</v>
      </c>
    </row>
    <row r="11" spans="1:13">
      <c r="A11" s="3"/>
      <c r="B11" s="3"/>
      <c r="C11" s="3"/>
      <c r="D11" s="3"/>
      <c r="E11" s="3">
        <v>8</v>
      </c>
      <c r="F11" s="4" t="str">
        <f>HYPERLINK("http://141.218.60.56/~jnz1568/getInfo.php?workbook=08_06.xlsx&amp;sheet=U0&amp;row=11&amp;col=6&amp;number=4.3&amp;sourceID=4","4.3")</f>
        <v>4.3</v>
      </c>
      <c r="G11" s="4" t="str">
        <f>HYPERLINK("http://141.218.60.56/~jnz1568/getInfo.php?workbook=08_06.xlsx&amp;sheet=U0&amp;row=11&amp;col=7&amp;number=0.532&amp;sourceID=4","0.532")</f>
        <v>0.532</v>
      </c>
      <c r="H11" s="4" t="str">
        <f>HYPERLINK("http://141.218.60.56/~jnz1568/getInfo.php?workbook=08_06.xlsx&amp;sheet=U0&amp;row=11&amp;col=8&amp;number=&amp;sourceID=8","")</f>
        <v/>
      </c>
      <c r="I11" s="4" t="str">
        <f>HYPERLINK("http://141.218.60.56/~jnz1568/getInfo.php?workbook=08_06.xlsx&amp;sheet=U0&amp;row=11&amp;col=9&amp;number=&amp;sourceID=8","")</f>
        <v/>
      </c>
      <c r="J11" s="4" t="str">
        <f>HYPERLINK("http://141.218.60.56/~jnz1568/getInfo.php?workbook=08_06.xlsx&amp;sheet=U0&amp;row=11&amp;col=10&amp;number=4.4&amp;sourceID=9","4.4")</f>
        <v>4.4</v>
      </c>
      <c r="K11" s="4" t="str">
        <f>HYPERLINK("http://141.218.60.56/~jnz1568/getInfo.php?workbook=08_06.xlsx&amp;sheet=U0&amp;row=11&amp;col=11&amp;number=0.5678&amp;sourceID=9","0.5678")</f>
        <v>0.5678</v>
      </c>
      <c r="L11" s="4" t="str">
        <f>HYPERLINK("http://141.218.60.56/~jnz1568/getInfo.php?workbook=08_06.xlsx&amp;sheet=U0&amp;row=11&amp;col=12&amp;number=4.07918124605&amp;sourceID=10","4.07918124605")</f>
        <v>4.07918124605</v>
      </c>
      <c r="M11" s="4" t="str">
        <f>HYPERLINK("http://141.218.60.56/~jnz1568/getInfo.php?workbook=08_06.xlsx&amp;sheet=U0&amp;row=11&amp;col=13&amp;number=0.44695776055&amp;sourceID=10","0.44695776055")</f>
        <v>0.44695776055</v>
      </c>
    </row>
    <row r="12" spans="1:13">
      <c r="A12" s="3"/>
      <c r="B12" s="3"/>
      <c r="C12" s="3"/>
      <c r="D12" s="3"/>
      <c r="E12" s="3">
        <v>9</v>
      </c>
      <c r="F12" s="4" t="str">
        <f>HYPERLINK("http://141.218.60.56/~jnz1568/getInfo.php?workbook=08_06.xlsx&amp;sheet=U0&amp;row=12&amp;col=6&amp;number=4.4&amp;sourceID=4","4.4")</f>
        <v>4.4</v>
      </c>
      <c r="G12" s="4" t="str">
        <f>HYPERLINK("http://141.218.60.56/~jnz1568/getInfo.php?workbook=08_06.xlsx&amp;sheet=U0&amp;row=12&amp;col=7&amp;number=0.535&amp;sourceID=4","0.535")</f>
        <v>0.535</v>
      </c>
      <c r="H12" s="4" t="str">
        <f>HYPERLINK("http://141.218.60.56/~jnz1568/getInfo.php?workbook=08_06.xlsx&amp;sheet=U0&amp;row=12&amp;col=8&amp;number=&amp;sourceID=8","")</f>
        <v/>
      </c>
      <c r="I12" s="4" t="str">
        <f>HYPERLINK("http://141.218.60.56/~jnz1568/getInfo.php?workbook=08_06.xlsx&amp;sheet=U0&amp;row=12&amp;col=9&amp;number=&amp;sourceID=8","")</f>
        <v/>
      </c>
      <c r="J12" s="4" t="str">
        <f>HYPERLINK("http://141.218.60.56/~jnz1568/getInfo.php?workbook=08_06.xlsx&amp;sheet=U0&amp;row=12&amp;col=10&amp;number=4.6&amp;sourceID=9","4.6")</f>
        <v>4.6</v>
      </c>
      <c r="K12" s="4" t="str">
        <f>HYPERLINK("http://141.218.60.56/~jnz1568/getInfo.php?workbook=08_06.xlsx&amp;sheet=U0&amp;row=12&amp;col=11&amp;number=0.5788&amp;sourceID=9","0.5788")</f>
        <v>0.5788</v>
      </c>
      <c r="L12" s="4" t="str">
        <f>HYPERLINK("http://141.218.60.56/~jnz1568/getInfo.php?workbook=08_06.xlsx&amp;sheet=U0&amp;row=12&amp;col=12&amp;number=4.11394335231&amp;sourceID=10","4.11394335231")</f>
        <v>4.11394335231</v>
      </c>
      <c r="M12" s="4" t="str">
        <f>HYPERLINK("http://141.218.60.56/~jnz1568/getInfo.php?workbook=08_06.xlsx&amp;sheet=U0&amp;row=12&amp;col=13&amp;number=0.45054567744&amp;sourceID=10","0.45054567744")</f>
        <v>0.45054567744</v>
      </c>
    </row>
    <row r="13" spans="1:13">
      <c r="A13" s="3"/>
      <c r="B13" s="3"/>
      <c r="C13" s="3"/>
      <c r="D13" s="3"/>
      <c r="E13" s="3">
        <v>10</v>
      </c>
      <c r="F13" s="4" t="str">
        <f>HYPERLINK("http://141.218.60.56/~jnz1568/getInfo.php?workbook=08_06.xlsx&amp;sheet=U0&amp;row=13&amp;col=6&amp;number=4.48&amp;sourceID=4","4.48")</f>
        <v>4.48</v>
      </c>
      <c r="G13" s="4" t="str">
        <f>HYPERLINK("http://141.218.60.56/~jnz1568/getInfo.php?workbook=08_06.xlsx&amp;sheet=U0&amp;row=13&amp;col=7&amp;number=0.538&amp;sourceID=4","0.538")</f>
        <v>0.538</v>
      </c>
      <c r="H13" s="4" t="str">
        <f>HYPERLINK("http://141.218.60.56/~jnz1568/getInfo.php?workbook=08_06.xlsx&amp;sheet=U0&amp;row=13&amp;col=8&amp;number=&amp;sourceID=8","")</f>
        <v/>
      </c>
      <c r="I13" s="4" t="str">
        <f>HYPERLINK("http://141.218.60.56/~jnz1568/getInfo.php?workbook=08_06.xlsx&amp;sheet=U0&amp;row=13&amp;col=9&amp;number=&amp;sourceID=8","")</f>
        <v/>
      </c>
      <c r="J13" s="4" t="str">
        <f>HYPERLINK("http://141.218.60.56/~jnz1568/getInfo.php?workbook=08_06.xlsx&amp;sheet=U0&amp;row=13&amp;col=10&amp;number=4.8&amp;sourceID=9","4.8")</f>
        <v>4.8</v>
      </c>
      <c r="K13" s="4" t="str">
        <f>HYPERLINK("http://141.218.60.56/~jnz1568/getInfo.php?workbook=08_06.xlsx&amp;sheet=U0&amp;row=13&amp;col=11&amp;number=0.5918&amp;sourceID=9","0.5918")</f>
        <v>0.5918</v>
      </c>
      <c r="L13" s="4" t="str">
        <f>HYPERLINK("http://141.218.60.56/~jnz1568/getInfo.php?workbook=08_06.xlsx&amp;sheet=U0&amp;row=13&amp;col=12&amp;number=4.14612803568&amp;sourceID=10","4.14612803568")</f>
        <v>4.14612803568</v>
      </c>
      <c r="M13" s="4" t="str">
        <f>HYPERLINK("http://141.218.60.56/~jnz1568/getInfo.php?workbook=08_06.xlsx&amp;sheet=U0&amp;row=13&amp;col=13&amp;number=0.45359564233&amp;sourceID=10","0.45359564233")</f>
        <v>0.45359564233</v>
      </c>
    </row>
    <row r="14" spans="1:13">
      <c r="A14" s="3"/>
      <c r="B14" s="3"/>
      <c r="C14" s="3"/>
      <c r="D14" s="3"/>
      <c r="E14" s="3">
        <v>11</v>
      </c>
      <c r="F14" s="4" t="str">
        <f>HYPERLINK("http://141.218.60.56/~jnz1568/getInfo.php?workbook=08_06.xlsx&amp;sheet=U0&amp;row=14&amp;col=6&amp;number=4.6&amp;sourceID=4","4.6")</f>
        <v>4.6</v>
      </c>
      <c r="G14" s="4" t="str">
        <f>HYPERLINK("http://141.218.60.56/~jnz1568/getInfo.php?workbook=08_06.xlsx&amp;sheet=U0&amp;row=14&amp;col=7&amp;number=0.547&amp;sourceID=4","0.547")</f>
        <v>0.547</v>
      </c>
      <c r="H14" s="4" t="str">
        <f>HYPERLINK("http://141.218.60.56/~jnz1568/getInfo.php?workbook=08_06.xlsx&amp;sheet=U0&amp;row=14&amp;col=8&amp;number=&amp;sourceID=8","")</f>
        <v/>
      </c>
      <c r="I14" s="4" t="str">
        <f>HYPERLINK("http://141.218.60.56/~jnz1568/getInfo.php?workbook=08_06.xlsx&amp;sheet=U0&amp;row=14&amp;col=9&amp;number=&amp;sourceID=8","")</f>
        <v/>
      </c>
      <c r="J14" s="4" t="str">
        <f>HYPERLINK("http://141.218.60.56/~jnz1568/getInfo.php?workbook=08_06.xlsx&amp;sheet=U0&amp;row=14&amp;col=10&amp;number=5&amp;sourceID=9","5")</f>
        <v>5</v>
      </c>
      <c r="K14" s="4" t="str">
        <f>HYPERLINK("http://141.218.60.56/~jnz1568/getInfo.php?workbook=08_06.xlsx&amp;sheet=U0&amp;row=14&amp;col=11&amp;number=0.5938&amp;sourceID=9","0.5938")</f>
        <v>0.5938</v>
      </c>
      <c r="L14" s="4" t="str">
        <f>HYPERLINK("http://141.218.60.56/~jnz1568/getInfo.php?workbook=08_06.xlsx&amp;sheet=U0&amp;row=14&amp;col=12&amp;number=4.17609125906&amp;sourceID=10","4.17609125906")</f>
        <v>4.17609125906</v>
      </c>
      <c r="M14" s="4" t="str">
        <f>HYPERLINK("http://141.218.60.56/~jnz1568/getInfo.php?workbook=08_06.xlsx&amp;sheet=U0&amp;row=14&amp;col=13&amp;number=0.45619300606&amp;sourceID=10","0.45619300606")</f>
        <v>0.45619300606</v>
      </c>
    </row>
    <row r="15" spans="1:13">
      <c r="A15" s="3"/>
      <c r="B15" s="3"/>
      <c r="C15" s="3"/>
      <c r="D15" s="3"/>
      <c r="E15" s="3">
        <v>12</v>
      </c>
      <c r="F15" s="4" t="str">
        <f>HYPERLINK("http://141.218.60.56/~jnz1568/getInfo.php?workbook=08_06.xlsx&amp;sheet=U0&amp;row=15&amp;col=6&amp;number=4.7&amp;sourceID=4","4.7")</f>
        <v>4.7</v>
      </c>
      <c r="G15" s="4" t="str">
        <f>HYPERLINK("http://141.218.60.56/~jnz1568/getInfo.php?workbook=08_06.xlsx&amp;sheet=U0&amp;row=15&amp;col=7&amp;number=0.558&amp;sourceID=4","0.558")</f>
        <v>0.558</v>
      </c>
      <c r="H15" s="4" t="str">
        <f>HYPERLINK("http://141.218.60.56/~jnz1568/getInfo.php?workbook=08_06.xlsx&amp;sheet=U0&amp;row=15&amp;col=8&amp;number=&amp;sourceID=8","")</f>
        <v/>
      </c>
      <c r="I15" s="4" t="str">
        <f>HYPERLINK("http://141.218.60.56/~jnz1568/getInfo.php?workbook=08_06.xlsx&amp;sheet=U0&amp;row=15&amp;col=9&amp;number=&amp;sourceID=8","")</f>
        <v/>
      </c>
      <c r="J15" s="4" t="str">
        <f>HYPERLINK("http://141.218.60.56/~jnz1568/getInfo.php?workbook=08_06.xlsx&amp;sheet=U0&amp;row=15&amp;col=10&amp;number=&amp;sourceID=9","")</f>
        <v/>
      </c>
      <c r="K15" s="4" t="str">
        <f>HYPERLINK("http://141.218.60.56/~jnz1568/getInfo.php?workbook=08_06.xlsx&amp;sheet=U0&amp;row=15&amp;col=11&amp;number=&amp;sourceID=9","")</f>
        <v/>
      </c>
      <c r="L15" s="4" t="str">
        <f>HYPERLINK("http://141.218.60.56/~jnz1568/getInfo.php?workbook=08_06.xlsx&amp;sheet=U0&amp;row=15&amp;col=12&amp;number=4.20411998266&amp;sourceID=10","4.20411998266")</f>
        <v>4.20411998266</v>
      </c>
      <c r="M15" s="4" t="str">
        <f>HYPERLINK("http://141.218.60.56/~jnz1568/getInfo.php?workbook=08_06.xlsx&amp;sheet=U0&amp;row=15&amp;col=13&amp;number=0.45841687251&amp;sourceID=10","0.45841687251")</f>
        <v>0.45841687251</v>
      </c>
    </row>
    <row r="16" spans="1:13">
      <c r="A16" s="3"/>
      <c r="B16" s="3"/>
      <c r="C16" s="3"/>
      <c r="D16" s="3"/>
      <c r="E16" s="3">
        <v>13</v>
      </c>
      <c r="F16" s="4" t="str">
        <f>HYPERLINK("http://141.218.60.56/~jnz1568/getInfo.php?workbook=08_06.xlsx&amp;sheet=U0&amp;row=16&amp;col=6&amp;number=4.78&amp;sourceID=4","4.78")</f>
        <v>4.78</v>
      </c>
      <c r="G16" s="4" t="str">
        <f>HYPERLINK("http://141.218.60.56/~jnz1568/getInfo.php?workbook=08_06.xlsx&amp;sheet=U0&amp;row=16&amp;col=7&amp;number=0.567&amp;sourceID=4","0.567")</f>
        <v>0.567</v>
      </c>
      <c r="H16" s="4" t="str">
        <f>HYPERLINK("http://141.218.60.56/~jnz1568/getInfo.php?workbook=08_06.xlsx&amp;sheet=U0&amp;row=16&amp;col=8&amp;number=&amp;sourceID=8","")</f>
        <v/>
      </c>
      <c r="I16" s="4" t="str">
        <f>HYPERLINK("http://141.218.60.56/~jnz1568/getInfo.php?workbook=08_06.xlsx&amp;sheet=U0&amp;row=16&amp;col=9&amp;number=&amp;sourceID=8","")</f>
        <v/>
      </c>
      <c r="J16" s="4" t="str">
        <f>HYPERLINK("http://141.218.60.56/~jnz1568/getInfo.php?workbook=08_06.xlsx&amp;sheet=U0&amp;row=16&amp;col=10&amp;number=&amp;sourceID=9","")</f>
        <v/>
      </c>
      <c r="K16" s="4" t="str">
        <f>HYPERLINK("http://141.218.60.56/~jnz1568/getInfo.php?workbook=08_06.xlsx&amp;sheet=U0&amp;row=16&amp;col=11&amp;number=&amp;sourceID=9","")</f>
        <v/>
      </c>
      <c r="L16" s="4" t="str">
        <f>HYPERLINK("http://141.218.60.56/~jnz1568/getInfo.php?workbook=08_06.xlsx&amp;sheet=U0&amp;row=16&amp;col=12&amp;number=4.23044892138&amp;sourceID=10","4.23044892138")</f>
        <v>4.23044892138</v>
      </c>
      <c r="M16" s="4" t="str">
        <f>HYPERLINK("http://141.218.60.56/~jnz1568/getInfo.php?workbook=08_06.xlsx&amp;sheet=U0&amp;row=16&amp;col=13&amp;number=0.460337717883&amp;sourceID=10","0.460337717883")</f>
        <v>0.460337717883</v>
      </c>
    </row>
    <row r="17" spans="1:13">
      <c r="A17" s="3"/>
      <c r="B17" s="3"/>
      <c r="C17" s="3"/>
      <c r="D17" s="3"/>
      <c r="E17" s="3">
        <v>14</v>
      </c>
      <c r="F17" s="4" t="str">
        <f>HYPERLINK("http://141.218.60.56/~jnz1568/getInfo.php?workbook=08_06.xlsx&amp;sheet=U0&amp;row=17&amp;col=6&amp;number=4.9&amp;sourceID=4","4.9")</f>
        <v>4.9</v>
      </c>
      <c r="G17" s="4" t="str">
        <f>HYPERLINK("http://141.218.60.56/~jnz1568/getInfo.php?workbook=08_06.xlsx&amp;sheet=U0&amp;row=17&amp;col=7&amp;number=0.58&amp;sourceID=4","0.58")</f>
        <v>0.58</v>
      </c>
      <c r="H17" s="4" t="str">
        <f>HYPERLINK("http://141.218.60.56/~jnz1568/getInfo.php?workbook=08_06.xlsx&amp;sheet=U0&amp;row=17&amp;col=8&amp;number=&amp;sourceID=8","")</f>
        <v/>
      </c>
      <c r="I17" s="4" t="str">
        <f>HYPERLINK("http://141.218.60.56/~jnz1568/getInfo.php?workbook=08_06.xlsx&amp;sheet=U0&amp;row=17&amp;col=9&amp;number=&amp;sourceID=8","")</f>
        <v/>
      </c>
      <c r="J17" s="4" t="str">
        <f>HYPERLINK("http://141.218.60.56/~jnz1568/getInfo.php?workbook=08_06.xlsx&amp;sheet=U0&amp;row=17&amp;col=10&amp;number=&amp;sourceID=9","")</f>
        <v/>
      </c>
      <c r="K17" s="4" t="str">
        <f>HYPERLINK("http://141.218.60.56/~jnz1568/getInfo.php?workbook=08_06.xlsx&amp;sheet=U0&amp;row=17&amp;col=11&amp;number=&amp;sourceID=9","")</f>
        <v/>
      </c>
      <c r="L17" s="4" t="str">
        <f>HYPERLINK("http://141.218.60.56/~jnz1568/getInfo.php?workbook=08_06.xlsx&amp;sheet=U0&amp;row=17&amp;col=12&amp;number=4.2552725051&amp;sourceID=10","4.2552725051")</f>
        <v>4.2552725051</v>
      </c>
      <c r="M17" s="4" t="str">
        <f>HYPERLINK("http://141.218.60.56/~jnz1568/getInfo.php?workbook=08_06.xlsx&amp;sheet=U0&amp;row=17&amp;col=13&amp;number=0.462016658791&amp;sourceID=10","0.462016658791")</f>
        <v>0.462016658791</v>
      </c>
    </row>
    <row r="18" spans="1:13">
      <c r="A18" s="3"/>
      <c r="B18" s="3"/>
      <c r="C18" s="3"/>
      <c r="D18" s="3"/>
      <c r="E18" s="3">
        <v>15</v>
      </c>
      <c r="F18" s="4" t="str">
        <f>HYPERLINK("http://141.218.60.56/~jnz1568/getInfo.php?workbook=08_06.xlsx&amp;sheet=U0&amp;row=18&amp;col=6&amp;number=5&amp;sourceID=4","5")</f>
        <v>5</v>
      </c>
      <c r="G18" s="4" t="str">
        <f>HYPERLINK("http://141.218.60.56/~jnz1568/getInfo.php?workbook=08_06.xlsx&amp;sheet=U0&amp;row=18&amp;col=7&amp;number=0.586&amp;sourceID=4","0.586")</f>
        <v>0.586</v>
      </c>
      <c r="H18" s="4" t="str">
        <f>HYPERLINK("http://141.218.60.56/~jnz1568/getInfo.php?workbook=08_06.xlsx&amp;sheet=U0&amp;row=18&amp;col=8&amp;number=&amp;sourceID=8","")</f>
        <v/>
      </c>
      <c r="I18" s="4" t="str">
        <f>HYPERLINK("http://141.218.60.56/~jnz1568/getInfo.php?workbook=08_06.xlsx&amp;sheet=U0&amp;row=18&amp;col=9&amp;number=&amp;sourceID=8","")</f>
        <v/>
      </c>
      <c r="J18" s="4" t="str">
        <f>HYPERLINK("http://141.218.60.56/~jnz1568/getInfo.php?workbook=08_06.xlsx&amp;sheet=U0&amp;row=18&amp;col=10&amp;number=&amp;sourceID=9","")</f>
        <v/>
      </c>
      <c r="K18" s="4" t="str">
        <f>HYPERLINK("http://141.218.60.56/~jnz1568/getInfo.php?workbook=08_06.xlsx&amp;sheet=U0&amp;row=18&amp;col=11&amp;number=&amp;sourceID=9","")</f>
        <v/>
      </c>
      <c r="L18" s="4" t="str">
        <f>HYPERLINK("http://141.218.60.56/~jnz1568/getInfo.php?workbook=08_06.xlsx&amp;sheet=U0&amp;row=18&amp;col=12&amp;number=4.27875360095&amp;sourceID=10","4.27875360095")</f>
        <v>4.27875360095</v>
      </c>
      <c r="M18" s="4" t="str">
        <f>HYPERLINK("http://141.218.60.56/~jnz1568/getInfo.php?workbook=08_06.xlsx&amp;sheet=U0&amp;row=18&amp;col=13&amp;number=0.463505651392&amp;sourceID=10","0.463505651392")</f>
        <v>0.463505651392</v>
      </c>
    </row>
    <row r="19" spans="1:13">
      <c r="A19" s="3"/>
      <c r="B19" s="3"/>
      <c r="C19" s="3"/>
      <c r="D19" s="3"/>
      <c r="E19" s="3">
        <v>16</v>
      </c>
      <c r="F19" s="4" t="str">
        <f>HYPERLINK("http://141.218.60.56/~jnz1568/getInfo.php?workbook=08_06.xlsx&amp;sheet=U0&amp;row=19&amp;col=6&amp;number=5.08&amp;sourceID=4","5.08")</f>
        <v>5.08</v>
      </c>
      <c r="G19" s="4" t="str">
        <f>HYPERLINK("http://141.218.60.56/~jnz1568/getInfo.php?workbook=08_06.xlsx&amp;sheet=U0&amp;row=19&amp;col=7&amp;number=0.585&amp;sourceID=4","0.585")</f>
        <v>0.585</v>
      </c>
      <c r="H19" s="4" t="str">
        <f>HYPERLINK("http://141.218.60.56/~jnz1568/getInfo.php?workbook=08_06.xlsx&amp;sheet=U0&amp;row=19&amp;col=8&amp;number=&amp;sourceID=8","")</f>
        <v/>
      </c>
      <c r="I19" s="4" t="str">
        <f>HYPERLINK("http://141.218.60.56/~jnz1568/getInfo.php?workbook=08_06.xlsx&amp;sheet=U0&amp;row=19&amp;col=9&amp;number=&amp;sourceID=8","")</f>
        <v/>
      </c>
      <c r="J19" s="4" t="str">
        <f>HYPERLINK("http://141.218.60.56/~jnz1568/getInfo.php?workbook=08_06.xlsx&amp;sheet=U0&amp;row=19&amp;col=10&amp;number=&amp;sourceID=9","")</f>
        <v/>
      </c>
      <c r="K19" s="4" t="str">
        <f>HYPERLINK("http://141.218.60.56/~jnz1568/getInfo.php?workbook=08_06.xlsx&amp;sheet=U0&amp;row=19&amp;col=11&amp;number=&amp;sourceID=9","")</f>
        <v/>
      </c>
      <c r="L19" s="4" t="str">
        <f>HYPERLINK("http://141.218.60.56/~jnz1568/getInfo.php?workbook=08_06.xlsx&amp;sheet=U0&amp;row=19&amp;col=12&amp;number=4.30102999566&amp;sourceID=10","4.30102999566")</f>
        <v>4.30102999566</v>
      </c>
      <c r="M19" s="4" t="str">
        <f>HYPERLINK("http://141.218.60.56/~jnz1568/getInfo.php?workbook=08_06.xlsx&amp;sheet=U0&amp;row=19&amp;col=13&amp;number=0.46484817864&amp;sourceID=10","0.46484817864")</f>
        <v>0.46484817864</v>
      </c>
    </row>
    <row r="20" spans="1:13">
      <c r="A20" s="3"/>
      <c r="B20" s="3"/>
      <c r="C20" s="3"/>
      <c r="D20" s="3"/>
      <c r="E20" s="3">
        <v>17</v>
      </c>
      <c r="F20" s="4" t="str">
        <f>HYPERLINK("http://141.218.60.56/~jnz1568/getInfo.php?workbook=08_06.xlsx&amp;sheet=U0&amp;row=20&amp;col=6&amp;number=5.15&amp;sourceID=4","5.15")</f>
        <v>5.15</v>
      </c>
      <c r="G20" s="4" t="str">
        <f>HYPERLINK("http://141.218.60.56/~jnz1568/getInfo.php?workbook=08_06.xlsx&amp;sheet=U0&amp;row=20&amp;col=7&amp;number=0.581&amp;sourceID=4","0.581")</f>
        <v>0.581</v>
      </c>
      <c r="H20" s="4" t="str">
        <f>HYPERLINK("http://141.218.60.56/~jnz1568/getInfo.php?workbook=08_06.xlsx&amp;sheet=U0&amp;row=20&amp;col=8&amp;number=&amp;sourceID=8","")</f>
        <v/>
      </c>
      <c r="I20" s="4" t="str">
        <f>HYPERLINK("http://141.218.60.56/~jnz1568/getInfo.php?workbook=08_06.xlsx&amp;sheet=U0&amp;row=20&amp;col=9&amp;number=&amp;sourceID=8","")</f>
        <v/>
      </c>
      <c r="J20" s="4" t="str">
        <f>HYPERLINK("http://141.218.60.56/~jnz1568/getInfo.php?workbook=08_06.xlsx&amp;sheet=U0&amp;row=20&amp;col=10&amp;number=&amp;sourceID=9","")</f>
        <v/>
      </c>
      <c r="K20" s="4" t="str">
        <f>HYPERLINK("http://141.218.60.56/~jnz1568/getInfo.php?workbook=08_06.xlsx&amp;sheet=U0&amp;row=20&amp;col=11&amp;number=&amp;sourceID=9","")</f>
        <v/>
      </c>
      <c r="L20" s="4" t="str">
        <f>HYPERLINK("http://141.218.60.56/~jnz1568/getInfo.php?workbook=08_06.xlsx&amp;sheet=U0&amp;row=20&amp;col=12&amp;number=&amp;sourceID=10","")</f>
        <v/>
      </c>
      <c r="M20" s="4" t="str">
        <f>HYPERLINK("http://141.218.60.56/~jnz1568/getInfo.php?workbook=08_06.xlsx&amp;sheet=U0&amp;row=20&amp;col=13&amp;number=&amp;sourceID=10","")</f>
        <v/>
      </c>
    </row>
    <row r="21" spans="1:13">
      <c r="A21" s="3"/>
      <c r="B21" s="3"/>
      <c r="C21" s="3"/>
      <c r="D21" s="3"/>
      <c r="E21" s="3">
        <v>18</v>
      </c>
      <c r="F21" s="4" t="str">
        <f>HYPERLINK("http://141.218.60.56/~jnz1568/getInfo.php?workbook=08_06.xlsx&amp;sheet=U0&amp;row=21&amp;col=6&amp;number=5.2&amp;sourceID=4","5.2")</f>
        <v>5.2</v>
      </c>
      <c r="G21" s="4" t="str">
        <f>HYPERLINK("http://141.218.60.56/~jnz1568/getInfo.php?workbook=08_06.xlsx&amp;sheet=U0&amp;row=21&amp;col=7&amp;number=0.575&amp;sourceID=4","0.575")</f>
        <v>0.575</v>
      </c>
      <c r="H21" s="4" t="str">
        <f>HYPERLINK("http://141.218.60.56/~jnz1568/getInfo.php?workbook=08_06.xlsx&amp;sheet=U0&amp;row=21&amp;col=8&amp;number=&amp;sourceID=8","")</f>
        <v/>
      </c>
      <c r="I21" s="4" t="str">
        <f>HYPERLINK("http://141.218.60.56/~jnz1568/getInfo.php?workbook=08_06.xlsx&amp;sheet=U0&amp;row=21&amp;col=9&amp;number=&amp;sourceID=8","")</f>
        <v/>
      </c>
      <c r="J21" s="4" t="str">
        <f>HYPERLINK("http://141.218.60.56/~jnz1568/getInfo.php?workbook=08_06.xlsx&amp;sheet=U0&amp;row=21&amp;col=10&amp;number=&amp;sourceID=9","")</f>
        <v/>
      </c>
      <c r="K21" s="4" t="str">
        <f>HYPERLINK("http://141.218.60.56/~jnz1568/getInfo.php?workbook=08_06.xlsx&amp;sheet=U0&amp;row=21&amp;col=11&amp;number=&amp;sourceID=9","")</f>
        <v/>
      </c>
      <c r="L21" s="4" t="str">
        <f>HYPERLINK("http://141.218.60.56/~jnz1568/getInfo.php?workbook=08_06.xlsx&amp;sheet=U0&amp;row=21&amp;col=12&amp;number=&amp;sourceID=10","")</f>
        <v/>
      </c>
      <c r="M21" s="4" t="str">
        <f>HYPERLINK("http://141.218.60.56/~jnz1568/getInfo.php?workbook=08_06.xlsx&amp;sheet=U0&amp;row=21&amp;col=13&amp;number=&amp;sourceID=10","")</f>
        <v/>
      </c>
    </row>
    <row r="22" spans="1:13">
      <c r="A22" s="3"/>
      <c r="B22" s="3"/>
      <c r="C22" s="3"/>
      <c r="D22" s="3"/>
      <c r="E22" s="3">
        <v>19</v>
      </c>
      <c r="F22" s="4" t="str">
        <f>HYPERLINK("http://141.218.60.56/~jnz1568/getInfo.php?workbook=08_06.xlsx&amp;sheet=U0&amp;row=22&amp;col=6&amp;number=5.26&amp;sourceID=4","5.26")</f>
        <v>5.26</v>
      </c>
      <c r="G22" s="4" t="str">
        <f>HYPERLINK("http://141.218.60.56/~jnz1568/getInfo.php?workbook=08_06.xlsx&amp;sheet=U0&amp;row=22&amp;col=7&amp;number=0.567&amp;sourceID=4","0.567")</f>
        <v>0.567</v>
      </c>
      <c r="H22" s="4" t="str">
        <f>HYPERLINK("http://141.218.60.56/~jnz1568/getInfo.php?workbook=08_06.xlsx&amp;sheet=U0&amp;row=22&amp;col=8&amp;number=&amp;sourceID=8","")</f>
        <v/>
      </c>
      <c r="I22" s="4" t="str">
        <f>HYPERLINK("http://141.218.60.56/~jnz1568/getInfo.php?workbook=08_06.xlsx&amp;sheet=U0&amp;row=22&amp;col=9&amp;number=&amp;sourceID=8","")</f>
        <v/>
      </c>
      <c r="J22" s="4" t="str">
        <f>HYPERLINK("http://141.218.60.56/~jnz1568/getInfo.php?workbook=08_06.xlsx&amp;sheet=U0&amp;row=22&amp;col=10&amp;number=&amp;sourceID=9","")</f>
        <v/>
      </c>
      <c r="K22" s="4" t="str">
        <f>HYPERLINK("http://141.218.60.56/~jnz1568/getInfo.php?workbook=08_06.xlsx&amp;sheet=U0&amp;row=22&amp;col=11&amp;number=&amp;sourceID=9","")</f>
        <v/>
      </c>
      <c r="L22" s="4" t="str">
        <f>HYPERLINK("http://141.218.60.56/~jnz1568/getInfo.php?workbook=08_06.xlsx&amp;sheet=U0&amp;row=22&amp;col=12&amp;number=&amp;sourceID=10","")</f>
        <v/>
      </c>
      <c r="M22" s="4" t="str">
        <f>HYPERLINK("http://141.218.60.56/~jnz1568/getInfo.php?workbook=08_06.xlsx&amp;sheet=U0&amp;row=22&amp;col=13&amp;number=&amp;sourceID=10","")</f>
        <v/>
      </c>
    </row>
    <row r="23" spans="1:13">
      <c r="A23" s="3"/>
      <c r="B23" s="3"/>
      <c r="C23" s="3"/>
      <c r="D23" s="3"/>
      <c r="E23" s="3">
        <v>20</v>
      </c>
      <c r="F23" s="4" t="str">
        <f>HYPERLINK("http://141.218.60.56/~jnz1568/getInfo.php?workbook=08_06.xlsx&amp;sheet=U0&amp;row=23&amp;col=6&amp;number=5.3&amp;sourceID=4","5.3")</f>
        <v>5.3</v>
      </c>
      <c r="G23" s="4" t="str">
        <f>HYPERLINK("http://141.218.60.56/~jnz1568/getInfo.php?workbook=08_06.xlsx&amp;sheet=U0&amp;row=23&amp;col=7&amp;number=0.558&amp;sourceID=4","0.558")</f>
        <v>0.558</v>
      </c>
      <c r="H23" s="4" t="str">
        <f>HYPERLINK("http://141.218.60.56/~jnz1568/getInfo.php?workbook=08_06.xlsx&amp;sheet=U0&amp;row=23&amp;col=8&amp;number=&amp;sourceID=8","")</f>
        <v/>
      </c>
      <c r="I23" s="4" t="str">
        <f>HYPERLINK("http://141.218.60.56/~jnz1568/getInfo.php?workbook=08_06.xlsx&amp;sheet=U0&amp;row=23&amp;col=9&amp;number=&amp;sourceID=8","")</f>
        <v/>
      </c>
      <c r="J23" s="4" t="str">
        <f>HYPERLINK("http://141.218.60.56/~jnz1568/getInfo.php?workbook=08_06.xlsx&amp;sheet=U0&amp;row=23&amp;col=10&amp;number=&amp;sourceID=9","")</f>
        <v/>
      </c>
      <c r="K23" s="4" t="str">
        <f>HYPERLINK("http://141.218.60.56/~jnz1568/getInfo.php?workbook=08_06.xlsx&amp;sheet=U0&amp;row=23&amp;col=11&amp;number=&amp;sourceID=9","")</f>
        <v/>
      </c>
      <c r="L23" s="4" t="str">
        <f>HYPERLINK("http://141.218.60.56/~jnz1568/getInfo.php?workbook=08_06.xlsx&amp;sheet=U0&amp;row=23&amp;col=12&amp;number=&amp;sourceID=10","")</f>
        <v/>
      </c>
      <c r="M23" s="4" t="str">
        <f>HYPERLINK("http://141.218.60.56/~jnz1568/getInfo.php?workbook=08_06.xlsx&amp;sheet=U0&amp;row=23&amp;col=13&amp;number=&amp;sourceID=10","")</f>
        <v/>
      </c>
    </row>
    <row r="24" spans="1:13">
      <c r="A24" s="3">
        <v>8</v>
      </c>
      <c r="B24" s="3">
        <v>6</v>
      </c>
      <c r="C24" s="3">
        <v>3</v>
      </c>
      <c r="D24" s="3">
        <v>1</v>
      </c>
      <c r="E24" s="3">
        <v>1</v>
      </c>
      <c r="F24" s="4" t="str">
        <f>HYPERLINK("http://141.218.60.56/~jnz1568/getInfo.php?workbook=08_06.xlsx&amp;sheet=U0&amp;row=24&amp;col=6&amp;number=3.4&amp;sourceID=4","3.4")</f>
        <v>3.4</v>
      </c>
      <c r="G24" s="4" t="str">
        <f>HYPERLINK("http://141.218.60.56/~jnz1568/getInfo.php?workbook=08_06.xlsx&amp;sheet=U0&amp;row=24&amp;col=7&amp;number=0.241&amp;sourceID=4","0.241")</f>
        <v>0.241</v>
      </c>
      <c r="H24" s="4" t="str">
        <f>HYPERLINK("http://141.218.60.56/~jnz1568/getInfo.php?workbook=08_06.xlsx&amp;sheet=U0&amp;row=24&amp;col=8&amp;number=2&amp;sourceID=8","2")</f>
        <v>2</v>
      </c>
      <c r="I24" s="4" t="str">
        <f>HYPERLINK("http://141.218.60.56/~jnz1568/getInfo.php?workbook=08_06.xlsx&amp;sheet=U0&amp;row=24&amp;col=9&amp;number=0.2142&amp;sourceID=8","0.2142")</f>
        <v>0.2142</v>
      </c>
      <c r="J24" s="4" t="str">
        <f>HYPERLINK("http://141.218.60.56/~jnz1568/getInfo.php?workbook=08_06.xlsx&amp;sheet=U0&amp;row=24&amp;col=10&amp;number=3&amp;sourceID=9","3")</f>
        <v>3</v>
      </c>
      <c r="K24" s="4" t="str">
        <f>HYPERLINK("http://141.218.60.56/~jnz1568/getInfo.php?workbook=08_06.xlsx&amp;sheet=U0&amp;row=24&amp;col=11&amp;number=0.2455&amp;sourceID=9","0.2455")</f>
        <v>0.2455</v>
      </c>
      <c r="L24" s="4" t="str">
        <f>HYPERLINK("http://141.218.60.56/~jnz1568/getInfo.php?workbook=08_06.xlsx&amp;sheet=U0&amp;row=24&amp;col=12&amp;number=3.69897000434&amp;sourceID=10","3.69897000434")</f>
        <v>3.69897000434</v>
      </c>
      <c r="M24" s="4" t="str">
        <f>HYPERLINK("http://141.218.60.56/~jnz1568/getInfo.php?workbook=08_06.xlsx&amp;sheet=U0&amp;row=24&amp;col=13&amp;number=0.19001836121&amp;sourceID=10","0.19001836121")</f>
        <v>0.19001836121</v>
      </c>
    </row>
    <row r="25" spans="1:13">
      <c r="A25" s="3"/>
      <c r="B25" s="3"/>
      <c r="C25" s="3"/>
      <c r="D25" s="3"/>
      <c r="E25" s="3">
        <v>2</v>
      </c>
      <c r="F25" s="4" t="str">
        <f>HYPERLINK("http://141.218.60.56/~jnz1568/getInfo.php?workbook=08_06.xlsx&amp;sheet=U0&amp;row=25&amp;col=6&amp;number=3.7&amp;sourceID=4","3.7")</f>
        <v>3.7</v>
      </c>
      <c r="G25" s="4" t="str">
        <f>HYPERLINK("http://141.218.60.56/~jnz1568/getInfo.php?workbook=08_06.xlsx&amp;sheet=U0&amp;row=25&amp;col=7&amp;number=0.245&amp;sourceID=4","0.245")</f>
        <v>0.245</v>
      </c>
      <c r="H25" s="4" t="str">
        <f>HYPERLINK("http://141.218.60.56/~jnz1568/getInfo.php?workbook=08_06.xlsx&amp;sheet=U0&amp;row=25&amp;col=8&amp;number=2.69897000434&amp;sourceID=8","2.69897000434")</f>
        <v>2.69897000434</v>
      </c>
      <c r="I25" s="4" t="str">
        <f>HYPERLINK("http://141.218.60.56/~jnz1568/getInfo.php?workbook=08_06.xlsx&amp;sheet=U0&amp;row=25&amp;col=9&amp;number=0.2153&amp;sourceID=8","0.2153")</f>
        <v>0.2153</v>
      </c>
      <c r="J25" s="4" t="str">
        <f>HYPERLINK("http://141.218.60.56/~jnz1568/getInfo.php?workbook=08_06.xlsx&amp;sheet=U0&amp;row=25&amp;col=10&amp;number=3.2&amp;sourceID=9","3.2")</f>
        <v>3.2</v>
      </c>
      <c r="K25" s="4" t="str">
        <f>HYPERLINK("http://141.218.60.56/~jnz1568/getInfo.php?workbook=08_06.xlsx&amp;sheet=U0&amp;row=25&amp;col=11&amp;number=0.2493&amp;sourceID=9","0.2493")</f>
        <v>0.2493</v>
      </c>
      <c r="L25" s="4" t="str">
        <f>HYPERLINK("http://141.218.60.56/~jnz1568/getInfo.php?workbook=08_06.xlsx&amp;sheet=U0&amp;row=25&amp;col=12&amp;number=3.77815125038&amp;sourceID=10","3.77815125038")</f>
        <v>3.77815125038</v>
      </c>
      <c r="M25" s="4" t="str">
        <f>HYPERLINK("http://141.218.60.56/~jnz1568/getInfo.php?workbook=08_06.xlsx&amp;sheet=U0&amp;row=25&amp;col=13&amp;number=0.19605424182&amp;sourceID=10","0.19605424182")</f>
        <v>0.19605424182</v>
      </c>
    </row>
    <row r="26" spans="1:13">
      <c r="A26" s="3"/>
      <c r="B26" s="3"/>
      <c r="C26" s="3"/>
      <c r="D26" s="3"/>
      <c r="E26" s="3">
        <v>3</v>
      </c>
      <c r="F26" s="4" t="str">
        <f>HYPERLINK("http://141.218.60.56/~jnz1568/getInfo.php?workbook=08_06.xlsx&amp;sheet=U0&amp;row=26&amp;col=6&amp;number=3.88&amp;sourceID=4","3.88")</f>
        <v>3.88</v>
      </c>
      <c r="G26" s="4" t="str">
        <f>HYPERLINK("http://141.218.60.56/~jnz1568/getInfo.php?workbook=08_06.xlsx&amp;sheet=U0&amp;row=26&amp;col=7&amp;number=0.251&amp;sourceID=4","0.251")</f>
        <v>0.251</v>
      </c>
      <c r="H26" s="4" t="str">
        <f>HYPERLINK("http://141.218.60.56/~jnz1568/getInfo.php?workbook=08_06.xlsx&amp;sheet=U0&amp;row=26&amp;col=8&amp;number=3&amp;sourceID=8","3")</f>
        <v>3</v>
      </c>
      <c r="I26" s="4" t="str">
        <f>HYPERLINK("http://141.218.60.56/~jnz1568/getInfo.php?workbook=08_06.xlsx&amp;sheet=U0&amp;row=26&amp;col=9&amp;number=0.2234&amp;sourceID=8","0.2234")</f>
        <v>0.2234</v>
      </c>
      <c r="J26" s="4" t="str">
        <f>HYPERLINK("http://141.218.60.56/~jnz1568/getInfo.php?workbook=08_06.xlsx&amp;sheet=U0&amp;row=26&amp;col=10&amp;number=3.4&amp;sourceID=9","3.4")</f>
        <v>3.4</v>
      </c>
      <c r="K26" s="4" t="str">
        <f>HYPERLINK("http://141.218.60.56/~jnz1568/getInfo.php?workbook=08_06.xlsx&amp;sheet=U0&amp;row=26&amp;col=11&amp;number=0.2509&amp;sourceID=9","0.2509")</f>
        <v>0.2509</v>
      </c>
      <c r="L26" s="4" t="str">
        <f>HYPERLINK("http://141.218.60.56/~jnz1568/getInfo.php?workbook=08_06.xlsx&amp;sheet=U0&amp;row=26&amp;col=12&amp;number=3.84509804001&amp;sourceID=10","3.84509804001")</f>
        <v>3.84509804001</v>
      </c>
      <c r="M26" s="4" t="str">
        <f>HYPERLINK("http://141.218.60.56/~jnz1568/getInfo.php?workbook=08_06.xlsx&amp;sheet=U0&amp;row=26&amp;col=13&amp;number=0.202274794421&amp;sourceID=10","0.202274794421")</f>
        <v>0.202274794421</v>
      </c>
    </row>
    <row r="27" spans="1:13">
      <c r="A27" s="3"/>
      <c r="B27" s="3"/>
      <c r="C27" s="3"/>
      <c r="D27" s="3"/>
      <c r="E27" s="3">
        <v>4</v>
      </c>
      <c r="F27" s="4" t="str">
        <f>HYPERLINK("http://141.218.60.56/~jnz1568/getInfo.php?workbook=08_06.xlsx&amp;sheet=U0&amp;row=27&amp;col=6&amp;number=4&amp;sourceID=4","4")</f>
        <v>4</v>
      </c>
      <c r="G27" s="4" t="str">
        <f>HYPERLINK("http://141.218.60.56/~jnz1568/getInfo.php?workbook=08_06.xlsx&amp;sheet=U0&amp;row=27&amp;col=7&amp;number=0.257&amp;sourceID=4","0.257")</f>
        <v>0.257</v>
      </c>
      <c r="H27" s="4" t="str">
        <f>HYPERLINK("http://141.218.60.56/~jnz1568/getInfo.php?workbook=08_06.xlsx&amp;sheet=U0&amp;row=27&amp;col=8&amp;number=3.69897000434&amp;sourceID=8","3.69897000434")</f>
        <v>3.69897000434</v>
      </c>
      <c r="I27" s="4" t="str">
        <f>HYPERLINK("http://141.218.60.56/~jnz1568/getInfo.php?workbook=08_06.xlsx&amp;sheet=U0&amp;row=27&amp;col=9&amp;number=0.2469&amp;sourceID=8","0.2469")</f>
        <v>0.2469</v>
      </c>
      <c r="J27" s="4" t="str">
        <f>HYPERLINK("http://141.218.60.56/~jnz1568/getInfo.php?workbook=08_06.xlsx&amp;sheet=U0&amp;row=27&amp;col=10&amp;number=3.6&amp;sourceID=9","3.6")</f>
        <v>3.6</v>
      </c>
      <c r="K27" s="4" t="str">
        <f>HYPERLINK("http://141.218.60.56/~jnz1568/getInfo.php?workbook=08_06.xlsx&amp;sheet=U0&amp;row=27&amp;col=11&amp;number=0.2541&amp;sourceID=9","0.2541")</f>
        <v>0.2541</v>
      </c>
      <c r="L27" s="4" t="str">
        <f>HYPERLINK("http://141.218.60.56/~jnz1568/getInfo.php?workbook=08_06.xlsx&amp;sheet=U0&amp;row=27&amp;col=12&amp;number=3.90308998699&amp;sourceID=10","3.90308998699")</f>
        <v>3.90308998699</v>
      </c>
      <c r="M27" s="4" t="str">
        <f>HYPERLINK("http://141.218.60.56/~jnz1568/getInfo.php?workbook=08_06.xlsx&amp;sheet=U0&amp;row=27&amp;col=13&amp;number=0.208354404922&amp;sourceID=10","0.208354404922")</f>
        <v>0.208354404922</v>
      </c>
    </row>
    <row r="28" spans="1:13">
      <c r="A28" s="3"/>
      <c r="B28" s="3"/>
      <c r="C28" s="3"/>
      <c r="D28" s="3"/>
      <c r="E28" s="3">
        <v>5</v>
      </c>
      <c r="F28" s="4" t="str">
        <f>HYPERLINK("http://141.218.60.56/~jnz1568/getInfo.php?workbook=08_06.xlsx&amp;sheet=U0&amp;row=28&amp;col=6&amp;number=4.1&amp;sourceID=4","4.1")</f>
        <v>4.1</v>
      </c>
      <c r="G28" s="4" t="str">
        <f>HYPERLINK("http://141.218.60.56/~jnz1568/getInfo.php?workbook=08_06.xlsx&amp;sheet=U0&amp;row=28&amp;col=7&amp;number=0.263&amp;sourceID=4","0.263")</f>
        <v>0.263</v>
      </c>
      <c r="H28" s="4" t="str">
        <f>HYPERLINK("http://141.218.60.56/~jnz1568/getInfo.php?workbook=08_06.xlsx&amp;sheet=U0&amp;row=28&amp;col=8&amp;number=4&amp;sourceID=8","4")</f>
        <v>4</v>
      </c>
      <c r="I28" s="4" t="str">
        <f>HYPERLINK("http://141.218.60.56/~jnz1568/getInfo.php?workbook=08_06.xlsx&amp;sheet=U0&amp;row=28&amp;col=9&amp;number=0.2766&amp;sourceID=8","0.2766")</f>
        <v>0.2766</v>
      </c>
      <c r="J28" s="4" t="str">
        <f>HYPERLINK("http://141.218.60.56/~jnz1568/getInfo.php?workbook=08_06.xlsx&amp;sheet=U0&amp;row=28&amp;col=10&amp;number=3.8&amp;sourceID=9","3.8")</f>
        <v>3.8</v>
      </c>
      <c r="K28" s="4" t="str">
        <f>HYPERLINK("http://141.218.60.56/~jnz1568/getInfo.php?workbook=08_06.xlsx&amp;sheet=U0&amp;row=28&amp;col=11&amp;number=0.2609&amp;sourceID=9","0.2609")</f>
        <v>0.2609</v>
      </c>
      <c r="L28" s="4" t="str">
        <f>HYPERLINK("http://141.218.60.56/~jnz1568/getInfo.php?workbook=08_06.xlsx&amp;sheet=U0&amp;row=28&amp;col=12&amp;number=3.95424250944&amp;sourceID=10","3.95424250944")</f>
        <v>3.95424250944</v>
      </c>
      <c r="M28" s="4" t="str">
        <f>HYPERLINK("http://141.218.60.56/~jnz1568/getInfo.php?workbook=08_06.xlsx&amp;sheet=U0&amp;row=28&amp;col=13&amp;number=0.214106280102&amp;sourceID=10","0.214106280102")</f>
        <v>0.214106280102</v>
      </c>
    </row>
    <row r="29" spans="1:13">
      <c r="A29" s="3"/>
      <c r="B29" s="3"/>
      <c r="C29" s="3"/>
      <c r="D29" s="3"/>
      <c r="E29" s="3">
        <v>6</v>
      </c>
      <c r="F29" s="4" t="str">
        <f>HYPERLINK("http://141.218.60.56/~jnz1568/getInfo.php?workbook=08_06.xlsx&amp;sheet=U0&amp;row=29&amp;col=6&amp;number=4.18&amp;sourceID=4","4.18")</f>
        <v>4.18</v>
      </c>
      <c r="G29" s="4" t="str">
        <f>HYPERLINK("http://141.218.60.56/~jnz1568/getInfo.php?workbook=08_06.xlsx&amp;sheet=U0&amp;row=29&amp;col=7&amp;number=0.267&amp;sourceID=4","0.267")</f>
        <v>0.267</v>
      </c>
      <c r="H29" s="4" t="str">
        <f>HYPERLINK("http://141.218.60.56/~jnz1568/getInfo.php?workbook=08_06.xlsx&amp;sheet=U0&amp;row=29&amp;col=8&amp;number=4.30102999566&amp;sourceID=8","4.30102999566")</f>
        <v>4.30102999566</v>
      </c>
      <c r="I29" s="4" t="str">
        <f>HYPERLINK("http://141.218.60.56/~jnz1568/getInfo.php?workbook=08_06.xlsx&amp;sheet=U0&amp;row=29&amp;col=9&amp;number=0.3106&amp;sourceID=8","0.3106")</f>
        <v>0.3106</v>
      </c>
      <c r="J29" s="4" t="str">
        <f>HYPERLINK("http://141.218.60.56/~jnz1568/getInfo.php?workbook=08_06.xlsx&amp;sheet=U0&amp;row=29&amp;col=10&amp;number=4&amp;sourceID=9","4")</f>
        <v>4</v>
      </c>
      <c r="K29" s="4" t="str">
        <f>HYPERLINK("http://141.218.60.56/~jnz1568/getInfo.php?workbook=08_06.xlsx&amp;sheet=U0&amp;row=29&amp;col=11&amp;number=0.2713&amp;sourceID=9","0.2713")</f>
        <v>0.2713</v>
      </c>
      <c r="L29" s="4" t="str">
        <f>HYPERLINK("http://141.218.60.56/~jnz1568/getInfo.php?workbook=08_06.xlsx&amp;sheet=U0&amp;row=29&amp;col=12&amp;number=4&amp;sourceID=10","4")</f>
        <v>4</v>
      </c>
      <c r="M29" s="4" t="str">
        <f>HYPERLINK("http://141.218.60.56/~jnz1568/getInfo.php?workbook=08_06.xlsx&amp;sheet=U0&amp;row=29&amp;col=13&amp;number=0.21944319033&amp;sourceID=10","0.21944319033")</f>
        <v>0.21944319033</v>
      </c>
    </row>
    <row r="30" spans="1:13">
      <c r="A30" s="3"/>
      <c r="B30" s="3"/>
      <c r="C30" s="3"/>
      <c r="D30" s="3"/>
      <c r="E30" s="3">
        <v>7</v>
      </c>
      <c r="F30" s="4" t="str">
        <f>HYPERLINK("http://141.218.60.56/~jnz1568/getInfo.php?workbook=08_06.xlsx&amp;sheet=U0&amp;row=30&amp;col=6&amp;number=4.24&amp;sourceID=4","4.24")</f>
        <v>4.24</v>
      </c>
      <c r="G30" s="4" t="str">
        <f>HYPERLINK("http://141.218.60.56/~jnz1568/getInfo.php?workbook=08_06.xlsx&amp;sheet=U0&amp;row=30&amp;col=7&amp;number=0.271&amp;sourceID=4","0.271")</f>
        <v>0.271</v>
      </c>
      <c r="H30" s="4" t="str">
        <f>HYPERLINK("http://141.218.60.56/~jnz1568/getInfo.php?workbook=08_06.xlsx&amp;sheet=U0&amp;row=30&amp;col=8&amp;number=4.47712125472&amp;sourceID=8","4.47712125472")</f>
        <v>4.47712125472</v>
      </c>
      <c r="I30" s="4" t="str">
        <f>HYPERLINK("http://141.218.60.56/~jnz1568/getInfo.php?workbook=08_06.xlsx&amp;sheet=U0&amp;row=30&amp;col=9&amp;number=0.3264&amp;sourceID=8","0.3264")</f>
        <v>0.3264</v>
      </c>
      <c r="J30" s="4" t="str">
        <f>HYPERLINK("http://141.218.60.56/~jnz1568/getInfo.php?workbook=08_06.xlsx&amp;sheet=U0&amp;row=30&amp;col=10&amp;number=4.2&amp;sourceID=9","4.2")</f>
        <v>4.2</v>
      </c>
      <c r="K30" s="4" t="str">
        <f>HYPERLINK("http://141.218.60.56/~jnz1568/getInfo.php?workbook=08_06.xlsx&amp;sheet=U0&amp;row=30&amp;col=11&amp;number=0.2832&amp;sourceID=9","0.2832")</f>
        <v>0.2832</v>
      </c>
      <c r="L30" s="4" t="str">
        <f>HYPERLINK("http://141.218.60.56/~jnz1568/getInfo.php?workbook=08_06.xlsx&amp;sheet=U0&amp;row=30&amp;col=12&amp;number=4.04139268516&amp;sourceID=10","4.04139268516")</f>
        <v>4.04139268516</v>
      </c>
      <c r="M30" s="4" t="str">
        <f>HYPERLINK("http://141.218.60.56/~jnz1568/getInfo.php?workbook=08_06.xlsx&amp;sheet=U0&amp;row=30&amp;col=13&amp;number=0.22434072311&amp;sourceID=10","0.22434072311")</f>
        <v>0.22434072311</v>
      </c>
    </row>
    <row r="31" spans="1:13">
      <c r="A31" s="3"/>
      <c r="B31" s="3"/>
      <c r="C31" s="3"/>
      <c r="D31" s="3"/>
      <c r="E31" s="3">
        <v>8</v>
      </c>
      <c r="F31" s="4" t="str">
        <f>HYPERLINK("http://141.218.60.56/~jnz1568/getInfo.php?workbook=08_06.xlsx&amp;sheet=U0&amp;row=31&amp;col=6&amp;number=4.3&amp;sourceID=4","4.3")</f>
        <v>4.3</v>
      </c>
      <c r="G31" s="4" t="str">
        <f>HYPERLINK("http://141.218.60.56/~jnz1568/getInfo.php?workbook=08_06.xlsx&amp;sheet=U0&amp;row=31&amp;col=7&amp;number=0.274&amp;sourceID=4","0.274")</f>
        <v>0.274</v>
      </c>
      <c r="H31" s="4" t="str">
        <f>HYPERLINK("http://141.218.60.56/~jnz1568/getInfo.php?workbook=08_06.xlsx&amp;sheet=U0&amp;row=31&amp;col=8&amp;number=&amp;sourceID=8","")</f>
        <v/>
      </c>
      <c r="I31" s="4" t="str">
        <f>HYPERLINK("http://141.218.60.56/~jnz1568/getInfo.php?workbook=08_06.xlsx&amp;sheet=U0&amp;row=31&amp;col=9&amp;number=&amp;sourceID=8","")</f>
        <v/>
      </c>
      <c r="J31" s="4" t="str">
        <f>HYPERLINK("http://141.218.60.56/~jnz1568/getInfo.php?workbook=08_06.xlsx&amp;sheet=U0&amp;row=31&amp;col=10&amp;number=4.4&amp;sourceID=9","4.4")</f>
        <v>4.4</v>
      </c>
      <c r="K31" s="4" t="str">
        <f>HYPERLINK("http://141.218.60.56/~jnz1568/getInfo.php?workbook=08_06.xlsx&amp;sheet=U0&amp;row=31&amp;col=11&amp;number=0.2955&amp;sourceID=9","0.2955")</f>
        <v>0.2955</v>
      </c>
      <c r="L31" s="4" t="str">
        <f>HYPERLINK("http://141.218.60.56/~jnz1568/getInfo.php?workbook=08_06.xlsx&amp;sheet=U0&amp;row=31&amp;col=12&amp;number=4.07918124605&amp;sourceID=10","4.07918124605")</f>
        <v>4.07918124605</v>
      </c>
      <c r="M31" s="4" t="str">
        <f>HYPERLINK("http://141.218.60.56/~jnz1568/getInfo.php?workbook=08_06.xlsx&amp;sheet=U0&amp;row=31&amp;col=13&amp;number=0.22881046142&amp;sourceID=10","0.22881046142")</f>
        <v>0.22881046142</v>
      </c>
    </row>
    <row r="32" spans="1:13">
      <c r="A32" s="3"/>
      <c r="B32" s="3"/>
      <c r="C32" s="3"/>
      <c r="D32" s="3"/>
      <c r="E32" s="3">
        <v>9</v>
      </c>
      <c r="F32" s="4" t="str">
        <f>HYPERLINK("http://141.218.60.56/~jnz1568/getInfo.php?workbook=08_06.xlsx&amp;sheet=U0&amp;row=32&amp;col=6&amp;number=4.4&amp;sourceID=4","4.4")</f>
        <v>4.4</v>
      </c>
      <c r="G32" s="4" t="str">
        <f>HYPERLINK("http://141.218.60.56/~jnz1568/getInfo.php?workbook=08_06.xlsx&amp;sheet=U0&amp;row=32&amp;col=7&amp;number=0.28&amp;sourceID=4","0.28")</f>
        <v>0.28</v>
      </c>
      <c r="H32" s="4" t="str">
        <f>HYPERLINK("http://141.218.60.56/~jnz1568/getInfo.php?workbook=08_06.xlsx&amp;sheet=U0&amp;row=32&amp;col=8&amp;number=&amp;sourceID=8","")</f>
        <v/>
      </c>
      <c r="I32" s="4" t="str">
        <f>HYPERLINK("http://141.218.60.56/~jnz1568/getInfo.php?workbook=08_06.xlsx&amp;sheet=U0&amp;row=32&amp;col=9&amp;number=&amp;sourceID=8","")</f>
        <v/>
      </c>
      <c r="J32" s="4" t="str">
        <f>HYPERLINK("http://141.218.60.56/~jnz1568/getInfo.php?workbook=08_06.xlsx&amp;sheet=U0&amp;row=32&amp;col=10&amp;number=4.6&amp;sourceID=9","4.6")</f>
        <v>4.6</v>
      </c>
      <c r="K32" s="4" t="str">
        <f>HYPERLINK("http://141.218.60.56/~jnz1568/getInfo.php?workbook=08_06.xlsx&amp;sheet=U0&amp;row=32&amp;col=11&amp;number=0.3101&amp;sourceID=9","0.3101")</f>
        <v>0.3101</v>
      </c>
      <c r="L32" s="4" t="str">
        <f>HYPERLINK("http://141.218.60.56/~jnz1568/getInfo.php?workbook=08_06.xlsx&amp;sheet=U0&amp;row=32&amp;col=12&amp;number=4.11394335231&amp;sourceID=10","4.11394335231")</f>
        <v>4.11394335231</v>
      </c>
      <c r="M32" s="4" t="str">
        <f>HYPERLINK("http://141.218.60.56/~jnz1568/getInfo.php?workbook=08_06.xlsx&amp;sheet=U0&amp;row=32&amp;col=13&amp;number=0.23288264869&amp;sourceID=10","0.23288264869")</f>
        <v>0.23288264869</v>
      </c>
    </row>
    <row r="33" spans="1:13">
      <c r="A33" s="3"/>
      <c r="B33" s="3"/>
      <c r="C33" s="3"/>
      <c r="D33" s="3"/>
      <c r="E33" s="3">
        <v>10</v>
      </c>
      <c r="F33" s="4" t="str">
        <f>HYPERLINK("http://141.218.60.56/~jnz1568/getInfo.php?workbook=08_06.xlsx&amp;sheet=U0&amp;row=33&amp;col=6&amp;number=4.48&amp;sourceID=4","4.48")</f>
        <v>4.48</v>
      </c>
      <c r="G33" s="4" t="str">
        <f>HYPERLINK("http://141.218.60.56/~jnz1568/getInfo.php?workbook=08_06.xlsx&amp;sheet=U0&amp;row=33&amp;col=7&amp;number=0.285&amp;sourceID=4","0.285")</f>
        <v>0.285</v>
      </c>
      <c r="H33" s="4" t="str">
        <f>HYPERLINK("http://141.218.60.56/~jnz1568/getInfo.php?workbook=08_06.xlsx&amp;sheet=U0&amp;row=33&amp;col=8&amp;number=&amp;sourceID=8","")</f>
        <v/>
      </c>
      <c r="I33" s="4" t="str">
        <f>HYPERLINK("http://141.218.60.56/~jnz1568/getInfo.php?workbook=08_06.xlsx&amp;sheet=U0&amp;row=33&amp;col=9&amp;number=&amp;sourceID=8","")</f>
        <v/>
      </c>
      <c r="J33" s="4" t="str">
        <f>HYPERLINK("http://141.218.60.56/~jnz1568/getInfo.php?workbook=08_06.xlsx&amp;sheet=U0&amp;row=33&amp;col=10&amp;number=4.8&amp;sourceID=9","4.8")</f>
        <v>4.8</v>
      </c>
      <c r="K33" s="4" t="str">
        <f>HYPERLINK("http://141.218.60.56/~jnz1568/getInfo.php?workbook=08_06.xlsx&amp;sheet=U0&amp;row=33&amp;col=11&amp;number=0.3254&amp;sourceID=9","0.3254")</f>
        <v>0.3254</v>
      </c>
      <c r="L33" s="4" t="str">
        <f>HYPERLINK("http://141.218.60.56/~jnz1568/getInfo.php?workbook=08_06.xlsx&amp;sheet=U0&amp;row=33&amp;col=12&amp;number=4.14612803568&amp;sourceID=10","4.14612803568")</f>
        <v>4.14612803568</v>
      </c>
      <c r="M33" s="4" t="str">
        <f>HYPERLINK("http://141.218.60.56/~jnz1568/getInfo.php?workbook=08_06.xlsx&amp;sheet=U0&amp;row=33&amp;col=13&amp;number=0.23659574895&amp;sourceID=10","0.23659574895")</f>
        <v>0.23659574895</v>
      </c>
    </row>
    <row r="34" spans="1:13">
      <c r="A34" s="3"/>
      <c r="B34" s="3"/>
      <c r="C34" s="3"/>
      <c r="D34" s="3"/>
      <c r="E34" s="3">
        <v>11</v>
      </c>
      <c r="F34" s="4" t="str">
        <f>HYPERLINK("http://141.218.60.56/~jnz1568/getInfo.php?workbook=08_06.xlsx&amp;sheet=U0&amp;row=34&amp;col=6&amp;number=4.6&amp;sourceID=4","4.6")</f>
        <v>4.6</v>
      </c>
      <c r="G34" s="4" t="str">
        <f>HYPERLINK("http://141.218.60.56/~jnz1568/getInfo.php?workbook=08_06.xlsx&amp;sheet=U0&amp;row=34&amp;col=7&amp;number=0.296&amp;sourceID=4","0.296")</f>
        <v>0.296</v>
      </c>
      <c r="H34" s="4" t="str">
        <f>HYPERLINK("http://141.218.60.56/~jnz1568/getInfo.php?workbook=08_06.xlsx&amp;sheet=U0&amp;row=34&amp;col=8&amp;number=&amp;sourceID=8","")</f>
        <v/>
      </c>
      <c r="I34" s="4" t="str">
        <f>HYPERLINK("http://141.218.60.56/~jnz1568/getInfo.php?workbook=08_06.xlsx&amp;sheet=U0&amp;row=34&amp;col=9&amp;number=&amp;sourceID=8","")</f>
        <v/>
      </c>
      <c r="J34" s="4" t="str">
        <f>HYPERLINK("http://141.218.60.56/~jnz1568/getInfo.php?workbook=08_06.xlsx&amp;sheet=U0&amp;row=34&amp;col=10&amp;number=5&amp;sourceID=9","5")</f>
        <v>5</v>
      </c>
      <c r="K34" s="4" t="str">
        <f>HYPERLINK("http://141.218.60.56/~jnz1568/getInfo.php?workbook=08_06.xlsx&amp;sheet=U0&amp;row=34&amp;col=11&amp;number=0.3314&amp;sourceID=9","0.3314")</f>
        <v>0.3314</v>
      </c>
      <c r="L34" s="4" t="str">
        <f>HYPERLINK("http://141.218.60.56/~jnz1568/getInfo.php?workbook=08_06.xlsx&amp;sheet=U0&amp;row=34&amp;col=12&amp;number=4.17609125906&amp;sourceID=10","4.17609125906")</f>
        <v>4.17609125906</v>
      </c>
      <c r="M34" s="4" t="str">
        <f>HYPERLINK("http://141.218.60.56/~jnz1568/getInfo.php?workbook=08_06.xlsx&amp;sheet=U0&amp;row=34&amp;col=13&amp;number=0.23999046174&amp;sourceID=10","0.23999046174")</f>
        <v>0.23999046174</v>
      </c>
    </row>
    <row r="35" spans="1:13">
      <c r="A35" s="3"/>
      <c r="B35" s="3"/>
      <c r="C35" s="3"/>
      <c r="D35" s="3"/>
      <c r="E35" s="3">
        <v>12</v>
      </c>
      <c r="F35" s="4" t="str">
        <f>HYPERLINK("http://141.218.60.56/~jnz1568/getInfo.php?workbook=08_06.xlsx&amp;sheet=U0&amp;row=35&amp;col=6&amp;number=4.7&amp;sourceID=4","4.7")</f>
        <v>4.7</v>
      </c>
      <c r="G35" s="4" t="str">
        <f>HYPERLINK("http://141.218.60.56/~jnz1568/getInfo.php?workbook=08_06.xlsx&amp;sheet=U0&amp;row=35&amp;col=7&amp;number=0.307&amp;sourceID=4","0.307")</f>
        <v>0.307</v>
      </c>
      <c r="H35" s="4" t="str">
        <f>HYPERLINK("http://141.218.60.56/~jnz1568/getInfo.php?workbook=08_06.xlsx&amp;sheet=U0&amp;row=35&amp;col=8&amp;number=&amp;sourceID=8","")</f>
        <v/>
      </c>
      <c r="I35" s="4" t="str">
        <f>HYPERLINK("http://141.218.60.56/~jnz1568/getInfo.php?workbook=08_06.xlsx&amp;sheet=U0&amp;row=35&amp;col=9&amp;number=&amp;sourceID=8","")</f>
        <v/>
      </c>
      <c r="J35" s="4" t="str">
        <f>HYPERLINK("http://141.218.60.56/~jnz1568/getInfo.php?workbook=08_06.xlsx&amp;sheet=U0&amp;row=35&amp;col=10&amp;number=&amp;sourceID=9","")</f>
        <v/>
      </c>
      <c r="K35" s="4" t="str">
        <f>HYPERLINK("http://141.218.60.56/~jnz1568/getInfo.php?workbook=08_06.xlsx&amp;sheet=U0&amp;row=35&amp;col=11&amp;number=&amp;sourceID=9","")</f>
        <v/>
      </c>
      <c r="L35" s="4" t="str">
        <f>HYPERLINK("http://141.218.60.56/~jnz1568/getInfo.php?workbook=08_06.xlsx&amp;sheet=U0&amp;row=35&amp;col=12&amp;number=4.20411998266&amp;sourceID=10","4.20411998266")</f>
        <v>4.20411998266</v>
      </c>
      <c r="M35" s="4" t="str">
        <f>HYPERLINK("http://141.218.60.56/~jnz1568/getInfo.php?workbook=08_06.xlsx&amp;sheet=U0&amp;row=35&amp;col=13&amp;number=0.24310644572&amp;sourceID=10","0.24310644572")</f>
        <v>0.24310644572</v>
      </c>
    </row>
    <row r="36" spans="1:13">
      <c r="A36" s="3"/>
      <c r="B36" s="3"/>
      <c r="C36" s="3"/>
      <c r="D36" s="3"/>
      <c r="E36" s="3">
        <v>13</v>
      </c>
      <c r="F36" s="4" t="str">
        <f>HYPERLINK("http://141.218.60.56/~jnz1568/getInfo.php?workbook=08_06.xlsx&amp;sheet=U0&amp;row=36&amp;col=6&amp;number=4.78&amp;sourceID=4","4.78")</f>
        <v>4.78</v>
      </c>
      <c r="G36" s="4" t="str">
        <f>HYPERLINK("http://141.218.60.56/~jnz1568/getInfo.php?workbook=08_06.xlsx&amp;sheet=U0&amp;row=36&amp;col=7&amp;number=0.315&amp;sourceID=4","0.315")</f>
        <v>0.315</v>
      </c>
      <c r="H36" s="4" t="str">
        <f>HYPERLINK("http://141.218.60.56/~jnz1568/getInfo.php?workbook=08_06.xlsx&amp;sheet=U0&amp;row=36&amp;col=8&amp;number=&amp;sourceID=8","")</f>
        <v/>
      </c>
      <c r="I36" s="4" t="str">
        <f>HYPERLINK("http://141.218.60.56/~jnz1568/getInfo.php?workbook=08_06.xlsx&amp;sheet=U0&amp;row=36&amp;col=9&amp;number=&amp;sourceID=8","")</f>
        <v/>
      </c>
      <c r="J36" s="4" t="str">
        <f>HYPERLINK("http://141.218.60.56/~jnz1568/getInfo.php?workbook=08_06.xlsx&amp;sheet=U0&amp;row=36&amp;col=10&amp;number=&amp;sourceID=9","")</f>
        <v/>
      </c>
      <c r="K36" s="4" t="str">
        <f>HYPERLINK("http://141.218.60.56/~jnz1568/getInfo.php?workbook=08_06.xlsx&amp;sheet=U0&amp;row=36&amp;col=11&amp;number=&amp;sourceID=9","")</f>
        <v/>
      </c>
      <c r="L36" s="4" t="str">
        <f>HYPERLINK("http://141.218.60.56/~jnz1568/getInfo.php?workbook=08_06.xlsx&amp;sheet=U0&amp;row=36&amp;col=12&amp;number=4.23044892138&amp;sourceID=10","4.23044892138")</f>
        <v>4.23044892138</v>
      </c>
      <c r="M36" s="4" t="str">
        <f>HYPERLINK("http://141.218.60.56/~jnz1568/getInfo.php?workbook=08_06.xlsx&amp;sheet=U0&amp;row=36&amp;col=13&amp;number=0.245980635753&amp;sourceID=10","0.245980635753")</f>
        <v>0.245980635753</v>
      </c>
    </row>
    <row r="37" spans="1:13">
      <c r="A37" s="3"/>
      <c r="B37" s="3"/>
      <c r="C37" s="3"/>
      <c r="D37" s="3"/>
      <c r="E37" s="3">
        <v>14</v>
      </c>
      <c r="F37" s="4" t="str">
        <f>HYPERLINK("http://141.218.60.56/~jnz1568/getInfo.php?workbook=08_06.xlsx&amp;sheet=U0&amp;row=37&amp;col=6&amp;number=4.9&amp;sourceID=4","4.9")</f>
        <v>4.9</v>
      </c>
      <c r="G37" s="4" t="str">
        <f>HYPERLINK("http://141.218.60.56/~jnz1568/getInfo.php?workbook=08_06.xlsx&amp;sheet=U0&amp;row=37&amp;col=7&amp;number=0.327&amp;sourceID=4","0.327")</f>
        <v>0.327</v>
      </c>
      <c r="H37" s="4" t="str">
        <f>HYPERLINK("http://141.218.60.56/~jnz1568/getInfo.php?workbook=08_06.xlsx&amp;sheet=U0&amp;row=37&amp;col=8&amp;number=&amp;sourceID=8","")</f>
        <v/>
      </c>
      <c r="I37" s="4" t="str">
        <f>HYPERLINK("http://141.218.60.56/~jnz1568/getInfo.php?workbook=08_06.xlsx&amp;sheet=U0&amp;row=37&amp;col=9&amp;number=&amp;sourceID=8","")</f>
        <v/>
      </c>
      <c r="J37" s="4" t="str">
        <f>HYPERLINK("http://141.218.60.56/~jnz1568/getInfo.php?workbook=08_06.xlsx&amp;sheet=U0&amp;row=37&amp;col=10&amp;number=&amp;sourceID=9","")</f>
        <v/>
      </c>
      <c r="K37" s="4" t="str">
        <f>HYPERLINK("http://141.218.60.56/~jnz1568/getInfo.php?workbook=08_06.xlsx&amp;sheet=U0&amp;row=37&amp;col=11&amp;number=&amp;sourceID=9","")</f>
        <v/>
      </c>
      <c r="L37" s="4" t="str">
        <f>HYPERLINK("http://141.218.60.56/~jnz1568/getInfo.php?workbook=08_06.xlsx&amp;sheet=U0&amp;row=37&amp;col=12&amp;number=4.2552725051&amp;sourceID=10","4.2552725051")</f>
        <v>4.2552725051</v>
      </c>
      <c r="M37" s="4" t="str">
        <f>HYPERLINK("http://141.218.60.56/~jnz1568/getInfo.php?workbook=08_06.xlsx&amp;sheet=U0&amp;row=37&amp;col=13&amp;number=0.248646479181&amp;sourceID=10","0.248646479181")</f>
        <v>0.248646479181</v>
      </c>
    </row>
    <row r="38" spans="1:13">
      <c r="A38" s="3"/>
      <c r="B38" s="3"/>
      <c r="C38" s="3"/>
      <c r="D38" s="3"/>
      <c r="E38" s="3">
        <v>15</v>
      </c>
      <c r="F38" s="4" t="str">
        <f>HYPERLINK("http://141.218.60.56/~jnz1568/getInfo.php?workbook=08_06.xlsx&amp;sheet=U0&amp;row=38&amp;col=6&amp;number=5&amp;sourceID=4","5")</f>
        <v>5</v>
      </c>
      <c r="G38" s="4" t="str">
        <f>HYPERLINK("http://141.218.60.56/~jnz1568/getInfo.php?workbook=08_06.xlsx&amp;sheet=U0&amp;row=38&amp;col=7&amp;number=0.333&amp;sourceID=4","0.333")</f>
        <v>0.333</v>
      </c>
      <c r="H38" s="4" t="str">
        <f>HYPERLINK("http://141.218.60.56/~jnz1568/getInfo.php?workbook=08_06.xlsx&amp;sheet=U0&amp;row=38&amp;col=8&amp;number=&amp;sourceID=8","")</f>
        <v/>
      </c>
      <c r="I38" s="4" t="str">
        <f>HYPERLINK("http://141.218.60.56/~jnz1568/getInfo.php?workbook=08_06.xlsx&amp;sheet=U0&amp;row=38&amp;col=9&amp;number=&amp;sourceID=8","")</f>
        <v/>
      </c>
      <c r="J38" s="4" t="str">
        <f>HYPERLINK("http://141.218.60.56/~jnz1568/getInfo.php?workbook=08_06.xlsx&amp;sheet=U0&amp;row=38&amp;col=10&amp;number=&amp;sourceID=9","")</f>
        <v/>
      </c>
      <c r="K38" s="4" t="str">
        <f>HYPERLINK("http://141.218.60.56/~jnz1568/getInfo.php?workbook=08_06.xlsx&amp;sheet=U0&amp;row=38&amp;col=11&amp;number=&amp;sourceID=9","")</f>
        <v/>
      </c>
      <c r="L38" s="4" t="str">
        <f>HYPERLINK("http://141.218.60.56/~jnz1568/getInfo.php?workbook=08_06.xlsx&amp;sheet=U0&amp;row=38&amp;col=12&amp;number=4.27875360095&amp;sourceID=10","4.27875360095")</f>
        <v>4.27875360095</v>
      </c>
      <c r="M38" s="4" t="str">
        <f>HYPERLINK("http://141.218.60.56/~jnz1568/getInfo.php?workbook=08_06.xlsx&amp;sheet=U0&amp;row=38&amp;col=13&amp;number=0.251133694882&amp;sourceID=10","0.251133694882")</f>
        <v>0.251133694882</v>
      </c>
    </row>
    <row r="39" spans="1:13">
      <c r="A39" s="3"/>
      <c r="B39" s="3"/>
      <c r="C39" s="3"/>
      <c r="D39" s="3"/>
      <c r="E39" s="3">
        <v>16</v>
      </c>
      <c r="F39" s="4" t="str">
        <f>HYPERLINK("http://141.218.60.56/~jnz1568/getInfo.php?workbook=08_06.xlsx&amp;sheet=U0&amp;row=39&amp;col=6&amp;number=5.08&amp;sourceID=4","5.08")</f>
        <v>5.08</v>
      </c>
      <c r="G39" s="4" t="str">
        <f>HYPERLINK("http://141.218.60.56/~jnz1568/getInfo.php?workbook=08_06.xlsx&amp;sheet=U0&amp;row=39&amp;col=7&amp;number=0.335&amp;sourceID=4","0.335")</f>
        <v>0.335</v>
      </c>
      <c r="H39" s="4" t="str">
        <f>HYPERLINK("http://141.218.60.56/~jnz1568/getInfo.php?workbook=08_06.xlsx&amp;sheet=U0&amp;row=39&amp;col=8&amp;number=&amp;sourceID=8","")</f>
        <v/>
      </c>
      <c r="I39" s="4" t="str">
        <f>HYPERLINK("http://141.218.60.56/~jnz1568/getInfo.php?workbook=08_06.xlsx&amp;sheet=U0&amp;row=39&amp;col=9&amp;number=&amp;sourceID=8","")</f>
        <v/>
      </c>
      <c r="J39" s="4" t="str">
        <f>HYPERLINK("http://141.218.60.56/~jnz1568/getInfo.php?workbook=08_06.xlsx&amp;sheet=U0&amp;row=39&amp;col=10&amp;number=&amp;sourceID=9","")</f>
        <v/>
      </c>
      <c r="K39" s="4" t="str">
        <f>HYPERLINK("http://141.218.60.56/~jnz1568/getInfo.php?workbook=08_06.xlsx&amp;sheet=U0&amp;row=39&amp;col=11&amp;number=&amp;sourceID=9","")</f>
        <v/>
      </c>
      <c r="L39" s="4" t="str">
        <f>HYPERLINK("http://141.218.60.56/~jnz1568/getInfo.php?workbook=08_06.xlsx&amp;sheet=U0&amp;row=39&amp;col=12&amp;number=4.30102999566&amp;sourceID=10","4.30102999566")</f>
        <v>4.30102999566</v>
      </c>
      <c r="M39" s="4" t="str">
        <f>HYPERLINK("http://141.218.60.56/~jnz1568/getInfo.php?workbook=08_06.xlsx&amp;sheet=U0&amp;row=39&amp;col=13&amp;number=0.253468324024&amp;sourceID=10","0.253468324024")</f>
        <v>0.253468324024</v>
      </c>
    </row>
    <row r="40" spans="1:13">
      <c r="A40" s="3"/>
      <c r="B40" s="3"/>
      <c r="C40" s="3"/>
      <c r="D40" s="3"/>
      <c r="E40" s="3">
        <v>17</v>
      </c>
      <c r="F40" s="4" t="str">
        <f>HYPERLINK("http://141.218.60.56/~jnz1568/getInfo.php?workbook=08_06.xlsx&amp;sheet=U0&amp;row=40&amp;col=6&amp;number=5.15&amp;sourceID=4","5.15")</f>
        <v>5.15</v>
      </c>
      <c r="G40" s="4" t="str">
        <f>HYPERLINK("http://141.218.60.56/~jnz1568/getInfo.php?workbook=08_06.xlsx&amp;sheet=U0&amp;row=40&amp;col=7&amp;number=0.334&amp;sourceID=4","0.334")</f>
        <v>0.334</v>
      </c>
      <c r="H40" s="4" t="str">
        <f>HYPERLINK("http://141.218.60.56/~jnz1568/getInfo.php?workbook=08_06.xlsx&amp;sheet=U0&amp;row=40&amp;col=8&amp;number=&amp;sourceID=8","")</f>
        <v/>
      </c>
      <c r="I40" s="4" t="str">
        <f>HYPERLINK("http://141.218.60.56/~jnz1568/getInfo.php?workbook=08_06.xlsx&amp;sheet=U0&amp;row=40&amp;col=9&amp;number=&amp;sourceID=8","")</f>
        <v/>
      </c>
      <c r="J40" s="4" t="str">
        <f>HYPERLINK("http://141.218.60.56/~jnz1568/getInfo.php?workbook=08_06.xlsx&amp;sheet=U0&amp;row=40&amp;col=10&amp;number=&amp;sourceID=9","")</f>
        <v/>
      </c>
      <c r="K40" s="4" t="str">
        <f>HYPERLINK("http://141.218.60.56/~jnz1568/getInfo.php?workbook=08_06.xlsx&amp;sheet=U0&amp;row=40&amp;col=11&amp;number=&amp;sourceID=9","")</f>
        <v/>
      </c>
      <c r="L40" s="4" t="str">
        <f>HYPERLINK("http://141.218.60.56/~jnz1568/getInfo.php?workbook=08_06.xlsx&amp;sheet=U0&amp;row=40&amp;col=12&amp;number=&amp;sourceID=10","")</f>
        <v/>
      </c>
      <c r="M40" s="4" t="str">
        <f>HYPERLINK("http://141.218.60.56/~jnz1568/getInfo.php?workbook=08_06.xlsx&amp;sheet=U0&amp;row=40&amp;col=13&amp;number=&amp;sourceID=10","")</f>
        <v/>
      </c>
    </row>
    <row r="41" spans="1:13">
      <c r="A41" s="3"/>
      <c r="B41" s="3"/>
      <c r="C41" s="3"/>
      <c r="D41" s="3"/>
      <c r="E41" s="3">
        <v>18</v>
      </c>
      <c r="F41" s="4" t="str">
        <f>HYPERLINK("http://141.218.60.56/~jnz1568/getInfo.php?workbook=08_06.xlsx&amp;sheet=U0&amp;row=41&amp;col=6&amp;number=5.2&amp;sourceID=4","5.2")</f>
        <v>5.2</v>
      </c>
      <c r="G41" s="4" t="str">
        <f>HYPERLINK("http://141.218.60.56/~jnz1568/getInfo.php?workbook=08_06.xlsx&amp;sheet=U0&amp;row=41&amp;col=7&amp;number=0.331&amp;sourceID=4","0.331")</f>
        <v>0.331</v>
      </c>
      <c r="H41" s="4" t="str">
        <f>HYPERLINK("http://141.218.60.56/~jnz1568/getInfo.php?workbook=08_06.xlsx&amp;sheet=U0&amp;row=41&amp;col=8&amp;number=&amp;sourceID=8","")</f>
        <v/>
      </c>
      <c r="I41" s="4" t="str">
        <f>HYPERLINK("http://141.218.60.56/~jnz1568/getInfo.php?workbook=08_06.xlsx&amp;sheet=U0&amp;row=41&amp;col=9&amp;number=&amp;sourceID=8","")</f>
        <v/>
      </c>
      <c r="J41" s="4" t="str">
        <f>HYPERLINK("http://141.218.60.56/~jnz1568/getInfo.php?workbook=08_06.xlsx&amp;sheet=U0&amp;row=41&amp;col=10&amp;number=&amp;sourceID=9","")</f>
        <v/>
      </c>
      <c r="K41" s="4" t="str">
        <f>HYPERLINK("http://141.218.60.56/~jnz1568/getInfo.php?workbook=08_06.xlsx&amp;sheet=U0&amp;row=41&amp;col=11&amp;number=&amp;sourceID=9","")</f>
        <v/>
      </c>
      <c r="L41" s="4" t="str">
        <f>HYPERLINK("http://141.218.60.56/~jnz1568/getInfo.php?workbook=08_06.xlsx&amp;sheet=U0&amp;row=41&amp;col=12&amp;number=&amp;sourceID=10","")</f>
        <v/>
      </c>
      <c r="M41" s="4" t="str">
        <f>HYPERLINK("http://141.218.60.56/~jnz1568/getInfo.php?workbook=08_06.xlsx&amp;sheet=U0&amp;row=41&amp;col=13&amp;number=&amp;sourceID=10","")</f>
        <v/>
      </c>
    </row>
    <row r="42" spans="1:13">
      <c r="A42" s="3"/>
      <c r="B42" s="3"/>
      <c r="C42" s="3"/>
      <c r="D42" s="3"/>
      <c r="E42" s="3">
        <v>19</v>
      </c>
      <c r="F42" s="4" t="str">
        <f>HYPERLINK("http://141.218.60.56/~jnz1568/getInfo.php?workbook=08_06.xlsx&amp;sheet=U0&amp;row=42&amp;col=6&amp;number=5.26&amp;sourceID=4","5.26")</f>
        <v>5.26</v>
      </c>
      <c r="G42" s="4" t="str">
        <f>HYPERLINK("http://141.218.60.56/~jnz1568/getInfo.php?workbook=08_06.xlsx&amp;sheet=U0&amp;row=42&amp;col=7&amp;number=0.326&amp;sourceID=4","0.326")</f>
        <v>0.326</v>
      </c>
      <c r="H42" s="4" t="str">
        <f>HYPERLINK("http://141.218.60.56/~jnz1568/getInfo.php?workbook=08_06.xlsx&amp;sheet=U0&amp;row=42&amp;col=8&amp;number=&amp;sourceID=8","")</f>
        <v/>
      </c>
      <c r="I42" s="4" t="str">
        <f>HYPERLINK("http://141.218.60.56/~jnz1568/getInfo.php?workbook=08_06.xlsx&amp;sheet=U0&amp;row=42&amp;col=9&amp;number=&amp;sourceID=8","")</f>
        <v/>
      </c>
      <c r="J42" s="4" t="str">
        <f>HYPERLINK("http://141.218.60.56/~jnz1568/getInfo.php?workbook=08_06.xlsx&amp;sheet=U0&amp;row=42&amp;col=10&amp;number=&amp;sourceID=9","")</f>
        <v/>
      </c>
      <c r="K42" s="4" t="str">
        <f>HYPERLINK("http://141.218.60.56/~jnz1568/getInfo.php?workbook=08_06.xlsx&amp;sheet=U0&amp;row=42&amp;col=11&amp;number=&amp;sourceID=9","")</f>
        <v/>
      </c>
      <c r="L42" s="4" t="str">
        <f>HYPERLINK("http://141.218.60.56/~jnz1568/getInfo.php?workbook=08_06.xlsx&amp;sheet=U0&amp;row=42&amp;col=12&amp;number=&amp;sourceID=10","")</f>
        <v/>
      </c>
      <c r="M42" s="4" t="str">
        <f>HYPERLINK("http://141.218.60.56/~jnz1568/getInfo.php?workbook=08_06.xlsx&amp;sheet=U0&amp;row=42&amp;col=13&amp;number=&amp;sourceID=10","")</f>
        <v/>
      </c>
    </row>
    <row r="43" spans="1:13">
      <c r="A43" s="3"/>
      <c r="B43" s="3"/>
      <c r="C43" s="3"/>
      <c r="D43" s="3"/>
      <c r="E43" s="3">
        <v>20</v>
      </c>
      <c r="F43" s="4" t="str">
        <f>HYPERLINK("http://141.218.60.56/~jnz1568/getInfo.php?workbook=08_06.xlsx&amp;sheet=U0&amp;row=43&amp;col=6&amp;number=5.3&amp;sourceID=4","5.3")</f>
        <v>5.3</v>
      </c>
      <c r="G43" s="4" t="str">
        <f>HYPERLINK("http://141.218.60.56/~jnz1568/getInfo.php?workbook=08_06.xlsx&amp;sheet=U0&amp;row=43&amp;col=7&amp;number=0.322&amp;sourceID=4","0.322")</f>
        <v>0.322</v>
      </c>
      <c r="H43" s="4" t="str">
        <f>HYPERLINK("http://141.218.60.56/~jnz1568/getInfo.php?workbook=08_06.xlsx&amp;sheet=U0&amp;row=43&amp;col=8&amp;number=&amp;sourceID=8","")</f>
        <v/>
      </c>
      <c r="I43" s="4" t="str">
        <f>HYPERLINK("http://141.218.60.56/~jnz1568/getInfo.php?workbook=08_06.xlsx&amp;sheet=U0&amp;row=43&amp;col=9&amp;number=&amp;sourceID=8","")</f>
        <v/>
      </c>
      <c r="J43" s="4" t="str">
        <f>HYPERLINK("http://141.218.60.56/~jnz1568/getInfo.php?workbook=08_06.xlsx&amp;sheet=U0&amp;row=43&amp;col=10&amp;number=&amp;sourceID=9","")</f>
        <v/>
      </c>
      <c r="K43" s="4" t="str">
        <f>HYPERLINK("http://141.218.60.56/~jnz1568/getInfo.php?workbook=08_06.xlsx&amp;sheet=U0&amp;row=43&amp;col=11&amp;number=&amp;sourceID=9","")</f>
        <v/>
      </c>
      <c r="L43" s="4" t="str">
        <f>HYPERLINK("http://141.218.60.56/~jnz1568/getInfo.php?workbook=08_06.xlsx&amp;sheet=U0&amp;row=43&amp;col=12&amp;number=&amp;sourceID=10","")</f>
        <v/>
      </c>
      <c r="M43" s="4" t="str">
        <f>HYPERLINK("http://141.218.60.56/~jnz1568/getInfo.php?workbook=08_06.xlsx&amp;sheet=U0&amp;row=43&amp;col=13&amp;number=&amp;sourceID=10","")</f>
        <v/>
      </c>
    </row>
    <row r="44" spans="1:13">
      <c r="A44" s="3">
        <v>8</v>
      </c>
      <c r="B44" s="3">
        <v>6</v>
      </c>
      <c r="C44" s="3">
        <v>3</v>
      </c>
      <c r="D44" s="3">
        <v>2</v>
      </c>
      <c r="E44" s="3">
        <v>1</v>
      </c>
      <c r="F44" s="4" t="str">
        <f>HYPERLINK("http://141.218.60.56/~jnz1568/getInfo.php?workbook=08_06.xlsx&amp;sheet=U0&amp;row=44&amp;col=6&amp;number=3.4&amp;sourceID=4","3.4")</f>
        <v>3.4</v>
      </c>
      <c r="G44" s="4" t="str">
        <f>HYPERLINK("http://141.218.60.56/~jnz1568/getInfo.php?workbook=08_06.xlsx&amp;sheet=U0&amp;row=44&amp;col=7&amp;number=1.17&amp;sourceID=4","1.17")</f>
        <v>1.17</v>
      </c>
      <c r="H44" s="4" t="str">
        <f>HYPERLINK("http://141.218.60.56/~jnz1568/getInfo.php?workbook=08_06.xlsx&amp;sheet=U0&amp;row=44&amp;col=8&amp;number=2&amp;sourceID=8","2")</f>
        <v>2</v>
      </c>
      <c r="I44" s="4" t="str">
        <f>HYPERLINK("http://141.218.60.56/~jnz1568/getInfo.php?workbook=08_06.xlsx&amp;sheet=U0&amp;row=44&amp;col=9&amp;number=1.036&amp;sourceID=8","1.036")</f>
        <v>1.036</v>
      </c>
      <c r="J44" s="4" t="str">
        <f>HYPERLINK("http://141.218.60.56/~jnz1568/getInfo.php?workbook=08_06.xlsx&amp;sheet=U0&amp;row=44&amp;col=10&amp;number=3&amp;sourceID=9","3")</f>
        <v>3</v>
      </c>
      <c r="K44" s="4" t="str">
        <f>HYPERLINK("http://141.218.60.56/~jnz1568/getInfo.php?workbook=08_06.xlsx&amp;sheet=U0&amp;row=44&amp;col=11&amp;number=1.173&amp;sourceID=9","1.173")</f>
        <v>1.173</v>
      </c>
      <c r="L44" s="4" t="str">
        <f>HYPERLINK("http://141.218.60.56/~jnz1568/getInfo.php?workbook=08_06.xlsx&amp;sheet=U0&amp;row=44&amp;col=12&amp;number=3.69897000434&amp;sourceID=10","3.69897000434")</f>
        <v>3.69897000434</v>
      </c>
      <c r="M44" s="4" t="str">
        <f>HYPERLINK("http://141.218.60.56/~jnz1568/getInfo.php?workbook=08_06.xlsx&amp;sheet=U0&amp;row=44&amp;col=13&amp;number=0.93197106763&amp;sourceID=10","0.93197106763")</f>
        <v>0.93197106763</v>
      </c>
    </row>
    <row r="45" spans="1:13">
      <c r="A45" s="3"/>
      <c r="B45" s="3"/>
      <c r="C45" s="3"/>
      <c r="D45" s="3"/>
      <c r="E45" s="3">
        <v>2</v>
      </c>
      <c r="F45" s="4" t="str">
        <f>HYPERLINK("http://141.218.60.56/~jnz1568/getInfo.php?workbook=08_06.xlsx&amp;sheet=U0&amp;row=45&amp;col=6&amp;number=3.7&amp;sourceID=4","3.7")</f>
        <v>3.7</v>
      </c>
      <c r="G45" s="4" t="str">
        <f>HYPERLINK("http://141.218.60.56/~jnz1568/getInfo.php?workbook=08_06.xlsx&amp;sheet=U0&amp;row=45&amp;col=7&amp;number=1.19&amp;sourceID=4","1.19")</f>
        <v>1.19</v>
      </c>
      <c r="H45" s="4" t="str">
        <f>HYPERLINK("http://141.218.60.56/~jnz1568/getInfo.php?workbook=08_06.xlsx&amp;sheet=U0&amp;row=45&amp;col=8&amp;number=2.69897000434&amp;sourceID=8","2.69897000434")</f>
        <v>2.69897000434</v>
      </c>
      <c r="I45" s="4" t="str">
        <f>HYPERLINK("http://141.218.60.56/~jnz1568/getInfo.php?workbook=08_06.xlsx&amp;sheet=U0&amp;row=45&amp;col=9&amp;number=1.032&amp;sourceID=8","1.032")</f>
        <v>1.032</v>
      </c>
      <c r="J45" s="4" t="str">
        <f>HYPERLINK("http://141.218.60.56/~jnz1568/getInfo.php?workbook=08_06.xlsx&amp;sheet=U0&amp;row=45&amp;col=10&amp;number=3.2&amp;sourceID=9","3.2")</f>
        <v>3.2</v>
      </c>
      <c r="K45" s="4" t="str">
        <f>HYPERLINK("http://141.218.60.56/~jnz1568/getInfo.php?workbook=08_06.xlsx&amp;sheet=U0&amp;row=45&amp;col=11&amp;number=1.193&amp;sourceID=9","1.193")</f>
        <v>1.193</v>
      </c>
      <c r="L45" s="4" t="str">
        <f>HYPERLINK("http://141.218.60.56/~jnz1568/getInfo.php?workbook=08_06.xlsx&amp;sheet=U0&amp;row=45&amp;col=12&amp;number=3.77815125038&amp;sourceID=10","3.77815125038")</f>
        <v>3.77815125038</v>
      </c>
      <c r="M45" s="4" t="str">
        <f>HYPERLINK("http://141.218.60.56/~jnz1568/getInfo.php?workbook=08_06.xlsx&amp;sheet=U0&amp;row=45&amp;col=13&amp;number=0.95479652762&amp;sourceID=10","0.95479652762")</f>
        <v>0.95479652762</v>
      </c>
    </row>
    <row r="46" spans="1:13">
      <c r="A46" s="3"/>
      <c r="B46" s="3"/>
      <c r="C46" s="3"/>
      <c r="D46" s="3"/>
      <c r="E46" s="3">
        <v>3</v>
      </c>
      <c r="F46" s="4" t="str">
        <f>HYPERLINK("http://141.218.60.56/~jnz1568/getInfo.php?workbook=08_06.xlsx&amp;sheet=U0&amp;row=46&amp;col=6&amp;number=3.88&amp;sourceID=4","3.88")</f>
        <v>3.88</v>
      </c>
      <c r="G46" s="4" t="str">
        <f>HYPERLINK("http://141.218.60.56/~jnz1568/getInfo.php?workbook=08_06.xlsx&amp;sheet=U0&amp;row=46&amp;col=7&amp;number=1.21&amp;sourceID=4","1.21")</f>
        <v>1.21</v>
      </c>
      <c r="H46" s="4" t="str">
        <f>HYPERLINK("http://141.218.60.56/~jnz1568/getInfo.php?workbook=08_06.xlsx&amp;sheet=U0&amp;row=46&amp;col=8&amp;number=3&amp;sourceID=8","3")</f>
        <v>3</v>
      </c>
      <c r="I46" s="4" t="str">
        <f>HYPERLINK("http://141.218.60.56/~jnz1568/getInfo.php?workbook=08_06.xlsx&amp;sheet=U0&amp;row=46&amp;col=9&amp;number=1.072&amp;sourceID=8","1.072")</f>
        <v>1.072</v>
      </c>
      <c r="J46" s="4" t="str">
        <f>HYPERLINK("http://141.218.60.56/~jnz1568/getInfo.php?workbook=08_06.xlsx&amp;sheet=U0&amp;row=46&amp;col=10&amp;number=3.4&amp;sourceID=9","3.4")</f>
        <v>3.4</v>
      </c>
      <c r="K46" s="4" t="str">
        <f>HYPERLINK("http://141.218.60.56/~jnz1568/getInfo.php?workbook=08_06.xlsx&amp;sheet=U0&amp;row=46&amp;col=11&amp;number=1.203&amp;sourceID=9","1.203")</f>
        <v>1.203</v>
      </c>
      <c r="L46" s="4" t="str">
        <f>HYPERLINK("http://141.218.60.56/~jnz1568/getInfo.php?workbook=08_06.xlsx&amp;sheet=U0&amp;row=46&amp;col=12&amp;number=3.84509804001&amp;sourceID=10","3.84509804001")</f>
        <v>3.84509804001</v>
      </c>
      <c r="M46" s="4" t="str">
        <f>HYPERLINK("http://141.218.60.56/~jnz1568/getInfo.php?workbook=08_06.xlsx&amp;sheet=U0&amp;row=46&amp;col=13&amp;number=0.978146489128&amp;sourceID=10","0.978146489128")</f>
        <v>0.978146489128</v>
      </c>
    </row>
    <row r="47" spans="1:13">
      <c r="A47" s="3"/>
      <c r="B47" s="3"/>
      <c r="C47" s="3"/>
      <c r="D47" s="3"/>
      <c r="E47" s="3">
        <v>4</v>
      </c>
      <c r="F47" s="4" t="str">
        <f>HYPERLINK("http://141.218.60.56/~jnz1568/getInfo.php?workbook=08_06.xlsx&amp;sheet=U0&amp;row=47&amp;col=6&amp;number=4&amp;sourceID=4","4")</f>
        <v>4</v>
      </c>
      <c r="G47" s="4" t="str">
        <f>HYPERLINK("http://141.218.60.56/~jnz1568/getInfo.php?workbook=08_06.xlsx&amp;sheet=U0&amp;row=47&amp;col=7&amp;number=1.23&amp;sourceID=4","1.23")</f>
        <v>1.23</v>
      </c>
      <c r="H47" s="4" t="str">
        <f>HYPERLINK("http://141.218.60.56/~jnz1568/getInfo.php?workbook=08_06.xlsx&amp;sheet=U0&amp;row=47&amp;col=8&amp;number=3.69897000434&amp;sourceID=8","3.69897000434")</f>
        <v>3.69897000434</v>
      </c>
      <c r="I47" s="4" t="str">
        <f>HYPERLINK("http://141.218.60.56/~jnz1568/getInfo.php?workbook=08_06.xlsx&amp;sheet=U0&amp;row=47&amp;col=9&amp;number=1.21&amp;sourceID=8","1.21")</f>
        <v>1.21</v>
      </c>
      <c r="J47" s="4" t="str">
        <f>HYPERLINK("http://141.218.60.56/~jnz1568/getInfo.php?workbook=08_06.xlsx&amp;sheet=U0&amp;row=47&amp;col=10&amp;number=3.6&amp;sourceID=9","3.6")</f>
        <v>3.6</v>
      </c>
      <c r="K47" s="4" t="str">
        <f>HYPERLINK("http://141.218.60.56/~jnz1568/getInfo.php?workbook=08_06.xlsx&amp;sheet=U0&amp;row=47&amp;col=11&amp;number=1.218&amp;sourceID=9","1.218")</f>
        <v>1.218</v>
      </c>
      <c r="L47" s="4" t="str">
        <f>HYPERLINK("http://141.218.60.56/~jnz1568/getInfo.php?workbook=08_06.xlsx&amp;sheet=U0&amp;row=47&amp;col=12&amp;number=3.90308998699&amp;sourceID=10","3.90308998699")</f>
        <v>3.90308998699</v>
      </c>
      <c r="M47" s="4" t="str">
        <f>HYPERLINK("http://141.218.60.56/~jnz1568/getInfo.php?workbook=08_06.xlsx&amp;sheet=U0&amp;row=47&amp;col=13&amp;number=1.00067287574&amp;sourceID=10","1.00067287574")</f>
        <v>1.00067287574</v>
      </c>
    </row>
    <row r="48" spans="1:13">
      <c r="A48" s="3"/>
      <c r="B48" s="3"/>
      <c r="C48" s="3"/>
      <c r="D48" s="3"/>
      <c r="E48" s="3">
        <v>5</v>
      </c>
      <c r="F48" s="4" t="str">
        <f>HYPERLINK("http://141.218.60.56/~jnz1568/getInfo.php?workbook=08_06.xlsx&amp;sheet=U0&amp;row=48&amp;col=6&amp;number=4.1&amp;sourceID=4","4.1")</f>
        <v>4.1</v>
      </c>
      <c r="G48" s="4" t="str">
        <f>HYPERLINK("http://141.218.60.56/~jnz1568/getInfo.php?workbook=08_06.xlsx&amp;sheet=U0&amp;row=48&amp;col=7&amp;number=1.25&amp;sourceID=4","1.25")</f>
        <v>1.25</v>
      </c>
      <c r="H48" s="4" t="str">
        <f>HYPERLINK("http://141.218.60.56/~jnz1568/getInfo.php?workbook=08_06.xlsx&amp;sheet=U0&amp;row=48&amp;col=8&amp;number=4&amp;sourceID=8","4")</f>
        <v>4</v>
      </c>
      <c r="I48" s="4" t="str">
        <f>HYPERLINK("http://141.218.60.56/~jnz1568/getInfo.php?workbook=08_06.xlsx&amp;sheet=U0&amp;row=48&amp;col=9&amp;number=1.33&amp;sourceID=8","1.33")</f>
        <v>1.33</v>
      </c>
      <c r="J48" s="4" t="str">
        <f>HYPERLINK("http://141.218.60.56/~jnz1568/getInfo.php?workbook=08_06.xlsx&amp;sheet=U0&amp;row=48&amp;col=10&amp;number=3.8&amp;sourceID=9","3.8")</f>
        <v>3.8</v>
      </c>
      <c r="K48" s="4" t="str">
        <f>HYPERLINK("http://141.218.60.56/~jnz1568/getInfo.php?workbook=08_06.xlsx&amp;sheet=U0&amp;row=48&amp;col=11&amp;number=1.248&amp;sourceID=9","1.248")</f>
        <v>1.248</v>
      </c>
      <c r="L48" s="4" t="str">
        <f>HYPERLINK("http://141.218.60.56/~jnz1568/getInfo.php?workbook=08_06.xlsx&amp;sheet=U0&amp;row=48&amp;col=12&amp;number=3.95424250944&amp;sourceID=10","3.95424250944")</f>
        <v>3.95424250944</v>
      </c>
      <c r="M48" s="4" t="str">
        <f>HYPERLINK("http://141.218.60.56/~jnz1568/getInfo.php?workbook=08_06.xlsx&amp;sheet=U0&amp;row=48&amp;col=13&amp;number=1.02163988653&amp;sourceID=10","1.02163988653")</f>
        <v>1.02163988653</v>
      </c>
    </row>
    <row r="49" spans="1:13">
      <c r="A49" s="3"/>
      <c r="B49" s="3"/>
      <c r="C49" s="3"/>
      <c r="D49" s="3"/>
      <c r="E49" s="3">
        <v>6</v>
      </c>
      <c r="F49" s="4" t="str">
        <f>HYPERLINK("http://141.218.60.56/~jnz1568/getInfo.php?workbook=08_06.xlsx&amp;sheet=U0&amp;row=49&amp;col=6&amp;number=4.18&amp;sourceID=4","4.18")</f>
        <v>4.18</v>
      </c>
      <c r="G49" s="4" t="str">
        <f>HYPERLINK("http://141.218.60.56/~jnz1568/getInfo.php?workbook=08_06.xlsx&amp;sheet=U0&amp;row=49&amp;col=7&amp;number=1.26&amp;sourceID=4","1.26")</f>
        <v>1.26</v>
      </c>
      <c r="H49" s="4" t="str">
        <f>HYPERLINK("http://141.218.60.56/~jnz1568/getInfo.php?workbook=08_06.xlsx&amp;sheet=U0&amp;row=49&amp;col=8&amp;number=4.30102999566&amp;sourceID=8","4.30102999566")</f>
        <v>4.30102999566</v>
      </c>
      <c r="I49" s="4" t="str">
        <f>HYPERLINK("http://141.218.60.56/~jnz1568/getInfo.php?workbook=08_06.xlsx&amp;sheet=U0&amp;row=49&amp;col=9&amp;number=1.451&amp;sourceID=8","1.451")</f>
        <v>1.451</v>
      </c>
      <c r="J49" s="4" t="str">
        <f>HYPERLINK("http://141.218.60.56/~jnz1568/getInfo.php?workbook=08_06.xlsx&amp;sheet=U0&amp;row=49&amp;col=10&amp;number=4&amp;sourceID=9","4")</f>
        <v>4</v>
      </c>
      <c r="K49" s="4" t="str">
        <f>HYPERLINK("http://141.218.60.56/~jnz1568/getInfo.php?workbook=08_06.xlsx&amp;sheet=U0&amp;row=49&amp;col=11&amp;number=1.291&amp;sourceID=9","1.291")</f>
        <v>1.291</v>
      </c>
      <c r="L49" s="4" t="str">
        <f>HYPERLINK("http://141.218.60.56/~jnz1568/getInfo.php?workbook=08_06.xlsx&amp;sheet=U0&amp;row=49&amp;col=12&amp;number=4&amp;sourceID=10","4")</f>
        <v>4</v>
      </c>
      <c r="M49" s="4" t="str">
        <f>HYPERLINK("http://141.218.60.56/~jnz1568/getInfo.php?workbook=08_06.xlsx&amp;sheet=U0&amp;row=49&amp;col=13&amp;number=1.04073113017&amp;sourceID=10","1.04073113017")</f>
        <v>1.04073113017</v>
      </c>
    </row>
    <row r="50" spans="1:13">
      <c r="A50" s="3"/>
      <c r="B50" s="3"/>
      <c r="C50" s="3"/>
      <c r="D50" s="3"/>
      <c r="E50" s="3">
        <v>7</v>
      </c>
      <c r="F50" s="4" t="str">
        <f>HYPERLINK("http://141.218.60.56/~jnz1568/getInfo.php?workbook=08_06.xlsx&amp;sheet=U0&amp;row=50&amp;col=6&amp;number=4.24&amp;sourceID=4","4.24")</f>
        <v>4.24</v>
      </c>
      <c r="G50" s="4" t="str">
        <f>HYPERLINK("http://141.218.60.56/~jnz1568/getInfo.php?workbook=08_06.xlsx&amp;sheet=U0&amp;row=50&amp;col=7&amp;number=1.27&amp;sourceID=4","1.27")</f>
        <v>1.27</v>
      </c>
      <c r="H50" s="4" t="str">
        <f>HYPERLINK("http://141.218.60.56/~jnz1568/getInfo.php?workbook=08_06.xlsx&amp;sheet=U0&amp;row=50&amp;col=8&amp;number=4.47712125472&amp;sourceID=8","4.47712125472")</f>
        <v>4.47712125472</v>
      </c>
      <c r="I50" s="4" t="str">
        <f>HYPERLINK("http://141.218.60.56/~jnz1568/getInfo.php?workbook=08_06.xlsx&amp;sheet=U0&amp;row=50&amp;col=9&amp;number=1.499&amp;sourceID=8","1.499")</f>
        <v>1.499</v>
      </c>
      <c r="J50" s="4" t="str">
        <f>HYPERLINK("http://141.218.60.56/~jnz1568/getInfo.php?workbook=08_06.xlsx&amp;sheet=U0&amp;row=50&amp;col=10&amp;number=4.2&amp;sourceID=9","4.2")</f>
        <v>4.2</v>
      </c>
      <c r="K50" s="4" t="str">
        <f>HYPERLINK("http://141.218.60.56/~jnz1568/getInfo.php?workbook=08_06.xlsx&amp;sheet=U0&amp;row=50&amp;col=11&amp;number=1.335&amp;sourceID=9","1.335")</f>
        <v>1.335</v>
      </c>
      <c r="L50" s="4" t="str">
        <f>HYPERLINK("http://141.218.60.56/~jnz1568/getInfo.php?workbook=08_06.xlsx&amp;sheet=U0&amp;row=50&amp;col=12&amp;number=4.04139268516&amp;sourceID=10","4.04139268516")</f>
        <v>4.04139268516</v>
      </c>
      <c r="M50" s="4" t="str">
        <f>HYPERLINK("http://141.218.60.56/~jnz1568/getInfo.php?workbook=08_06.xlsx&amp;sheet=U0&amp;row=50&amp;col=13&amp;number=1.0578907552&amp;sourceID=10","1.0578907552")</f>
        <v>1.0578907552</v>
      </c>
    </row>
    <row r="51" spans="1:13">
      <c r="A51" s="3"/>
      <c r="B51" s="3"/>
      <c r="C51" s="3"/>
      <c r="D51" s="3"/>
      <c r="E51" s="3">
        <v>8</v>
      </c>
      <c r="F51" s="4" t="str">
        <f>HYPERLINK("http://141.218.60.56/~jnz1568/getInfo.php?workbook=08_06.xlsx&amp;sheet=U0&amp;row=51&amp;col=6&amp;number=4.3&amp;sourceID=4","4.3")</f>
        <v>4.3</v>
      </c>
      <c r="G51" s="4" t="str">
        <f>HYPERLINK("http://141.218.60.56/~jnz1568/getInfo.php?workbook=08_06.xlsx&amp;sheet=U0&amp;row=51&amp;col=7&amp;number=1.28&amp;sourceID=4","1.28")</f>
        <v>1.28</v>
      </c>
      <c r="H51" s="4" t="str">
        <f>HYPERLINK("http://141.218.60.56/~jnz1568/getInfo.php?workbook=08_06.xlsx&amp;sheet=U0&amp;row=51&amp;col=8&amp;number=&amp;sourceID=8","")</f>
        <v/>
      </c>
      <c r="I51" s="4" t="str">
        <f>HYPERLINK("http://141.218.60.56/~jnz1568/getInfo.php?workbook=08_06.xlsx&amp;sheet=U0&amp;row=51&amp;col=9&amp;number=&amp;sourceID=8","")</f>
        <v/>
      </c>
      <c r="J51" s="4" t="str">
        <f>HYPERLINK("http://141.218.60.56/~jnz1568/getInfo.php?workbook=08_06.xlsx&amp;sheet=U0&amp;row=51&amp;col=10&amp;number=4.4&amp;sourceID=9","4.4")</f>
        <v>4.4</v>
      </c>
      <c r="K51" s="4" t="str">
        <f>HYPERLINK("http://141.218.60.56/~jnz1568/getInfo.php?workbook=08_06.xlsx&amp;sheet=U0&amp;row=51&amp;col=11&amp;number=1.373&amp;sourceID=9","1.373")</f>
        <v>1.373</v>
      </c>
      <c r="L51" s="4" t="str">
        <f>HYPERLINK("http://141.218.60.56/~jnz1568/getInfo.php?workbook=08_06.xlsx&amp;sheet=U0&amp;row=51&amp;col=12&amp;number=4.07918124605&amp;sourceID=10","4.07918124605")</f>
        <v>4.07918124605</v>
      </c>
      <c r="M51" s="4" t="str">
        <f>HYPERLINK("http://141.218.60.56/~jnz1568/getInfo.php?workbook=08_06.xlsx&amp;sheet=U0&amp;row=51&amp;col=13&amp;number=1.07321017406&amp;sourceID=10","1.07321017406")</f>
        <v>1.07321017406</v>
      </c>
    </row>
    <row r="52" spans="1:13">
      <c r="A52" s="3"/>
      <c r="B52" s="3"/>
      <c r="C52" s="3"/>
      <c r="D52" s="3"/>
      <c r="E52" s="3">
        <v>9</v>
      </c>
      <c r="F52" s="4" t="str">
        <f>HYPERLINK("http://141.218.60.56/~jnz1568/getInfo.php?workbook=08_06.xlsx&amp;sheet=U0&amp;row=52&amp;col=6&amp;number=4.4&amp;sourceID=4","4.4")</f>
        <v>4.4</v>
      </c>
      <c r="G52" s="4" t="str">
        <f>HYPERLINK("http://141.218.60.56/~jnz1568/getInfo.php?workbook=08_06.xlsx&amp;sheet=U0&amp;row=52&amp;col=7&amp;number=1.3&amp;sourceID=4","1.3")</f>
        <v>1.3</v>
      </c>
      <c r="H52" s="4" t="str">
        <f>HYPERLINK("http://141.218.60.56/~jnz1568/getInfo.php?workbook=08_06.xlsx&amp;sheet=U0&amp;row=52&amp;col=8&amp;number=&amp;sourceID=8","")</f>
        <v/>
      </c>
      <c r="I52" s="4" t="str">
        <f>HYPERLINK("http://141.218.60.56/~jnz1568/getInfo.php?workbook=08_06.xlsx&amp;sheet=U0&amp;row=52&amp;col=9&amp;number=&amp;sourceID=8","")</f>
        <v/>
      </c>
      <c r="J52" s="4" t="str">
        <f>HYPERLINK("http://141.218.60.56/~jnz1568/getInfo.php?workbook=08_06.xlsx&amp;sheet=U0&amp;row=52&amp;col=10&amp;number=4.6&amp;sourceID=9","4.6")</f>
        <v>4.6</v>
      </c>
      <c r="K52" s="4" t="str">
        <f>HYPERLINK("http://141.218.60.56/~jnz1568/getInfo.php?workbook=08_06.xlsx&amp;sheet=U0&amp;row=52&amp;col=11&amp;number=1.419&amp;sourceID=9","1.419")</f>
        <v>1.419</v>
      </c>
      <c r="L52" s="4" t="str">
        <f>HYPERLINK("http://141.218.60.56/~jnz1568/getInfo.php?workbook=08_06.xlsx&amp;sheet=U0&amp;row=52&amp;col=12&amp;number=4.11394335231&amp;sourceID=10","4.11394335231")</f>
        <v>4.11394335231</v>
      </c>
      <c r="M52" s="4" t="str">
        <f>HYPERLINK("http://141.218.60.56/~jnz1568/getInfo.php?workbook=08_06.xlsx&amp;sheet=U0&amp;row=52&amp;col=13&amp;number=1.08685465401&amp;sourceID=10","1.08685465401")</f>
        <v>1.08685465401</v>
      </c>
    </row>
    <row r="53" spans="1:13">
      <c r="A53" s="3"/>
      <c r="B53" s="3"/>
      <c r="C53" s="3"/>
      <c r="D53" s="3"/>
      <c r="E53" s="3">
        <v>10</v>
      </c>
      <c r="F53" s="4" t="str">
        <f>HYPERLINK("http://141.218.60.56/~jnz1568/getInfo.php?workbook=08_06.xlsx&amp;sheet=U0&amp;row=53&amp;col=6&amp;number=4.48&amp;sourceID=4","4.48")</f>
        <v>4.48</v>
      </c>
      <c r="G53" s="4" t="str">
        <f>HYPERLINK("http://141.218.60.56/~jnz1568/getInfo.php?workbook=08_06.xlsx&amp;sheet=U0&amp;row=53&amp;col=7&amp;number=1.32&amp;sourceID=4","1.32")</f>
        <v>1.32</v>
      </c>
      <c r="H53" s="4" t="str">
        <f>HYPERLINK("http://141.218.60.56/~jnz1568/getInfo.php?workbook=08_06.xlsx&amp;sheet=U0&amp;row=53&amp;col=8&amp;number=&amp;sourceID=8","")</f>
        <v/>
      </c>
      <c r="I53" s="4" t="str">
        <f>HYPERLINK("http://141.218.60.56/~jnz1568/getInfo.php?workbook=08_06.xlsx&amp;sheet=U0&amp;row=53&amp;col=9&amp;number=&amp;sourceID=8","")</f>
        <v/>
      </c>
      <c r="J53" s="4" t="str">
        <f>HYPERLINK("http://141.218.60.56/~jnz1568/getInfo.php?workbook=08_06.xlsx&amp;sheet=U0&amp;row=53&amp;col=10&amp;number=4.8&amp;sourceID=9","4.8")</f>
        <v>4.8</v>
      </c>
      <c r="K53" s="4" t="str">
        <f>HYPERLINK("http://141.218.60.56/~jnz1568/getInfo.php?workbook=08_06.xlsx&amp;sheet=U0&amp;row=53&amp;col=11&amp;number=1.468&amp;sourceID=9","1.468")</f>
        <v>1.468</v>
      </c>
      <c r="L53" s="4" t="str">
        <f>HYPERLINK("http://141.218.60.56/~jnz1568/getInfo.php?workbook=08_06.xlsx&amp;sheet=U0&amp;row=53&amp;col=12&amp;number=4.14612803568&amp;sourceID=10","4.14612803568")</f>
        <v>4.14612803568</v>
      </c>
      <c r="M53" s="4" t="str">
        <f>HYPERLINK("http://141.218.60.56/~jnz1568/getInfo.php?workbook=08_06.xlsx&amp;sheet=U0&amp;row=53&amp;col=13&amp;number=1.09901875699&amp;sourceID=10","1.09901875699")</f>
        <v>1.09901875699</v>
      </c>
    </row>
    <row r="54" spans="1:13">
      <c r="A54" s="3"/>
      <c r="B54" s="3"/>
      <c r="C54" s="3"/>
      <c r="D54" s="3"/>
      <c r="E54" s="3">
        <v>11</v>
      </c>
      <c r="F54" s="4" t="str">
        <f>HYPERLINK("http://141.218.60.56/~jnz1568/getInfo.php?workbook=08_06.xlsx&amp;sheet=U0&amp;row=54&amp;col=6&amp;number=4.6&amp;sourceID=4","4.6")</f>
        <v>4.6</v>
      </c>
      <c r="G54" s="4" t="str">
        <f>HYPERLINK("http://141.218.60.56/~jnz1568/getInfo.php?workbook=08_06.xlsx&amp;sheet=U0&amp;row=54&amp;col=7&amp;number=1.35&amp;sourceID=4","1.35")</f>
        <v>1.35</v>
      </c>
      <c r="H54" s="4" t="str">
        <f>HYPERLINK("http://141.218.60.56/~jnz1568/getInfo.php?workbook=08_06.xlsx&amp;sheet=U0&amp;row=54&amp;col=8&amp;number=&amp;sourceID=8","")</f>
        <v/>
      </c>
      <c r="I54" s="4" t="str">
        <f>HYPERLINK("http://141.218.60.56/~jnz1568/getInfo.php?workbook=08_06.xlsx&amp;sheet=U0&amp;row=54&amp;col=9&amp;number=&amp;sourceID=8","")</f>
        <v/>
      </c>
      <c r="J54" s="4" t="str">
        <f>HYPERLINK("http://141.218.60.56/~jnz1568/getInfo.php?workbook=08_06.xlsx&amp;sheet=U0&amp;row=54&amp;col=10&amp;number=5&amp;sourceID=9","5")</f>
        <v>5</v>
      </c>
      <c r="K54" s="4" t="str">
        <f>HYPERLINK("http://141.218.60.56/~jnz1568/getInfo.php?workbook=08_06.xlsx&amp;sheet=U0&amp;row=54&amp;col=11&amp;number=1.482&amp;sourceID=9","1.482")</f>
        <v>1.482</v>
      </c>
      <c r="L54" s="4" t="str">
        <f>HYPERLINK("http://141.218.60.56/~jnz1568/getInfo.php?workbook=08_06.xlsx&amp;sheet=U0&amp;row=54&amp;col=12&amp;number=4.17609125906&amp;sourceID=10","4.17609125906")</f>
        <v>4.17609125906</v>
      </c>
      <c r="M54" s="4" t="str">
        <f>HYPERLINK("http://141.218.60.56/~jnz1568/getInfo.php?workbook=08_06.xlsx&amp;sheet=U0&amp;row=54&amp;col=13&amp;number=1.10990072641&amp;sourceID=10","1.10990072641")</f>
        <v>1.10990072641</v>
      </c>
    </row>
    <row r="55" spans="1:13">
      <c r="A55" s="3"/>
      <c r="B55" s="3"/>
      <c r="C55" s="3"/>
      <c r="D55" s="3"/>
      <c r="E55" s="3">
        <v>12</v>
      </c>
      <c r="F55" s="4" t="str">
        <f>HYPERLINK("http://141.218.60.56/~jnz1568/getInfo.php?workbook=08_06.xlsx&amp;sheet=U0&amp;row=55&amp;col=6&amp;number=4.7&amp;sourceID=4","4.7")</f>
        <v>4.7</v>
      </c>
      <c r="G55" s="4" t="str">
        <f>HYPERLINK("http://141.218.60.56/~jnz1568/getInfo.php?workbook=08_06.xlsx&amp;sheet=U0&amp;row=55&amp;col=7&amp;number=1.39&amp;sourceID=4","1.39")</f>
        <v>1.39</v>
      </c>
      <c r="H55" s="4" t="str">
        <f>HYPERLINK("http://141.218.60.56/~jnz1568/getInfo.php?workbook=08_06.xlsx&amp;sheet=U0&amp;row=55&amp;col=8&amp;number=&amp;sourceID=8","")</f>
        <v/>
      </c>
      <c r="I55" s="4" t="str">
        <f>HYPERLINK("http://141.218.60.56/~jnz1568/getInfo.php?workbook=08_06.xlsx&amp;sheet=U0&amp;row=55&amp;col=9&amp;number=&amp;sourceID=8","")</f>
        <v/>
      </c>
      <c r="J55" s="4" t="str">
        <f>HYPERLINK("http://141.218.60.56/~jnz1568/getInfo.php?workbook=08_06.xlsx&amp;sheet=U0&amp;row=55&amp;col=10&amp;number=&amp;sourceID=9","")</f>
        <v/>
      </c>
      <c r="K55" s="4" t="str">
        <f>HYPERLINK("http://141.218.60.56/~jnz1568/getInfo.php?workbook=08_06.xlsx&amp;sheet=U0&amp;row=55&amp;col=11&amp;number=&amp;sourceID=9","")</f>
        <v/>
      </c>
      <c r="L55" s="4" t="str">
        <f>HYPERLINK("http://141.218.60.56/~jnz1568/getInfo.php?workbook=08_06.xlsx&amp;sheet=U0&amp;row=55&amp;col=12&amp;number=4.20411998266&amp;sourceID=10","4.20411998266")</f>
        <v>4.20411998266</v>
      </c>
      <c r="M55" s="4" t="str">
        <f>HYPERLINK("http://141.218.60.56/~jnz1568/getInfo.php?workbook=08_06.xlsx&amp;sheet=U0&amp;row=55&amp;col=13&amp;number=1.1196886528&amp;sourceID=10","1.1196886528")</f>
        <v>1.1196886528</v>
      </c>
    </row>
    <row r="56" spans="1:13">
      <c r="A56" s="3"/>
      <c r="B56" s="3"/>
      <c r="C56" s="3"/>
      <c r="D56" s="3"/>
      <c r="E56" s="3">
        <v>13</v>
      </c>
      <c r="F56" s="4" t="str">
        <f>HYPERLINK("http://141.218.60.56/~jnz1568/getInfo.php?workbook=08_06.xlsx&amp;sheet=U0&amp;row=56&amp;col=6&amp;number=4.78&amp;sourceID=4","4.78")</f>
        <v>4.78</v>
      </c>
      <c r="G56" s="4" t="str">
        <f>HYPERLINK("http://141.218.60.56/~jnz1568/getInfo.php?workbook=08_06.xlsx&amp;sheet=U0&amp;row=56&amp;col=7&amp;number=1.42&amp;sourceID=4","1.42")</f>
        <v>1.42</v>
      </c>
      <c r="H56" s="4" t="str">
        <f>HYPERLINK("http://141.218.60.56/~jnz1568/getInfo.php?workbook=08_06.xlsx&amp;sheet=U0&amp;row=56&amp;col=8&amp;number=&amp;sourceID=8","")</f>
        <v/>
      </c>
      <c r="I56" s="4" t="str">
        <f>HYPERLINK("http://141.218.60.56/~jnz1568/getInfo.php?workbook=08_06.xlsx&amp;sheet=U0&amp;row=56&amp;col=9&amp;number=&amp;sourceID=8","")</f>
        <v/>
      </c>
      <c r="J56" s="4" t="str">
        <f>HYPERLINK("http://141.218.60.56/~jnz1568/getInfo.php?workbook=08_06.xlsx&amp;sheet=U0&amp;row=56&amp;col=10&amp;number=&amp;sourceID=9","")</f>
        <v/>
      </c>
      <c r="K56" s="4" t="str">
        <f>HYPERLINK("http://141.218.60.56/~jnz1568/getInfo.php?workbook=08_06.xlsx&amp;sheet=U0&amp;row=56&amp;col=11&amp;number=&amp;sourceID=9","")</f>
        <v/>
      </c>
      <c r="L56" s="4" t="str">
        <f>HYPERLINK("http://141.218.60.56/~jnz1568/getInfo.php?workbook=08_06.xlsx&amp;sheet=U0&amp;row=56&amp;col=12&amp;number=4.23044892138&amp;sourceID=10","4.23044892138")</f>
        <v>4.23044892138</v>
      </c>
      <c r="M56" s="4" t="str">
        <f>HYPERLINK("http://141.218.60.56/~jnz1568/getInfo.php?workbook=08_06.xlsx&amp;sheet=U0&amp;row=56&amp;col=13&amp;number=1.12855371109&amp;sourceID=10","1.12855371109")</f>
        <v>1.12855371109</v>
      </c>
    </row>
    <row r="57" spans="1:13">
      <c r="A57" s="3"/>
      <c r="B57" s="3"/>
      <c r="C57" s="3"/>
      <c r="D57" s="3"/>
      <c r="E57" s="3">
        <v>14</v>
      </c>
      <c r="F57" s="4" t="str">
        <f>HYPERLINK("http://141.218.60.56/~jnz1568/getInfo.php?workbook=08_06.xlsx&amp;sheet=U0&amp;row=57&amp;col=6&amp;number=4.9&amp;sourceID=4","4.9")</f>
        <v>4.9</v>
      </c>
      <c r="G57" s="4" t="str">
        <f>HYPERLINK("http://141.218.60.56/~jnz1568/getInfo.php?workbook=08_06.xlsx&amp;sheet=U0&amp;row=57&amp;col=7&amp;number=1.46&amp;sourceID=4","1.46")</f>
        <v>1.46</v>
      </c>
      <c r="H57" s="4" t="str">
        <f>HYPERLINK("http://141.218.60.56/~jnz1568/getInfo.php?workbook=08_06.xlsx&amp;sheet=U0&amp;row=57&amp;col=8&amp;number=&amp;sourceID=8","")</f>
        <v/>
      </c>
      <c r="I57" s="4" t="str">
        <f>HYPERLINK("http://141.218.60.56/~jnz1568/getInfo.php?workbook=08_06.xlsx&amp;sheet=U0&amp;row=57&amp;col=9&amp;number=&amp;sourceID=8","")</f>
        <v/>
      </c>
      <c r="J57" s="4" t="str">
        <f>HYPERLINK("http://141.218.60.56/~jnz1568/getInfo.php?workbook=08_06.xlsx&amp;sheet=U0&amp;row=57&amp;col=10&amp;number=&amp;sourceID=9","")</f>
        <v/>
      </c>
      <c r="K57" s="4" t="str">
        <f>HYPERLINK("http://141.218.60.56/~jnz1568/getInfo.php?workbook=08_06.xlsx&amp;sheet=U0&amp;row=57&amp;col=11&amp;number=&amp;sourceID=9","")</f>
        <v/>
      </c>
      <c r="L57" s="4" t="str">
        <f>HYPERLINK("http://141.218.60.56/~jnz1568/getInfo.php?workbook=08_06.xlsx&amp;sheet=U0&amp;row=57&amp;col=12&amp;number=4.2552725051&amp;sourceID=10","4.2552725051")</f>
        <v>4.2552725051</v>
      </c>
      <c r="M57" s="4" t="str">
        <f>HYPERLINK("http://141.218.60.56/~jnz1568/getInfo.php?workbook=08_06.xlsx&amp;sheet=U0&amp;row=57&amp;col=13&amp;number=1.13664752801&amp;sourceID=10","1.13664752801")</f>
        <v>1.13664752801</v>
      </c>
    </row>
    <row r="58" spans="1:13">
      <c r="A58" s="3"/>
      <c r="B58" s="3"/>
      <c r="C58" s="3"/>
      <c r="D58" s="3"/>
      <c r="E58" s="3">
        <v>15</v>
      </c>
      <c r="F58" s="4" t="str">
        <f>HYPERLINK("http://141.218.60.56/~jnz1568/getInfo.php?workbook=08_06.xlsx&amp;sheet=U0&amp;row=58&amp;col=6&amp;number=5&amp;sourceID=4","5")</f>
        <v>5</v>
      </c>
      <c r="G58" s="4" t="str">
        <f>HYPERLINK("http://141.218.60.56/~jnz1568/getInfo.php?workbook=08_06.xlsx&amp;sheet=U0&amp;row=58&amp;col=7&amp;number=1.48&amp;sourceID=4","1.48")</f>
        <v>1.48</v>
      </c>
      <c r="H58" s="4" t="str">
        <f>HYPERLINK("http://141.218.60.56/~jnz1568/getInfo.php?workbook=08_06.xlsx&amp;sheet=U0&amp;row=58&amp;col=8&amp;number=&amp;sourceID=8","")</f>
        <v/>
      </c>
      <c r="I58" s="4" t="str">
        <f>HYPERLINK("http://141.218.60.56/~jnz1568/getInfo.php?workbook=08_06.xlsx&amp;sheet=U0&amp;row=58&amp;col=9&amp;number=&amp;sourceID=8","")</f>
        <v/>
      </c>
      <c r="J58" s="4" t="str">
        <f>HYPERLINK("http://141.218.60.56/~jnz1568/getInfo.php?workbook=08_06.xlsx&amp;sheet=U0&amp;row=58&amp;col=10&amp;number=&amp;sourceID=9","")</f>
        <v/>
      </c>
      <c r="K58" s="4" t="str">
        <f>HYPERLINK("http://141.218.60.56/~jnz1568/getInfo.php?workbook=08_06.xlsx&amp;sheet=U0&amp;row=58&amp;col=11&amp;number=&amp;sourceID=9","")</f>
        <v/>
      </c>
      <c r="L58" s="4" t="str">
        <f>HYPERLINK("http://141.218.60.56/~jnz1568/getInfo.php?workbook=08_06.xlsx&amp;sheet=U0&amp;row=58&amp;col=12&amp;number=4.27875360095&amp;sourceID=10","4.27875360095")</f>
        <v>4.27875360095</v>
      </c>
      <c r="M58" s="4" t="str">
        <f>HYPERLINK("http://141.218.60.56/~jnz1568/getInfo.php?workbook=08_06.xlsx&amp;sheet=U0&amp;row=58&amp;col=13&amp;number=1.14410188972&amp;sourceID=10","1.14410188972")</f>
        <v>1.14410188972</v>
      </c>
    </row>
    <row r="59" spans="1:13">
      <c r="A59" s="3"/>
      <c r="B59" s="3"/>
      <c r="C59" s="3"/>
      <c r="D59" s="3"/>
      <c r="E59" s="3">
        <v>16</v>
      </c>
      <c r="F59" s="4" t="str">
        <f>HYPERLINK("http://141.218.60.56/~jnz1568/getInfo.php?workbook=08_06.xlsx&amp;sheet=U0&amp;row=59&amp;col=6&amp;number=5.08&amp;sourceID=4","5.08")</f>
        <v>5.08</v>
      </c>
      <c r="G59" s="4" t="str">
        <f>HYPERLINK("http://141.218.60.56/~jnz1568/getInfo.php?workbook=08_06.xlsx&amp;sheet=U0&amp;row=59&amp;col=7&amp;number=1.49&amp;sourceID=4","1.49")</f>
        <v>1.49</v>
      </c>
      <c r="H59" s="4" t="str">
        <f>HYPERLINK("http://141.218.60.56/~jnz1568/getInfo.php?workbook=08_06.xlsx&amp;sheet=U0&amp;row=59&amp;col=8&amp;number=&amp;sourceID=8","")</f>
        <v/>
      </c>
      <c r="I59" s="4" t="str">
        <f>HYPERLINK("http://141.218.60.56/~jnz1568/getInfo.php?workbook=08_06.xlsx&amp;sheet=U0&amp;row=59&amp;col=9&amp;number=&amp;sourceID=8","")</f>
        <v/>
      </c>
      <c r="J59" s="4" t="str">
        <f>HYPERLINK("http://141.218.60.56/~jnz1568/getInfo.php?workbook=08_06.xlsx&amp;sheet=U0&amp;row=59&amp;col=10&amp;number=&amp;sourceID=9","")</f>
        <v/>
      </c>
      <c r="K59" s="4" t="str">
        <f>HYPERLINK("http://141.218.60.56/~jnz1568/getInfo.php?workbook=08_06.xlsx&amp;sheet=U0&amp;row=59&amp;col=11&amp;number=&amp;sourceID=9","")</f>
        <v/>
      </c>
      <c r="L59" s="4" t="str">
        <f>HYPERLINK("http://141.218.60.56/~jnz1568/getInfo.php?workbook=08_06.xlsx&amp;sheet=U0&amp;row=59&amp;col=12&amp;number=4.30102999566&amp;sourceID=10","4.30102999566")</f>
        <v>4.30102999566</v>
      </c>
      <c r="M59" s="4" t="str">
        <f>HYPERLINK("http://141.218.60.56/~jnz1568/getInfo.php?workbook=08_06.xlsx&amp;sheet=U0&amp;row=59&amp;col=13&amp;number=1.15102971614&amp;sourceID=10","1.15102971614")</f>
        <v>1.15102971614</v>
      </c>
    </row>
    <row r="60" spans="1:13">
      <c r="A60" s="3"/>
      <c r="B60" s="3"/>
      <c r="C60" s="3"/>
      <c r="D60" s="3"/>
      <c r="E60" s="3">
        <v>17</v>
      </c>
      <c r="F60" s="4" t="str">
        <f>HYPERLINK("http://141.218.60.56/~jnz1568/getInfo.php?workbook=08_06.xlsx&amp;sheet=U0&amp;row=60&amp;col=6&amp;number=5.15&amp;sourceID=4","5.15")</f>
        <v>5.15</v>
      </c>
      <c r="G60" s="4" t="str">
        <f>HYPERLINK("http://141.218.60.56/~jnz1568/getInfo.php?workbook=08_06.xlsx&amp;sheet=U0&amp;row=60&amp;col=7&amp;number=1.48&amp;sourceID=4","1.48")</f>
        <v>1.48</v>
      </c>
      <c r="H60" s="4" t="str">
        <f>HYPERLINK("http://141.218.60.56/~jnz1568/getInfo.php?workbook=08_06.xlsx&amp;sheet=U0&amp;row=60&amp;col=8&amp;number=&amp;sourceID=8","")</f>
        <v/>
      </c>
      <c r="I60" s="4" t="str">
        <f>HYPERLINK("http://141.218.60.56/~jnz1568/getInfo.php?workbook=08_06.xlsx&amp;sheet=U0&amp;row=60&amp;col=9&amp;number=&amp;sourceID=8","")</f>
        <v/>
      </c>
      <c r="J60" s="4" t="str">
        <f>HYPERLINK("http://141.218.60.56/~jnz1568/getInfo.php?workbook=08_06.xlsx&amp;sheet=U0&amp;row=60&amp;col=10&amp;number=&amp;sourceID=9","")</f>
        <v/>
      </c>
      <c r="K60" s="4" t="str">
        <f>HYPERLINK("http://141.218.60.56/~jnz1568/getInfo.php?workbook=08_06.xlsx&amp;sheet=U0&amp;row=60&amp;col=11&amp;number=&amp;sourceID=9","")</f>
        <v/>
      </c>
      <c r="L60" s="4" t="str">
        <f>HYPERLINK("http://141.218.60.56/~jnz1568/getInfo.php?workbook=08_06.xlsx&amp;sheet=U0&amp;row=60&amp;col=12&amp;number=&amp;sourceID=10","")</f>
        <v/>
      </c>
      <c r="M60" s="4" t="str">
        <f>HYPERLINK("http://141.218.60.56/~jnz1568/getInfo.php?workbook=08_06.xlsx&amp;sheet=U0&amp;row=60&amp;col=13&amp;number=&amp;sourceID=10","")</f>
        <v/>
      </c>
    </row>
    <row r="61" spans="1:13">
      <c r="A61" s="3"/>
      <c r="B61" s="3"/>
      <c r="C61" s="3"/>
      <c r="D61" s="3"/>
      <c r="E61" s="3">
        <v>18</v>
      </c>
      <c r="F61" s="4" t="str">
        <f>HYPERLINK("http://141.218.60.56/~jnz1568/getInfo.php?workbook=08_06.xlsx&amp;sheet=U0&amp;row=61&amp;col=6&amp;number=5.2&amp;sourceID=4","5.2")</f>
        <v>5.2</v>
      </c>
      <c r="G61" s="4" t="str">
        <f>HYPERLINK("http://141.218.60.56/~jnz1568/getInfo.php?workbook=08_06.xlsx&amp;sheet=U0&amp;row=61&amp;col=7&amp;number=1.46&amp;sourceID=4","1.46")</f>
        <v>1.46</v>
      </c>
      <c r="H61" s="4" t="str">
        <f>HYPERLINK("http://141.218.60.56/~jnz1568/getInfo.php?workbook=08_06.xlsx&amp;sheet=U0&amp;row=61&amp;col=8&amp;number=&amp;sourceID=8","")</f>
        <v/>
      </c>
      <c r="I61" s="4" t="str">
        <f>HYPERLINK("http://141.218.60.56/~jnz1568/getInfo.php?workbook=08_06.xlsx&amp;sheet=U0&amp;row=61&amp;col=9&amp;number=&amp;sourceID=8","")</f>
        <v/>
      </c>
      <c r="J61" s="4" t="str">
        <f>HYPERLINK("http://141.218.60.56/~jnz1568/getInfo.php?workbook=08_06.xlsx&amp;sheet=U0&amp;row=61&amp;col=10&amp;number=&amp;sourceID=9","")</f>
        <v/>
      </c>
      <c r="K61" s="4" t="str">
        <f>HYPERLINK("http://141.218.60.56/~jnz1568/getInfo.php?workbook=08_06.xlsx&amp;sheet=U0&amp;row=61&amp;col=11&amp;number=&amp;sourceID=9","")</f>
        <v/>
      </c>
      <c r="L61" s="4" t="str">
        <f>HYPERLINK("http://141.218.60.56/~jnz1568/getInfo.php?workbook=08_06.xlsx&amp;sheet=U0&amp;row=61&amp;col=12&amp;number=&amp;sourceID=10","")</f>
        <v/>
      </c>
      <c r="M61" s="4" t="str">
        <f>HYPERLINK("http://141.218.60.56/~jnz1568/getInfo.php?workbook=08_06.xlsx&amp;sheet=U0&amp;row=61&amp;col=13&amp;number=&amp;sourceID=10","")</f>
        <v/>
      </c>
    </row>
    <row r="62" spans="1:13">
      <c r="A62" s="3"/>
      <c r="B62" s="3"/>
      <c r="C62" s="3"/>
      <c r="D62" s="3"/>
      <c r="E62" s="3">
        <v>19</v>
      </c>
      <c r="F62" s="4" t="str">
        <f>HYPERLINK("http://141.218.60.56/~jnz1568/getInfo.php?workbook=08_06.xlsx&amp;sheet=U0&amp;row=62&amp;col=6&amp;number=5.26&amp;sourceID=4","5.26")</f>
        <v>5.26</v>
      </c>
      <c r="G62" s="4" t="str">
        <f>HYPERLINK("http://141.218.60.56/~jnz1568/getInfo.php?workbook=08_06.xlsx&amp;sheet=U0&amp;row=62&amp;col=7&amp;number=1.44&amp;sourceID=4","1.44")</f>
        <v>1.44</v>
      </c>
      <c r="H62" s="4" t="str">
        <f>HYPERLINK("http://141.218.60.56/~jnz1568/getInfo.php?workbook=08_06.xlsx&amp;sheet=U0&amp;row=62&amp;col=8&amp;number=&amp;sourceID=8","")</f>
        <v/>
      </c>
      <c r="I62" s="4" t="str">
        <f>HYPERLINK("http://141.218.60.56/~jnz1568/getInfo.php?workbook=08_06.xlsx&amp;sheet=U0&amp;row=62&amp;col=9&amp;number=&amp;sourceID=8","")</f>
        <v/>
      </c>
      <c r="J62" s="4" t="str">
        <f>HYPERLINK("http://141.218.60.56/~jnz1568/getInfo.php?workbook=08_06.xlsx&amp;sheet=U0&amp;row=62&amp;col=10&amp;number=&amp;sourceID=9","")</f>
        <v/>
      </c>
      <c r="K62" s="4" t="str">
        <f>HYPERLINK("http://141.218.60.56/~jnz1568/getInfo.php?workbook=08_06.xlsx&amp;sheet=U0&amp;row=62&amp;col=11&amp;number=&amp;sourceID=9","")</f>
        <v/>
      </c>
      <c r="L62" s="4" t="str">
        <f>HYPERLINK("http://141.218.60.56/~jnz1568/getInfo.php?workbook=08_06.xlsx&amp;sheet=U0&amp;row=62&amp;col=12&amp;number=&amp;sourceID=10","")</f>
        <v/>
      </c>
      <c r="M62" s="4" t="str">
        <f>HYPERLINK("http://141.218.60.56/~jnz1568/getInfo.php?workbook=08_06.xlsx&amp;sheet=U0&amp;row=62&amp;col=13&amp;number=&amp;sourceID=10","")</f>
        <v/>
      </c>
    </row>
    <row r="63" spans="1:13">
      <c r="A63" s="3"/>
      <c r="B63" s="3"/>
      <c r="C63" s="3"/>
      <c r="D63" s="3"/>
      <c r="E63" s="3">
        <v>20</v>
      </c>
      <c r="F63" s="4" t="str">
        <f>HYPERLINK("http://141.218.60.56/~jnz1568/getInfo.php?workbook=08_06.xlsx&amp;sheet=U0&amp;row=63&amp;col=6&amp;number=5.3&amp;sourceID=4","5.3")</f>
        <v>5.3</v>
      </c>
      <c r="G63" s="4" t="str">
        <f>HYPERLINK("http://141.218.60.56/~jnz1568/getInfo.php?workbook=08_06.xlsx&amp;sheet=U0&amp;row=63&amp;col=7&amp;number=1.42&amp;sourceID=4","1.42")</f>
        <v>1.42</v>
      </c>
      <c r="H63" s="4" t="str">
        <f>HYPERLINK("http://141.218.60.56/~jnz1568/getInfo.php?workbook=08_06.xlsx&amp;sheet=U0&amp;row=63&amp;col=8&amp;number=&amp;sourceID=8","")</f>
        <v/>
      </c>
      <c r="I63" s="4" t="str">
        <f>HYPERLINK("http://141.218.60.56/~jnz1568/getInfo.php?workbook=08_06.xlsx&amp;sheet=U0&amp;row=63&amp;col=9&amp;number=&amp;sourceID=8","")</f>
        <v/>
      </c>
      <c r="J63" s="4" t="str">
        <f>HYPERLINK("http://141.218.60.56/~jnz1568/getInfo.php?workbook=08_06.xlsx&amp;sheet=U0&amp;row=63&amp;col=10&amp;number=&amp;sourceID=9","")</f>
        <v/>
      </c>
      <c r="K63" s="4" t="str">
        <f>HYPERLINK("http://141.218.60.56/~jnz1568/getInfo.php?workbook=08_06.xlsx&amp;sheet=U0&amp;row=63&amp;col=11&amp;number=&amp;sourceID=9","")</f>
        <v/>
      </c>
      <c r="L63" s="4" t="str">
        <f>HYPERLINK("http://141.218.60.56/~jnz1568/getInfo.php?workbook=08_06.xlsx&amp;sheet=U0&amp;row=63&amp;col=12&amp;number=&amp;sourceID=10","")</f>
        <v/>
      </c>
      <c r="M63" s="4" t="str">
        <f>HYPERLINK("http://141.218.60.56/~jnz1568/getInfo.php?workbook=08_06.xlsx&amp;sheet=U0&amp;row=63&amp;col=13&amp;number=&amp;sourceID=10","")</f>
        <v/>
      </c>
    </row>
    <row r="64" spans="1:13">
      <c r="A64" s="3">
        <v>8</v>
      </c>
      <c r="B64" s="3">
        <v>6</v>
      </c>
      <c r="C64" s="3">
        <v>4</v>
      </c>
      <c r="D64" s="3">
        <v>1</v>
      </c>
      <c r="E64" s="3">
        <v>1</v>
      </c>
      <c r="F64" s="4" t="str">
        <f>HYPERLINK("http://141.218.60.56/~jnz1568/getInfo.php?workbook=08_06.xlsx&amp;sheet=U0&amp;row=64&amp;col=6&amp;number=3.4&amp;sourceID=4","3.4")</f>
        <v>3.4</v>
      </c>
      <c r="G64" s="4" t="str">
        <f>HYPERLINK("http://141.218.60.56/~jnz1568/getInfo.php?workbook=08_06.xlsx&amp;sheet=U0&amp;row=64&amp;col=7&amp;number=0.226&amp;sourceID=4","0.226")</f>
        <v>0.226</v>
      </c>
      <c r="H64" s="4" t="str">
        <f>HYPERLINK("http://141.218.60.56/~jnz1568/getInfo.php?workbook=08_06.xlsx&amp;sheet=U0&amp;row=64&amp;col=8&amp;number=2&amp;sourceID=8","2")</f>
        <v>2</v>
      </c>
      <c r="I64" s="4" t="str">
        <f>HYPERLINK("http://141.218.60.56/~jnz1568/getInfo.php?workbook=08_06.xlsx&amp;sheet=U0&amp;row=64&amp;col=9&amp;number=0.1959&amp;sourceID=8","0.1959")</f>
        <v>0.1959</v>
      </c>
      <c r="J64" s="4" t="str">
        <f>HYPERLINK("http://141.218.60.56/~jnz1568/getInfo.php?workbook=08_06.xlsx&amp;sheet=U0&amp;row=64&amp;col=10&amp;number=3&amp;sourceID=9","3")</f>
        <v>3</v>
      </c>
      <c r="K64" s="4" t="str">
        <f>HYPERLINK("http://141.218.60.56/~jnz1568/getInfo.php?workbook=08_06.xlsx&amp;sheet=U0&amp;row=64&amp;col=11&amp;number=0.247033333333&amp;sourceID=9","0.247033333333")</f>
        <v>0.247033333333</v>
      </c>
      <c r="L64" s="4" t="str">
        <f>HYPERLINK("http://141.218.60.56/~jnz1568/getInfo.php?workbook=08_06.xlsx&amp;sheet=U0&amp;row=64&amp;col=12&amp;number=3.69897000434&amp;sourceID=10","3.69897000434")</f>
        <v>3.69897000434</v>
      </c>
      <c r="M64" s="4" t="str">
        <f>HYPERLINK("http://141.218.60.56/~jnz1568/getInfo.php?workbook=08_06.xlsx&amp;sheet=U0&amp;row=64&amp;col=13&amp;number=0.18545807849&amp;sourceID=10","0.18545807849")</f>
        <v>0.18545807849</v>
      </c>
    </row>
    <row r="65" spans="1:13">
      <c r="A65" s="3"/>
      <c r="B65" s="3"/>
      <c r="C65" s="3"/>
      <c r="D65" s="3"/>
      <c r="E65" s="3">
        <v>2</v>
      </c>
      <c r="F65" s="4" t="str">
        <f>HYPERLINK("http://141.218.60.56/~jnz1568/getInfo.php?workbook=08_06.xlsx&amp;sheet=U0&amp;row=65&amp;col=6&amp;number=3.7&amp;sourceID=4","3.7")</f>
        <v>3.7</v>
      </c>
      <c r="G65" s="4" t="str">
        <f>HYPERLINK("http://141.218.60.56/~jnz1568/getInfo.php?workbook=08_06.xlsx&amp;sheet=U0&amp;row=65&amp;col=7&amp;number=0.227&amp;sourceID=4","0.227")</f>
        <v>0.227</v>
      </c>
      <c r="H65" s="4" t="str">
        <f>HYPERLINK("http://141.218.60.56/~jnz1568/getInfo.php?workbook=08_06.xlsx&amp;sheet=U0&amp;row=65&amp;col=8&amp;number=2.69897000434&amp;sourceID=8","2.69897000434")</f>
        <v>2.69897000434</v>
      </c>
      <c r="I65" s="4" t="str">
        <f>HYPERLINK("http://141.218.60.56/~jnz1568/getInfo.php?workbook=08_06.xlsx&amp;sheet=U0&amp;row=65&amp;col=9&amp;number=0.2088&amp;sourceID=8","0.2088")</f>
        <v>0.2088</v>
      </c>
      <c r="J65" s="4" t="str">
        <f>HYPERLINK("http://141.218.60.56/~jnz1568/getInfo.php?workbook=08_06.xlsx&amp;sheet=U0&amp;row=65&amp;col=10&amp;number=3.2&amp;sourceID=9","3.2")</f>
        <v>3.2</v>
      </c>
      <c r="K65" s="4" t="str">
        <f>HYPERLINK("http://141.218.60.56/~jnz1568/getInfo.php?workbook=08_06.xlsx&amp;sheet=U0&amp;row=65&amp;col=11&amp;number=0.2432&amp;sourceID=9","0.2432")</f>
        <v>0.2432</v>
      </c>
      <c r="L65" s="4" t="str">
        <f>HYPERLINK("http://141.218.60.56/~jnz1568/getInfo.php?workbook=08_06.xlsx&amp;sheet=U0&amp;row=65&amp;col=12&amp;number=3.77815125038&amp;sourceID=10","3.77815125038")</f>
        <v>3.77815125038</v>
      </c>
      <c r="M65" s="4" t="str">
        <f>HYPERLINK("http://141.218.60.56/~jnz1568/getInfo.php?workbook=08_06.xlsx&amp;sheet=U0&amp;row=65&amp;col=13&amp;number=0.19222478992&amp;sourceID=10","0.19222478992")</f>
        <v>0.19222478992</v>
      </c>
    </row>
    <row r="66" spans="1:13">
      <c r="A66" s="3"/>
      <c r="B66" s="3"/>
      <c r="C66" s="3"/>
      <c r="D66" s="3"/>
      <c r="E66" s="3">
        <v>3</v>
      </c>
      <c r="F66" s="4" t="str">
        <f>HYPERLINK("http://141.218.60.56/~jnz1568/getInfo.php?workbook=08_06.xlsx&amp;sheet=U0&amp;row=66&amp;col=6&amp;number=3.88&amp;sourceID=4","3.88")</f>
        <v>3.88</v>
      </c>
      <c r="G66" s="4" t="str">
        <f>HYPERLINK("http://141.218.60.56/~jnz1568/getInfo.php?workbook=08_06.xlsx&amp;sheet=U0&amp;row=66&amp;col=7&amp;number=0.234&amp;sourceID=4","0.234")</f>
        <v>0.234</v>
      </c>
      <c r="H66" s="4" t="str">
        <f>HYPERLINK("http://141.218.60.56/~jnz1568/getInfo.php?workbook=08_06.xlsx&amp;sheet=U0&amp;row=66&amp;col=8&amp;number=3&amp;sourceID=8","3")</f>
        <v>3</v>
      </c>
      <c r="I66" s="4" t="str">
        <f>HYPERLINK("http://141.218.60.56/~jnz1568/getInfo.php?workbook=08_06.xlsx&amp;sheet=U0&amp;row=66&amp;col=9&amp;number=0.2154&amp;sourceID=8","0.2154")</f>
        <v>0.2154</v>
      </c>
      <c r="J66" s="4" t="str">
        <f>HYPERLINK("http://141.218.60.56/~jnz1568/getInfo.php?workbook=08_06.xlsx&amp;sheet=U0&amp;row=66&amp;col=10&amp;number=3.4&amp;sourceID=9","3.4")</f>
        <v>3.4</v>
      </c>
      <c r="K66" s="4" t="str">
        <f>HYPERLINK("http://141.218.60.56/~jnz1568/getInfo.php?workbook=08_06.xlsx&amp;sheet=U0&amp;row=66&amp;col=11&amp;number=0.237955555556&amp;sourceID=9","0.237955555556")</f>
        <v>0.237955555556</v>
      </c>
      <c r="L66" s="4" t="str">
        <f>HYPERLINK("http://141.218.60.56/~jnz1568/getInfo.php?workbook=08_06.xlsx&amp;sheet=U0&amp;row=66&amp;col=12&amp;number=3.84509804001&amp;sourceID=10","3.84509804001")</f>
        <v>3.84509804001</v>
      </c>
      <c r="M66" s="4" t="str">
        <f>HYPERLINK("http://141.218.60.56/~jnz1568/getInfo.php?workbook=08_06.xlsx&amp;sheet=U0&amp;row=66&amp;col=13&amp;number=0.199550205382&amp;sourceID=10","0.199550205382")</f>
        <v>0.199550205382</v>
      </c>
    </row>
    <row r="67" spans="1:13">
      <c r="A67" s="3"/>
      <c r="B67" s="3"/>
      <c r="C67" s="3"/>
      <c r="D67" s="3"/>
      <c r="E67" s="3">
        <v>4</v>
      </c>
      <c r="F67" s="4" t="str">
        <f>HYPERLINK("http://141.218.60.56/~jnz1568/getInfo.php?workbook=08_06.xlsx&amp;sheet=U0&amp;row=67&amp;col=6&amp;number=4&amp;sourceID=4","4")</f>
        <v>4</v>
      </c>
      <c r="G67" s="4" t="str">
        <f>HYPERLINK("http://141.218.60.56/~jnz1568/getInfo.php?workbook=08_06.xlsx&amp;sheet=U0&amp;row=67&amp;col=7&amp;number=0.243&amp;sourceID=4","0.243")</f>
        <v>0.243</v>
      </c>
      <c r="H67" s="4" t="str">
        <f>HYPERLINK("http://141.218.60.56/~jnz1568/getInfo.php?workbook=08_06.xlsx&amp;sheet=U0&amp;row=67&amp;col=8&amp;number=3.69897000434&amp;sourceID=8","3.69897000434")</f>
        <v>3.69897000434</v>
      </c>
      <c r="I67" s="4" t="str">
        <f>HYPERLINK("http://141.218.60.56/~jnz1568/getInfo.php?workbook=08_06.xlsx&amp;sheet=U0&amp;row=67&amp;col=9&amp;number=0.2347&amp;sourceID=8","0.2347")</f>
        <v>0.2347</v>
      </c>
      <c r="J67" s="4" t="str">
        <f>HYPERLINK("http://141.218.60.56/~jnz1568/getInfo.php?workbook=08_06.xlsx&amp;sheet=U0&amp;row=67&amp;col=10&amp;number=3.6&amp;sourceID=9","3.6")</f>
        <v>3.6</v>
      </c>
      <c r="K67" s="4" t="str">
        <f>HYPERLINK("http://141.218.60.56/~jnz1568/getInfo.php?workbook=08_06.xlsx&amp;sheet=U0&amp;row=67&amp;col=11&amp;number=0.234633333333&amp;sourceID=9","0.234633333333")</f>
        <v>0.234633333333</v>
      </c>
      <c r="L67" s="4" t="str">
        <f>HYPERLINK("http://141.218.60.56/~jnz1568/getInfo.php?workbook=08_06.xlsx&amp;sheet=U0&amp;row=67&amp;col=12&amp;number=3.90308998699&amp;sourceID=10","3.90308998699")</f>
        <v>3.90308998699</v>
      </c>
      <c r="M67" s="4" t="str">
        <f>HYPERLINK("http://141.218.60.56/~jnz1568/getInfo.php?workbook=08_06.xlsx&amp;sheet=U0&amp;row=67&amp;col=13&amp;number=0.206763403134&amp;sourceID=10","0.206763403134")</f>
        <v>0.206763403134</v>
      </c>
    </row>
    <row r="68" spans="1:13">
      <c r="A68" s="3"/>
      <c r="B68" s="3"/>
      <c r="C68" s="3"/>
      <c r="D68" s="3"/>
      <c r="E68" s="3">
        <v>5</v>
      </c>
      <c r="F68" s="4" t="str">
        <f>HYPERLINK("http://141.218.60.56/~jnz1568/getInfo.php?workbook=08_06.xlsx&amp;sheet=U0&amp;row=68&amp;col=6&amp;number=4.1&amp;sourceID=4","4.1")</f>
        <v>4.1</v>
      </c>
      <c r="G68" s="4" t="str">
        <f>HYPERLINK("http://141.218.60.56/~jnz1568/getInfo.php?workbook=08_06.xlsx&amp;sheet=U0&amp;row=68&amp;col=7&amp;number=0.252&amp;sourceID=4","0.252")</f>
        <v>0.252</v>
      </c>
      <c r="H68" s="4" t="str">
        <f>HYPERLINK("http://141.218.60.56/~jnz1568/getInfo.php?workbook=08_06.xlsx&amp;sheet=U0&amp;row=68&amp;col=8&amp;number=4&amp;sourceID=8","4")</f>
        <v>4</v>
      </c>
      <c r="I68" s="4" t="str">
        <f>HYPERLINK("http://141.218.60.56/~jnz1568/getInfo.php?workbook=08_06.xlsx&amp;sheet=U0&amp;row=68&amp;col=9&amp;number=0.2693&amp;sourceID=8","0.2693")</f>
        <v>0.2693</v>
      </c>
      <c r="J68" s="4" t="str">
        <f>HYPERLINK("http://141.218.60.56/~jnz1568/getInfo.php?workbook=08_06.xlsx&amp;sheet=U0&amp;row=68&amp;col=10&amp;number=3.8&amp;sourceID=9","3.8")</f>
        <v>3.8</v>
      </c>
      <c r="K68" s="4" t="str">
        <f>HYPERLINK("http://141.218.60.56/~jnz1568/getInfo.php?workbook=08_06.xlsx&amp;sheet=U0&amp;row=68&amp;col=11&amp;number=0.239755555556&amp;sourceID=9","0.239755555556")</f>
        <v>0.239755555556</v>
      </c>
      <c r="L68" s="4" t="str">
        <f>HYPERLINK("http://141.218.60.56/~jnz1568/getInfo.php?workbook=08_06.xlsx&amp;sheet=U0&amp;row=68&amp;col=12&amp;number=3.95424250944&amp;sourceID=10","3.95424250944")</f>
        <v>3.95424250944</v>
      </c>
      <c r="M68" s="4" t="str">
        <f>HYPERLINK("http://141.218.60.56/~jnz1568/getInfo.php?workbook=08_06.xlsx&amp;sheet=U0&amp;row=68&amp;col=13&amp;number=0.213546587081&amp;sourceID=10","0.213546587081")</f>
        <v>0.213546587081</v>
      </c>
    </row>
    <row r="69" spans="1:13">
      <c r="A69" s="3"/>
      <c r="B69" s="3"/>
      <c r="C69" s="3"/>
      <c r="D69" s="3"/>
      <c r="E69" s="3">
        <v>6</v>
      </c>
      <c r="F69" s="4" t="str">
        <f>HYPERLINK("http://141.218.60.56/~jnz1568/getInfo.php?workbook=08_06.xlsx&amp;sheet=U0&amp;row=69&amp;col=6&amp;number=4.18&amp;sourceID=4","4.18")</f>
        <v>4.18</v>
      </c>
      <c r="G69" s="4" t="str">
        <f>HYPERLINK("http://141.218.60.56/~jnz1568/getInfo.php?workbook=08_06.xlsx&amp;sheet=U0&amp;row=69&amp;col=7&amp;number=0.258&amp;sourceID=4","0.258")</f>
        <v>0.258</v>
      </c>
      <c r="H69" s="4" t="str">
        <f>HYPERLINK("http://141.218.60.56/~jnz1568/getInfo.php?workbook=08_06.xlsx&amp;sheet=U0&amp;row=69&amp;col=8&amp;number=4.30102999566&amp;sourceID=8","4.30102999566")</f>
        <v>4.30102999566</v>
      </c>
      <c r="I69" s="4" t="str">
        <f>HYPERLINK("http://141.218.60.56/~jnz1568/getInfo.php?workbook=08_06.xlsx&amp;sheet=U0&amp;row=69&amp;col=9&amp;number=0.3094&amp;sourceID=8","0.3094")</f>
        <v>0.3094</v>
      </c>
      <c r="J69" s="4" t="str">
        <f>HYPERLINK("http://141.218.60.56/~jnz1568/getInfo.php?workbook=08_06.xlsx&amp;sheet=U0&amp;row=69&amp;col=10&amp;number=4&amp;sourceID=9","4")</f>
        <v>4</v>
      </c>
      <c r="K69" s="4" t="str">
        <f>HYPERLINK("http://141.218.60.56/~jnz1568/getInfo.php?workbook=08_06.xlsx&amp;sheet=U0&amp;row=69&amp;col=11&amp;number=0.254355555556&amp;sourceID=9","0.254355555556")</f>
        <v>0.254355555556</v>
      </c>
      <c r="L69" s="4" t="str">
        <f>HYPERLINK("http://141.218.60.56/~jnz1568/getInfo.php?workbook=08_06.xlsx&amp;sheet=U0&amp;row=69&amp;col=12&amp;number=4&amp;sourceID=10","4")</f>
        <v>4</v>
      </c>
      <c r="M69" s="4" t="str">
        <f>HYPERLINK("http://141.218.60.56/~jnz1568/getInfo.php?workbook=08_06.xlsx&amp;sheet=U0&amp;row=69&amp;col=13&amp;number=0.21977592991&amp;sourceID=10","0.21977592991")</f>
        <v>0.21977592991</v>
      </c>
    </row>
    <row r="70" spans="1:13">
      <c r="A70" s="3"/>
      <c r="B70" s="3"/>
      <c r="C70" s="3"/>
      <c r="D70" s="3"/>
      <c r="E70" s="3">
        <v>7</v>
      </c>
      <c r="F70" s="4" t="str">
        <f>HYPERLINK("http://141.218.60.56/~jnz1568/getInfo.php?workbook=08_06.xlsx&amp;sheet=U0&amp;row=70&amp;col=6&amp;number=4.24&amp;sourceID=4","4.24")</f>
        <v>4.24</v>
      </c>
      <c r="G70" s="4" t="str">
        <f>HYPERLINK("http://141.218.60.56/~jnz1568/getInfo.php?workbook=08_06.xlsx&amp;sheet=U0&amp;row=70&amp;col=7&amp;number=0.264&amp;sourceID=4","0.264")</f>
        <v>0.264</v>
      </c>
      <c r="H70" s="4" t="str">
        <f>HYPERLINK("http://141.218.60.56/~jnz1568/getInfo.php?workbook=08_06.xlsx&amp;sheet=U0&amp;row=70&amp;col=8&amp;number=4.47712125472&amp;sourceID=8","4.47712125472")</f>
        <v>4.47712125472</v>
      </c>
      <c r="I70" s="4" t="str">
        <f>HYPERLINK("http://141.218.60.56/~jnz1568/getInfo.php?workbook=08_06.xlsx&amp;sheet=U0&amp;row=70&amp;col=9&amp;number=0.3256&amp;sourceID=8","0.3256")</f>
        <v>0.3256</v>
      </c>
      <c r="J70" s="4" t="str">
        <f>HYPERLINK("http://141.218.60.56/~jnz1568/getInfo.php?workbook=08_06.xlsx&amp;sheet=U0&amp;row=70&amp;col=10&amp;number=4.2&amp;sourceID=9","4.2")</f>
        <v>4.2</v>
      </c>
      <c r="K70" s="4" t="str">
        <f>HYPERLINK("http://141.218.60.56/~jnz1568/getInfo.php?workbook=08_06.xlsx&amp;sheet=U0&amp;row=70&amp;col=11&amp;number=0.272188888889&amp;sourceID=9","0.272188888889")</f>
        <v>0.272188888889</v>
      </c>
      <c r="L70" s="4" t="str">
        <f>HYPERLINK("http://141.218.60.56/~jnz1568/getInfo.php?workbook=08_06.xlsx&amp;sheet=U0&amp;row=70&amp;col=12&amp;number=4.04139268516&amp;sourceID=10","4.04139268516")</f>
        <v>4.04139268516</v>
      </c>
      <c r="M70" s="4" t="str">
        <f>HYPERLINK("http://141.218.60.56/~jnz1568/getInfo.php?workbook=08_06.xlsx&amp;sheet=U0&amp;row=70&amp;col=13&amp;number=0.22542796992&amp;sourceID=10","0.22542796992")</f>
        <v>0.22542796992</v>
      </c>
    </row>
    <row r="71" spans="1:13">
      <c r="A71" s="3"/>
      <c r="B71" s="3"/>
      <c r="C71" s="3"/>
      <c r="D71" s="3"/>
      <c r="E71" s="3">
        <v>8</v>
      </c>
      <c r="F71" s="4" t="str">
        <f>HYPERLINK("http://141.218.60.56/~jnz1568/getInfo.php?workbook=08_06.xlsx&amp;sheet=U0&amp;row=71&amp;col=6&amp;number=4.3&amp;sourceID=4","4.3")</f>
        <v>4.3</v>
      </c>
      <c r="G71" s="4" t="str">
        <f>HYPERLINK("http://141.218.60.56/~jnz1568/getInfo.php?workbook=08_06.xlsx&amp;sheet=U0&amp;row=71&amp;col=7&amp;number=0.268&amp;sourceID=4","0.268")</f>
        <v>0.268</v>
      </c>
      <c r="H71" s="4" t="str">
        <f>HYPERLINK("http://141.218.60.56/~jnz1568/getInfo.php?workbook=08_06.xlsx&amp;sheet=U0&amp;row=71&amp;col=8&amp;number=&amp;sourceID=8","")</f>
        <v/>
      </c>
      <c r="I71" s="4" t="str">
        <f>HYPERLINK("http://141.218.60.56/~jnz1568/getInfo.php?workbook=08_06.xlsx&amp;sheet=U0&amp;row=71&amp;col=9&amp;number=&amp;sourceID=8","")</f>
        <v/>
      </c>
      <c r="J71" s="4" t="str">
        <f>HYPERLINK("http://141.218.60.56/~jnz1568/getInfo.php?workbook=08_06.xlsx&amp;sheet=U0&amp;row=71&amp;col=10&amp;number=4.4&amp;sourceID=9","4.4")</f>
        <v>4.4</v>
      </c>
      <c r="K71" s="4" t="str">
        <f>HYPERLINK("http://141.218.60.56/~jnz1568/getInfo.php?workbook=08_06.xlsx&amp;sheet=U0&amp;row=71&amp;col=11&amp;number=0.287233333333&amp;sourceID=9","0.287233333333")</f>
        <v>0.287233333333</v>
      </c>
      <c r="L71" s="4" t="str">
        <f>HYPERLINK("http://141.218.60.56/~jnz1568/getInfo.php?workbook=08_06.xlsx&amp;sheet=U0&amp;row=71&amp;col=12&amp;number=4.07918124605&amp;sourceID=10","4.07918124605")</f>
        <v>4.07918124605</v>
      </c>
      <c r="M71" s="4" t="str">
        <f>HYPERLINK("http://141.218.60.56/~jnz1568/getInfo.php?workbook=08_06.xlsx&amp;sheet=U0&amp;row=71&amp;col=13&amp;number=0.23052795932&amp;sourceID=10","0.23052795932")</f>
        <v>0.23052795932</v>
      </c>
    </row>
    <row r="72" spans="1:13">
      <c r="A72" s="3"/>
      <c r="B72" s="3"/>
      <c r="C72" s="3"/>
      <c r="D72" s="3"/>
      <c r="E72" s="3">
        <v>9</v>
      </c>
      <c r="F72" s="4" t="str">
        <f>HYPERLINK("http://141.218.60.56/~jnz1568/getInfo.php?workbook=08_06.xlsx&amp;sheet=U0&amp;row=72&amp;col=6&amp;number=4.4&amp;sourceID=4","4.4")</f>
        <v>4.4</v>
      </c>
      <c r="G72" s="4" t="str">
        <f>HYPERLINK("http://141.218.60.56/~jnz1568/getInfo.php?workbook=08_06.xlsx&amp;sheet=U0&amp;row=72&amp;col=7&amp;number=0.275&amp;sourceID=4","0.275")</f>
        <v>0.275</v>
      </c>
      <c r="H72" s="4" t="str">
        <f>HYPERLINK("http://141.218.60.56/~jnz1568/getInfo.php?workbook=08_06.xlsx&amp;sheet=U0&amp;row=72&amp;col=8&amp;number=&amp;sourceID=8","")</f>
        <v/>
      </c>
      <c r="I72" s="4" t="str">
        <f>HYPERLINK("http://141.218.60.56/~jnz1568/getInfo.php?workbook=08_06.xlsx&amp;sheet=U0&amp;row=72&amp;col=9&amp;number=&amp;sourceID=8","")</f>
        <v/>
      </c>
      <c r="J72" s="4" t="str">
        <f>HYPERLINK("http://141.218.60.56/~jnz1568/getInfo.php?workbook=08_06.xlsx&amp;sheet=U0&amp;row=72&amp;col=10&amp;number=4.6&amp;sourceID=9","4.6")</f>
        <v>4.6</v>
      </c>
      <c r="K72" s="4" t="str">
        <f>HYPERLINK("http://141.218.60.56/~jnz1568/getInfo.php?workbook=08_06.xlsx&amp;sheet=U0&amp;row=72&amp;col=11&amp;number=0.297&amp;sourceID=9","0.297")</f>
        <v>0.297</v>
      </c>
      <c r="L72" s="4" t="str">
        <f>HYPERLINK("http://141.218.60.56/~jnz1568/getInfo.php?workbook=08_06.xlsx&amp;sheet=U0&amp;row=72&amp;col=12&amp;number=4.11394335231&amp;sourceID=10","4.11394335231")</f>
        <v>4.11394335231</v>
      </c>
      <c r="M72" s="4" t="str">
        <f>HYPERLINK("http://141.218.60.56/~jnz1568/getInfo.php?workbook=08_06.xlsx&amp;sheet=U0&amp;row=72&amp;col=13&amp;number=0.23512224622&amp;sourceID=10","0.23512224622")</f>
        <v>0.23512224622</v>
      </c>
    </row>
    <row r="73" spans="1:13">
      <c r="A73" s="3"/>
      <c r="B73" s="3"/>
      <c r="C73" s="3"/>
      <c r="D73" s="3"/>
      <c r="E73" s="3">
        <v>10</v>
      </c>
      <c r="F73" s="4" t="str">
        <f>HYPERLINK("http://141.218.60.56/~jnz1568/getInfo.php?workbook=08_06.xlsx&amp;sheet=U0&amp;row=73&amp;col=6&amp;number=4.48&amp;sourceID=4","4.48")</f>
        <v>4.48</v>
      </c>
      <c r="G73" s="4" t="str">
        <f>HYPERLINK("http://141.218.60.56/~jnz1568/getInfo.php?workbook=08_06.xlsx&amp;sheet=U0&amp;row=73&amp;col=7&amp;number=0.28&amp;sourceID=4","0.28")</f>
        <v>0.28</v>
      </c>
      <c r="H73" s="4" t="str">
        <f>HYPERLINK("http://141.218.60.56/~jnz1568/getInfo.php?workbook=08_06.xlsx&amp;sheet=U0&amp;row=73&amp;col=8&amp;number=&amp;sourceID=8","")</f>
        <v/>
      </c>
      <c r="I73" s="4" t="str">
        <f>HYPERLINK("http://141.218.60.56/~jnz1568/getInfo.php?workbook=08_06.xlsx&amp;sheet=U0&amp;row=73&amp;col=9&amp;number=&amp;sourceID=8","")</f>
        <v/>
      </c>
      <c r="J73" s="4" t="str">
        <f>HYPERLINK("http://141.218.60.56/~jnz1568/getInfo.php?workbook=08_06.xlsx&amp;sheet=U0&amp;row=73&amp;col=10&amp;number=4.8&amp;sourceID=9","4.8")</f>
        <v>4.8</v>
      </c>
      <c r="K73" s="4" t="str">
        <f>HYPERLINK("http://141.218.60.56/~jnz1568/getInfo.php?workbook=08_06.xlsx&amp;sheet=U0&amp;row=73&amp;col=11&amp;number=0.300211111111&amp;sourceID=9","0.300211111111")</f>
        <v>0.300211111111</v>
      </c>
      <c r="L73" s="4" t="str">
        <f>HYPERLINK("http://141.218.60.56/~jnz1568/getInfo.php?workbook=08_06.xlsx&amp;sheet=U0&amp;row=73&amp;col=12&amp;number=4.14612803568&amp;sourceID=10","4.14612803568")</f>
        <v>4.14612803568</v>
      </c>
      <c r="M73" s="4" t="str">
        <f>HYPERLINK("http://141.218.60.56/~jnz1568/getInfo.php?workbook=08_06.xlsx&amp;sheet=U0&amp;row=73&amp;col=13&amp;number=0.23926390188&amp;sourceID=10","0.23926390188")</f>
        <v>0.23926390188</v>
      </c>
    </row>
    <row r="74" spans="1:13">
      <c r="A74" s="3"/>
      <c r="B74" s="3"/>
      <c r="C74" s="3"/>
      <c r="D74" s="3"/>
      <c r="E74" s="3">
        <v>11</v>
      </c>
      <c r="F74" s="4" t="str">
        <f>HYPERLINK("http://141.218.60.56/~jnz1568/getInfo.php?workbook=08_06.xlsx&amp;sheet=U0&amp;row=74&amp;col=6&amp;number=4.6&amp;sourceID=4","4.6")</f>
        <v>4.6</v>
      </c>
      <c r="G74" s="4" t="str">
        <f>HYPERLINK("http://141.218.60.56/~jnz1568/getInfo.php?workbook=08_06.xlsx&amp;sheet=U0&amp;row=74&amp;col=7&amp;number=0.286&amp;sourceID=4","0.286")</f>
        <v>0.286</v>
      </c>
      <c r="H74" s="4" t="str">
        <f>HYPERLINK("http://141.218.60.56/~jnz1568/getInfo.php?workbook=08_06.xlsx&amp;sheet=U0&amp;row=74&amp;col=8&amp;number=&amp;sourceID=8","")</f>
        <v/>
      </c>
      <c r="I74" s="4" t="str">
        <f>HYPERLINK("http://141.218.60.56/~jnz1568/getInfo.php?workbook=08_06.xlsx&amp;sheet=U0&amp;row=74&amp;col=9&amp;number=&amp;sourceID=8","")</f>
        <v/>
      </c>
      <c r="J74" s="4" t="str">
        <f>HYPERLINK("http://141.218.60.56/~jnz1568/getInfo.php?workbook=08_06.xlsx&amp;sheet=U0&amp;row=74&amp;col=10&amp;number=5&amp;sourceID=9","5")</f>
        <v>5</v>
      </c>
      <c r="K74" s="4" t="str">
        <f>HYPERLINK("http://141.218.60.56/~jnz1568/getInfo.php?workbook=08_06.xlsx&amp;sheet=U0&amp;row=74&amp;col=11&amp;number=0.295488888889&amp;sourceID=9","0.295488888889")</f>
        <v>0.295488888889</v>
      </c>
      <c r="L74" s="4" t="str">
        <f>HYPERLINK("http://141.218.60.56/~jnz1568/getInfo.php?workbook=08_06.xlsx&amp;sheet=U0&amp;row=74&amp;col=12&amp;number=4.17609125906&amp;sourceID=10","4.17609125906")</f>
        <v>4.17609125906</v>
      </c>
      <c r="M74" s="4" t="str">
        <f>HYPERLINK("http://141.218.60.56/~jnz1568/getInfo.php?workbook=08_06.xlsx&amp;sheet=U0&amp;row=74&amp;col=13&amp;number=0.24300553311&amp;sourceID=10","0.24300553311")</f>
        <v>0.24300553311</v>
      </c>
    </row>
    <row r="75" spans="1:13">
      <c r="A75" s="3"/>
      <c r="B75" s="3"/>
      <c r="C75" s="3"/>
      <c r="D75" s="3"/>
      <c r="E75" s="3">
        <v>12</v>
      </c>
      <c r="F75" s="4" t="str">
        <f>HYPERLINK("http://141.218.60.56/~jnz1568/getInfo.php?workbook=08_06.xlsx&amp;sheet=U0&amp;row=75&amp;col=6&amp;number=4.7&amp;sourceID=4","4.7")</f>
        <v>4.7</v>
      </c>
      <c r="G75" s="4" t="str">
        <f>HYPERLINK("http://141.218.60.56/~jnz1568/getInfo.php?workbook=08_06.xlsx&amp;sheet=U0&amp;row=75&amp;col=7&amp;number=0.289&amp;sourceID=4","0.289")</f>
        <v>0.289</v>
      </c>
      <c r="H75" s="4" t="str">
        <f>HYPERLINK("http://141.218.60.56/~jnz1568/getInfo.php?workbook=08_06.xlsx&amp;sheet=U0&amp;row=75&amp;col=8&amp;number=&amp;sourceID=8","")</f>
        <v/>
      </c>
      <c r="I75" s="4" t="str">
        <f>HYPERLINK("http://141.218.60.56/~jnz1568/getInfo.php?workbook=08_06.xlsx&amp;sheet=U0&amp;row=75&amp;col=9&amp;number=&amp;sourceID=8","")</f>
        <v/>
      </c>
      <c r="J75" s="4" t="str">
        <f>HYPERLINK("http://141.218.60.56/~jnz1568/getInfo.php?workbook=08_06.xlsx&amp;sheet=U0&amp;row=75&amp;col=10&amp;number=&amp;sourceID=9","")</f>
        <v/>
      </c>
      <c r="K75" s="4" t="str">
        <f>HYPERLINK("http://141.218.60.56/~jnz1568/getInfo.php?workbook=08_06.xlsx&amp;sheet=U0&amp;row=75&amp;col=11&amp;number=&amp;sourceID=9","")</f>
        <v/>
      </c>
      <c r="L75" s="4" t="str">
        <f>HYPERLINK("http://141.218.60.56/~jnz1568/getInfo.php?workbook=08_06.xlsx&amp;sheet=U0&amp;row=75&amp;col=12&amp;number=4.20411998266&amp;sourceID=10","4.20411998266")</f>
        <v>4.20411998266</v>
      </c>
      <c r="M75" s="4" t="str">
        <f>HYPERLINK("http://141.218.60.56/~jnz1568/getInfo.php?workbook=08_06.xlsx&amp;sheet=U0&amp;row=75&amp;col=13&amp;number=0.24639595104&amp;sourceID=10","0.24639595104")</f>
        <v>0.24639595104</v>
      </c>
    </row>
    <row r="76" spans="1:13">
      <c r="A76" s="3"/>
      <c r="B76" s="3"/>
      <c r="C76" s="3"/>
      <c r="D76" s="3"/>
      <c r="E76" s="3">
        <v>13</v>
      </c>
      <c r="F76" s="4" t="str">
        <f>HYPERLINK("http://141.218.60.56/~jnz1568/getInfo.php?workbook=08_06.xlsx&amp;sheet=U0&amp;row=76&amp;col=6&amp;number=4.78&amp;sourceID=4","4.78")</f>
        <v>4.78</v>
      </c>
      <c r="G76" s="4" t="str">
        <f>HYPERLINK("http://141.218.60.56/~jnz1568/getInfo.php?workbook=08_06.xlsx&amp;sheet=U0&amp;row=76&amp;col=7&amp;number=0.29&amp;sourceID=4","0.29")</f>
        <v>0.29</v>
      </c>
      <c r="H76" s="4" t="str">
        <f>HYPERLINK("http://141.218.60.56/~jnz1568/getInfo.php?workbook=08_06.xlsx&amp;sheet=U0&amp;row=76&amp;col=8&amp;number=&amp;sourceID=8","")</f>
        <v/>
      </c>
      <c r="I76" s="4" t="str">
        <f>HYPERLINK("http://141.218.60.56/~jnz1568/getInfo.php?workbook=08_06.xlsx&amp;sheet=U0&amp;row=76&amp;col=9&amp;number=&amp;sourceID=8","")</f>
        <v/>
      </c>
      <c r="J76" s="4" t="str">
        <f>HYPERLINK("http://141.218.60.56/~jnz1568/getInfo.php?workbook=08_06.xlsx&amp;sheet=U0&amp;row=76&amp;col=10&amp;number=&amp;sourceID=9","")</f>
        <v/>
      </c>
      <c r="K76" s="4" t="str">
        <f>HYPERLINK("http://141.218.60.56/~jnz1568/getInfo.php?workbook=08_06.xlsx&amp;sheet=U0&amp;row=76&amp;col=11&amp;number=&amp;sourceID=9","")</f>
        <v/>
      </c>
      <c r="L76" s="4" t="str">
        <f>HYPERLINK("http://141.218.60.56/~jnz1568/getInfo.php?workbook=08_06.xlsx&amp;sheet=U0&amp;row=76&amp;col=12&amp;number=4.23044892138&amp;sourceID=10","4.23044892138")</f>
        <v>4.23044892138</v>
      </c>
      <c r="M76" s="4" t="str">
        <f>HYPERLINK("http://141.218.60.56/~jnz1568/getInfo.php?workbook=08_06.xlsx&amp;sheet=U0&amp;row=76&amp;col=13&amp;number=0.249478878901&amp;sourceID=10","0.249478878901")</f>
        <v>0.249478878901</v>
      </c>
    </row>
    <row r="77" spans="1:13">
      <c r="A77" s="3"/>
      <c r="B77" s="3"/>
      <c r="C77" s="3"/>
      <c r="D77" s="3"/>
      <c r="E77" s="3">
        <v>14</v>
      </c>
      <c r="F77" s="4" t="str">
        <f>HYPERLINK("http://141.218.60.56/~jnz1568/getInfo.php?workbook=08_06.xlsx&amp;sheet=U0&amp;row=77&amp;col=6&amp;number=4.9&amp;sourceID=4","4.9")</f>
        <v>4.9</v>
      </c>
      <c r="G77" s="4" t="str">
        <f>HYPERLINK("http://141.218.60.56/~jnz1568/getInfo.php?workbook=08_06.xlsx&amp;sheet=U0&amp;row=77&amp;col=7&amp;number=0.289&amp;sourceID=4","0.289")</f>
        <v>0.289</v>
      </c>
      <c r="H77" s="4" t="str">
        <f>HYPERLINK("http://141.218.60.56/~jnz1568/getInfo.php?workbook=08_06.xlsx&amp;sheet=U0&amp;row=77&amp;col=8&amp;number=&amp;sourceID=8","")</f>
        <v/>
      </c>
      <c r="I77" s="4" t="str">
        <f>HYPERLINK("http://141.218.60.56/~jnz1568/getInfo.php?workbook=08_06.xlsx&amp;sheet=U0&amp;row=77&amp;col=9&amp;number=&amp;sourceID=8","")</f>
        <v/>
      </c>
      <c r="J77" s="4" t="str">
        <f>HYPERLINK("http://141.218.60.56/~jnz1568/getInfo.php?workbook=08_06.xlsx&amp;sheet=U0&amp;row=77&amp;col=10&amp;number=&amp;sourceID=9","")</f>
        <v/>
      </c>
      <c r="K77" s="4" t="str">
        <f>HYPERLINK("http://141.218.60.56/~jnz1568/getInfo.php?workbook=08_06.xlsx&amp;sheet=U0&amp;row=77&amp;col=11&amp;number=&amp;sourceID=9","")</f>
        <v/>
      </c>
      <c r="L77" s="4" t="str">
        <f>HYPERLINK("http://141.218.60.56/~jnz1568/getInfo.php?workbook=08_06.xlsx&amp;sheet=U0&amp;row=77&amp;col=12&amp;number=4.2552725051&amp;sourceID=10","4.2552725051")</f>
        <v>4.2552725051</v>
      </c>
      <c r="M77" s="4" t="str">
        <f>HYPERLINK("http://141.218.60.56/~jnz1568/getInfo.php?workbook=08_06.xlsx&amp;sheet=U0&amp;row=77&amp;col=13&amp;number=0.252292708481&amp;sourceID=10","0.252292708481")</f>
        <v>0.252292708481</v>
      </c>
    </row>
    <row r="78" spans="1:13">
      <c r="A78" s="3"/>
      <c r="B78" s="3"/>
      <c r="C78" s="3"/>
      <c r="D78" s="3"/>
      <c r="E78" s="3">
        <v>15</v>
      </c>
      <c r="F78" s="4" t="str">
        <f>HYPERLINK("http://141.218.60.56/~jnz1568/getInfo.php?workbook=08_06.xlsx&amp;sheet=U0&amp;row=78&amp;col=6&amp;number=5&amp;sourceID=4","5")</f>
        <v>5</v>
      </c>
      <c r="G78" s="4" t="str">
        <f>HYPERLINK("http://141.218.60.56/~jnz1568/getInfo.php?workbook=08_06.xlsx&amp;sheet=U0&amp;row=78&amp;col=7&amp;number=0.286&amp;sourceID=4","0.286")</f>
        <v>0.286</v>
      </c>
      <c r="H78" s="4" t="str">
        <f>HYPERLINK("http://141.218.60.56/~jnz1568/getInfo.php?workbook=08_06.xlsx&amp;sheet=U0&amp;row=78&amp;col=8&amp;number=&amp;sourceID=8","")</f>
        <v/>
      </c>
      <c r="I78" s="4" t="str">
        <f>HYPERLINK("http://141.218.60.56/~jnz1568/getInfo.php?workbook=08_06.xlsx&amp;sheet=U0&amp;row=78&amp;col=9&amp;number=&amp;sourceID=8","")</f>
        <v/>
      </c>
      <c r="J78" s="4" t="str">
        <f>HYPERLINK("http://141.218.60.56/~jnz1568/getInfo.php?workbook=08_06.xlsx&amp;sheet=U0&amp;row=78&amp;col=10&amp;number=&amp;sourceID=9","")</f>
        <v/>
      </c>
      <c r="K78" s="4" t="str">
        <f>HYPERLINK("http://141.218.60.56/~jnz1568/getInfo.php?workbook=08_06.xlsx&amp;sheet=U0&amp;row=78&amp;col=11&amp;number=&amp;sourceID=9","")</f>
        <v/>
      </c>
      <c r="L78" s="4" t="str">
        <f>HYPERLINK("http://141.218.60.56/~jnz1568/getInfo.php?workbook=08_06.xlsx&amp;sheet=U0&amp;row=78&amp;col=12&amp;number=4.27875360095&amp;sourceID=10","4.27875360095")</f>
        <v>4.27875360095</v>
      </c>
      <c r="M78" s="4" t="str">
        <f>HYPERLINK("http://141.218.60.56/~jnz1568/getInfo.php?workbook=08_06.xlsx&amp;sheet=U0&amp;row=78&amp;col=13&amp;number=0.254870767418&amp;sourceID=10","0.254870767418")</f>
        <v>0.254870767418</v>
      </c>
    </row>
    <row r="79" spans="1:13">
      <c r="A79" s="3"/>
      <c r="B79" s="3"/>
      <c r="C79" s="3"/>
      <c r="D79" s="3"/>
      <c r="E79" s="3">
        <v>16</v>
      </c>
      <c r="F79" s="4" t="str">
        <f>HYPERLINK("http://141.218.60.56/~jnz1568/getInfo.php?workbook=08_06.xlsx&amp;sheet=U0&amp;row=79&amp;col=6&amp;number=5.08&amp;sourceID=4","5.08")</f>
        <v>5.08</v>
      </c>
      <c r="G79" s="4" t="str">
        <f>HYPERLINK("http://141.218.60.56/~jnz1568/getInfo.php?workbook=08_06.xlsx&amp;sheet=U0&amp;row=79&amp;col=7&amp;number=0.282&amp;sourceID=4","0.282")</f>
        <v>0.282</v>
      </c>
      <c r="H79" s="4" t="str">
        <f>HYPERLINK("http://141.218.60.56/~jnz1568/getInfo.php?workbook=08_06.xlsx&amp;sheet=U0&amp;row=79&amp;col=8&amp;number=&amp;sourceID=8","")</f>
        <v/>
      </c>
      <c r="I79" s="4" t="str">
        <f>HYPERLINK("http://141.218.60.56/~jnz1568/getInfo.php?workbook=08_06.xlsx&amp;sheet=U0&amp;row=79&amp;col=9&amp;number=&amp;sourceID=8","")</f>
        <v/>
      </c>
      <c r="J79" s="4" t="str">
        <f>HYPERLINK("http://141.218.60.56/~jnz1568/getInfo.php?workbook=08_06.xlsx&amp;sheet=U0&amp;row=79&amp;col=10&amp;number=&amp;sourceID=9","")</f>
        <v/>
      </c>
      <c r="K79" s="4" t="str">
        <f>HYPERLINK("http://141.218.60.56/~jnz1568/getInfo.php?workbook=08_06.xlsx&amp;sheet=U0&amp;row=79&amp;col=11&amp;number=&amp;sourceID=9","")</f>
        <v/>
      </c>
      <c r="L79" s="4" t="str">
        <f>HYPERLINK("http://141.218.60.56/~jnz1568/getInfo.php?workbook=08_06.xlsx&amp;sheet=U0&amp;row=79&amp;col=12&amp;number=4.30102999566&amp;sourceID=10","4.30102999566")</f>
        <v>4.30102999566</v>
      </c>
      <c r="M79" s="4" t="str">
        <f>HYPERLINK("http://141.218.60.56/~jnz1568/getInfo.php?workbook=08_06.xlsx&amp;sheet=U0&amp;row=79&amp;col=13&amp;number=0.257241807832&amp;sourceID=10","0.257241807832")</f>
        <v>0.257241807832</v>
      </c>
    </row>
    <row r="80" spans="1:13">
      <c r="A80" s="3"/>
      <c r="B80" s="3"/>
      <c r="C80" s="3"/>
      <c r="D80" s="3"/>
      <c r="E80" s="3">
        <v>17</v>
      </c>
      <c r="F80" s="4" t="str">
        <f>HYPERLINK("http://141.218.60.56/~jnz1568/getInfo.php?workbook=08_06.xlsx&amp;sheet=U0&amp;row=80&amp;col=6&amp;number=5.15&amp;sourceID=4","5.15")</f>
        <v>5.15</v>
      </c>
      <c r="G80" s="4" t="str">
        <f>HYPERLINK("http://141.218.60.56/~jnz1568/getInfo.php?workbook=08_06.xlsx&amp;sheet=U0&amp;row=80&amp;col=7&amp;number=0.278&amp;sourceID=4","0.278")</f>
        <v>0.278</v>
      </c>
      <c r="H80" s="4" t="str">
        <f>HYPERLINK("http://141.218.60.56/~jnz1568/getInfo.php?workbook=08_06.xlsx&amp;sheet=U0&amp;row=80&amp;col=8&amp;number=&amp;sourceID=8","")</f>
        <v/>
      </c>
      <c r="I80" s="4" t="str">
        <f>HYPERLINK("http://141.218.60.56/~jnz1568/getInfo.php?workbook=08_06.xlsx&amp;sheet=U0&amp;row=80&amp;col=9&amp;number=&amp;sourceID=8","")</f>
        <v/>
      </c>
      <c r="J80" s="4" t="str">
        <f>HYPERLINK("http://141.218.60.56/~jnz1568/getInfo.php?workbook=08_06.xlsx&amp;sheet=U0&amp;row=80&amp;col=10&amp;number=&amp;sourceID=9","")</f>
        <v/>
      </c>
      <c r="K80" s="4" t="str">
        <f>HYPERLINK("http://141.218.60.56/~jnz1568/getInfo.php?workbook=08_06.xlsx&amp;sheet=U0&amp;row=80&amp;col=11&amp;number=&amp;sourceID=9","")</f>
        <v/>
      </c>
      <c r="L80" s="4" t="str">
        <f>HYPERLINK("http://141.218.60.56/~jnz1568/getInfo.php?workbook=08_06.xlsx&amp;sheet=U0&amp;row=80&amp;col=12&amp;number=&amp;sourceID=10","")</f>
        <v/>
      </c>
      <c r="M80" s="4" t="str">
        <f>HYPERLINK("http://141.218.60.56/~jnz1568/getInfo.php?workbook=08_06.xlsx&amp;sheet=U0&amp;row=80&amp;col=13&amp;number=&amp;sourceID=10","")</f>
        <v/>
      </c>
    </row>
    <row r="81" spans="1:13">
      <c r="A81" s="3"/>
      <c r="B81" s="3"/>
      <c r="C81" s="3"/>
      <c r="D81" s="3"/>
      <c r="E81" s="3">
        <v>18</v>
      </c>
      <c r="F81" s="4" t="str">
        <f>HYPERLINK("http://141.218.60.56/~jnz1568/getInfo.php?workbook=08_06.xlsx&amp;sheet=U0&amp;row=81&amp;col=6&amp;number=5.2&amp;sourceID=4","5.2")</f>
        <v>5.2</v>
      </c>
      <c r="G81" s="4" t="str">
        <f>HYPERLINK("http://141.218.60.56/~jnz1568/getInfo.php?workbook=08_06.xlsx&amp;sheet=U0&amp;row=81&amp;col=7&amp;number=0.273&amp;sourceID=4","0.273")</f>
        <v>0.273</v>
      </c>
      <c r="H81" s="4" t="str">
        <f>HYPERLINK("http://141.218.60.56/~jnz1568/getInfo.php?workbook=08_06.xlsx&amp;sheet=U0&amp;row=81&amp;col=8&amp;number=&amp;sourceID=8","")</f>
        <v/>
      </c>
      <c r="I81" s="4" t="str">
        <f>HYPERLINK("http://141.218.60.56/~jnz1568/getInfo.php?workbook=08_06.xlsx&amp;sheet=U0&amp;row=81&amp;col=9&amp;number=&amp;sourceID=8","")</f>
        <v/>
      </c>
      <c r="J81" s="4" t="str">
        <f>HYPERLINK("http://141.218.60.56/~jnz1568/getInfo.php?workbook=08_06.xlsx&amp;sheet=U0&amp;row=81&amp;col=10&amp;number=&amp;sourceID=9","")</f>
        <v/>
      </c>
      <c r="K81" s="4" t="str">
        <f>HYPERLINK("http://141.218.60.56/~jnz1568/getInfo.php?workbook=08_06.xlsx&amp;sheet=U0&amp;row=81&amp;col=11&amp;number=&amp;sourceID=9","")</f>
        <v/>
      </c>
      <c r="L81" s="4" t="str">
        <f>HYPERLINK("http://141.218.60.56/~jnz1568/getInfo.php?workbook=08_06.xlsx&amp;sheet=U0&amp;row=81&amp;col=12&amp;number=&amp;sourceID=10","")</f>
        <v/>
      </c>
      <c r="M81" s="4" t="str">
        <f>HYPERLINK("http://141.218.60.56/~jnz1568/getInfo.php?workbook=08_06.xlsx&amp;sheet=U0&amp;row=81&amp;col=13&amp;number=&amp;sourceID=10","")</f>
        <v/>
      </c>
    </row>
    <row r="82" spans="1:13">
      <c r="A82" s="3"/>
      <c r="B82" s="3"/>
      <c r="C82" s="3"/>
      <c r="D82" s="3"/>
      <c r="E82" s="3">
        <v>19</v>
      </c>
      <c r="F82" s="4" t="str">
        <f>HYPERLINK("http://141.218.60.56/~jnz1568/getInfo.php?workbook=08_06.xlsx&amp;sheet=U0&amp;row=82&amp;col=6&amp;number=5.26&amp;sourceID=4","5.26")</f>
        <v>5.26</v>
      </c>
      <c r="G82" s="4" t="str">
        <f>HYPERLINK("http://141.218.60.56/~jnz1568/getInfo.php?workbook=08_06.xlsx&amp;sheet=U0&amp;row=82&amp;col=7&amp;number=0.268&amp;sourceID=4","0.268")</f>
        <v>0.268</v>
      </c>
      <c r="H82" s="4" t="str">
        <f>HYPERLINK("http://141.218.60.56/~jnz1568/getInfo.php?workbook=08_06.xlsx&amp;sheet=U0&amp;row=82&amp;col=8&amp;number=&amp;sourceID=8","")</f>
        <v/>
      </c>
      <c r="I82" s="4" t="str">
        <f>HYPERLINK("http://141.218.60.56/~jnz1568/getInfo.php?workbook=08_06.xlsx&amp;sheet=U0&amp;row=82&amp;col=9&amp;number=&amp;sourceID=8","")</f>
        <v/>
      </c>
      <c r="J82" s="4" t="str">
        <f>HYPERLINK("http://141.218.60.56/~jnz1568/getInfo.php?workbook=08_06.xlsx&amp;sheet=U0&amp;row=82&amp;col=10&amp;number=&amp;sourceID=9","")</f>
        <v/>
      </c>
      <c r="K82" s="4" t="str">
        <f>HYPERLINK("http://141.218.60.56/~jnz1568/getInfo.php?workbook=08_06.xlsx&amp;sheet=U0&amp;row=82&amp;col=11&amp;number=&amp;sourceID=9","")</f>
        <v/>
      </c>
      <c r="L82" s="4" t="str">
        <f>HYPERLINK("http://141.218.60.56/~jnz1568/getInfo.php?workbook=08_06.xlsx&amp;sheet=U0&amp;row=82&amp;col=12&amp;number=&amp;sourceID=10","")</f>
        <v/>
      </c>
      <c r="M82" s="4" t="str">
        <f>HYPERLINK("http://141.218.60.56/~jnz1568/getInfo.php?workbook=08_06.xlsx&amp;sheet=U0&amp;row=82&amp;col=13&amp;number=&amp;sourceID=10","")</f>
        <v/>
      </c>
    </row>
    <row r="83" spans="1:13">
      <c r="A83" s="3"/>
      <c r="B83" s="3"/>
      <c r="C83" s="3"/>
      <c r="D83" s="3"/>
      <c r="E83" s="3">
        <v>20</v>
      </c>
      <c r="F83" s="4" t="str">
        <f>HYPERLINK("http://141.218.60.56/~jnz1568/getInfo.php?workbook=08_06.xlsx&amp;sheet=U0&amp;row=83&amp;col=6&amp;number=5.3&amp;sourceID=4","5.3")</f>
        <v>5.3</v>
      </c>
      <c r="G83" s="4" t="str">
        <f>HYPERLINK("http://141.218.60.56/~jnz1568/getInfo.php?workbook=08_06.xlsx&amp;sheet=U0&amp;row=83&amp;col=7&amp;number=0.262&amp;sourceID=4","0.262")</f>
        <v>0.262</v>
      </c>
      <c r="H83" s="4" t="str">
        <f>HYPERLINK("http://141.218.60.56/~jnz1568/getInfo.php?workbook=08_06.xlsx&amp;sheet=U0&amp;row=83&amp;col=8&amp;number=&amp;sourceID=8","")</f>
        <v/>
      </c>
      <c r="I83" s="4" t="str">
        <f>HYPERLINK("http://141.218.60.56/~jnz1568/getInfo.php?workbook=08_06.xlsx&amp;sheet=U0&amp;row=83&amp;col=9&amp;number=&amp;sourceID=8","")</f>
        <v/>
      </c>
      <c r="J83" s="4" t="str">
        <f>HYPERLINK("http://141.218.60.56/~jnz1568/getInfo.php?workbook=08_06.xlsx&amp;sheet=U0&amp;row=83&amp;col=10&amp;number=&amp;sourceID=9","")</f>
        <v/>
      </c>
      <c r="K83" s="4" t="str">
        <f>HYPERLINK("http://141.218.60.56/~jnz1568/getInfo.php?workbook=08_06.xlsx&amp;sheet=U0&amp;row=83&amp;col=11&amp;number=&amp;sourceID=9","")</f>
        <v/>
      </c>
      <c r="L83" s="4" t="str">
        <f>HYPERLINK("http://141.218.60.56/~jnz1568/getInfo.php?workbook=08_06.xlsx&amp;sheet=U0&amp;row=83&amp;col=12&amp;number=&amp;sourceID=10","")</f>
        <v/>
      </c>
      <c r="M83" s="4" t="str">
        <f>HYPERLINK("http://141.218.60.56/~jnz1568/getInfo.php?workbook=08_06.xlsx&amp;sheet=U0&amp;row=83&amp;col=13&amp;number=&amp;sourceID=10","")</f>
        <v/>
      </c>
    </row>
    <row r="84" spans="1:13">
      <c r="A84" s="3">
        <v>8</v>
      </c>
      <c r="B84" s="3">
        <v>6</v>
      </c>
      <c r="C84" s="3">
        <v>4</v>
      </c>
      <c r="D84" s="3">
        <v>2</v>
      </c>
      <c r="E84" s="3">
        <v>1</v>
      </c>
      <c r="F84" s="4" t="str">
        <f>HYPERLINK("http://141.218.60.56/~jnz1568/getInfo.php?workbook=08_06.xlsx&amp;sheet=U0&amp;row=84&amp;col=6&amp;number=3.4&amp;sourceID=4","3.4")</f>
        <v>3.4</v>
      </c>
      <c r="G84" s="4" t="str">
        <f>HYPERLINK("http://141.218.60.56/~jnz1568/getInfo.php?workbook=08_06.xlsx&amp;sheet=U0&amp;row=84&amp;col=7&amp;number==G64*3&amp;sourceID=4","=G64*3")</f>
        <v>=G64*3</v>
      </c>
      <c r="H84" s="4" t="str">
        <f>HYPERLINK("http://141.218.60.56/~jnz1568/getInfo.php?workbook=08_06.xlsx&amp;sheet=U0&amp;row=84&amp;col=8&amp;number=2&amp;sourceID=8","2")</f>
        <v>2</v>
      </c>
      <c r="I84" s="4" t="str">
        <f>HYPERLINK("http://141.218.60.56/~jnz1568/getInfo.php?workbook=08_06.xlsx&amp;sheet=U0&amp;row=84&amp;col=9&amp;number=0.5903&amp;sourceID=8","0.5903")</f>
        <v>0.5903</v>
      </c>
      <c r="J84" s="4" t="str">
        <f>HYPERLINK("http://141.218.60.56/~jnz1568/getInfo.php?workbook=08_06.xlsx&amp;sheet=U0&amp;row=84&amp;col=10&amp;number=3&amp;sourceID=9","3")</f>
        <v>3</v>
      </c>
      <c r="K84" s="4" t="str">
        <f>HYPERLINK("http://141.218.60.56/~jnz1568/getInfo.php?workbook=08_06.xlsx&amp;sheet=U0&amp;row=84&amp;col=11&amp;number=0.7411&amp;sourceID=9","0.7411")</f>
        <v>0.7411</v>
      </c>
      <c r="L84" s="4" t="str">
        <f>HYPERLINK("http://141.218.60.56/~jnz1568/getInfo.php?workbook=08_06.xlsx&amp;sheet=U0&amp;row=84&amp;col=12&amp;number=3.69897000434&amp;sourceID=10","3.69897000434")</f>
        <v>3.69897000434</v>
      </c>
      <c r="M84" s="4" t="str">
        <f>HYPERLINK("http://141.218.60.56/~jnz1568/getInfo.php?workbook=08_06.xlsx&amp;sheet=U0&amp;row=84&amp;col=13&amp;number=0.55637415847&amp;sourceID=10","0.55637415847")</f>
        <v>0.55637415847</v>
      </c>
    </row>
    <row r="85" spans="1:13">
      <c r="A85" s="3"/>
      <c r="B85" s="3"/>
      <c r="C85" s="3"/>
      <c r="D85" s="3"/>
      <c r="E85" s="3">
        <v>2</v>
      </c>
      <c r="F85" s="4" t="str">
        <f>HYPERLINK("http://141.218.60.56/~jnz1568/getInfo.php?workbook=08_06.xlsx&amp;sheet=U0&amp;row=85&amp;col=6&amp;number=3.7&amp;sourceID=4","3.7")</f>
        <v>3.7</v>
      </c>
      <c r="G85" s="4" t="str">
        <f>HYPERLINK("http://141.218.60.56/~jnz1568/getInfo.php?workbook=08_06.xlsx&amp;sheet=U0&amp;row=85&amp;col=7&amp;number==&amp;sourceID=4","=")</f>
        <v>=</v>
      </c>
      <c r="H85" s="4" t="str">
        <f>HYPERLINK("http://141.218.60.56/~jnz1568/getInfo.php?workbook=08_06.xlsx&amp;sheet=U0&amp;row=85&amp;col=8&amp;number=2.69897000434&amp;sourceID=8","2.69897000434")</f>
        <v>2.69897000434</v>
      </c>
      <c r="I85" s="4" t="str">
        <f>HYPERLINK("http://141.218.60.56/~jnz1568/getInfo.php?workbook=08_06.xlsx&amp;sheet=U0&amp;row=85&amp;col=9&amp;number=0.6285&amp;sourceID=8","0.6285")</f>
        <v>0.6285</v>
      </c>
      <c r="J85" s="4" t="str">
        <f>HYPERLINK("http://141.218.60.56/~jnz1568/getInfo.php?workbook=08_06.xlsx&amp;sheet=U0&amp;row=85&amp;col=10&amp;number=3.2&amp;sourceID=9","3.2")</f>
        <v>3.2</v>
      </c>
      <c r="K85" s="4" t="str">
        <f>HYPERLINK("http://141.218.60.56/~jnz1568/getInfo.php?workbook=08_06.xlsx&amp;sheet=U0&amp;row=85&amp;col=11&amp;number=0.7296&amp;sourceID=9","0.7296")</f>
        <v>0.7296</v>
      </c>
      <c r="L85" s="4" t="str">
        <f>HYPERLINK("http://141.218.60.56/~jnz1568/getInfo.php?workbook=08_06.xlsx&amp;sheet=U0&amp;row=85&amp;col=12&amp;number=3.77815125038&amp;sourceID=10","3.77815125038")</f>
        <v>3.77815125038</v>
      </c>
      <c r="M85" s="4" t="str">
        <f>HYPERLINK("http://141.218.60.56/~jnz1568/getInfo.php?workbook=08_06.xlsx&amp;sheet=U0&amp;row=85&amp;col=13&amp;number=0.57667444351&amp;sourceID=10","0.57667444351")</f>
        <v>0.57667444351</v>
      </c>
    </row>
    <row r="86" spans="1:13">
      <c r="A86" s="3"/>
      <c r="B86" s="3"/>
      <c r="C86" s="3"/>
      <c r="D86" s="3"/>
      <c r="E86" s="3">
        <v>3</v>
      </c>
      <c r="F86" s="4" t="str">
        <f>HYPERLINK("http://141.218.60.56/~jnz1568/getInfo.php?workbook=08_06.xlsx&amp;sheet=U0&amp;row=86&amp;col=6&amp;number=3.88&amp;sourceID=4","3.88")</f>
        <v>3.88</v>
      </c>
      <c r="G86" s="4" t="str">
        <f>HYPERLINK("http://141.218.60.56/~jnz1568/getInfo.php?workbook=08_06.xlsx&amp;sheet=U0&amp;row=86&amp;col=7&amp;number==&amp;sourceID=4","=")</f>
        <v>=</v>
      </c>
      <c r="H86" s="4" t="str">
        <f>HYPERLINK("http://141.218.60.56/~jnz1568/getInfo.php?workbook=08_06.xlsx&amp;sheet=U0&amp;row=86&amp;col=8&amp;number=3&amp;sourceID=8","3")</f>
        <v>3</v>
      </c>
      <c r="I86" s="4" t="str">
        <f>HYPERLINK("http://141.218.60.56/~jnz1568/getInfo.php?workbook=08_06.xlsx&amp;sheet=U0&amp;row=86&amp;col=9&amp;number=0.6483&amp;sourceID=8","0.6483")</f>
        <v>0.6483</v>
      </c>
      <c r="J86" s="4" t="str">
        <f>HYPERLINK("http://141.218.60.56/~jnz1568/getInfo.php?workbook=08_06.xlsx&amp;sheet=U0&amp;row=86&amp;col=10&amp;number=3.4&amp;sourceID=9","3.4")</f>
        <v>3.4</v>
      </c>
      <c r="K86" s="4" t="str">
        <f>HYPERLINK("http://141.218.60.56/~jnz1568/getInfo.php?workbook=08_06.xlsx&amp;sheet=U0&amp;row=86&amp;col=11&amp;number=0.713866666667&amp;sourceID=9","0.713866666667")</f>
        <v>0.713866666667</v>
      </c>
      <c r="L86" s="4" t="str">
        <f>HYPERLINK("http://141.218.60.56/~jnz1568/getInfo.php?workbook=08_06.xlsx&amp;sheet=U0&amp;row=86&amp;col=12&amp;number=3.84509804001&amp;sourceID=10","3.84509804001")</f>
        <v>3.84509804001</v>
      </c>
      <c r="M86" s="4" t="str">
        <f>HYPERLINK("http://141.218.60.56/~jnz1568/getInfo.php?workbook=08_06.xlsx&amp;sheet=U0&amp;row=86&amp;col=13&amp;number=0.598651090701&amp;sourceID=10","0.598651090701")</f>
        <v>0.598651090701</v>
      </c>
    </row>
    <row r="87" spans="1:13">
      <c r="A87" s="3"/>
      <c r="B87" s="3"/>
      <c r="C87" s="3"/>
      <c r="D87" s="3"/>
      <c r="E87" s="3">
        <v>4</v>
      </c>
      <c r="F87" s="4" t="str">
        <f>HYPERLINK("http://141.218.60.56/~jnz1568/getInfo.php?workbook=08_06.xlsx&amp;sheet=U0&amp;row=87&amp;col=6&amp;number=4&amp;sourceID=4","4")</f>
        <v>4</v>
      </c>
      <c r="G87" s="4" t="str">
        <f>HYPERLINK("http://141.218.60.56/~jnz1568/getInfo.php?workbook=08_06.xlsx&amp;sheet=U0&amp;row=87&amp;col=7&amp;number==&amp;sourceID=4","=")</f>
        <v>=</v>
      </c>
      <c r="H87" s="4" t="str">
        <f>HYPERLINK("http://141.218.60.56/~jnz1568/getInfo.php?workbook=08_06.xlsx&amp;sheet=U0&amp;row=87&amp;col=8&amp;number=3.69897000434&amp;sourceID=8","3.69897000434")</f>
        <v>3.69897000434</v>
      </c>
      <c r="I87" s="4" t="str">
        <f>HYPERLINK("http://141.218.60.56/~jnz1568/getInfo.php?workbook=08_06.xlsx&amp;sheet=U0&amp;row=87&amp;col=9&amp;number=0.7067&amp;sourceID=8","0.7067")</f>
        <v>0.7067</v>
      </c>
      <c r="J87" s="4" t="str">
        <f>HYPERLINK("http://141.218.60.56/~jnz1568/getInfo.php?workbook=08_06.xlsx&amp;sheet=U0&amp;row=87&amp;col=10&amp;number=3.6&amp;sourceID=9","3.6")</f>
        <v>3.6</v>
      </c>
      <c r="K87" s="4" t="str">
        <f>HYPERLINK("http://141.218.60.56/~jnz1568/getInfo.php?workbook=08_06.xlsx&amp;sheet=U0&amp;row=87&amp;col=11&amp;number=0.7039&amp;sourceID=9","0.7039")</f>
        <v>0.7039</v>
      </c>
      <c r="L87" s="4" t="str">
        <f>HYPERLINK("http://141.218.60.56/~jnz1568/getInfo.php?workbook=08_06.xlsx&amp;sheet=U0&amp;row=87&amp;col=12&amp;number=3.90308998699&amp;sourceID=10","3.90308998699")</f>
        <v>3.90308998699</v>
      </c>
      <c r="M87" s="4" t="str">
        <f>HYPERLINK("http://141.218.60.56/~jnz1568/getInfo.php?workbook=08_06.xlsx&amp;sheet=U0&amp;row=87&amp;col=13&amp;number=0.620291168795&amp;sourceID=10","0.620291168795")</f>
        <v>0.620291168795</v>
      </c>
    </row>
    <row r="88" spans="1:13">
      <c r="A88" s="3"/>
      <c r="B88" s="3"/>
      <c r="C88" s="3"/>
      <c r="D88" s="3"/>
      <c r="E88" s="3">
        <v>5</v>
      </c>
      <c r="F88" s="4" t="str">
        <f>HYPERLINK("http://141.218.60.56/~jnz1568/getInfo.php?workbook=08_06.xlsx&amp;sheet=U0&amp;row=88&amp;col=6&amp;number=4.1&amp;sourceID=4","4.1")</f>
        <v>4.1</v>
      </c>
      <c r="G88" s="4" t="str">
        <f>HYPERLINK("http://141.218.60.56/~jnz1568/getInfo.php?workbook=08_06.xlsx&amp;sheet=U0&amp;row=88&amp;col=7&amp;number==&amp;sourceID=4","=")</f>
        <v>=</v>
      </c>
      <c r="H88" s="4" t="str">
        <f>HYPERLINK("http://141.218.60.56/~jnz1568/getInfo.php?workbook=08_06.xlsx&amp;sheet=U0&amp;row=88&amp;col=8&amp;number=4&amp;sourceID=8","4")</f>
        <v>4</v>
      </c>
      <c r="I88" s="4" t="str">
        <f>HYPERLINK("http://141.218.60.56/~jnz1568/getInfo.php?workbook=08_06.xlsx&amp;sheet=U0&amp;row=88&amp;col=9&amp;number=0.8108&amp;sourceID=8","0.8108")</f>
        <v>0.8108</v>
      </c>
      <c r="J88" s="4" t="str">
        <f>HYPERLINK("http://141.218.60.56/~jnz1568/getInfo.php?workbook=08_06.xlsx&amp;sheet=U0&amp;row=88&amp;col=10&amp;number=3.8&amp;sourceID=9","3.8")</f>
        <v>3.8</v>
      </c>
      <c r="K88" s="4" t="str">
        <f>HYPERLINK("http://141.218.60.56/~jnz1568/getInfo.php?workbook=08_06.xlsx&amp;sheet=U0&amp;row=88&amp;col=11&amp;number=0.719266666667&amp;sourceID=9","0.719266666667")</f>
        <v>0.719266666667</v>
      </c>
      <c r="L88" s="4" t="str">
        <f>HYPERLINK("http://141.218.60.56/~jnz1568/getInfo.php?workbook=08_06.xlsx&amp;sheet=U0&amp;row=88&amp;col=12&amp;number=3.95424250944&amp;sourceID=10","3.95424250944")</f>
        <v>3.95424250944</v>
      </c>
      <c r="M88" s="4" t="str">
        <f>HYPERLINK("http://141.218.60.56/~jnz1568/getInfo.php?workbook=08_06.xlsx&amp;sheet=U0&amp;row=88&amp;col=13&amp;number=0.640641205811&amp;sourceID=10","0.640641205811")</f>
        <v>0.640641205811</v>
      </c>
    </row>
    <row r="89" spans="1:13">
      <c r="A89" s="3"/>
      <c r="B89" s="3"/>
      <c r="C89" s="3"/>
      <c r="D89" s="3"/>
      <c r="E89" s="3">
        <v>6</v>
      </c>
      <c r="F89" s="4" t="str">
        <f>HYPERLINK("http://141.218.60.56/~jnz1568/getInfo.php?workbook=08_06.xlsx&amp;sheet=U0&amp;row=89&amp;col=6&amp;number=4.18&amp;sourceID=4","4.18")</f>
        <v>4.18</v>
      </c>
      <c r="G89" s="4" t="str">
        <f>HYPERLINK("http://141.218.60.56/~jnz1568/getInfo.php?workbook=08_06.xlsx&amp;sheet=U0&amp;row=89&amp;col=7&amp;number==&amp;sourceID=4","=")</f>
        <v>=</v>
      </c>
      <c r="H89" s="4" t="str">
        <f>HYPERLINK("http://141.218.60.56/~jnz1568/getInfo.php?workbook=08_06.xlsx&amp;sheet=U0&amp;row=89&amp;col=8&amp;number=4.30102999566&amp;sourceID=8","4.30102999566")</f>
        <v>4.30102999566</v>
      </c>
      <c r="I89" s="4" t="str">
        <f>HYPERLINK("http://141.218.60.56/~jnz1568/getInfo.php?workbook=08_06.xlsx&amp;sheet=U0&amp;row=89&amp;col=9&amp;number=0.9313&amp;sourceID=8","0.9313")</f>
        <v>0.9313</v>
      </c>
      <c r="J89" s="4" t="str">
        <f>HYPERLINK("http://141.218.60.56/~jnz1568/getInfo.php?workbook=08_06.xlsx&amp;sheet=U0&amp;row=89&amp;col=10&amp;number=4&amp;sourceID=9","4")</f>
        <v>4</v>
      </c>
      <c r="K89" s="4" t="str">
        <f>HYPERLINK("http://141.218.60.56/~jnz1568/getInfo.php?workbook=08_06.xlsx&amp;sheet=U0&amp;row=89&amp;col=11&amp;number=0.763066666667&amp;sourceID=9","0.763066666667")</f>
        <v>0.763066666667</v>
      </c>
      <c r="L89" s="4" t="str">
        <f>HYPERLINK("http://141.218.60.56/~jnz1568/getInfo.php?workbook=08_06.xlsx&amp;sheet=U0&amp;row=89&amp;col=12&amp;number=4&amp;sourceID=10","4")</f>
        <v>4</v>
      </c>
      <c r="M89" s="4" t="str">
        <f>HYPERLINK("http://141.218.60.56/~jnz1568/getInfo.php?workbook=08_06.xlsx&amp;sheet=U0&amp;row=89&amp;col=13&amp;number=0.65932968167&amp;sourceID=10","0.65932968167")</f>
        <v>0.65932968167</v>
      </c>
    </row>
    <row r="90" spans="1:13">
      <c r="A90" s="3"/>
      <c r="B90" s="3"/>
      <c r="C90" s="3"/>
      <c r="D90" s="3"/>
      <c r="E90" s="3">
        <v>7</v>
      </c>
      <c r="F90" s="4" t="str">
        <f>HYPERLINK("http://141.218.60.56/~jnz1568/getInfo.php?workbook=08_06.xlsx&amp;sheet=U0&amp;row=90&amp;col=6&amp;number=4.24&amp;sourceID=4","4.24")</f>
        <v>4.24</v>
      </c>
      <c r="G90" s="4" t="str">
        <f>HYPERLINK("http://141.218.60.56/~jnz1568/getInfo.php?workbook=08_06.xlsx&amp;sheet=U0&amp;row=90&amp;col=7&amp;number==&amp;sourceID=4","=")</f>
        <v>=</v>
      </c>
      <c r="H90" s="4" t="str">
        <f>HYPERLINK("http://141.218.60.56/~jnz1568/getInfo.php?workbook=08_06.xlsx&amp;sheet=U0&amp;row=90&amp;col=8&amp;number=4.47712125472&amp;sourceID=8","4.47712125472")</f>
        <v>4.47712125472</v>
      </c>
      <c r="I90" s="4" t="str">
        <f>HYPERLINK("http://141.218.60.56/~jnz1568/getInfo.php?workbook=08_06.xlsx&amp;sheet=U0&amp;row=90&amp;col=9&amp;number=0.9802&amp;sourceID=8","0.9802")</f>
        <v>0.9802</v>
      </c>
      <c r="J90" s="4" t="str">
        <f>HYPERLINK("http://141.218.60.56/~jnz1568/getInfo.php?workbook=08_06.xlsx&amp;sheet=U0&amp;row=90&amp;col=10&amp;number=4.2&amp;sourceID=9","4.2")</f>
        <v>4.2</v>
      </c>
      <c r="K90" s="4" t="str">
        <f>HYPERLINK("http://141.218.60.56/~jnz1568/getInfo.php?workbook=08_06.xlsx&amp;sheet=U0&amp;row=90&amp;col=11&amp;number=0.816566666667&amp;sourceID=9","0.816566666667")</f>
        <v>0.816566666667</v>
      </c>
      <c r="L90" s="4" t="str">
        <f>HYPERLINK("http://141.218.60.56/~jnz1568/getInfo.php?workbook=08_06.xlsx&amp;sheet=U0&amp;row=90&amp;col=12&amp;number=4.04139268516&amp;sourceID=10","4.04139268516")</f>
        <v>4.04139268516</v>
      </c>
      <c r="M90" s="4" t="str">
        <f>HYPERLINK("http://141.218.60.56/~jnz1568/getInfo.php?workbook=08_06.xlsx&amp;sheet=U0&amp;row=90&amp;col=13&amp;number=0.67628619734&amp;sourceID=10","0.67628619734")</f>
        <v>0.67628619734</v>
      </c>
    </row>
    <row r="91" spans="1:13">
      <c r="A91" s="3"/>
      <c r="B91" s="3"/>
      <c r="C91" s="3"/>
      <c r="D91" s="3"/>
      <c r="E91" s="3">
        <v>8</v>
      </c>
      <c r="F91" s="4" t="str">
        <f>HYPERLINK("http://141.218.60.56/~jnz1568/getInfo.php?workbook=08_06.xlsx&amp;sheet=U0&amp;row=91&amp;col=6&amp;number=4.3&amp;sourceID=4","4.3")</f>
        <v>4.3</v>
      </c>
      <c r="G91" s="4" t="str">
        <f>HYPERLINK("http://141.218.60.56/~jnz1568/getInfo.php?workbook=08_06.xlsx&amp;sheet=U0&amp;row=91&amp;col=7&amp;number==&amp;sourceID=4","=")</f>
        <v>=</v>
      </c>
      <c r="H91" s="4" t="str">
        <f>HYPERLINK("http://141.218.60.56/~jnz1568/getInfo.php?workbook=08_06.xlsx&amp;sheet=U0&amp;row=91&amp;col=8&amp;number=&amp;sourceID=8","")</f>
        <v/>
      </c>
      <c r="I91" s="4" t="str">
        <f>HYPERLINK("http://141.218.60.56/~jnz1568/getInfo.php?workbook=08_06.xlsx&amp;sheet=U0&amp;row=91&amp;col=9&amp;number=&amp;sourceID=8","")</f>
        <v/>
      </c>
      <c r="J91" s="4" t="str">
        <f>HYPERLINK("http://141.218.60.56/~jnz1568/getInfo.php?workbook=08_06.xlsx&amp;sheet=U0&amp;row=91&amp;col=10&amp;number=4.4&amp;sourceID=9","4.4")</f>
        <v>4.4</v>
      </c>
      <c r="K91" s="4" t="str">
        <f>HYPERLINK("http://141.218.60.56/~jnz1568/getInfo.php?workbook=08_06.xlsx&amp;sheet=U0&amp;row=91&amp;col=11&amp;number=0.8617&amp;sourceID=9","0.8617")</f>
        <v>0.8617</v>
      </c>
      <c r="L91" s="4" t="str">
        <f>HYPERLINK("http://141.218.60.56/~jnz1568/getInfo.php?workbook=08_06.xlsx&amp;sheet=U0&amp;row=91&amp;col=12&amp;number=4.07918124605&amp;sourceID=10","4.07918124605")</f>
        <v>4.07918124605</v>
      </c>
      <c r="M91" s="4" t="str">
        <f>HYPERLINK("http://141.218.60.56/~jnz1568/getInfo.php?workbook=08_06.xlsx&amp;sheet=U0&amp;row=91&amp;col=13&amp;number=0.69158650779&amp;sourceID=10","0.69158650779")</f>
        <v>0.69158650779</v>
      </c>
    </row>
    <row r="92" spans="1:13">
      <c r="A92" s="3"/>
      <c r="B92" s="3"/>
      <c r="C92" s="3"/>
      <c r="D92" s="3"/>
      <c r="E92" s="3">
        <v>9</v>
      </c>
      <c r="F92" s="4" t="str">
        <f>HYPERLINK("http://141.218.60.56/~jnz1568/getInfo.php?workbook=08_06.xlsx&amp;sheet=U0&amp;row=92&amp;col=6&amp;number=4.4&amp;sourceID=4","4.4")</f>
        <v>4.4</v>
      </c>
      <c r="G92" s="4" t="str">
        <f>HYPERLINK("http://141.218.60.56/~jnz1568/getInfo.php?workbook=08_06.xlsx&amp;sheet=U0&amp;row=92&amp;col=7&amp;number==&amp;sourceID=4","=")</f>
        <v>=</v>
      </c>
      <c r="H92" s="4" t="str">
        <f>HYPERLINK("http://141.218.60.56/~jnz1568/getInfo.php?workbook=08_06.xlsx&amp;sheet=U0&amp;row=92&amp;col=8&amp;number=&amp;sourceID=8","")</f>
        <v/>
      </c>
      <c r="I92" s="4" t="str">
        <f>HYPERLINK("http://141.218.60.56/~jnz1568/getInfo.php?workbook=08_06.xlsx&amp;sheet=U0&amp;row=92&amp;col=9&amp;number=&amp;sourceID=8","")</f>
        <v/>
      </c>
      <c r="J92" s="4" t="str">
        <f>HYPERLINK("http://141.218.60.56/~jnz1568/getInfo.php?workbook=08_06.xlsx&amp;sheet=U0&amp;row=92&amp;col=10&amp;number=4.6&amp;sourceID=9","4.6")</f>
        <v>4.6</v>
      </c>
      <c r="K92" s="4" t="str">
        <f>HYPERLINK("http://141.218.60.56/~jnz1568/getInfo.php?workbook=08_06.xlsx&amp;sheet=U0&amp;row=92&amp;col=11&amp;number=0.891&amp;sourceID=9","0.891")</f>
        <v>0.891</v>
      </c>
      <c r="L92" s="4" t="str">
        <f>HYPERLINK("http://141.218.60.56/~jnz1568/getInfo.php?workbook=08_06.xlsx&amp;sheet=U0&amp;row=92&amp;col=12&amp;number=4.11394335231&amp;sourceID=10","4.11394335231")</f>
        <v>4.11394335231</v>
      </c>
      <c r="M92" s="4" t="str">
        <f>HYPERLINK("http://141.218.60.56/~jnz1568/getInfo.php?workbook=08_06.xlsx&amp;sheet=U0&amp;row=92&amp;col=13&amp;number=0.70536966134&amp;sourceID=10","0.70536966134")</f>
        <v>0.70536966134</v>
      </c>
    </row>
    <row r="93" spans="1:13">
      <c r="A93" s="3"/>
      <c r="B93" s="3"/>
      <c r="C93" s="3"/>
      <c r="D93" s="3"/>
      <c r="E93" s="3">
        <v>10</v>
      </c>
      <c r="F93" s="4" t="str">
        <f>HYPERLINK("http://141.218.60.56/~jnz1568/getInfo.php?workbook=08_06.xlsx&amp;sheet=U0&amp;row=93&amp;col=6&amp;number=4.48&amp;sourceID=4","4.48")</f>
        <v>4.48</v>
      </c>
      <c r="G93" s="4" t="str">
        <f>HYPERLINK("http://141.218.60.56/~jnz1568/getInfo.php?workbook=08_06.xlsx&amp;sheet=U0&amp;row=93&amp;col=7&amp;number==&amp;sourceID=4","=")</f>
        <v>=</v>
      </c>
      <c r="H93" s="4" t="str">
        <f>HYPERLINK("http://141.218.60.56/~jnz1568/getInfo.php?workbook=08_06.xlsx&amp;sheet=U0&amp;row=93&amp;col=8&amp;number=&amp;sourceID=8","")</f>
        <v/>
      </c>
      <c r="I93" s="4" t="str">
        <f>HYPERLINK("http://141.218.60.56/~jnz1568/getInfo.php?workbook=08_06.xlsx&amp;sheet=U0&amp;row=93&amp;col=9&amp;number=&amp;sourceID=8","")</f>
        <v/>
      </c>
      <c r="J93" s="4" t="str">
        <f>HYPERLINK("http://141.218.60.56/~jnz1568/getInfo.php?workbook=08_06.xlsx&amp;sheet=U0&amp;row=93&amp;col=10&amp;number=4.8&amp;sourceID=9","4.8")</f>
        <v>4.8</v>
      </c>
      <c r="K93" s="4" t="str">
        <f>HYPERLINK("http://141.218.60.56/~jnz1568/getInfo.php?workbook=08_06.xlsx&amp;sheet=U0&amp;row=93&amp;col=11&amp;number=0.900633333333&amp;sourceID=9","0.900633333333")</f>
        <v>0.900633333333</v>
      </c>
      <c r="L93" s="4" t="str">
        <f>HYPERLINK("http://141.218.60.56/~jnz1568/getInfo.php?workbook=08_06.xlsx&amp;sheet=U0&amp;row=93&amp;col=12&amp;number=4.14612803568&amp;sourceID=10","4.14612803568")</f>
        <v>4.14612803568</v>
      </c>
      <c r="M93" s="4" t="str">
        <f>HYPERLINK("http://141.218.60.56/~jnz1568/getInfo.php?workbook=08_06.xlsx&amp;sheet=U0&amp;row=93&amp;col=13&amp;number=0.71779487801&amp;sourceID=10","0.71779487801")</f>
        <v>0.71779487801</v>
      </c>
    </row>
    <row r="94" spans="1:13">
      <c r="A94" s="3"/>
      <c r="B94" s="3"/>
      <c r="C94" s="3"/>
      <c r="D94" s="3"/>
      <c r="E94" s="3">
        <v>11</v>
      </c>
      <c r="F94" s="4" t="str">
        <f>HYPERLINK("http://141.218.60.56/~jnz1568/getInfo.php?workbook=08_06.xlsx&amp;sheet=U0&amp;row=94&amp;col=6&amp;number=4.6&amp;sourceID=4","4.6")</f>
        <v>4.6</v>
      </c>
      <c r="G94" s="4" t="str">
        <f>HYPERLINK("http://141.218.60.56/~jnz1568/getInfo.php?workbook=08_06.xlsx&amp;sheet=U0&amp;row=94&amp;col=7&amp;number==&amp;sourceID=4","=")</f>
        <v>=</v>
      </c>
      <c r="H94" s="4" t="str">
        <f>HYPERLINK("http://141.218.60.56/~jnz1568/getInfo.php?workbook=08_06.xlsx&amp;sheet=U0&amp;row=94&amp;col=8&amp;number=&amp;sourceID=8","")</f>
        <v/>
      </c>
      <c r="I94" s="4" t="str">
        <f>HYPERLINK("http://141.218.60.56/~jnz1568/getInfo.php?workbook=08_06.xlsx&amp;sheet=U0&amp;row=94&amp;col=9&amp;number=&amp;sourceID=8","")</f>
        <v/>
      </c>
      <c r="J94" s="4" t="str">
        <f>HYPERLINK("http://141.218.60.56/~jnz1568/getInfo.php?workbook=08_06.xlsx&amp;sheet=U0&amp;row=94&amp;col=10&amp;number=5&amp;sourceID=9","5")</f>
        <v>5</v>
      </c>
      <c r="K94" s="4" t="str">
        <f>HYPERLINK("http://141.218.60.56/~jnz1568/getInfo.php?workbook=08_06.xlsx&amp;sheet=U0&amp;row=94&amp;col=11&amp;number=0.886466666667&amp;sourceID=9","0.886466666667")</f>
        <v>0.886466666667</v>
      </c>
      <c r="L94" s="4" t="str">
        <f>HYPERLINK("http://141.218.60.56/~jnz1568/getInfo.php?workbook=08_06.xlsx&amp;sheet=U0&amp;row=94&amp;col=12&amp;number=4.17609125906&amp;sourceID=10","4.17609125906")</f>
        <v>4.17609125906</v>
      </c>
      <c r="M94" s="4" t="str">
        <f>HYPERLINK("http://141.218.60.56/~jnz1568/getInfo.php?workbook=08_06.xlsx&amp;sheet=U0&amp;row=94&amp;col=13&amp;number=0.72901998495&amp;sourceID=10","0.72901998495")</f>
        <v>0.72901998495</v>
      </c>
    </row>
    <row r="95" spans="1:13">
      <c r="A95" s="3"/>
      <c r="B95" s="3"/>
      <c r="C95" s="3"/>
      <c r="D95" s="3"/>
      <c r="E95" s="3">
        <v>12</v>
      </c>
      <c r="F95" s="4" t="str">
        <f>HYPERLINK("http://141.218.60.56/~jnz1568/getInfo.php?workbook=08_06.xlsx&amp;sheet=U0&amp;row=95&amp;col=6&amp;number=4.7&amp;sourceID=4","4.7")</f>
        <v>4.7</v>
      </c>
      <c r="G95" s="4" t="str">
        <f>HYPERLINK("http://141.218.60.56/~jnz1568/getInfo.php?workbook=08_06.xlsx&amp;sheet=U0&amp;row=95&amp;col=7&amp;number==&amp;sourceID=4","=")</f>
        <v>=</v>
      </c>
      <c r="H95" s="4" t="str">
        <f>HYPERLINK("http://141.218.60.56/~jnz1568/getInfo.php?workbook=08_06.xlsx&amp;sheet=U0&amp;row=95&amp;col=8&amp;number=&amp;sourceID=8","")</f>
        <v/>
      </c>
      <c r="I95" s="4" t="str">
        <f>HYPERLINK("http://141.218.60.56/~jnz1568/getInfo.php?workbook=08_06.xlsx&amp;sheet=U0&amp;row=95&amp;col=9&amp;number=&amp;sourceID=8","")</f>
        <v/>
      </c>
      <c r="J95" s="4" t="str">
        <f>HYPERLINK("http://141.218.60.56/~jnz1568/getInfo.php?workbook=08_06.xlsx&amp;sheet=U0&amp;row=95&amp;col=10&amp;number=&amp;sourceID=9","")</f>
        <v/>
      </c>
      <c r="K95" s="4" t="str">
        <f>HYPERLINK("http://141.218.60.56/~jnz1568/getInfo.php?workbook=08_06.xlsx&amp;sheet=U0&amp;row=95&amp;col=11&amp;number=&amp;sourceID=9","")</f>
        <v/>
      </c>
      <c r="L95" s="4" t="str">
        <f>HYPERLINK("http://141.218.60.56/~jnz1568/getInfo.php?workbook=08_06.xlsx&amp;sheet=U0&amp;row=95&amp;col=12&amp;number=4.20411998266&amp;sourceID=10","4.20411998266")</f>
        <v>4.20411998266</v>
      </c>
      <c r="M95" s="4" t="str">
        <f>HYPERLINK("http://141.218.60.56/~jnz1568/getInfo.php?workbook=08_06.xlsx&amp;sheet=U0&amp;row=95&amp;col=13&amp;number=0.73919142176&amp;sourceID=10","0.73919142176")</f>
        <v>0.73919142176</v>
      </c>
    </row>
    <row r="96" spans="1:13">
      <c r="A96" s="3"/>
      <c r="B96" s="3"/>
      <c r="C96" s="3"/>
      <c r="D96" s="3"/>
      <c r="E96" s="3">
        <v>13</v>
      </c>
      <c r="F96" s="4" t="str">
        <f>HYPERLINK("http://141.218.60.56/~jnz1568/getInfo.php?workbook=08_06.xlsx&amp;sheet=U0&amp;row=96&amp;col=6&amp;number=4.78&amp;sourceID=4","4.78")</f>
        <v>4.78</v>
      </c>
      <c r="G96" s="4" t="str">
        <f>HYPERLINK("http://141.218.60.56/~jnz1568/getInfo.php?workbook=08_06.xlsx&amp;sheet=U0&amp;row=96&amp;col=7&amp;number==&amp;sourceID=4","=")</f>
        <v>=</v>
      </c>
      <c r="H96" s="4" t="str">
        <f>HYPERLINK("http://141.218.60.56/~jnz1568/getInfo.php?workbook=08_06.xlsx&amp;sheet=U0&amp;row=96&amp;col=8&amp;number=&amp;sourceID=8","")</f>
        <v/>
      </c>
      <c r="I96" s="4" t="str">
        <f>HYPERLINK("http://141.218.60.56/~jnz1568/getInfo.php?workbook=08_06.xlsx&amp;sheet=U0&amp;row=96&amp;col=9&amp;number=&amp;sourceID=8","")</f>
        <v/>
      </c>
      <c r="J96" s="4" t="str">
        <f>HYPERLINK("http://141.218.60.56/~jnz1568/getInfo.php?workbook=08_06.xlsx&amp;sheet=U0&amp;row=96&amp;col=10&amp;number=&amp;sourceID=9","")</f>
        <v/>
      </c>
      <c r="K96" s="4" t="str">
        <f>HYPERLINK("http://141.218.60.56/~jnz1568/getInfo.php?workbook=08_06.xlsx&amp;sheet=U0&amp;row=96&amp;col=11&amp;number=&amp;sourceID=9","")</f>
        <v/>
      </c>
      <c r="L96" s="4" t="str">
        <f>HYPERLINK("http://141.218.60.56/~jnz1568/getInfo.php?workbook=08_06.xlsx&amp;sheet=U0&amp;row=96&amp;col=12&amp;number=4.23044892138&amp;sourceID=10","4.23044892138")</f>
        <v>4.23044892138</v>
      </c>
      <c r="M96" s="4" t="str">
        <f>HYPERLINK("http://141.218.60.56/~jnz1568/getInfo.php?workbook=08_06.xlsx&amp;sheet=U0&amp;row=96&amp;col=13&amp;number=0.748440363621&amp;sourceID=10","0.748440363621")</f>
        <v>0.748440363621</v>
      </c>
    </row>
    <row r="97" spans="1:13">
      <c r="A97" s="3"/>
      <c r="B97" s="3"/>
      <c r="C97" s="3"/>
      <c r="D97" s="3"/>
      <c r="E97" s="3">
        <v>14</v>
      </c>
      <c r="F97" s="4" t="str">
        <f>HYPERLINK("http://141.218.60.56/~jnz1568/getInfo.php?workbook=08_06.xlsx&amp;sheet=U0&amp;row=97&amp;col=6&amp;number=4.9&amp;sourceID=4","4.9")</f>
        <v>4.9</v>
      </c>
      <c r="G97" s="4" t="str">
        <f>HYPERLINK("http://141.218.60.56/~jnz1568/getInfo.php?workbook=08_06.xlsx&amp;sheet=U0&amp;row=97&amp;col=7&amp;number==&amp;sourceID=4","=")</f>
        <v>=</v>
      </c>
      <c r="H97" s="4" t="str">
        <f>HYPERLINK("http://141.218.60.56/~jnz1568/getInfo.php?workbook=08_06.xlsx&amp;sheet=U0&amp;row=97&amp;col=8&amp;number=&amp;sourceID=8","")</f>
        <v/>
      </c>
      <c r="I97" s="4" t="str">
        <f>HYPERLINK("http://141.218.60.56/~jnz1568/getInfo.php?workbook=08_06.xlsx&amp;sheet=U0&amp;row=97&amp;col=9&amp;number=&amp;sourceID=8","")</f>
        <v/>
      </c>
      <c r="J97" s="4" t="str">
        <f>HYPERLINK("http://141.218.60.56/~jnz1568/getInfo.php?workbook=08_06.xlsx&amp;sheet=U0&amp;row=97&amp;col=10&amp;number=&amp;sourceID=9","")</f>
        <v/>
      </c>
      <c r="K97" s="4" t="str">
        <f>HYPERLINK("http://141.218.60.56/~jnz1568/getInfo.php?workbook=08_06.xlsx&amp;sheet=U0&amp;row=97&amp;col=11&amp;number=&amp;sourceID=9","")</f>
        <v/>
      </c>
      <c r="L97" s="4" t="str">
        <f>HYPERLINK("http://141.218.60.56/~jnz1568/getInfo.php?workbook=08_06.xlsx&amp;sheet=U0&amp;row=97&amp;col=12&amp;number=4.2552725051&amp;sourceID=10","4.2552725051")</f>
        <v>4.2552725051</v>
      </c>
      <c r="M97" s="4" t="str">
        <f>HYPERLINK("http://141.218.60.56/~jnz1568/getInfo.php?workbook=08_06.xlsx&amp;sheet=U0&amp;row=97&amp;col=13&amp;number=0.756881990541&amp;sourceID=10","0.756881990541")</f>
        <v>0.756881990541</v>
      </c>
    </row>
    <row r="98" spans="1:13">
      <c r="A98" s="3"/>
      <c r="B98" s="3"/>
      <c r="C98" s="3"/>
      <c r="D98" s="3"/>
      <c r="E98" s="3">
        <v>15</v>
      </c>
      <c r="F98" s="4" t="str">
        <f>HYPERLINK("http://141.218.60.56/~jnz1568/getInfo.php?workbook=08_06.xlsx&amp;sheet=U0&amp;row=98&amp;col=6&amp;number=5&amp;sourceID=4","5")</f>
        <v>5</v>
      </c>
      <c r="G98" s="4" t="str">
        <f>HYPERLINK("http://141.218.60.56/~jnz1568/getInfo.php?workbook=08_06.xlsx&amp;sheet=U0&amp;row=98&amp;col=7&amp;number==&amp;sourceID=4","=")</f>
        <v>=</v>
      </c>
      <c r="H98" s="4" t="str">
        <f>HYPERLINK("http://141.218.60.56/~jnz1568/getInfo.php?workbook=08_06.xlsx&amp;sheet=U0&amp;row=98&amp;col=8&amp;number=&amp;sourceID=8","")</f>
        <v/>
      </c>
      <c r="I98" s="4" t="str">
        <f>HYPERLINK("http://141.218.60.56/~jnz1568/getInfo.php?workbook=08_06.xlsx&amp;sheet=U0&amp;row=98&amp;col=9&amp;number=&amp;sourceID=8","")</f>
        <v/>
      </c>
      <c r="J98" s="4" t="str">
        <f>HYPERLINK("http://141.218.60.56/~jnz1568/getInfo.php?workbook=08_06.xlsx&amp;sheet=U0&amp;row=98&amp;col=10&amp;number=&amp;sourceID=9","")</f>
        <v/>
      </c>
      <c r="K98" s="4" t="str">
        <f>HYPERLINK("http://141.218.60.56/~jnz1568/getInfo.php?workbook=08_06.xlsx&amp;sheet=U0&amp;row=98&amp;col=11&amp;number=&amp;sourceID=9","")</f>
        <v/>
      </c>
      <c r="L98" s="4" t="str">
        <f>HYPERLINK("http://141.218.60.56/~jnz1568/getInfo.php?workbook=08_06.xlsx&amp;sheet=U0&amp;row=98&amp;col=12&amp;number=4.27875360095&amp;sourceID=10","4.27875360095")</f>
        <v>4.27875360095</v>
      </c>
      <c r="M98" s="4" t="str">
        <f>HYPERLINK("http://141.218.60.56/~jnz1568/getInfo.php?workbook=08_06.xlsx&amp;sheet=U0&amp;row=98&amp;col=13&amp;number=0.764616289232&amp;sourceID=10","0.764616289232")</f>
        <v>0.764616289232</v>
      </c>
    </row>
    <row r="99" spans="1:13">
      <c r="A99" s="3"/>
      <c r="B99" s="3"/>
      <c r="C99" s="3"/>
      <c r="D99" s="3"/>
      <c r="E99" s="3">
        <v>16</v>
      </c>
      <c r="F99" s="4" t="str">
        <f>HYPERLINK("http://141.218.60.56/~jnz1568/getInfo.php?workbook=08_06.xlsx&amp;sheet=U0&amp;row=99&amp;col=6&amp;number=5.08&amp;sourceID=4","5.08")</f>
        <v>5.08</v>
      </c>
      <c r="G99" s="4" t="str">
        <f>HYPERLINK("http://141.218.60.56/~jnz1568/getInfo.php?workbook=08_06.xlsx&amp;sheet=U0&amp;row=99&amp;col=7&amp;number==&amp;sourceID=4","=")</f>
        <v>=</v>
      </c>
      <c r="H99" s="4" t="str">
        <f>HYPERLINK("http://141.218.60.56/~jnz1568/getInfo.php?workbook=08_06.xlsx&amp;sheet=U0&amp;row=99&amp;col=8&amp;number=&amp;sourceID=8","")</f>
        <v/>
      </c>
      <c r="I99" s="4" t="str">
        <f>HYPERLINK("http://141.218.60.56/~jnz1568/getInfo.php?workbook=08_06.xlsx&amp;sheet=U0&amp;row=99&amp;col=9&amp;number=&amp;sourceID=8","")</f>
        <v/>
      </c>
      <c r="J99" s="4" t="str">
        <f>HYPERLINK("http://141.218.60.56/~jnz1568/getInfo.php?workbook=08_06.xlsx&amp;sheet=U0&amp;row=99&amp;col=10&amp;number=&amp;sourceID=9","")</f>
        <v/>
      </c>
      <c r="K99" s="4" t="str">
        <f>HYPERLINK("http://141.218.60.56/~jnz1568/getInfo.php?workbook=08_06.xlsx&amp;sheet=U0&amp;row=99&amp;col=11&amp;number=&amp;sourceID=9","")</f>
        <v/>
      </c>
      <c r="L99" s="4" t="str">
        <f>HYPERLINK("http://141.218.60.56/~jnz1568/getInfo.php?workbook=08_06.xlsx&amp;sheet=U0&amp;row=99&amp;col=12&amp;number=4.30102999566&amp;sourceID=10","4.30102999566")</f>
        <v>4.30102999566</v>
      </c>
      <c r="M99" s="4" t="str">
        <f>HYPERLINK("http://141.218.60.56/~jnz1568/getInfo.php?workbook=08_06.xlsx&amp;sheet=U0&amp;row=99&amp;col=13&amp;number=0.771729519146&amp;sourceID=10","0.771729519146")</f>
        <v>0.771729519146</v>
      </c>
    </row>
    <row r="100" spans="1:13">
      <c r="A100" s="3"/>
      <c r="B100" s="3"/>
      <c r="C100" s="3"/>
      <c r="D100" s="3"/>
      <c r="E100" s="3">
        <v>17</v>
      </c>
      <c r="F100" s="4" t="str">
        <f>HYPERLINK("http://141.218.60.56/~jnz1568/getInfo.php?workbook=08_06.xlsx&amp;sheet=U0&amp;row=100&amp;col=6&amp;number=5.15&amp;sourceID=4","5.15")</f>
        <v>5.15</v>
      </c>
      <c r="G100" s="4" t="str">
        <f>HYPERLINK("http://141.218.60.56/~jnz1568/getInfo.php?workbook=08_06.xlsx&amp;sheet=U0&amp;row=100&amp;col=7&amp;number==&amp;sourceID=4","=")</f>
        <v>=</v>
      </c>
      <c r="H100" s="4" t="str">
        <f>HYPERLINK("http://141.218.60.56/~jnz1568/getInfo.php?workbook=08_06.xlsx&amp;sheet=U0&amp;row=100&amp;col=8&amp;number=&amp;sourceID=8","")</f>
        <v/>
      </c>
      <c r="I100" s="4" t="str">
        <f>HYPERLINK("http://141.218.60.56/~jnz1568/getInfo.php?workbook=08_06.xlsx&amp;sheet=U0&amp;row=100&amp;col=9&amp;number=&amp;sourceID=8","")</f>
        <v/>
      </c>
      <c r="J100" s="4" t="str">
        <f>HYPERLINK("http://141.218.60.56/~jnz1568/getInfo.php?workbook=08_06.xlsx&amp;sheet=U0&amp;row=100&amp;col=10&amp;number=&amp;sourceID=9","")</f>
        <v/>
      </c>
      <c r="K100" s="4" t="str">
        <f>HYPERLINK("http://141.218.60.56/~jnz1568/getInfo.php?workbook=08_06.xlsx&amp;sheet=U0&amp;row=100&amp;col=11&amp;number=&amp;sourceID=9","")</f>
        <v/>
      </c>
      <c r="L100" s="4" t="str">
        <f>HYPERLINK("http://141.218.60.56/~jnz1568/getInfo.php?workbook=08_06.xlsx&amp;sheet=U0&amp;row=100&amp;col=12&amp;number=&amp;sourceID=10","")</f>
        <v/>
      </c>
      <c r="M100" s="4" t="str">
        <f>HYPERLINK("http://141.218.60.56/~jnz1568/getInfo.php?workbook=08_06.xlsx&amp;sheet=U0&amp;row=100&amp;col=13&amp;number=&amp;sourceID=10","")</f>
        <v/>
      </c>
    </row>
    <row r="101" spans="1:13">
      <c r="A101" s="3"/>
      <c r="B101" s="3"/>
      <c r="C101" s="3"/>
      <c r="D101" s="3"/>
      <c r="E101" s="3">
        <v>18</v>
      </c>
      <c r="F101" s="4" t="str">
        <f>HYPERLINK("http://141.218.60.56/~jnz1568/getInfo.php?workbook=08_06.xlsx&amp;sheet=U0&amp;row=101&amp;col=6&amp;number=5.2&amp;sourceID=4","5.2")</f>
        <v>5.2</v>
      </c>
      <c r="G101" s="4" t="str">
        <f>HYPERLINK("http://141.218.60.56/~jnz1568/getInfo.php?workbook=08_06.xlsx&amp;sheet=U0&amp;row=101&amp;col=7&amp;number==&amp;sourceID=4","=")</f>
        <v>=</v>
      </c>
      <c r="H101" s="4" t="str">
        <f>HYPERLINK("http://141.218.60.56/~jnz1568/getInfo.php?workbook=08_06.xlsx&amp;sheet=U0&amp;row=101&amp;col=8&amp;number=&amp;sourceID=8","")</f>
        <v/>
      </c>
      <c r="I101" s="4" t="str">
        <f>HYPERLINK("http://141.218.60.56/~jnz1568/getInfo.php?workbook=08_06.xlsx&amp;sheet=U0&amp;row=101&amp;col=9&amp;number=&amp;sourceID=8","")</f>
        <v/>
      </c>
      <c r="J101" s="4" t="str">
        <f>HYPERLINK("http://141.218.60.56/~jnz1568/getInfo.php?workbook=08_06.xlsx&amp;sheet=U0&amp;row=101&amp;col=10&amp;number=&amp;sourceID=9","")</f>
        <v/>
      </c>
      <c r="K101" s="4" t="str">
        <f>HYPERLINK("http://141.218.60.56/~jnz1568/getInfo.php?workbook=08_06.xlsx&amp;sheet=U0&amp;row=101&amp;col=11&amp;number=&amp;sourceID=9","")</f>
        <v/>
      </c>
      <c r="L101" s="4" t="str">
        <f>HYPERLINK("http://141.218.60.56/~jnz1568/getInfo.php?workbook=08_06.xlsx&amp;sheet=U0&amp;row=101&amp;col=12&amp;number=&amp;sourceID=10","")</f>
        <v/>
      </c>
      <c r="M101" s="4" t="str">
        <f>HYPERLINK("http://141.218.60.56/~jnz1568/getInfo.php?workbook=08_06.xlsx&amp;sheet=U0&amp;row=101&amp;col=13&amp;number=&amp;sourceID=10","")</f>
        <v/>
      </c>
    </row>
    <row r="102" spans="1:13">
      <c r="A102" s="3"/>
      <c r="B102" s="3"/>
      <c r="C102" s="3"/>
      <c r="D102" s="3"/>
      <c r="E102" s="3">
        <v>19</v>
      </c>
      <c r="F102" s="4" t="str">
        <f>HYPERLINK("http://141.218.60.56/~jnz1568/getInfo.php?workbook=08_06.xlsx&amp;sheet=U0&amp;row=102&amp;col=6&amp;number=5.26&amp;sourceID=4","5.26")</f>
        <v>5.26</v>
      </c>
      <c r="G102" s="4" t="str">
        <f>HYPERLINK("http://141.218.60.56/~jnz1568/getInfo.php?workbook=08_06.xlsx&amp;sheet=U0&amp;row=102&amp;col=7&amp;number==&amp;sourceID=4","=")</f>
        <v>=</v>
      </c>
      <c r="H102" s="4" t="str">
        <f>HYPERLINK("http://141.218.60.56/~jnz1568/getInfo.php?workbook=08_06.xlsx&amp;sheet=U0&amp;row=102&amp;col=8&amp;number=&amp;sourceID=8","")</f>
        <v/>
      </c>
      <c r="I102" s="4" t="str">
        <f>HYPERLINK("http://141.218.60.56/~jnz1568/getInfo.php?workbook=08_06.xlsx&amp;sheet=U0&amp;row=102&amp;col=9&amp;number=&amp;sourceID=8","")</f>
        <v/>
      </c>
      <c r="J102" s="4" t="str">
        <f>HYPERLINK("http://141.218.60.56/~jnz1568/getInfo.php?workbook=08_06.xlsx&amp;sheet=U0&amp;row=102&amp;col=10&amp;number=&amp;sourceID=9","")</f>
        <v/>
      </c>
      <c r="K102" s="4" t="str">
        <f>HYPERLINK("http://141.218.60.56/~jnz1568/getInfo.php?workbook=08_06.xlsx&amp;sheet=U0&amp;row=102&amp;col=11&amp;number=&amp;sourceID=9","")</f>
        <v/>
      </c>
      <c r="L102" s="4" t="str">
        <f>HYPERLINK("http://141.218.60.56/~jnz1568/getInfo.php?workbook=08_06.xlsx&amp;sheet=U0&amp;row=102&amp;col=12&amp;number=&amp;sourceID=10","")</f>
        <v/>
      </c>
      <c r="M102" s="4" t="str">
        <f>HYPERLINK("http://141.218.60.56/~jnz1568/getInfo.php?workbook=08_06.xlsx&amp;sheet=U0&amp;row=102&amp;col=13&amp;number=&amp;sourceID=10","")</f>
        <v/>
      </c>
    </row>
    <row r="103" spans="1:13">
      <c r="A103" s="3"/>
      <c r="B103" s="3"/>
      <c r="C103" s="3"/>
      <c r="D103" s="3"/>
      <c r="E103" s="3">
        <v>20</v>
      </c>
      <c r="F103" s="4" t="str">
        <f>HYPERLINK("http://141.218.60.56/~jnz1568/getInfo.php?workbook=08_06.xlsx&amp;sheet=U0&amp;row=103&amp;col=6&amp;number=5.3&amp;sourceID=4","5.3")</f>
        <v>5.3</v>
      </c>
      <c r="G103" s="4" t="str">
        <f>HYPERLINK("http://141.218.60.56/~jnz1568/getInfo.php?workbook=08_06.xlsx&amp;sheet=U0&amp;row=103&amp;col=7&amp;number==&amp;sourceID=4","=")</f>
        <v>=</v>
      </c>
      <c r="H103" s="4" t="str">
        <f>HYPERLINK("http://141.218.60.56/~jnz1568/getInfo.php?workbook=08_06.xlsx&amp;sheet=U0&amp;row=103&amp;col=8&amp;number=&amp;sourceID=8","")</f>
        <v/>
      </c>
      <c r="I103" s="4" t="str">
        <f>HYPERLINK("http://141.218.60.56/~jnz1568/getInfo.php?workbook=08_06.xlsx&amp;sheet=U0&amp;row=103&amp;col=9&amp;number=&amp;sourceID=8","")</f>
        <v/>
      </c>
      <c r="J103" s="4" t="str">
        <f>HYPERLINK("http://141.218.60.56/~jnz1568/getInfo.php?workbook=08_06.xlsx&amp;sheet=U0&amp;row=103&amp;col=10&amp;number=&amp;sourceID=9","")</f>
        <v/>
      </c>
      <c r="K103" s="4" t="str">
        <f>HYPERLINK("http://141.218.60.56/~jnz1568/getInfo.php?workbook=08_06.xlsx&amp;sheet=U0&amp;row=103&amp;col=11&amp;number=&amp;sourceID=9","")</f>
        <v/>
      </c>
      <c r="L103" s="4" t="str">
        <f>HYPERLINK("http://141.218.60.56/~jnz1568/getInfo.php?workbook=08_06.xlsx&amp;sheet=U0&amp;row=103&amp;col=12&amp;number=&amp;sourceID=10","")</f>
        <v/>
      </c>
      <c r="M103" s="4" t="str">
        <f>HYPERLINK("http://141.218.60.56/~jnz1568/getInfo.php?workbook=08_06.xlsx&amp;sheet=U0&amp;row=103&amp;col=13&amp;number=&amp;sourceID=10","")</f>
        <v/>
      </c>
    </row>
    <row r="104" spans="1:13">
      <c r="A104" s="3">
        <v>8</v>
      </c>
      <c r="B104" s="3">
        <v>6</v>
      </c>
      <c r="C104" s="3">
        <v>4</v>
      </c>
      <c r="D104" s="3">
        <v>3</v>
      </c>
      <c r="E104" s="3">
        <v>1</v>
      </c>
      <c r="F104" s="4" t="str">
        <f>HYPERLINK("http://141.218.60.56/~jnz1568/getInfo.php?workbook=08_06.xlsx&amp;sheet=U0&amp;row=104&amp;col=6&amp;number=3.4&amp;sourceID=4","3.4")</f>
        <v>3.4</v>
      </c>
      <c r="G104" s="4" t="str">
        <f>HYPERLINK("http://141.218.60.56/~jnz1568/getInfo.php?workbook=08_06.xlsx&amp;sheet=U0&amp;row=104&amp;col=7&amp;number==G64*5&amp;sourceID=4","=G64*5")</f>
        <v>=G64*5</v>
      </c>
      <c r="H104" s="4" t="str">
        <f>HYPERLINK("http://141.218.60.56/~jnz1568/getInfo.php?workbook=08_06.xlsx&amp;sheet=U0&amp;row=104&amp;col=8&amp;number=2&amp;sourceID=8","2")</f>
        <v>2</v>
      </c>
      <c r="I104" s="4" t="str">
        <f>HYPERLINK("http://141.218.60.56/~jnz1568/getInfo.php?workbook=08_06.xlsx&amp;sheet=U0&amp;row=104&amp;col=9&amp;number=0.9934&amp;sourceID=8","0.9934")</f>
        <v>0.9934</v>
      </c>
      <c r="J104" s="4" t="str">
        <f>HYPERLINK("http://141.218.60.56/~jnz1568/getInfo.php?workbook=08_06.xlsx&amp;sheet=U0&amp;row=104&amp;col=10&amp;number=3&amp;sourceID=9","3")</f>
        <v>3</v>
      </c>
      <c r="K104" s="4" t="str">
        <f>HYPERLINK("http://141.218.60.56/~jnz1568/getInfo.php?workbook=08_06.xlsx&amp;sheet=U0&amp;row=104&amp;col=11&amp;number=1.23516666667&amp;sourceID=9","1.23516666667")</f>
        <v>1.23516666667</v>
      </c>
      <c r="L104" s="4" t="str">
        <f>HYPERLINK("http://141.218.60.56/~jnz1568/getInfo.php?workbook=08_06.xlsx&amp;sheet=U0&amp;row=104&amp;col=12&amp;number=3.69897000434&amp;sourceID=10","3.69897000434")</f>
        <v>3.69897000434</v>
      </c>
      <c r="M104" s="4" t="str">
        <f>HYPERLINK("http://141.218.60.56/~jnz1568/getInfo.php?workbook=08_06.xlsx&amp;sheet=U0&amp;row=104&amp;col=13&amp;number=0.92728078468&amp;sourceID=10","0.92728078468")</f>
        <v>0.92728078468</v>
      </c>
    </row>
    <row r="105" spans="1:13">
      <c r="A105" s="3"/>
      <c r="B105" s="3"/>
      <c r="C105" s="3"/>
      <c r="D105" s="3"/>
      <c r="E105" s="3">
        <v>2</v>
      </c>
      <c r="F105" s="4" t="str">
        <f>HYPERLINK("http://141.218.60.56/~jnz1568/getInfo.php?workbook=08_06.xlsx&amp;sheet=U0&amp;row=105&amp;col=6&amp;number=3.7&amp;sourceID=4","3.7")</f>
        <v>3.7</v>
      </c>
      <c r="G105" s="4" t="str">
        <f>HYPERLINK("http://141.218.60.56/~jnz1568/getInfo.php?workbook=08_06.xlsx&amp;sheet=U0&amp;row=105&amp;col=7&amp;number==&amp;sourceID=4","=")</f>
        <v>=</v>
      </c>
      <c r="H105" s="4" t="str">
        <f>HYPERLINK("http://141.218.60.56/~jnz1568/getInfo.php?workbook=08_06.xlsx&amp;sheet=U0&amp;row=105&amp;col=8&amp;number=2.69897000434&amp;sourceID=8","2.69897000434")</f>
        <v>2.69897000434</v>
      </c>
      <c r="I105" s="4" t="str">
        <f>HYPERLINK("http://141.218.60.56/~jnz1568/getInfo.php?workbook=08_06.xlsx&amp;sheet=U0&amp;row=105&amp;col=9&amp;number=1.056&amp;sourceID=8","1.056")</f>
        <v>1.056</v>
      </c>
      <c r="J105" s="4" t="str">
        <f>HYPERLINK("http://141.218.60.56/~jnz1568/getInfo.php?workbook=08_06.xlsx&amp;sheet=U0&amp;row=105&amp;col=10&amp;number=3.2&amp;sourceID=9","3.2")</f>
        <v>3.2</v>
      </c>
      <c r="K105" s="4" t="str">
        <f>HYPERLINK("http://141.218.60.56/~jnz1568/getInfo.php?workbook=08_06.xlsx&amp;sheet=U0&amp;row=105&amp;col=11&amp;number=1.216&amp;sourceID=9","1.216")</f>
        <v>1.216</v>
      </c>
      <c r="L105" s="4" t="str">
        <f>HYPERLINK("http://141.218.60.56/~jnz1568/getInfo.php?workbook=08_06.xlsx&amp;sheet=U0&amp;row=105&amp;col=12&amp;number=3.77815125038&amp;sourceID=10","3.77815125038")</f>
        <v>3.77815125038</v>
      </c>
      <c r="M105" s="4" t="str">
        <f>HYPERLINK("http://141.218.60.56/~jnz1568/getInfo.php?workbook=08_06.xlsx&amp;sheet=U0&amp;row=105&amp;col=13&amp;number=0.96111393806&amp;sourceID=10","0.96111393806")</f>
        <v>0.96111393806</v>
      </c>
    </row>
    <row r="106" spans="1:13">
      <c r="A106" s="3"/>
      <c r="B106" s="3"/>
      <c r="C106" s="3"/>
      <c r="D106" s="3"/>
      <c r="E106" s="3">
        <v>3</v>
      </c>
      <c r="F106" s="4" t="str">
        <f>HYPERLINK("http://141.218.60.56/~jnz1568/getInfo.php?workbook=08_06.xlsx&amp;sheet=U0&amp;row=106&amp;col=6&amp;number=3.88&amp;sourceID=4","3.88")</f>
        <v>3.88</v>
      </c>
      <c r="G106" s="4" t="str">
        <f>HYPERLINK("http://141.218.60.56/~jnz1568/getInfo.php?workbook=08_06.xlsx&amp;sheet=U0&amp;row=106&amp;col=7&amp;number==&amp;sourceID=4","=")</f>
        <v>=</v>
      </c>
      <c r="H106" s="4" t="str">
        <f>HYPERLINK("http://141.218.60.56/~jnz1568/getInfo.php?workbook=08_06.xlsx&amp;sheet=U0&amp;row=106&amp;col=8&amp;number=3&amp;sourceID=8","3")</f>
        <v>3</v>
      </c>
      <c r="I106" s="4" t="str">
        <f>HYPERLINK("http://141.218.60.56/~jnz1568/getInfo.php?workbook=08_06.xlsx&amp;sheet=U0&amp;row=106&amp;col=9&amp;number=1.089&amp;sourceID=8","1.089")</f>
        <v>1.089</v>
      </c>
      <c r="J106" s="4" t="str">
        <f>HYPERLINK("http://141.218.60.56/~jnz1568/getInfo.php?workbook=08_06.xlsx&amp;sheet=U0&amp;row=106&amp;col=10&amp;number=3.4&amp;sourceID=9","3.4")</f>
        <v>3.4</v>
      </c>
      <c r="K106" s="4" t="str">
        <f>HYPERLINK("http://141.218.60.56/~jnz1568/getInfo.php?workbook=08_06.xlsx&amp;sheet=U0&amp;row=106&amp;col=11&amp;number=1.18977777778&amp;sourceID=9","1.18977777778")</f>
        <v>1.18977777778</v>
      </c>
      <c r="L106" s="4" t="str">
        <f>HYPERLINK("http://141.218.60.56/~jnz1568/getInfo.php?workbook=08_06.xlsx&amp;sheet=U0&amp;row=106&amp;col=12&amp;number=3.84509804001&amp;sourceID=10","3.84509804001")</f>
        <v>3.84509804001</v>
      </c>
      <c r="M106" s="4" t="str">
        <f>HYPERLINK("http://141.218.60.56/~jnz1568/getInfo.php?workbook=08_06.xlsx&amp;sheet=U0&amp;row=106&amp;col=13&amp;number=0.997740928066&amp;sourceID=10","0.997740928066")</f>
        <v>0.997740928066</v>
      </c>
    </row>
    <row r="107" spans="1:13">
      <c r="A107" s="3"/>
      <c r="B107" s="3"/>
      <c r="C107" s="3"/>
      <c r="D107" s="3"/>
      <c r="E107" s="3">
        <v>4</v>
      </c>
      <c r="F107" s="4" t="str">
        <f>HYPERLINK("http://141.218.60.56/~jnz1568/getInfo.php?workbook=08_06.xlsx&amp;sheet=U0&amp;row=107&amp;col=6&amp;number=4&amp;sourceID=4","4")</f>
        <v>4</v>
      </c>
      <c r="G107" s="4" t="str">
        <f>HYPERLINK("http://141.218.60.56/~jnz1568/getInfo.php?workbook=08_06.xlsx&amp;sheet=U0&amp;row=107&amp;col=7&amp;number==&amp;sourceID=4","=")</f>
        <v>=</v>
      </c>
      <c r="H107" s="4" t="str">
        <f>HYPERLINK("http://141.218.60.56/~jnz1568/getInfo.php?workbook=08_06.xlsx&amp;sheet=U0&amp;row=107&amp;col=8&amp;number=3.69897000434&amp;sourceID=8","3.69897000434")</f>
        <v>3.69897000434</v>
      </c>
      <c r="I107" s="4" t="str">
        <f>HYPERLINK("http://141.218.60.56/~jnz1568/getInfo.php?workbook=08_06.xlsx&amp;sheet=U0&amp;row=107&amp;col=9&amp;number=1.188&amp;sourceID=8","1.188")</f>
        <v>1.188</v>
      </c>
      <c r="J107" s="4" t="str">
        <f>HYPERLINK("http://141.218.60.56/~jnz1568/getInfo.php?workbook=08_06.xlsx&amp;sheet=U0&amp;row=107&amp;col=10&amp;number=3.6&amp;sourceID=9","3.6")</f>
        <v>3.6</v>
      </c>
      <c r="K107" s="4" t="str">
        <f>HYPERLINK("http://141.218.60.56/~jnz1568/getInfo.php?workbook=08_06.xlsx&amp;sheet=U0&amp;row=107&amp;col=11&amp;number=1.17316666667&amp;sourceID=9","1.17316666667")</f>
        <v>1.17316666667</v>
      </c>
      <c r="L107" s="4" t="str">
        <f>HYPERLINK("http://141.218.60.56/~jnz1568/getInfo.php?workbook=08_06.xlsx&amp;sheet=U0&amp;row=107&amp;col=12&amp;number=3.90308998699&amp;sourceID=10","3.90308998699")</f>
        <v>3.90308998699</v>
      </c>
      <c r="M107" s="4" t="str">
        <f>HYPERLINK("http://141.218.60.56/~jnz1568/getInfo.php?workbook=08_06.xlsx&amp;sheet=U0&amp;row=107&amp;col=13&amp;number=1.03380701973&amp;sourceID=10","1.03380701973")</f>
        <v>1.03380701973</v>
      </c>
    </row>
    <row r="108" spans="1:13">
      <c r="A108" s="3"/>
      <c r="B108" s="3"/>
      <c r="C108" s="3"/>
      <c r="D108" s="3"/>
      <c r="E108" s="3">
        <v>5</v>
      </c>
      <c r="F108" s="4" t="str">
        <f>HYPERLINK("http://141.218.60.56/~jnz1568/getInfo.php?workbook=08_06.xlsx&amp;sheet=U0&amp;row=108&amp;col=6&amp;number=4.1&amp;sourceID=4","4.1")</f>
        <v>4.1</v>
      </c>
      <c r="G108" s="4" t="str">
        <f>HYPERLINK("http://141.218.60.56/~jnz1568/getInfo.php?workbook=08_06.xlsx&amp;sheet=U0&amp;row=108&amp;col=7&amp;number==&amp;sourceID=4","=")</f>
        <v>=</v>
      </c>
      <c r="H108" s="4" t="str">
        <f>HYPERLINK("http://141.218.60.56/~jnz1568/getInfo.php?workbook=08_06.xlsx&amp;sheet=U0&amp;row=108&amp;col=8&amp;number=4&amp;sourceID=8","4")</f>
        <v>4</v>
      </c>
      <c r="I108" s="4" t="str">
        <f>HYPERLINK("http://141.218.60.56/~jnz1568/getInfo.php?workbook=08_06.xlsx&amp;sheet=U0&amp;row=108&amp;col=9&amp;number=1.363&amp;sourceID=8","1.363")</f>
        <v>1.363</v>
      </c>
      <c r="J108" s="4" t="str">
        <f>HYPERLINK("http://141.218.60.56/~jnz1568/getInfo.php?workbook=08_06.xlsx&amp;sheet=U0&amp;row=108&amp;col=10&amp;number=3.8&amp;sourceID=9","3.8")</f>
        <v>3.8</v>
      </c>
      <c r="K108" s="4" t="str">
        <f>HYPERLINK("http://141.218.60.56/~jnz1568/getInfo.php?workbook=08_06.xlsx&amp;sheet=U0&amp;row=108&amp;col=11&amp;number=1.19877777778&amp;sourceID=9","1.19877777778")</f>
        <v>1.19877777778</v>
      </c>
      <c r="L108" s="4" t="str">
        <f>HYPERLINK("http://141.218.60.56/~jnz1568/getInfo.php?workbook=08_06.xlsx&amp;sheet=U0&amp;row=108&amp;col=12&amp;number=3.95424250944&amp;sourceID=10","3.95424250944")</f>
        <v>3.95424250944</v>
      </c>
      <c r="M108" s="4" t="str">
        <f>HYPERLINK("http://141.218.60.56/~jnz1568/getInfo.php?workbook=08_06.xlsx&amp;sheet=U0&amp;row=108&amp;col=13&amp;number=1.06772316689&amp;sourceID=10","1.06772316689")</f>
        <v>1.06772316689</v>
      </c>
    </row>
    <row r="109" spans="1:13">
      <c r="A109" s="3"/>
      <c r="B109" s="3"/>
      <c r="C109" s="3"/>
      <c r="D109" s="3"/>
      <c r="E109" s="3">
        <v>6</v>
      </c>
      <c r="F109" s="4" t="str">
        <f>HYPERLINK("http://141.218.60.56/~jnz1568/getInfo.php?workbook=08_06.xlsx&amp;sheet=U0&amp;row=109&amp;col=6&amp;number=4.18&amp;sourceID=4","4.18")</f>
        <v>4.18</v>
      </c>
      <c r="G109" s="4" t="str">
        <f>HYPERLINK("http://141.218.60.56/~jnz1568/getInfo.php?workbook=08_06.xlsx&amp;sheet=U0&amp;row=109&amp;col=7&amp;number==&amp;sourceID=4","=")</f>
        <v>=</v>
      </c>
      <c r="H109" s="4" t="str">
        <f>HYPERLINK("http://141.218.60.56/~jnz1568/getInfo.php?workbook=08_06.xlsx&amp;sheet=U0&amp;row=109&amp;col=8&amp;number=4.30102999566&amp;sourceID=8","4.30102999566")</f>
        <v>4.30102999566</v>
      </c>
      <c r="I109" s="4" t="str">
        <f>HYPERLINK("http://141.218.60.56/~jnz1568/getInfo.php?workbook=08_06.xlsx&amp;sheet=U0&amp;row=109&amp;col=9&amp;number=1.564&amp;sourceID=8","1.564")</f>
        <v>1.564</v>
      </c>
      <c r="J109" s="4" t="str">
        <f>HYPERLINK("http://141.218.60.56/~jnz1568/getInfo.php?workbook=08_06.xlsx&amp;sheet=U0&amp;row=109&amp;col=10&amp;number=4&amp;sourceID=9","4")</f>
        <v>4</v>
      </c>
      <c r="K109" s="4" t="str">
        <f>HYPERLINK("http://141.218.60.56/~jnz1568/getInfo.php?workbook=08_06.xlsx&amp;sheet=U0&amp;row=109&amp;col=11&amp;number=1.27177777778&amp;sourceID=9","1.27177777778")</f>
        <v>1.27177777778</v>
      </c>
      <c r="L109" s="4" t="str">
        <f>HYPERLINK("http://141.218.60.56/~jnz1568/getInfo.php?workbook=08_06.xlsx&amp;sheet=U0&amp;row=109&amp;col=12&amp;number=4&amp;sourceID=10","4")</f>
        <v>4</v>
      </c>
      <c r="M109" s="4" t="str">
        <f>HYPERLINK("http://141.218.60.56/~jnz1568/getInfo.php?workbook=08_06.xlsx&amp;sheet=U0&amp;row=109&amp;col=13&amp;number=1.09887019628&amp;sourceID=10","1.09887019628")</f>
        <v>1.09887019628</v>
      </c>
    </row>
    <row r="110" spans="1:13">
      <c r="A110" s="3"/>
      <c r="B110" s="3"/>
      <c r="C110" s="3"/>
      <c r="D110" s="3"/>
      <c r="E110" s="3">
        <v>7</v>
      </c>
      <c r="F110" s="4" t="str">
        <f>HYPERLINK("http://141.218.60.56/~jnz1568/getInfo.php?workbook=08_06.xlsx&amp;sheet=U0&amp;row=110&amp;col=6&amp;number=4.24&amp;sourceID=4","4.24")</f>
        <v>4.24</v>
      </c>
      <c r="G110" s="4" t="str">
        <f>HYPERLINK("http://141.218.60.56/~jnz1568/getInfo.php?workbook=08_06.xlsx&amp;sheet=U0&amp;row=110&amp;col=7&amp;number==&amp;sourceID=4","=")</f>
        <v>=</v>
      </c>
      <c r="H110" s="4" t="str">
        <f>HYPERLINK("http://141.218.60.56/~jnz1568/getInfo.php?workbook=08_06.xlsx&amp;sheet=U0&amp;row=110&amp;col=8&amp;number=4.47712125472&amp;sourceID=8","4.47712125472")</f>
        <v>4.47712125472</v>
      </c>
      <c r="I110" s="4" t="str">
        <f>HYPERLINK("http://141.218.60.56/~jnz1568/getInfo.php?workbook=08_06.xlsx&amp;sheet=U0&amp;row=110&amp;col=9&amp;number=1.645&amp;sourceID=8","1.645")</f>
        <v>1.645</v>
      </c>
      <c r="J110" s="4" t="str">
        <f>HYPERLINK("http://141.218.60.56/~jnz1568/getInfo.php?workbook=08_06.xlsx&amp;sheet=U0&amp;row=110&amp;col=10&amp;number=4.2&amp;sourceID=9","4.2")</f>
        <v>4.2</v>
      </c>
      <c r="K110" s="4" t="str">
        <f>HYPERLINK("http://141.218.60.56/~jnz1568/getInfo.php?workbook=08_06.xlsx&amp;sheet=U0&amp;row=110&amp;col=11&amp;number=1.36094444444&amp;sourceID=9","1.36094444444")</f>
        <v>1.36094444444</v>
      </c>
      <c r="L110" s="4" t="str">
        <f>HYPERLINK("http://141.218.60.56/~jnz1568/getInfo.php?workbook=08_06.xlsx&amp;sheet=U0&amp;row=110&amp;col=12&amp;number=4.04139268516&amp;sourceID=10","4.04139268516")</f>
        <v>4.04139268516</v>
      </c>
      <c r="M110" s="4" t="str">
        <f>HYPERLINK("http://141.218.60.56/~jnz1568/getInfo.php?workbook=08_06.xlsx&amp;sheet=U0&amp;row=110&amp;col=13&amp;number=1.12713077641&amp;sourceID=10","1.12713077641")</f>
        <v>1.12713077641</v>
      </c>
    </row>
    <row r="111" spans="1:13">
      <c r="A111" s="3"/>
      <c r="B111" s="3"/>
      <c r="C111" s="3"/>
      <c r="D111" s="3"/>
      <c r="E111" s="3">
        <v>8</v>
      </c>
      <c r="F111" s="4" t="str">
        <f>HYPERLINK("http://141.218.60.56/~jnz1568/getInfo.php?workbook=08_06.xlsx&amp;sheet=U0&amp;row=111&amp;col=6&amp;number=4.3&amp;sourceID=4","4.3")</f>
        <v>4.3</v>
      </c>
      <c r="G111" s="4" t="str">
        <f>HYPERLINK("http://141.218.60.56/~jnz1568/getInfo.php?workbook=08_06.xlsx&amp;sheet=U0&amp;row=111&amp;col=7&amp;number==&amp;sourceID=4","=")</f>
        <v>=</v>
      </c>
      <c r="H111" s="4" t="str">
        <f>HYPERLINK("http://141.218.60.56/~jnz1568/getInfo.php?workbook=08_06.xlsx&amp;sheet=U0&amp;row=111&amp;col=8&amp;number=&amp;sourceID=8","")</f>
        <v/>
      </c>
      <c r="I111" s="4" t="str">
        <f>HYPERLINK("http://141.218.60.56/~jnz1568/getInfo.php?workbook=08_06.xlsx&amp;sheet=U0&amp;row=111&amp;col=9&amp;number=&amp;sourceID=8","")</f>
        <v/>
      </c>
      <c r="J111" s="4" t="str">
        <f>HYPERLINK("http://141.218.60.56/~jnz1568/getInfo.php?workbook=08_06.xlsx&amp;sheet=U0&amp;row=111&amp;col=10&amp;number=4.4&amp;sourceID=9","4.4")</f>
        <v>4.4</v>
      </c>
      <c r="K111" s="4" t="str">
        <f>HYPERLINK("http://141.218.60.56/~jnz1568/getInfo.php?workbook=08_06.xlsx&amp;sheet=U0&amp;row=111&amp;col=11&amp;number=1.43616666667&amp;sourceID=9","1.43616666667")</f>
        <v>1.43616666667</v>
      </c>
      <c r="L111" s="4" t="str">
        <f>HYPERLINK("http://141.218.60.56/~jnz1568/getInfo.php?workbook=08_06.xlsx&amp;sheet=U0&amp;row=111&amp;col=12&amp;number=4.07918124605&amp;sourceID=10","4.07918124605")</f>
        <v>4.07918124605</v>
      </c>
      <c r="M111" s="4" t="str">
        <f>HYPERLINK("http://141.218.60.56/~jnz1568/getInfo.php?workbook=08_06.xlsx&amp;sheet=U0&amp;row=111&amp;col=13&amp;number=1.15263115211&amp;sourceID=10","1.15263115211")</f>
        <v>1.15263115211</v>
      </c>
    </row>
    <row r="112" spans="1:13">
      <c r="A112" s="3"/>
      <c r="B112" s="3"/>
      <c r="C112" s="3"/>
      <c r="D112" s="3"/>
      <c r="E112" s="3">
        <v>9</v>
      </c>
      <c r="F112" s="4" t="str">
        <f>HYPERLINK("http://141.218.60.56/~jnz1568/getInfo.php?workbook=08_06.xlsx&amp;sheet=U0&amp;row=112&amp;col=6&amp;number=4.4&amp;sourceID=4","4.4")</f>
        <v>4.4</v>
      </c>
      <c r="G112" s="4" t="str">
        <f>HYPERLINK("http://141.218.60.56/~jnz1568/getInfo.php?workbook=08_06.xlsx&amp;sheet=U0&amp;row=112&amp;col=7&amp;number==&amp;sourceID=4","=")</f>
        <v>=</v>
      </c>
      <c r="H112" s="4" t="str">
        <f>HYPERLINK("http://141.218.60.56/~jnz1568/getInfo.php?workbook=08_06.xlsx&amp;sheet=U0&amp;row=112&amp;col=8&amp;number=&amp;sourceID=8","")</f>
        <v/>
      </c>
      <c r="I112" s="4" t="str">
        <f>HYPERLINK("http://141.218.60.56/~jnz1568/getInfo.php?workbook=08_06.xlsx&amp;sheet=U0&amp;row=112&amp;col=9&amp;number=&amp;sourceID=8","")</f>
        <v/>
      </c>
      <c r="J112" s="4" t="str">
        <f>HYPERLINK("http://141.218.60.56/~jnz1568/getInfo.php?workbook=08_06.xlsx&amp;sheet=U0&amp;row=112&amp;col=10&amp;number=4.6&amp;sourceID=9","4.6")</f>
        <v>4.6</v>
      </c>
      <c r="K112" s="4" t="str">
        <f>HYPERLINK("http://141.218.60.56/~jnz1568/getInfo.php?workbook=08_06.xlsx&amp;sheet=U0&amp;row=112&amp;col=11&amp;number=1.485&amp;sourceID=9","1.485")</f>
        <v>1.485</v>
      </c>
      <c r="L112" s="4" t="str">
        <f>HYPERLINK("http://141.218.60.56/~jnz1568/getInfo.php?workbook=08_06.xlsx&amp;sheet=U0&amp;row=112&amp;col=12&amp;number=4.11394335231&amp;sourceID=10","4.11394335231")</f>
        <v>4.11394335231</v>
      </c>
      <c r="M112" s="4" t="str">
        <f>HYPERLINK("http://141.218.60.56/~jnz1568/getInfo.php?workbook=08_06.xlsx&amp;sheet=U0&amp;row=112&amp;col=13&amp;number=1.17560305116&amp;sourceID=10","1.17560305116")</f>
        <v>1.17560305116</v>
      </c>
    </row>
    <row r="113" spans="1:13">
      <c r="A113" s="3"/>
      <c r="B113" s="3"/>
      <c r="C113" s="3"/>
      <c r="D113" s="3"/>
      <c r="E113" s="3">
        <v>10</v>
      </c>
      <c r="F113" s="4" t="str">
        <f>HYPERLINK("http://141.218.60.56/~jnz1568/getInfo.php?workbook=08_06.xlsx&amp;sheet=U0&amp;row=113&amp;col=6&amp;number=4.48&amp;sourceID=4","4.48")</f>
        <v>4.48</v>
      </c>
      <c r="G113" s="4" t="str">
        <f>HYPERLINK("http://141.218.60.56/~jnz1568/getInfo.php?workbook=08_06.xlsx&amp;sheet=U0&amp;row=113&amp;col=7&amp;number==&amp;sourceID=4","=")</f>
        <v>=</v>
      </c>
      <c r="H113" s="4" t="str">
        <f>HYPERLINK("http://141.218.60.56/~jnz1568/getInfo.php?workbook=08_06.xlsx&amp;sheet=U0&amp;row=113&amp;col=8&amp;number=&amp;sourceID=8","")</f>
        <v/>
      </c>
      <c r="I113" s="4" t="str">
        <f>HYPERLINK("http://141.218.60.56/~jnz1568/getInfo.php?workbook=08_06.xlsx&amp;sheet=U0&amp;row=113&amp;col=9&amp;number=&amp;sourceID=8","")</f>
        <v/>
      </c>
      <c r="J113" s="4" t="str">
        <f>HYPERLINK("http://141.218.60.56/~jnz1568/getInfo.php?workbook=08_06.xlsx&amp;sheet=U0&amp;row=113&amp;col=10&amp;number=4.8&amp;sourceID=9","4.8")</f>
        <v>4.8</v>
      </c>
      <c r="K113" s="4" t="str">
        <f>HYPERLINK("http://141.218.60.56/~jnz1568/getInfo.php?workbook=08_06.xlsx&amp;sheet=U0&amp;row=113&amp;col=11&amp;number=1.50105555556&amp;sourceID=9","1.50105555556")</f>
        <v>1.50105555556</v>
      </c>
      <c r="L113" s="4" t="str">
        <f>HYPERLINK("http://141.218.60.56/~jnz1568/getInfo.php?workbook=08_06.xlsx&amp;sheet=U0&amp;row=113&amp;col=12&amp;number=4.14612803568&amp;sourceID=10","4.14612803568")</f>
        <v>4.14612803568</v>
      </c>
      <c r="M113" s="4" t="str">
        <f>HYPERLINK("http://141.218.60.56/~jnz1568/getInfo.php?workbook=08_06.xlsx&amp;sheet=U0&amp;row=113&amp;col=13&amp;number=1.19631181931&amp;sourceID=10","1.19631181931")</f>
        <v>1.19631181931</v>
      </c>
    </row>
    <row r="114" spans="1:13">
      <c r="A114" s="3"/>
      <c r="B114" s="3"/>
      <c r="C114" s="3"/>
      <c r="D114" s="3"/>
      <c r="E114" s="3">
        <v>11</v>
      </c>
      <c r="F114" s="4" t="str">
        <f>HYPERLINK("http://141.218.60.56/~jnz1568/getInfo.php?workbook=08_06.xlsx&amp;sheet=U0&amp;row=114&amp;col=6&amp;number=4.6&amp;sourceID=4","4.6")</f>
        <v>4.6</v>
      </c>
      <c r="G114" s="4" t="str">
        <f>HYPERLINK("http://141.218.60.56/~jnz1568/getInfo.php?workbook=08_06.xlsx&amp;sheet=U0&amp;row=114&amp;col=7&amp;number==&amp;sourceID=4","=")</f>
        <v>=</v>
      </c>
      <c r="H114" s="4" t="str">
        <f>HYPERLINK("http://141.218.60.56/~jnz1568/getInfo.php?workbook=08_06.xlsx&amp;sheet=U0&amp;row=114&amp;col=8&amp;number=&amp;sourceID=8","")</f>
        <v/>
      </c>
      <c r="I114" s="4" t="str">
        <f>HYPERLINK("http://141.218.60.56/~jnz1568/getInfo.php?workbook=08_06.xlsx&amp;sheet=U0&amp;row=114&amp;col=9&amp;number=&amp;sourceID=8","")</f>
        <v/>
      </c>
      <c r="J114" s="4" t="str">
        <f>HYPERLINK("http://141.218.60.56/~jnz1568/getInfo.php?workbook=08_06.xlsx&amp;sheet=U0&amp;row=114&amp;col=10&amp;number=5&amp;sourceID=9","5")</f>
        <v>5</v>
      </c>
      <c r="K114" s="4" t="str">
        <f>HYPERLINK("http://141.218.60.56/~jnz1568/getInfo.php?workbook=08_06.xlsx&amp;sheet=U0&amp;row=114&amp;col=11&amp;number=1.47744444444&amp;sourceID=9","1.47744444444")</f>
        <v>1.47744444444</v>
      </c>
      <c r="L114" s="4" t="str">
        <f>HYPERLINK("http://141.218.60.56/~jnz1568/getInfo.php?workbook=08_06.xlsx&amp;sheet=U0&amp;row=114&amp;col=12&amp;number=4.17609125906&amp;sourceID=10","4.17609125906")</f>
        <v>4.17609125906</v>
      </c>
      <c r="M114" s="4" t="str">
        <f>HYPERLINK("http://141.218.60.56/~jnz1568/getInfo.php?workbook=08_06.xlsx&amp;sheet=U0&amp;row=114&amp;col=13&amp;number=1.21502048165&amp;sourceID=10","1.21502048165")</f>
        <v>1.21502048165</v>
      </c>
    </row>
    <row r="115" spans="1:13">
      <c r="A115" s="3"/>
      <c r="B115" s="3"/>
      <c r="C115" s="3"/>
      <c r="D115" s="3"/>
      <c r="E115" s="3">
        <v>12</v>
      </c>
      <c r="F115" s="4" t="str">
        <f>HYPERLINK("http://141.218.60.56/~jnz1568/getInfo.php?workbook=08_06.xlsx&amp;sheet=U0&amp;row=115&amp;col=6&amp;number=4.7&amp;sourceID=4","4.7")</f>
        <v>4.7</v>
      </c>
      <c r="G115" s="4" t="str">
        <f>HYPERLINK("http://141.218.60.56/~jnz1568/getInfo.php?workbook=08_06.xlsx&amp;sheet=U0&amp;row=115&amp;col=7&amp;number==&amp;sourceID=4","=")</f>
        <v>=</v>
      </c>
      <c r="H115" s="4" t="str">
        <f>HYPERLINK("http://141.218.60.56/~jnz1568/getInfo.php?workbook=08_06.xlsx&amp;sheet=U0&amp;row=115&amp;col=8&amp;number=&amp;sourceID=8","")</f>
        <v/>
      </c>
      <c r="I115" s="4" t="str">
        <f>HYPERLINK("http://141.218.60.56/~jnz1568/getInfo.php?workbook=08_06.xlsx&amp;sheet=U0&amp;row=115&amp;col=9&amp;number=&amp;sourceID=8","")</f>
        <v/>
      </c>
      <c r="J115" s="4" t="str">
        <f>HYPERLINK("http://141.218.60.56/~jnz1568/getInfo.php?workbook=08_06.xlsx&amp;sheet=U0&amp;row=115&amp;col=10&amp;number=&amp;sourceID=9","")</f>
        <v/>
      </c>
      <c r="K115" s="4" t="str">
        <f>HYPERLINK("http://141.218.60.56/~jnz1568/getInfo.php?workbook=08_06.xlsx&amp;sheet=U0&amp;row=115&amp;col=11&amp;number=&amp;sourceID=9","")</f>
        <v/>
      </c>
      <c r="L115" s="4" t="str">
        <f>HYPERLINK("http://141.218.60.56/~jnz1568/getInfo.php?workbook=08_06.xlsx&amp;sheet=U0&amp;row=115&amp;col=12&amp;number=4.20411998266&amp;sourceID=10","4.20411998266")</f>
        <v>4.20411998266</v>
      </c>
      <c r="M115" s="4" t="str">
        <f>HYPERLINK("http://141.218.60.56/~jnz1568/getInfo.php?workbook=08_06.xlsx&amp;sheet=U0&amp;row=115&amp;col=13&amp;number=1.23197308612&amp;sourceID=10","1.23197308612")</f>
        <v>1.23197308612</v>
      </c>
    </row>
    <row r="116" spans="1:13">
      <c r="A116" s="3"/>
      <c r="B116" s="3"/>
      <c r="C116" s="3"/>
      <c r="D116" s="3"/>
      <c r="E116" s="3">
        <v>13</v>
      </c>
      <c r="F116" s="4" t="str">
        <f>HYPERLINK("http://141.218.60.56/~jnz1568/getInfo.php?workbook=08_06.xlsx&amp;sheet=U0&amp;row=116&amp;col=6&amp;number=4.78&amp;sourceID=4","4.78")</f>
        <v>4.78</v>
      </c>
      <c r="G116" s="4" t="str">
        <f>HYPERLINK("http://141.218.60.56/~jnz1568/getInfo.php?workbook=08_06.xlsx&amp;sheet=U0&amp;row=116&amp;col=7&amp;number==&amp;sourceID=4","=")</f>
        <v>=</v>
      </c>
      <c r="H116" s="4" t="str">
        <f>HYPERLINK("http://141.218.60.56/~jnz1568/getInfo.php?workbook=08_06.xlsx&amp;sheet=U0&amp;row=116&amp;col=8&amp;number=&amp;sourceID=8","")</f>
        <v/>
      </c>
      <c r="I116" s="4" t="str">
        <f>HYPERLINK("http://141.218.60.56/~jnz1568/getInfo.php?workbook=08_06.xlsx&amp;sheet=U0&amp;row=116&amp;col=9&amp;number=&amp;sourceID=8","")</f>
        <v/>
      </c>
      <c r="J116" s="4" t="str">
        <f>HYPERLINK("http://141.218.60.56/~jnz1568/getInfo.php?workbook=08_06.xlsx&amp;sheet=U0&amp;row=116&amp;col=10&amp;number=&amp;sourceID=9","")</f>
        <v/>
      </c>
      <c r="K116" s="4" t="str">
        <f>HYPERLINK("http://141.218.60.56/~jnz1568/getInfo.php?workbook=08_06.xlsx&amp;sheet=U0&amp;row=116&amp;col=11&amp;number=&amp;sourceID=9","")</f>
        <v/>
      </c>
      <c r="L116" s="4" t="str">
        <f>HYPERLINK("http://141.218.60.56/~jnz1568/getInfo.php?workbook=08_06.xlsx&amp;sheet=U0&amp;row=116&amp;col=12&amp;number=4.23044892138&amp;sourceID=10","4.23044892138")</f>
        <v>4.23044892138</v>
      </c>
      <c r="M116" s="4" t="str">
        <f>HYPERLINK("http://141.218.60.56/~jnz1568/getInfo.php?workbook=08_06.xlsx&amp;sheet=U0&amp;row=116&amp;col=13&amp;number=1.24738824234&amp;sourceID=10","1.24738824234")</f>
        <v>1.24738824234</v>
      </c>
    </row>
    <row r="117" spans="1:13">
      <c r="A117" s="3"/>
      <c r="B117" s="3"/>
      <c r="C117" s="3"/>
      <c r="D117" s="3"/>
      <c r="E117" s="3">
        <v>14</v>
      </c>
      <c r="F117" s="4" t="str">
        <f>HYPERLINK("http://141.218.60.56/~jnz1568/getInfo.php?workbook=08_06.xlsx&amp;sheet=U0&amp;row=117&amp;col=6&amp;number=4.9&amp;sourceID=4","4.9")</f>
        <v>4.9</v>
      </c>
      <c r="G117" s="4" t="str">
        <f>HYPERLINK("http://141.218.60.56/~jnz1568/getInfo.php?workbook=08_06.xlsx&amp;sheet=U0&amp;row=117&amp;col=7&amp;number==&amp;sourceID=4","=")</f>
        <v>=</v>
      </c>
      <c r="H117" s="4" t="str">
        <f>HYPERLINK("http://141.218.60.56/~jnz1568/getInfo.php?workbook=08_06.xlsx&amp;sheet=U0&amp;row=117&amp;col=8&amp;number=&amp;sourceID=8","")</f>
        <v/>
      </c>
      <c r="I117" s="4" t="str">
        <f>HYPERLINK("http://141.218.60.56/~jnz1568/getInfo.php?workbook=08_06.xlsx&amp;sheet=U0&amp;row=117&amp;col=9&amp;number=&amp;sourceID=8","")</f>
        <v/>
      </c>
      <c r="J117" s="4" t="str">
        <f>HYPERLINK("http://141.218.60.56/~jnz1568/getInfo.php?workbook=08_06.xlsx&amp;sheet=U0&amp;row=117&amp;col=10&amp;number=&amp;sourceID=9","")</f>
        <v/>
      </c>
      <c r="K117" s="4" t="str">
        <f>HYPERLINK("http://141.218.60.56/~jnz1568/getInfo.php?workbook=08_06.xlsx&amp;sheet=U0&amp;row=117&amp;col=11&amp;number=&amp;sourceID=9","")</f>
        <v/>
      </c>
      <c r="L117" s="4" t="str">
        <f>HYPERLINK("http://141.218.60.56/~jnz1568/getInfo.php?workbook=08_06.xlsx&amp;sheet=U0&amp;row=117&amp;col=12&amp;number=4.2552725051&amp;sourceID=10","4.2552725051")</f>
        <v>4.2552725051</v>
      </c>
      <c r="M117" s="4" t="str">
        <f>HYPERLINK("http://141.218.60.56/~jnz1568/getInfo.php?workbook=08_06.xlsx&amp;sheet=U0&amp;row=117&amp;col=13&amp;number=1.26145790389&amp;sourceID=10","1.26145790389")</f>
        <v>1.26145790389</v>
      </c>
    </row>
    <row r="118" spans="1:13">
      <c r="A118" s="3"/>
      <c r="B118" s="3"/>
      <c r="C118" s="3"/>
      <c r="D118" s="3"/>
      <c r="E118" s="3">
        <v>15</v>
      </c>
      <c r="F118" s="4" t="str">
        <f>HYPERLINK("http://141.218.60.56/~jnz1568/getInfo.php?workbook=08_06.xlsx&amp;sheet=U0&amp;row=118&amp;col=6&amp;number=5&amp;sourceID=4","5")</f>
        <v>5</v>
      </c>
      <c r="G118" s="4" t="str">
        <f>HYPERLINK("http://141.218.60.56/~jnz1568/getInfo.php?workbook=08_06.xlsx&amp;sheet=U0&amp;row=118&amp;col=7&amp;number==&amp;sourceID=4","=")</f>
        <v>=</v>
      </c>
      <c r="H118" s="4" t="str">
        <f>HYPERLINK("http://141.218.60.56/~jnz1568/getInfo.php?workbook=08_06.xlsx&amp;sheet=U0&amp;row=118&amp;col=8&amp;number=&amp;sourceID=8","")</f>
        <v/>
      </c>
      <c r="I118" s="4" t="str">
        <f>HYPERLINK("http://141.218.60.56/~jnz1568/getInfo.php?workbook=08_06.xlsx&amp;sheet=U0&amp;row=118&amp;col=9&amp;number=&amp;sourceID=8","")</f>
        <v/>
      </c>
      <c r="J118" s="4" t="str">
        <f>HYPERLINK("http://141.218.60.56/~jnz1568/getInfo.php?workbook=08_06.xlsx&amp;sheet=U0&amp;row=118&amp;col=10&amp;number=&amp;sourceID=9","")</f>
        <v/>
      </c>
      <c r="K118" s="4" t="str">
        <f>HYPERLINK("http://141.218.60.56/~jnz1568/getInfo.php?workbook=08_06.xlsx&amp;sheet=U0&amp;row=118&amp;col=11&amp;number=&amp;sourceID=9","")</f>
        <v/>
      </c>
      <c r="L118" s="4" t="str">
        <f>HYPERLINK("http://141.218.60.56/~jnz1568/getInfo.php?workbook=08_06.xlsx&amp;sheet=U0&amp;row=118&amp;col=12&amp;number=4.27875360095&amp;sourceID=10","4.27875360095")</f>
        <v>4.27875360095</v>
      </c>
      <c r="M118" s="4" t="str">
        <f>HYPERLINK("http://141.218.60.56/~jnz1568/getInfo.php?workbook=08_06.xlsx&amp;sheet=U0&amp;row=118&amp;col=13&amp;number=1.27434870449&amp;sourceID=10","1.27434870449")</f>
        <v>1.27434870449</v>
      </c>
    </row>
    <row r="119" spans="1:13">
      <c r="A119" s="3"/>
      <c r="B119" s="3"/>
      <c r="C119" s="3"/>
      <c r="D119" s="3"/>
      <c r="E119" s="3">
        <v>16</v>
      </c>
      <c r="F119" s="4" t="str">
        <f>HYPERLINK("http://141.218.60.56/~jnz1568/getInfo.php?workbook=08_06.xlsx&amp;sheet=U0&amp;row=119&amp;col=6&amp;number=5.08&amp;sourceID=4","5.08")</f>
        <v>5.08</v>
      </c>
      <c r="G119" s="4" t="str">
        <f>HYPERLINK("http://141.218.60.56/~jnz1568/getInfo.php?workbook=08_06.xlsx&amp;sheet=U0&amp;row=119&amp;col=7&amp;number==&amp;sourceID=4","=")</f>
        <v>=</v>
      </c>
      <c r="H119" s="4" t="str">
        <f>HYPERLINK("http://141.218.60.56/~jnz1568/getInfo.php?workbook=08_06.xlsx&amp;sheet=U0&amp;row=119&amp;col=8&amp;number=&amp;sourceID=8","")</f>
        <v/>
      </c>
      <c r="I119" s="4" t="str">
        <f>HYPERLINK("http://141.218.60.56/~jnz1568/getInfo.php?workbook=08_06.xlsx&amp;sheet=U0&amp;row=119&amp;col=9&amp;number=&amp;sourceID=8","")</f>
        <v/>
      </c>
      <c r="J119" s="4" t="str">
        <f>HYPERLINK("http://141.218.60.56/~jnz1568/getInfo.php?workbook=08_06.xlsx&amp;sheet=U0&amp;row=119&amp;col=10&amp;number=&amp;sourceID=9","")</f>
        <v/>
      </c>
      <c r="K119" s="4" t="str">
        <f>HYPERLINK("http://141.218.60.56/~jnz1568/getInfo.php?workbook=08_06.xlsx&amp;sheet=U0&amp;row=119&amp;col=11&amp;number=&amp;sourceID=9","")</f>
        <v/>
      </c>
      <c r="L119" s="4" t="str">
        <f>HYPERLINK("http://141.218.60.56/~jnz1568/getInfo.php?workbook=08_06.xlsx&amp;sheet=U0&amp;row=119&amp;col=12&amp;number=4.30102999566&amp;sourceID=10","4.30102999566")</f>
        <v>4.30102999566</v>
      </c>
      <c r="M119" s="4" t="str">
        <f>HYPERLINK("http://141.218.60.56/~jnz1568/getInfo.php?workbook=08_06.xlsx&amp;sheet=U0&amp;row=119&amp;col=13&amp;number=1.28620440119&amp;sourceID=10","1.28620440119")</f>
        <v>1.28620440119</v>
      </c>
    </row>
    <row r="120" spans="1:13">
      <c r="A120" s="3"/>
      <c r="B120" s="3"/>
      <c r="C120" s="3"/>
      <c r="D120" s="3"/>
      <c r="E120" s="3">
        <v>17</v>
      </c>
      <c r="F120" s="4" t="str">
        <f>HYPERLINK("http://141.218.60.56/~jnz1568/getInfo.php?workbook=08_06.xlsx&amp;sheet=U0&amp;row=120&amp;col=6&amp;number=5.15&amp;sourceID=4","5.15")</f>
        <v>5.15</v>
      </c>
      <c r="G120" s="4" t="str">
        <f>HYPERLINK("http://141.218.60.56/~jnz1568/getInfo.php?workbook=08_06.xlsx&amp;sheet=U0&amp;row=120&amp;col=7&amp;number==&amp;sourceID=4","=")</f>
        <v>=</v>
      </c>
      <c r="H120" s="4" t="str">
        <f>HYPERLINK("http://141.218.60.56/~jnz1568/getInfo.php?workbook=08_06.xlsx&amp;sheet=U0&amp;row=120&amp;col=8&amp;number=&amp;sourceID=8","")</f>
        <v/>
      </c>
      <c r="I120" s="4" t="str">
        <f>HYPERLINK("http://141.218.60.56/~jnz1568/getInfo.php?workbook=08_06.xlsx&amp;sheet=U0&amp;row=120&amp;col=9&amp;number=&amp;sourceID=8","")</f>
        <v/>
      </c>
      <c r="J120" s="4" t="str">
        <f>HYPERLINK("http://141.218.60.56/~jnz1568/getInfo.php?workbook=08_06.xlsx&amp;sheet=U0&amp;row=120&amp;col=10&amp;number=&amp;sourceID=9","")</f>
        <v/>
      </c>
      <c r="K120" s="4" t="str">
        <f>HYPERLINK("http://141.218.60.56/~jnz1568/getInfo.php?workbook=08_06.xlsx&amp;sheet=U0&amp;row=120&amp;col=11&amp;number=&amp;sourceID=9","")</f>
        <v/>
      </c>
      <c r="L120" s="4" t="str">
        <f>HYPERLINK("http://141.218.60.56/~jnz1568/getInfo.php?workbook=08_06.xlsx&amp;sheet=U0&amp;row=120&amp;col=12&amp;number=&amp;sourceID=10","")</f>
        <v/>
      </c>
      <c r="M120" s="4" t="str">
        <f>HYPERLINK("http://141.218.60.56/~jnz1568/getInfo.php?workbook=08_06.xlsx&amp;sheet=U0&amp;row=120&amp;col=13&amp;number=&amp;sourceID=10","")</f>
        <v/>
      </c>
    </row>
    <row r="121" spans="1:13">
      <c r="A121" s="3"/>
      <c r="B121" s="3"/>
      <c r="C121" s="3"/>
      <c r="D121" s="3"/>
      <c r="E121" s="3">
        <v>18</v>
      </c>
      <c r="F121" s="4" t="str">
        <f>HYPERLINK("http://141.218.60.56/~jnz1568/getInfo.php?workbook=08_06.xlsx&amp;sheet=U0&amp;row=121&amp;col=6&amp;number=5.2&amp;sourceID=4","5.2")</f>
        <v>5.2</v>
      </c>
      <c r="G121" s="4" t="str">
        <f>HYPERLINK("http://141.218.60.56/~jnz1568/getInfo.php?workbook=08_06.xlsx&amp;sheet=U0&amp;row=121&amp;col=7&amp;number==&amp;sourceID=4","=")</f>
        <v>=</v>
      </c>
      <c r="H121" s="4" t="str">
        <f>HYPERLINK("http://141.218.60.56/~jnz1568/getInfo.php?workbook=08_06.xlsx&amp;sheet=U0&amp;row=121&amp;col=8&amp;number=&amp;sourceID=8","")</f>
        <v/>
      </c>
      <c r="I121" s="4" t="str">
        <f>HYPERLINK("http://141.218.60.56/~jnz1568/getInfo.php?workbook=08_06.xlsx&amp;sheet=U0&amp;row=121&amp;col=9&amp;number=&amp;sourceID=8","")</f>
        <v/>
      </c>
      <c r="J121" s="4" t="str">
        <f>HYPERLINK("http://141.218.60.56/~jnz1568/getInfo.php?workbook=08_06.xlsx&amp;sheet=U0&amp;row=121&amp;col=10&amp;number=&amp;sourceID=9","")</f>
        <v/>
      </c>
      <c r="K121" s="4" t="str">
        <f>HYPERLINK("http://141.218.60.56/~jnz1568/getInfo.php?workbook=08_06.xlsx&amp;sheet=U0&amp;row=121&amp;col=11&amp;number=&amp;sourceID=9","")</f>
        <v/>
      </c>
      <c r="L121" s="4" t="str">
        <f>HYPERLINK("http://141.218.60.56/~jnz1568/getInfo.php?workbook=08_06.xlsx&amp;sheet=U0&amp;row=121&amp;col=12&amp;number=&amp;sourceID=10","")</f>
        <v/>
      </c>
      <c r="M121" s="4" t="str">
        <f>HYPERLINK("http://141.218.60.56/~jnz1568/getInfo.php?workbook=08_06.xlsx&amp;sheet=U0&amp;row=121&amp;col=13&amp;number=&amp;sourceID=10","")</f>
        <v/>
      </c>
    </row>
    <row r="122" spans="1:13">
      <c r="A122" s="3"/>
      <c r="B122" s="3"/>
      <c r="C122" s="3"/>
      <c r="D122" s="3"/>
      <c r="E122" s="3">
        <v>19</v>
      </c>
      <c r="F122" s="4" t="str">
        <f>HYPERLINK("http://141.218.60.56/~jnz1568/getInfo.php?workbook=08_06.xlsx&amp;sheet=U0&amp;row=122&amp;col=6&amp;number=5.26&amp;sourceID=4","5.26")</f>
        <v>5.26</v>
      </c>
      <c r="G122" s="4" t="str">
        <f>HYPERLINK("http://141.218.60.56/~jnz1568/getInfo.php?workbook=08_06.xlsx&amp;sheet=U0&amp;row=122&amp;col=7&amp;number==&amp;sourceID=4","=")</f>
        <v>=</v>
      </c>
      <c r="H122" s="4" t="str">
        <f>HYPERLINK("http://141.218.60.56/~jnz1568/getInfo.php?workbook=08_06.xlsx&amp;sheet=U0&amp;row=122&amp;col=8&amp;number=&amp;sourceID=8","")</f>
        <v/>
      </c>
      <c r="I122" s="4" t="str">
        <f>HYPERLINK("http://141.218.60.56/~jnz1568/getInfo.php?workbook=08_06.xlsx&amp;sheet=U0&amp;row=122&amp;col=9&amp;number=&amp;sourceID=8","")</f>
        <v/>
      </c>
      <c r="J122" s="4" t="str">
        <f>HYPERLINK("http://141.218.60.56/~jnz1568/getInfo.php?workbook=08_06.xlsx&amp;sheet=U0&amp;row=122&amp;col=10&amp;number=&amp;sourceID=9","")</f>
        <v/>
      </c>
      <c r="K122" s="4" t="str">
        <f>HYPERLINK("http://141.218.60.56/~jnz1568/getInfo.php?workbook=08_06.xlsx&amp;sheet=U0&amp;row=122&amp;col=11&amp;number=&amp;sourceID=9","")</f>
        <v/>
      </c>
      <c r="L122" s="4" t="str">
        <f>HYPERLINK("http://141.218.60.56/~jnz1568/getInfo.php?workbook=08_06.xlsx&amp;sheet=U0&amp;row=122&amp;col=12&amp;number=&amp;sourceID=10","")</f>
        <v/>
      </c>
      <c r="M122" s="4" t="str">
        <f>HYPERLINK("http://141.218.60.56/~jnz1568/getInfo.php?workbook=08_06.xlsx&amp;sheet=U0&amp;row=122&amp;col=13&amp;number=&amp;sourceID=10","")</f>
        <v/>
      </c>
    </row>
    <row r="123" spans="1:13">
      <c r="A123" s="3"/>
      <c r="B123" s="3"/>
      <c r="C123" s="3"/>
      <c r="D123" s="3"/>
      <c r="E123" s="3">
        <v>20</v>
      </c>
      <c r="F123" s="4" t="str">
        <f>HYPERLINK("http://141.218.60.56/~jnz1568/getInfo.php?workbook=08_06.xlsx&amp;sheet=U0&amp;row=123&amp;col=6&amp;number=5.3&amp;sourceID=4","5.3")</f>
        <v>5.3</v>
      </c>
      <c r="G123" s="4" t="str">
        <f>HYPERLINK("http://141.218.60.56/~jnz1568/getInfo.php?workbook=08_06.xlsx&amp;sheet=U0&amp;row=123&amp;col=7&amp;number==&amp;sourceID=4","=")</f>
        <v>=</v>
      </c>
      <c r="H123" s="4" t="str">
        <f>HYPERLINK("http://141.218.60.56/~jnz1568/getInfo.php?workbook=08_06.xlsx&amp;sheet=U0&amp;row=123&amp;col=8&amp;number=&amp;sourceID=8","")</f>
        <v/>
      </c>
      <c r="I123" s="4" t="str">
        <f>HYPERLINK("http://141.218.60.56/~jnz1568/getInfo.php?workbook=08_06.xlsx&amp;sheet=U0&amp;row=123&amp;col=9&amp;number=&amp;sourceID=8","")</f>
        <v/>
      </c>
      <c r="J123" s="4" t="str">
        <f>HYPERLINK("http://141.218.60.56/~jnz1568/getInfo.php?workbook=08_06.xlsx&amp;sheet=U0&amp;row=123&amp;col=10&amp;number=&amp;sourceID=9","")</f>
        <v/>
      </c>
      <c r="K123" s="4" t="str">
        <f>HYPERLINK("http://141.218.60.56/~jnz1568/getInfo.php?workbook=08_06.xlsx&amp;sheet=U0&amp;row=123&amp;col=11&amp;number=&amp;sourceID=9","")</f>
        <v/>
      </c>
      <c r="L123" s="4" t="str">
        <f>HYPERLINK("http://141.218.60.56/~jnz1568/getInfo.php?workbook=08_06.xlsx&amp;sheet=U0&amp;row=123&amp;col=12&amp;number=&amp;sourceID=10","")</f>
        <v/>
      </c>
      <c r="M123" s="4" t="str">
        <f>HYPERLINK("http://141.218.60.56/~jnz1568/getInfo.php?workbook=08_06.xlsx&amp;sheet=U0&amp;row=123&amp;col=13&amp;number=&amp;sourceID=10","")</f>
        <v/>
      </c>
    </row>
    <row r="124" spans="1:13">
      <c r="A124" s="3">
        <v>8</v>
      </c>
      <c r="B124" s="3">
        <v>6</v>
      </c>
      <c r="C124" s="3">
        <v>5</v>
      </c>
      <c r="D124" s="3">
        <v>1</v>
      </c>
      <c r="E124" s="3">
        <v>1</v>
      </c>
      <c r="F124" s="4" t="str">
        <f>HYPERLINK("http://141.218.60.56/~jnz1568/getInfo.php?workbook=08_06.xlsx&amp;sheet=U0&amp;row=124&amp;col=6&amp;number=3.4&amp;sourceID=4","3.4")</f>
        <v>3.4</v>
      </c>
      <c r="G124" s="4" t="str">
        <f>HYPERLINK("http://141.218.60.56/~jnz1568/getInfo.php?workbook=08_06.xlsx&amp;sheet=U0&amp;row=124&amp;col=7&amp;number=0.0307&amp;sourceID=4","0.0307")</f>
        <v>0.0307</v>
      </c>
      <c r="H124" s="4" t="str">
        <f>HYPERLINK("http://141.218.60.56/~jnz1568/getInfo.php?workbook=08_06.xlsx&amp;sheet=U0&amp;row=124&amp;col=8&amp;number=2&amp;sourceID=8","2")</f>
        <v>2</v>
      </c>
      <c r="I124" s="4" t="str">
        <f>HYPERLINK("http://141.218.60.56/~jnz1568/getInfo.php?workbook=08_06.xlsx&amp;sheet=U0&amp;row=124&amp;col=9&amp;number=0.05965&amp;sourceID=8","0.05965")</f>
        <v>0.05965</v>
      </c>
      <c r="J124" s="4" t="str">
        <f>HYPERLINK("http://141.218.60.56/~jnz1568/getInfo.php?workbook=08_06.xlsx&amp;sheet=U0&amp;row=124&amp;col=10&amp;number=3&amp;sourceID=9","3")</f>
        <v>3</v>
      </c>
      <c r="K124" s="4" t="str">
        <f>HYPERLINK("http://141.218.60.56/~jnz1568/getInfo.php?workbook=08_06.xlsx&amp;sheet=U0&amp;row=124&amp;col=11&amp;number=0.0306&amp;sourceID=9","0.0306")</f>
        <v>0.0306</v>
      </c>
      <c r="L124" s="4" t="str">
        <f>HYPERLINK("http://141.218.60.56/~jnz1568/getInfo.php?workbook=08_06.xlsx&amp;sheet=U0&amp;row=124&amp;col=12&amp;number=3.69897000434&amp;sourceID=10","3.69897000434")</f>
        <v>3.69897000434</v>
      </c>
      <c r="M124" s="4" t="str">
        <f>HYPERLINK("http://141.218.60.56/~jnz1568/getInfo.php?workbook=08_06.xlsx&amp;sheet=U0&amp;row=124&amp;col=13&amp;number=0.02233114589&amp;sourceID=10","0.02233114589")</f>
        <v>0.02233114589</v>
      </c>
    </row>
    <row r="125" spans="1:13">
      <c r="A125" s="3"/>
      <c r="B125" s="3"/>
      <c r="C125" s="3"/>
      <c r="D125" s="3"/>
      <c r="E125" s="3">
        <v>2</v>
      </c>
      <c r="F125" s="4" t="str">
        <f>HYPERLINK("http://141.218.60.56/~jnz1568/getInfo.php?workbook=08_06.xlsx&amp;sheet=U0&amp;row=125&amp;col=6&amp;number=3.7&amp;sourceID=4","3.7")</f>
        <v>3.7</v>
      </c>
      <c r="G125" s="4" t="str">
        <f>HYPERLINK("http://141.218.60.56/~jnz1568/getInfo.php?workbook=08_06.xlsx&amp;sheet=U0&amp;row=125&amp;col=7&amp;number=0.0304&amp;sourceID=4","0.0304")</f>
        <v>0.0304</v>
      </c>
      <c r="H125" s="4" t="str">
        <f>HYPERLINK("http://141.218.60.56/~jnz1568/getInfo.php?workbook=08_06.xlsx&amp;sheet=U0&amp;row=125&amp;col=8&amp;number=2.69897000434&amp;sourceID=8","2.69897000434")</f>
        <v>2.69897000434</v>
      </c>
      <c r="I125" s="4" t="str">
        <f>HYPERLINK("http://141.218.60.56/~jnz1568/getInfo.php?workbook=08_06.xlsx&amp;sheet=U0&amp;row=125&amp;col=9&amp;number=0.05354&amp;sourceID=8","0.05354")</f>
        <v>0.05354</v>
      </c>
      <c r="J125" s="4" t="str">
        <f>HYPERLINK("http://141.218.60.56/~jnz1568/getInfo.php?workbook=08_06.xlsx&amp;sheet=U0&amp;row=125&amp;col=10&amp;number=3.2&amp;sourceID=9","3.2")</f>
        <v>3.2</v>
      </c>
      <c r="K125" s="4" t="str">
        <f>HYPERLINK("http://141.218.60.56/~jnz1568/getInfo.php?workbook=08_06.xlsx&amp;sheet=U0&amp;row=125&amp;col=11&amp;number=0.0304222222222&amp;sourceID=9","0.0304222222222")</f>
        <v>0.0304222222222</v>
      </c>
      <c r="L125" s="4" t="str">
        <f>HYPERLINK("http://141.218.60.56/~jnz1568/getInfo.php?workbook=08_06.xlsx&amp;sheet=U0&amp;row=125&amp;col=12&amp;number=3.77815125038&amp;sourceID=10","3.77815125038")</f>
        <v>3.77815125038</v>
      </c>
      <c r="M125" s="4" t="str">
        <f>HYPERLINK("http://141.218.60.56/~jnz1568/getInfo.php?workbook=08_06.xlsx&amp;sheet=U0&amp;row=125&amp;col=13&amp;number=0.02356946836&amp;sourceID=10","0.02356946836")</f>
        <v>0.02356946836</v>
      </c>
    </row>
    <row r="126" spans="1:13">
      <c r="A126" s="3"/>
      <c r="B126" s="3"/>
      <c r="C126" s="3"/>
      <c r="D126" s="3"/>
      <c r="E126" s="3">
        <v>3</v>
      </c>
      <c r="F126" s="4" t="str">
        <f>HYPERLINK("http://141.218.60.56/~jnz1568/getInfo.php?workbook=08_06.xlsx&amp;sheet=U0&amp;row=126&amp;col=6&amp;number=3.88&amp;sourceID=4","3.88")</f>
        <v>3.88</v>
      </c>
      <c r="G126" s="4" t="str">
        <f>HYPERLINK("http://141.218.60.56/~jnz1568/getInfo.php?workbook=08_06.xlsx&amp;sheet=U0&amp;row=126&amp;col=7&amp;number=0.031&amp;sourceID=4","0.031")</f>
        <v>0.031</v>
      </c>
      <c r="H126" s="4" t="str">
        <f>HYPERLINK("http://141.218.60.56/~jnz1568/getInfo.php?workbook=08_06.xlsx&amp;sheet=U0&amp;row=126&amp;col=8&amp;number=3&amp;sourceID=8","3")</f>
        <v>3</v>
      </c>
      <c r="I126" s="4" t="str">
        <f>HYPERLINK("http://141.218.60.56/~jnz1568/getInfo.php?workbook=08_06.xlsx&amp;sheet=U0&amp;row=126&amp;col=9&amp;number=0.04959&amp;sourceID=8","0.04959")</f>
        <v>0.04959</v>
      </c>
      <c r="J126" s="4" t="str">
        <f>HYPERLINK("http://141.218.60.56/~jnz1568/getInfo.php?workbook=08_06.xlsx&amp;sheet=U0&amp;row=126&amp;col=10&amp;number=3.4&amp;sourceID=9","3.4")</f>
        <v>3.4</v>
      </c>
      <c r="K126" s="4" t="str">
        <f>HYPERLINK("http://141.218.60.56/~jnz1568/getInfo.php?workbook=08_06.xlsx&amp;sheet=U0&amp;row=126&amp;col=11&amp;number=0.0301444444444&amp;sourceID=9","0.0301444444444")</f>
        <v>0.0301444444444</v>
      </c>
      <c r="L126" s="4" t="str">
        <f>HYPERLINK("http://141.218.60.56/~jnz1568/getInfo.php?workbook=08_06.xlsx&amp;sheet=U0&amp;row=126&amp;col=12&amp;number=3.84509804001&amp;sourceID=10","3.84509804001")</f>
        <v>3.84509804001</v>
      </c>
      <c r="M126" s="4" t="str">
        <f>HYPERLINK("http://141.218.60.56/~jnz1568/getInfo.php?workbook=08_06.xlsx&amp;sheet=U0&amp;row=126&amp;col=13&amp;number=0.024863860646&amp;sourceID=10","0.024863860646")</f>
        <v>0.024863860646</v>
      </c>
    </row>
    <row r="127" spans="1:13">
      <c r="A127" s="3"/>
      <c r="B127" s="3"/>
      <c r="C127" s="3"/>
      <c r="D127" s="3"/>
      <c r="E127" s="3">
        <v>4</v>
      </c>
      <c r="F127" s="4" t="str">
        <f>HYPERLINK("http://141.218.60.56/~jnz1568/getInfo.php?workbook=08_06.xlsx&amp;sheet=U0&amp;row=127&amp;col=6&amp;number=4&amp;sourceID=4","4")</f>
        <v>4</v>
      </c>
      <c r="G127" s="4" t="str">
        <f>HYPERLINK("http://141.218.60.56/~jnz1568/getInfo.php?workbook=08_06.xlsx&amp;sheet=U0&amp;row=127&amp;col=7&amp;number=0.0321&amp;sourceID=4","0.0321")</f>
        <v>0.0321</v>
      </c>
      <c r="H127" s="4" t="str">
        <f>HYPERLINK("http://141.218.60.56/~jnz1568/getInfo.php?workbook=08_06.xlsx&amp;sheet=U0&amp;row=127&amp;col=8&amp;number=3.69897000434&amp;sourceID=8","3.69897000434")</f>
        <v>3.69897000434</v>
      </c>
      <c r="I127" s="4" t="str">
        <f>HYPERLINK("http://141.218.60.56/~jnz1568/getInfo.php?workbook=08_06.xlsx&amp;sheet=U0&amp;row=127&amp;col=9&amp;number=0.04094&amp;sourceID=8","0.04094")</f>
        <v>0.04094</v>
      </c>
      <c r="J127" s="4" t="str">
        <f>HYPERLINK("http://141.218.60.56/~jnz1568/getInfo.php?workbook=08_06.xlsx&amp;sheet=U0&amp;row=127&amp;col=10&amp;number=3.6&amp;sourceID=9","3.6")</f>
        <v>3.6</v>
      </c>
      <c r="K127" s="4" t="str">
        <f>HYPERLINK("http://141.218.60.56/~jnz1568/getInfo.php?workbook=08_06.xlsx&amp;sheet=U0&amp;row=127&amp;col=11&amp;number=0.0299222222222&amp;sourceID=9","0.0299222222222")</f>
        <v>0.0299222222222</v>
      </c>
      <c r="L127" s="4" t="str">
        <f>HYPERLINK("http://141.218.60.56/~jnz1568/getInfo.php?workbook=08_06.xlsx&amp;sheet=U0&amp;row=127&amp;col=12&amp;number=3.90308998699&amp;sourceID=10","3.90308998699")</f>
        <v>3.90308998699</v>
      </c>
      <c r="M127" s="4" t="str">
        <f>HYPERLINK("http://141.218.60.56/~jnz1568/getInfo.php?workbook=08_06.xlsx&amp;sheet=U0&amp;row=127&amp;col=13&amp;number=0.02611417062&amp;sourceID=10","0.02611417062")</f>
        <v>0.02611417062</v>
      </c>
    </row>
    <row r="128" spans="1:13">
      <c r="A128" s="3"/>
      <c r="B128" s="3"/>
      <c r="C128" s="3"/>
      <c r="D128" s="3"/>
      <c r="E128" s="3">
        <v>5</v>
      </c>
      <c r="F128" s="4" t="str">
        <f>HYPERLINK("http://141.218.60.56/~jnz1568/getInfo.php?workbook=08_06.xlsx&amp;sheet=U0&amp;row=128&amp;col=6&amp;number=4.1&amp;sourceID=4","4.1")</f>
        <v>4.1</v>
      </c>
      <c r="G128" s="4" t="str">
        <f>HYPERLINK("http://141.218.60.56/~jnz1568/getInfo.php?workbook=08_06.xlsx&amp;sheet=U0&amp;row=128&amp;col=7&amp;number=0.0332&amp;sourceID=4","0.0332")</f>
        <v>0.0332</v>
      </c>
      <c r="H128" s="4" t="str">
        <f>HYPERLINK("http://141.218.60.56/~jnz1568/getInfo.php?workbook=08_06.xlsx&amp;sheet=U0&amp;row=128&amp;col=8&amp;number=4&amp;sourceID=8","4")</f>
        <v>4</v>
      </c>
      <c r="I128" s="4" t="str">
        <f>HYPERLINK("http://141.218.60.56/~jnz1568/getInfo.php?workbook=08_06.xlsx&amp;sheet=U0&amp;row=128&amp;col=9&amp;number=0.04069&amp;sourceID=8","0.04069")</f>
        <v>0.04069</v>
      </c>
      <c r="J128" s="4" t="str">
        <f>HYPERLINK("http://141.218.60.56/~jnz1568/getInfo.php?workbook=08_06.xlsx&amp;sheet=U0&amp;row=128&amp;col=10&amp;number=3.8&amp;sourceID=9","3.8")</f>
        <v>3.8</v>
      </c>
      <c r="K128" s="4" t="str">
        <f>HYPERLINK("http://141.218.60.56/~jnz1568/getInfo.php?workbook=08_06.xlsx&amp;sheet=U0&amp;row=128&amp;col=11&amp;number=0.0305222222222&amp;sourceID=9","0.0305222222222")</f>
        <v>0.0305222222222</v>
      </c>
      <c r="L128" s="4" t="str">
        <f>HYPERLINK("http://141.218.60.56/~jnz1568/getInfo.php?workbook=08_06.xlsx&amp;sheet=U0&amp;row=128&amp;col=12&amp;number=3.95424250944&amp;sourceID=10","3.95424250944")</f>
        <v>3.95424250944</v>
      </c>
      <c r="M128" s="4" t="str">
        <f>HYPERLINK("http://141.218.60.56/~jnz1568/getInfo.php?workbook=08_06.xlsx&amp;sheet=U0&amp;row=128&amp;col=13&amp;number=0.027275069916&amp;sourceID=10","0.027275069916")</f>
        <v>0.027275069916</v>
      </c>
    </row>
    <row r="129" spans="1:13">
      <c r="A129" s="3"/>
      <c r="B129" s="3"/>
      <c r="C129" s="3"/>
      <c r="D129" s="3"/>
      <c r="E129" s="3">
        <v>6</v>
      </c>
      <c r="F129" s="4" t="str">
        <f>HYPERLINK("http://141.218.60.56/~jnz1568/getInfo.php?workbook=08_06.xlsx&amp;sheet=U0&amp;row=129&amp;col=6&amp;number=4.18&amp;sourceID=4","4.18")</f>
        <v>4.18</v>
      </c>
      <c r="G129" s="4" t="str">
        <f>HYPERLINK("http://141.218.60.56/~jnz1568/getInfo.php?workbook=08_06.xlsx&amp;sheet=U0&amp;row=129&amp;col=7&amp;number=0.0342&amp;sourceID=4","0.0342")</f>
        <v>0.0342</v>
      </c>
      <c r="H129" s="4" t="str">
        <f>HYPERLINK("http://141.218.60.56/~jnz1568/getInfo.php?workbook=08_06.xlsx&amp;sheet=U0&amp;row=129&amp;col=8&amp;number=4.30102999566&amp;sourceID=8","4.30102999566")</f>
        <v>4.30102999566</v>
      </c>
      <c r="I129" s="4" t="str">
        <f>HYPERLINK("http://141.218.60.56/~jnz1568/getInfo.php?workbook=08_06.xlsx&amp;sheet=U0&amp;row=129&amp;col=9&amp;number=0.04299&amp;sourceID=8","0.04299")</f>
        <v>0.04299</v>
      </c>
      <c r="J129" s="4" t="str">
        <f>HYPERLINK("http://141.218.60.56/~jnz1568/getInfo.php?workbook=08_06.xlsx&amp;sheet=U0&amp;row=129&amp;col=10&amp;number=4&amp;sourceID=9","4")</f>
        <v>4</v>
      </c>
      <c r="K129" s="4" t="str">
        <f>HYPERLINK("http://141.218.60.56/~jnz1568/getInfo.php?workbook=08_06.xlsx&amp;sheet=U0&amp;row=129&amp;col=11&amp;number=0.0325&amp;sourceID=9","0.0325")</f>
        <v>0.0325</v>
      </c>
      <c r="L129" s="4" t="str">
        <f>HYPERLINK("http://141.218.60.56/~jnz1568/getInfo.php?workbook=08_06.xlsx&amp;sheet=U0&amp;row=129&amp;col=12&amp;number=4&amp;sourceID=10","4")</f>
        <v>4</v>
      </c>
      <c r="M129" s="4" t="str">
        <f>HYPERLINK("http://141.218.60.56/~jnz1568/getInfo.php?workbook=08_06.xlsx&amp;sheet=U0&amp;row=129&amp;col=13&amp;number=0.02833093128&amp;sourceID=10","0.02833093128")</f>
        <v>0.02833093128</v>
      </c>
    </row>
    <row r="130" spans="1:13">
      <c r="A130" s="3"/>
      <c r="B130" s="3"/>
      <c r="C130" s="3"/>
      <c r="D130" s="3"/>
      <c r="E130" s="3">
        <v>7</v>
      </c>
      <c r="F130" s="4" t="str">
        <f>HYPERLINK("http://141.218.60.56/~jnz1568/getInfo.php?workbook=08_06.xlsx&amp;sheet=U0&amp;row=130&amp;col=6&amp;number=4.24&amp;sourceID=4","4.24")</f>
        <v>4.24</v>
      </c>
      <c r="G130" s="4" t="str">
        <f>HYPERLINK("http://141.218.60.56/~jnz1568/getInfo.php?workbook=08_06.xlsx&amp;sheet=U0&amp;row=130&amp;col=7&amp;number=0.0351&amp;sourceID=4","0.0351")</f>
        <v>0.0351</v>
      </c>
      <c r="H130" s="4" t="str">
        <f>HYPERLINK("http://141.218.60.56/~jnz1568/getInfo.php?workbook=08_06.xlsx&amp;sheet=U0&amp;row=130&amp;col=8&amp;number=4.47712125472&amp;sourceID=8","4.47712125472")</f>
        <v>4.47712125472</v>
      </c>
      <c r="I130" s="4" t="str">
        <f>HYPERLINK("http://141.218.60.56/~jnz1568/getInfo.php?workbook=08_06.xlsx&amp;sheet=U0&amp;row=130&amp;col=9&amp;number=0.04424&amp;sourceID=8","0.04424")</f>
        <v>0.04424</v>
      </c>
      <c r="J130" s="4" t="str">
        <f>HYPERLINK("http://141.218.60.56/~jnz1568/getInfo.php?workbook=08_06.xlsx&amp;sheet=U0&amp;row=130&amp;col=10&amp;number=4.2&amp;sourceID=9","4.2")</f>
        <v>4.2</v>
      </c>
      <c r="K130" s="4" t="str">
        <f>HYPERLINK("http://141.218.60.56/~jnz1568/getInfo.php?workbook=08_06.xlsx&amp;sheet=U0&amp;row=130&amp;col=11&amp;number=0.0352666666667&amp;sourceID=9","0.0352666666667")</f>
        <v>0.0352666666667</v>
      </c>
      <c r="L130" s="4" t="str">
        <f>HYPERLINK("http://141.218.60.56/~jnz1568/getInfo.php?workbook=08_06.xlsx&amp;sheet=U0&amp;row=130&amp;col=12&amp;number=4.04139268516&amp;sourceID=10","4.04139268516")</f>
        <v>4.04139268516</v>
      </c>
      <c r="M130" s="4" t="str">
        <f>HYPERLINK("http://141.218.60.56/~jnz1568/getInfo.php?workbook=08_06.xlsx&amp;sheet=U0&amp;row=130&amp;col=13&amp;number=0.02928115089&amp;sourceID=10","0.02928115089")</f>
        <v>0.02928115089</v>
      </c>
    </row>
    <row r="131" spans="1:13">
      <c r="A131" s="3"/>
      <c r="B131" s="3"/>
      <c r="C131" s="3"/>
      <c r="D131" s="3"/>
      <c r="E131" s="3">
        <v>8</v>
      </c>
      <c r="F131" s="4" t="str">
        <f>HYPERLINK("http://141.218.60.56/~jnz1568/getInfo.php?workbook=08_06.xlsx&amp;sheet=U0&amp;row=131&amp;col=6&amp;number=4.3&amp;sourceID=4","4.3")</f>
        <v>4.3</v>
      </c>
      <c r="G131" s="4" t="str">
        <f>HYPERLINK("http://141.218.60.56/~jnz1568/getInfo.php?workbook=08_06.xlsx&amp;sheet=U0&amp;row=131&amp;col=7&amp;number=0.0358&amp;sourceID=4","0.0358")</f>
        <v>0.0358</v>
      </c>
      <c r="H131" s="4" t="str">
        <f>HYPERLINK("http://141.218.60.56/~jnz1568/getInfo.php?workbook=08_06.xlsx&amp;sheet=U0&amp;row=131&amp;col=8&amp;number=&amp;sourceID=8","")</f>
        <v/>
      </c>
      <c r="I131" s="4" t="str">
        <f>HYPERLINK("http://141.218.60.56/~jnz1568/getInfo.php?workbook=08_06.xlsx&amp;sheet=U0&amp;row=131&amp;col=9&amp;number=&amp;sourceID=8","")</f>
        <v/>
      </c>
      <c r="J131" s="4" t="str">
        <f>HYPERLINK("http://141.218.60.56/~jnz1568/getInfo.php?workbook=08_06.xlsx&amp;sheet=U0&amp;row=131&amp;col=10&amp;number=4.4&amp;sourceID=9","4.4")</f>
        <v>4.4</v>
      </c>
      <c r="K131" s="4" t="str">
        <f>HYPERLINK("http://141.218.60.56/~jnz1568/getInfo.php?workbook=08_06.xlsx&amp;sheet=U0&amp;row=131&amp;col=11&amp;number=0.0378333333333&amp;sourceID=9","0.0378333333333")</f>
        <v>0.0378333333333</v>
      </c>
      <c r="L131" s="4" t="str">
        <f>HYPERLINK("http://141.218.60.56/~jnz1568/getInfo.php?workbook=08_06.xlsx&amp;sheet=U0&amp;row=131&amp;col=12&amp;number=4.07918124605&amp;sourceID=10","4.07918124605")</f>
        <v>4.07918124605</v>
      </c>
      <c r="M131" s="4" t="str">
        <f>HYPERLINK("http://141.218.60.56/~jnz1568/getInfo.php?workbook=08_06.xlsx&amp;sheet=U0&amp;row=131&amp;col=13&amp;number=0.03013216201&amp;sourceID=10","0.03013216201")</f>
        <v>0.03013216201</v>
      </c>
    </row>
    <row r="132" spans="1:13">
      <c r="A132" s="3"/>
      <c r="B132" s="3"/>
      <c r="C132" s="3"/>
      <c r="D132" s="3"/>
      <c r="E132" s="3">
        <v>9</v>
      </c>
      <c r="F132" s="4" t="str">
        <f>HYPERLINK("http://141.218.60.56/~jnz1568/getInfo.php?workbook=08_06.xlsx&amp;sheet=U0&amp;row=132&amp;col=6&amp;number=4.4&amp;sourceID=4","4.4")</f>
        <v>4.4</v>
      </c>
      <c r="G132" s="4" t="str">
        <f>HYPERLINK("http://141.218.60.56/~jnz1568/getInfo.php?workbook=08_06.xlsx&amp;sheet=U0&amp;row=132&amp;col=7&amp;number=0.037&amp;sourceID=4","0.037")</f>
        <v>0.037</v>
      </c>
      <c r="H132" s="4" t="str">
        <f>HYPERLINK("http://141.218.60.56/~jnz1568/getInfo.php?workbook=08_06.xlsx&amp;sheet=U0&amp;row=132&amp;col=8&amp;number=&amp;sourceID=8","")</f>
        <v/>
      </c>
      <c r="I132" s="4" t="str">
        <f>HYPERLINK("http://141.218.60.56/~jnz1568/getInfo.php?workbook=08_06.xlsx&amp;sheet=U0&amp;row=132&amp;col=9&amp;number=&amp;sourceID=8","")</f>
        <v/>
      </c>
      <c r="J132" s="4" t="str">
        <f>HYPERLINK("http://141.218.60.56/~jnz1568/getInfo.php?workbook=08_06.xlsx&amp;sheet=U0&amp;row=132&amp;col=10&amp;number=4.6&amp;sourceID=9","4.6")</f>
        <v>4.6</v>
      </c>
      <c r="K132" s="4" t="str">
        <f>HYPERLINK("http://141.218.60.56/~jnz1568/getInfo.php?workbook=08_06.xlsx&amp;sheet=U0&amp;row=132&amp;col=11&amp;number=0.0395888888889&amp;sourceID=9","0.0395888888889")</f>
        <v>0.0395888888889</v>
      </c>
      <c r="L132" s="4" t="str">
        <f>HYPERLINK("http://141.218.60.56/~jnz1568/getInfo.php?workbook=08_06.xlsx&amp;sheet=U0&amp;row=132&amp;col=12&amp;number=4.11394335231&amp;sourceID=10","4.11394335231")</f>
        <v>4.11394335231</v>
      </c>
      <c r="M132" s="4" t="str">
        <f>HYPERLINK("http://141.218.60.56/~jnz1568/getInfo.php?workbook=08_06.xlsx&amp;sheet=U0&amp;row=132&amp;col=13&amp;number=0.03089323139&amp;sourceID=10","0.03089323139")</f>
        <v>0.03089323139</v>
      </c>
    </row>
    <row r="133" spans="1:13">
      <c r="A133" s="3"/>
      <c r="B133" s="3"/>
      <c r="C133" s="3"/>
      <c r="D133" s="3"/>
      <c r="E133" s="3">
        <v>10</v>
      </c>
      <c r="F133" s="4" t="str">
        <f>HYPERLINK("http://141.218.60.56/~jnz1568/getInfo.php?workbook=08_06.xlsx&amp;sheet=U0&amp;row=133&amp;col=6&amp;number=4.48&amp;sourceID=4","4.48")</f>
        <v>4.48</v>
      </c>
      <c r="G133" s="4" t="str">
        <f>HYPERLINK("http://141.218.60.56/~jnz1568/getInfo.php?workbook=08_06.xlsx&amp;sheet=U0&amp;row=133&amp;col=7&amp;number=0.0378&amp;sourceID=4","0.0378")</f>
        <v>0.0378</v>
      </c>
      <c r="H133" s="4" t="str">
        <f>HYPERLINK("http://141.218.60.56/~jnz1568/getInfo.php?workbook=08_06.xlsx&amp;sheet=U0&amp;row=133&amp;col=8&amp;number=&amp;sourceID=8","")</f>
        <v/>
      </c>
      <c r="I133" s="4" t="str">
        <f>HYPERLINK("http://141.218.60.56/~jnz1568/getInfo.php?workbook=08_06.xlsx&amp;sheet=U0&amp;row=133&amp;col=9&amp;number=&amp;sourceID=8","")</f>
        <v/>
      </c>
      <c r="J133" s="4" t="str">
        <f>HYPERLINK("http://141.218.60.56/~jnz1568/getInfo.php?workbook=08_06.xlsx&amp;sheet=U0&amp;row=133&amp;col=10&amp;number=4.8&amp;sourceID=9","4.8")</f>
        <v>4.8</v>
      </c>
      <c r="K133" s="4" t="str">
        <f>HYPERLINK("http://141.218.60.56/~jnz1568/getInfo.php?workbook=08_06.xlsx&amp;sheet=U0&amp;row=133&amp;col=11&amp;number=0.0402333333333&amp;sourceID=9","0.0402333333333")</f>
        <v>0.0402333333333</v>
      </c>
      <c r="L133" s="4" t="str">
        <f>HYPERLINK("http://141.218.60.56/~jnz1568/getInfo.php?workbook=08_06.xlsx&amp;sheet=U0&amp;row=133&amp;col=12&amp;number=4.14612803568&amp;sourceID=10","4.14612803568")</f>
        <v>4.14612803568</v>
      </c>
      <c r="M133" s="4" t="str">
        <f>HYPERLINK("http://141.218.60.56/~jnz1568/getInfo.php?workbook=08_06.xlsx&amp;sheet=U0&amp;row=133&amp;col=13&amp;number=0.03157431088&amp;sourceID=10","0.03157431088")</f>
        <v>0.03157431088</v>
      </c>
    </row>
    <row r="134" spans="1:13">
      <c r="A134" s="3"/>
      <c r="B134" s="3"/>
      <c r="C134" s="3"/>
      <c r="D134" s="3"/>
      <c r="E134" s="3">
        <v>11</v>
      </c>
      <c r="F134" s="4" t="str">
        <f>HYPERLINK("http://141.218.60.56/~jnz1568/getInfo.php?workbook=08_06.xlsx&amp;sheet=U0&amp;row=134&amp;col=6&amp;number=4.6&amp;sourceID=4","4.6")</f>
        <v>4.6</v>
      </c>
      <c r="G134" s="4" t="str">
        <f>HYPERLINK("http://141.218.60.56/~jnz1568/getInfo.php?workbook=08_06.xlsx&amp;sheet=U0&amp;row=134&amp;col=7&amp;number=0.0389&amp;sourceID=4","0.0389")</f>
        <v>0.0389</v>
      </c>
      <c r="H134" s="4" t="str">
        <f>HYPERLINK("http://141.218.60.56/~jnz1568/getInfo.php?workbook=08_06.xlsx&amp;sheet=U0&amp;row=134&amp;col=8&amp;number=&amp;sourceID=8","")</f>
        <v/>
      </c>
      <c r="I134" s="4" t="str">
        <f>HYPERLINK("http://141.218.60.56/~jnz1568/getInfo.php?workbook=08_06.xlsx&amp;sheet=U0&amp;row=134&amp;col=9&amp;number=&amp;sourceID=8","")</f>
        <v/>
      </c>
      <c r="J134" s="4" t="str">
        <f>HYPERLINK("http://141.218.60.56/~jnz1568/getInfo.php?workbook=08_06.xlsx&amp;sheet=U0&amp;row=134&amp;col=10&amp;number=5&amp;sourceID=9","5")</f>
        <v>5</v>
      </c>
      <c r="K134" s="4" t="str">
        <f>HYPERLINK("http://141.218.60.56/~jnz1568/getInfo.php?workbook=08_06.xlsx&amp;sheet=U0&amp;row=134&amp;col=11&amp;number=0.0396777777778&amp;sourceID=9","0.0396777777778")</f>
        <v>0.0396777777778</v>
      </c>
      <c r="L134" s="4" t="str">
        <f>HYPERLINK("http://141.218.60.56/~jnz1568/getInfo.php?workbook=08_06.xlsx&amp;sheet=U0&amp;row=134&amp;col=12&amp;number=4.17609125906&amp;sourceID=10","4.17609125906")</f>
        <v>4.17609125906</v>
      </c>
      <c r="M134" s="4" t="str">
        <f>HYPERLINK("http://141.218.60.56/~jnz1568/getInfo.php?workbook=08_06.xlsx&amp;sheet=U0&amp;row=134&amp;col=13&amp;number=0.03218499037&amp;sourceID=10","0.03218499037")</f>
        <v>0.03218499037</v>
      </c>
    </row>
    <row r="135" spans="1:13">
      <c r="A135" s="3"/>
      <c r="B135" s="3"/>
      <c r="C135" s="3"/>
      <c r="D135" s="3"/>
      <c r="E135" s="3">
        <v>12</v>
      </c>
      <c r="F135" s="4" t="str">
        <f>HYPERLINK("http://141.218.60.56/~jnz1568/getInfo.php?workbook=08_06.xlsx&amp;sheet=U0&amp;row=135&amp;col=6&amp;number=4.7&amp;sourceID=4","4.7")</f>
        <v>4.7</v>
      </c>
      <c r="G135" s="4" t="str">
        <f>HYPERLINK("http://141.218.60.56/~jnz1568/getInfo.php?workbook=08_06.xlsx&amp;sheet=U0&amp;row=135&amp;col=7&amp;number=0.0394&amp;sourceID=4","0.0394")</f>
        <v>0.0394</v>
      </c>
      <c r="H135" s="4" t="str">
        <f>HYPERLINK("http://141.218.60.56/~jnz1568/getInfo.php?workbook=08_06.xlsx&amp;sheet=U0&amp;row=135&amp;col=8&amp;number=&amp;sourceID=8","")</f>
        <v/>
      </c>
      <c r="I135" s="4" t="str">
        <f>HYPERLINK("http://141.218.60.56/~jnz1568/getInfo.php?workbook=08_06.xlsx&amp;sheet=U0&amp;row=135&amp;col=9&amp;number=&amp;sourceID=8","")</f>
        <v/>
      </c>
      <c r="J135" s="4" t="str">
        <f>HYPERLINK("http://141.218.60.56/~jnz1568/getInfo.php?workbook=08_06.xlsx&amp;sheet=U0&amp;row=135&amp;col=10&amp;number=&amp;sourceID=9","")</f>
        <v/>
      </c>
      <c r="K135" s="4" t="str">
        <f>HYPERLINK("http://141.218.60.56/~jnz1568/getInfo.php?workbook=08_06.xlsx&amp;sheet=U0&amp;row=135&amp;col=11&amp;number=&amp;sourceID=9","")</f>
        <v/>
      </c>
      <c r="L135" s="4" t="str">
        <f>HYPERLINK("http://141.218.60.56/~jnz1568/getInfo.php?workbook=08_06.xlsx&amp;sheet=U0&amp;row=135&amp;col=12&amp;number=4.20411998266&amp;sourceID=10","4.20411998266")</f>
        <v>4.20411998266</v>
      </c>
      <c r="M135" s="4" t="str">
        <f>HYPERLINK("http://141.218.60.56/~jnz1568/getInfo.php?workbook=08_06.xlsx&amp;sheet=U0&amp;row=135&amp;col=13&amp;number=0.03273403544&amp;sourceID=10","0.03273403544")</f>
        <v>0.03273403544</v>
      </c>
    </row>
    <row r="136" spans="1:13">
      <c r="A136" s="3"/>
      <c r="B136" s="3"/>
      <c r="C136" s="3"/>
      <c r="D136" s="3"/>
      <c r="E136" s="3">
        <v>13</v>
      </c>
      <c r="F136" s="4" t="str">
        <f>HYPERLINK("http://141.218.60.56/~jnz1568/getInfo.php?workbook=08_06.xlsx&amp;sheet=U0&amp;row=136&amp;col=6&amp;number=4.78&amp;sourceID=4","4.78")</f>
        <v>4.78</v>
      </c>
      <c r="G136" s="4" t="str">
        <f>HYPERLINK("http://141.218.60.56/~jnz1568/getInfo.php?workbook=08_06.xlsx&amp;sheet=U0&amp;row=136&amp;col=7&amp;number=0.0397&amp;sourceID=4","0.0397")</f>
        <v>0.0397</v>
      </c>
      <c r="H136" s="4" t="str">
        <f>HYPERLINK("http://141.218.60.56/~jnz1568/getInfo.php?workbook=08_06.xlsx&amp;sheet=U0&amp;row=136&amp;col=8&amp;number=&amp;sourceID=8","")</f>
        <v/>
      </c>
      <c r="I136" s="4" t="str">
        <f>HYPERLINK("http://141.218.60.56/~jnz1568/getInfo.php?workbook=08_06.xlsx&amp;sheet=U0&amp;row=136&amp;col=9&amp;number=&amp;sourceID=8","")</f>
        <v/>
      </c>
      <c r="J136" s="4" t="str">
        <f>HYPERLINK("http://141.218.60.56/~jnz1568/getInfo.php?workbook=08_06.xlsx&amp;sheet=U0&amp;row=136&amp;col=10&amp;number=&amp;sourceID=9","")</f>
        <v/>
      </c>
      <c r="K136" s="4" t="str">
        <f>HYPERLINK("http://141.218.60.56/~jnz1568/getInfo.php?workbook=08_06.xlsx&amp;sheet=U0&amp;row=136&amp;col=11&amp;number=&amp;sourceID=9","")</f>
        <v/>
      </c>
      <c r="L136" s="4" t="str">
        <f>HYPERLINK("http://141.218.60.56/~jnz1568/getInfo.php?workbook=08_06.xlsx&amp;sheet=U0&amp;row=136&amp;col=12&amp;number=4.23044892138&amp;sourceID=10","4.23044892138")</f>
        <v>4.23044892138</v>
      </c>
      <c r="M136" s="4" t="str">
        <f>HYPERLINK("http://141.218.60.56/~jnz1568/getInfo.php?workbook=08_06.xlsx&amp;sheet=U0&amp;row=136&amp;col=13&amp;number=0.033229230415&amp;sourceID=10","0.033229230415")</f>
        <v>0.033229230415</v>
      </c>
    </row>
    <row r="137" spans="1:13">
      <c r="A137" s="3"/>
      <c r="B137" s="3"/>
      <c r="C137" s="3"/>
      <c r="D137" s="3"/>
      <c r="E137" s="3">
        <v>14</v>
      </c>
      <c r="F137" s="4" t="str">
        <f>HYPERLINK("http://141.218.60.56/~jnz1568/getInfo.php?workbook=08_06.xlsx&amp;sheet=U0&amp;row=137&amp;col=6&amp;number=4.9&amp;sourceID=4","4.9")</f>
        <v>4.9</v>
      </c>
      <c r="G137" s="4" t="str">
        <f>HYPERLINK("http://141.218.60.56/~jnz1568/getInfo.php?workbook=08_06.xlsx&amp;sheet=U0&amp;row=137&amp;col=7&amp;number=0.0397&amp;sourceID=4","0.0397")</f>
        <v>0.0397</v>
      </c>
      <c r="H137" s="4" t="str">
        <f>HYPERLINK("http://141.218.60.56/~jnz1568/getInfo.php?workbook=08_06.xlsx&amp;sheet=U0&amp;row=137&amp;col=8&amp;number=&amp;sourceID=8","")</f>
        <v/>
      </c>
      <c r="I137" s="4" t="str">
        <f>HYPERLINK("http://141.218.60.56/~jnz1568/getInfo.php?workbook=08_06.xlsx&amp;sheet=U0&amp;row=137&amp;col=9&amp;number=&amp;sourceID=8","")</f>
        <v/>
      </c>
      <c r="J137" s="4" t="str">
        <f>HYPERLINK("http://141.218.60.56/~jnz1568/getInfo.php?workbook=08_06.xlsx&amp;sheet=U0&amp;row=137&amp;col=10&amp;number=&amp;sourceID=9","")</f>
        <v/>
      </c>
      <c r="K137" s="4" t="str">
        <f>HYPERLINK("http://141.218.60.56/~jnz1568/getInfo.php?workbook=08_06.xlsx&amp;sheet=U0&amp;row=137&amp;col=11&amp;number=&amp;sourceID=9","")</f>
        <v/>
      </c>
      <c r="L137" s="4" t="str">
        <f>HYPERLINK("http://141.218.60.56/~jnz1568/getInfo.php?workbook=08_06.xlsx&amp;sheet=U0&amp;row=137&amp;col=12&amp;number=4.2552725051&amp;sourceID=10","4.2552725051")</f>
        <v>4.2552725051</v>
      </c>
      <c r="M137" s="4" t="str">
        <f>HYPERLINK("http://141.218.60.56/~jnz1568/getInfo.php?workbook=08_06.xlsx&amp;sheet=U0&amp;row=137&amp;col=13&amp;number=0.033677375574&amp;sourceID=10","0.033677375574")</f>
        <v>0.033677375574</v>
      </c>
    </row>
    <row r="138" spans="1:13">
      <c r="A138" s="3"/>
      <c r="B138" s="3"/>
      <c r="C138" s="3"/>
      <c r="D138" s="3"/>
      <c r="E138" s="3">
        <v>15</v>
      </c>
      <c r="F138" s="4" t="str">
        <f>HYPERLINK("http://141.218.60.56/~jnz1568/getInfo.php?workbook=08_06.xlsx&amp;sheet=U0&amp;row=138&amp;col=6&amp;number=5&amp;sourceID=4","5")</f>
        <v>5</v>
      </c>
      <c r="G138" s="4" t="str">
        <f>HYPERLINK("http://141.218.60.56/~jnz1568/getInfo.php?workbook=08_06.xlsx&amp;sheet=U0&amp;row=138&amp;col=7&amp;number=0.0393&amp;sourceID=4","0.0393")</f>
        <v>0.0393</v>
      </c>
      <c r="H138" s="4" t="str">
        <f>HYPERLINK("http://141.218.60.56/~jnz1568/getInfo.php?workbook=08_06.xlsx&amp;sheet=U0&amp;row=138&amp;col=8&amp;number=&amp;sourceID=8","")</f>
        <v/>
      </c>
      <c r="I138" s="4" t="str">
        <f>HYPERLINK("http://141.218.60.56/~jnz1568/getInfo.php?workbook=08_06.xlsx&amp;sheet=U0&amp;row=138&amp;col=9&amp;number=&amp;sourceID=8","")</f>
        <v/>
      </c>
      <c r="J138" s="4" t="str">
        <f>HYPERLINK("http://141.218.60.56/~jnz1568/getInfo.php?workbook=08_06.xlsx&amp;sheet=U0&amp;row=138&amp;col=10&amp;number=&amp;sourceID=9","")</f>
        <v/>
      </c>
      <c r="K138" s="4" t="str">
        <f>HYPERLINK("http://141.218.60.56/~jnz1568/getInfo.php?workbook=08_06.xlsx&amp;sheet=U0&amp;row=138&amp;col=11&amp;number=&amp;sourceID=9","")</f>
        <v/>
      </c>
      <c r="L138" s="4" t="str">
        <f>HYPERLINK("http://141.218.60.56/~jnz1568/getInfo.php?workbook=08_06.xlsx&amp;sheet=U0&amp;row=138&amp;col=12&amp;number=4.27875360095&amp;sourceID=10","4.27875360095")</f>
        <v>4.27875360095</v>
      </c>
      <c r="M138" s="4" t="str">
        <f>HYPERLINK("http://141.218.60.56/~jnz1568/getInfo.php?workbook=08_06.xlsx&amp;sheet=U0&amp;row=138&amp;col=13&amp;number=0.034084357067&amp;sourceID=10","0.034084357067")</f>
        <v>0.034084357067</v>
      </c>
    </row>
    <row r="139" spans="1:13">
      <c r="A139" s="3"/>
      <c r="B139" s="3"/>
      <c r="C139" s="3"/>
      <c r="D139" s="3"/>
      <c r="E139" s="3">
        <v>16</v>
      </c>
      <c r="F139" s="4" t="str">
        <f>HYPERLINK("http://141.218.60.56/~jnz1568/getInfo.php?workbook=08_06.xlsx&amp;sheet=U0&amp;row=139&amp;col=6&amp;number=5.08&amp;sourceID=4","5.08")</f>
        <v>5.08</v>
      </c>
      <c r="G139" s="4" t="str">
        <f>HYPERLINK("http://141.218.60.56/~jnz1568/getInfo.php?workbook=08_06.xlsx&amp;sheet=U0&amp;row=139&amp;col=7&amp;number=0.0388&amp;sourceID=4","0.0388")</f>
        <v>0.0388</v>
      </c>
      <c r="H139" s="4" t="str">
        <f>HYPERLINK("http://141.218.60.56/~jnz1568/getInfo.php?workbook=08_06.xlsx&amp;sheet=U0&amp;row=139&amp;col=8&amp;number=&amp;sourceID=8","")</f>
        <v/>
      </c>
      <c r="I139" s="4" t="str">
        <f>HYPERLINK("http://141.218.60.56/~jnz1568/getInfo.php?workbook=08_06.xlsx&amp;sheet=U0&amp;row=139&amp;col=9&amp;number=&amp;sourceID=8","")</f>
        <v/>
      </c>
      <c r="J139" s="4" t="str">
        <f>HYPERLINK("http://141.218.60.56/~jnz1568/getInfo.php?workbook=08_06.xlsx&amp;sheet=U0&amp;row=139&amp;col=10&amp;number=&amp;sourceID=9","")</f>
        <v/>
      </c>
      <c r="K139" s="4" t="str">
        <f>HYPERLINK("http://141.218.60.56/~jnz1568/getInfo.php?workbook=08_06.xlsx&amp;sheet=U0&amp;row=139&amp;col=11&amp;number=&amp;sourceID=9","")</f>
        <v/>
      </c>
      <c r="L139" s="4" t="str">
        <f>HYPERLINK("http://141.218.60.56/~jnz1568/getInfo.php?workbook=08_06.xlsx&amp;sheet=U0&amp;row=139&amp;col=12&amp;number=4.30102999566&amp;sourceID=10","4.30102999566")</f>
        <v>4.30102999566</v>
      </c>
      <c r="M139" s="4" t="str">
        <f>HYPERLINK("http://141.218.60.56/~jnz1568/getInfo.php?workbook=08_06.xlsx&amp;sheet=U0&amp;row=139&amp;col=13&amp;number=0.03445524583&amp;sourceID=10","0.03445524583")</f>
        <v>0.03445524583</v>
      </c>
    </row>
    <row r="140" spans="1:13">
      <c r="A140" s="3"/>
      <c r="B140" s="3"/>
      <c r="C140" s="3"/>
      <c r="D140" s="3"/>
      <c r="E140" s="3">
        <v>17</v>
      </c>
      <c r="F140" s="4" t="str">
        <f>HYPERLINK("http://141.218.60.56/~jnz1568/getInfo.php?workbook=08_06.xlsx&amp;sheet=U0&amp;row=140&amp;col=6&amp;number=5.15&amp;sourceID=4","5.15")</f>
        <v>5.15</v>
      </c>
      <c r="G140" s="4" t="str">
        <f>HYPERLINK("http://141.218.60.56/~jnz1568/getInfo.php?workbook=08_06.xlsx&amp;sheet=U0&amp;row=140&amp;col=7&amp;number=0.0382&amp;sourceID=4","0.0382")</f>
        <v>0.0382</v>
      </c>
      <c r="H140" s="4" t="str">
        <f>HYPERLINK("http://141.218.60.56/~jnz1568/getInfo.php?workbook=08_06.xlsx&amp;sheet=U0&amp;row=140&amp;col=8&amp;number=&amp;sourceID=8","")</f>
        <v/>
      </c>
      <c r="I140" s="4" t="str">
        <f>HYPERLINK("http://141.218.60.56/~jnz1568/getInfo.php?workbook=08_06.xlsx&amp;sheet=U0&amp;row=140&amp;col=9&amp;number=&amp;sourceID=8","")</f>
        <v/>
      </c>
      <c r="J140" s="4" t="str">
        <f>HYPERLINK("http://141.218.60.56/~jnz1568/getInfo.php?workbook=08_06.xlsx&amp;sheet=U0&amp;row=140&amp;col=10&amp;number=&amp;sourceID=9","")</f>
        <v/>
      </c>
      <c r="K140" s="4" t="str">
        <f>HYPERLINK("http://141.218.60.56/~jnz1568/getInfo.php?workbook=08_06.xlsx&amp;sheet=U0&amp;row=140&amp;col=11&amp;number=&amp;sourceID=9","")</f>
        <v/>
      </c>
      <c r="L140" s="4" t="str">
        <f>HYPERLINK("http://141.218.60.56/~jnz1568/getInfo.php?workbook=08_06.xlsx&amp;sheet=U0&amp;row=140&amp;col=12&amp;number=&amp;sourceID=10","")</f>
        <v/>
      </c>
      <c r="M140" s="4" t="str">
        <f>HYPERLINK("http://141.218.60.56/~jnz1568/getInfo.php?workbook=08_06.xlsx&amp;sheet=U0&amp;row=140&amp;col=13&amp;number=&amp;sourceID=10","")</f>
        <v/>
      </c>
    </row>
    <row r="141" spans="1:13">
      <c r="A141" s="3"/>
      <c r="B141" s="3"/>
      <c r="C141" s="3"/>
      <c r="D141" s="3"/>
      <c r="E141" s="3">
        <v>18</v>
      </c>
      <c r="F141" s="4" t="str">
        <f>HYPERLINK("http://141.218.60.56/~jnz1568/getInfo.php?workbook=08_06.xlsx&amp;sheet=U0&amp;row=141&amp;col=6&amp;number=5.2&amp;sourceID=4","5.2")</f>
        <v>5.2</v>
      </c>
      <c r="G141" s="4" t="str">
        <f>HYPERLINK("http://141.218.60.56/~jnz1568/getInfo.php?workbook=08_06.xlsx&amp;sheet=U0&amp;row=141&amp;col=7&amp;number=0.0375&amp;sourceID=4","0.0375")</f>
        <v>0.0375</v>
      </c>
      <c r="H141" s="4" t="str">
        <f>HYPERLINK("http://141.218.60.56/~jnz1568/getInfo.php?workbook=08_06.xlsx&amp;sheet=U0&amp;row=141&amp;col=8&amp;number=&amp;sourceID=8","")</f>
        <v/>
      </c>
      <c r="I141" s="4" t="str">
        <f>HYPERLINK("http://141.218.60.56/~jnz1568/getInfo.php?workbook=08_06.xlsx&amp;sheet=U0&amp;row=141&amp;col=9&amp;number=&amp;sourceID=8","")</f>
        <v/>
      </c>
      <c r="J141" s="4" t="str">
        <f>HYPERLINK("http://141.218.60.56/~jnz1568/getInfo.php?workbook=08_06.xlsx&amp;sheet=U0&amp;row=141&amp;col=10&amp;number=&amp;sourceID=9","")</f>
        <v/>
      </c>
      <c r="K141" s="4" t="str">
        <f>HYPERLINK("http://141.218.60.56/~jnz1568/getInfo.php?workbook=08_06.xlsx&amp;sheet=U0&amp;row=141&amp;col=11&amp;number=&amp;sourceID=9","")</f>
        <v/>
      </c>
      <c r="L141" s="4" t="str">
        <f>HYPERLINK("http://141.218.60.56/~jnz1568/getInfo.php?workbook=08_06.xlsx&amp;sheet=U0&amp;row=141&amp;col=12&amp;number=&amp;sourceID=10","")</f>
        <v/>
      </c>
      <c r="M141" s="4" t="str">
        <f>HYPERLINK("http://141.218.60.56/~jnz1568/getInfo.php?workbook=08_06.xlsx&amp;sheet=U0&amp;row=141&amp;col=13&amp;number=&amp;sourceID=10","")</f>
        <v/>
      </c>
    </row>
    <row r="142" spans="1:13">
      <c r="A142" s="3"/>
      <c r="B142" s="3"/>
      <c r="C142" s="3"/>
      <c r="D142" s="3"/>
      <c r="E142" s="3">
        <v>19</v>
      </c>
      <c r="F142" s="4" t="str">
        <f>HYPERLINK("http://141.218.60.56/~jnz1568/getInfo.php?workbook=08_06.xlsx&amp;sheet=U0&amp;row=142&amp;col=6&amp;number=5.26&amp;sourceID=4","5.26")</f>
        <v>5.26</v>
      </c>
      <c r="G142" s="4" t="str">
        <f>HYPERLINK("http://141.218.60.56/~jnz1568/getInfo.php?workbook=08_06.xlsx&amp;sheet=U0&amp;row=142&amp;col=7&amp;number=0.0367&amp;sourceID=4","0.0367")</f>
        <v>0.0367</v>
      </c>
      <c r="H142" s="4" t="str">
        <f>HYPERLINK("http://141.218.60.56/~jnz1568/getInfo.php?workbook=08_06.xlsx&amp;sheet=U0&amp;row=142&amp;col=8&amp;number=&amp;sourceID=8","")</f>
        <v/>
      </c>
      <c r="I142" s="4" t="str">
        <f>HYPERLINK("http://141.218.60.56/~jnz1568/getInfo.php?workbook=08_06.xlsx&amp;sheet=U0&amp;row=142&amp;col=9&amp;number=&amp;sourceID=8","")</f>
        <v/>
      </c>
      <c r="J142" s="4" t="str">
        <f>HYPERLINK("http://141.218.60.56/~jnz1568/getInfo.php?workbook=08_06.xlsx&amp;sheet=U0&amp;row=142&amp;col=10&amp;number=&amp;sourceID=9","")</f>
        <v/>
      </c>
      <c r="K142" s="4" t="str">
        <f>HYPERLINK("http://141.218.60.56/~jnz1568/getInfo.php?workbook=08_06.xlsx&amp;sheet=U0&amp;row=142&amp;col=11&amp;number=&amp;sourceID=9","")</f>
        <v/>
      </c>
      <c r="L142" s="4" t="str">
        <f>HYPERLINK("http://141.218.60.56/~jnz1568/getInfo.php?workbook=08_06.xlsx&amp;sheet=U0&amp;row=142&amp;col=12&amp;number=&amp;sourceID=10","")</f>
        <v/>
      </c>
      <c r="M142" s="4" t="str">
        <f>HYPERLINK("http://141.218.60.56/~jnz1568/getInfo.php?workbook=08_06.xlsx&amp;sheet=U0&amp;row=142&amp;col=13&amp;number=&amp;sourceID=10","")</f>
        <v/>
      </c>
    </row>
    <row r="143" spans="1:13">
      <c r="A143" s="3"/>
      <c r="B143" s="3"/>
      <c r="C143" s="3"/>
      <c r="D143" s="3"/>
      <c r="E143" s="3">
        <v>20</v>
      </c>
      <c r="F143" s="4" t="str">
        <f>HYPERLINK("http://141.218.60.56/~jnz1568/getInfo.php?workbook=08_06.xlsx&amp;sheet=U0&amp;row=143&amp;col=6&amp;number=5.3&amp;sourceID=4","5.3")</f>
        <v>5.3</v>
      </c>
      <c r="G143" s="4" t="str">
        <f>HYPERLINK("http://141.218.60.56/~jnz1568/getInfo.php?workbook=08_06.xlsx&amp;sheet=U0&amp;row=143&amp;col=7&amp;number=0.036&amp;sourceID=4","0.036")</f>
        <v>0.036</v>
      </c>
      <c r="H143" s="4" t="str">
        <f>HYPERLINK("http://141.218.60.56/~jnz1568/getInfo.php?workbook=08_06.xlsx&amp;sheet=U0&amp;row=143&amp;col=8&amp;number=&amp;sourceID=8","")</f>
        <v/>
      </c>
      <c r="I143" s="4" t="str">
        <f>HYPERLINK("http://141.218.60.56/~jnz1568/getInfo.php?workbook=08_06.xlsx&amp;sheet=U0&amp;row=143&amp;col=9&amp;number=&amp;sourceID=8","")</f>
        <v/>
      </c>
      <c r="J143" s="4" t="str">
        <f>HYPERLINK("http://141.218.60.56/~jnz1568/getInfo.php?workbook=08_06.xlsx&amp;sheet=U0&amp;row=143&amp;col=10&amp;number=&amp;sourceID=9","")</f>
        <v/>
      </c>
      <c r="K143" s="4" t="str">
        <f>HYPERLINK("http://141.218.60.56/~jnz1568/getInfo.php?workbook=08_06.xlsx&amp;sheet=U0&amp;row=143&amp;col=11&amp;number=&amp;sourceID=9","")</f>
        <v/>
      </c>
      <c r="L143" s="4" t="str">
        <f>HYPERLINK("http://141.218.60.56/~jnz1568/getInfo.php?workbook=08_06.xlsx&amp;sheet=U0&amp;row=143&amp;col=12&amp;number=&amp;sourceID=10","")</f>
        <v/>
      </c>
      <c r="M143" s="4" t="str">
        <f>HYPERLINK("http://141.218.60.56/~jnz1568/getInfo.php?workbook=08_06.xlsx&amp;sheet=U0&amp;row=143&amp;col=13&amp;number=&amp;sourceID=10","")</f>
        <v/>
      </c>
    </row>
    <row r="144" spans="1:13">
      <c r="A144" s="3">
        <v>8</v>
      </c>
      <c r="B144" s="3">
        <v>6</v>
      </c>
      <c r="C144" s="3">
        <v>5</v>
      </c>
      <c r="D144" s="3">
        <v>2</v>
      </c>
      <c r="E144" s="3">
        <v>1</v>
      </c>
      <c r="F144" s="4" t="str">
        <f>HYPERLINK("http://141.218.60.56/~jnz1568/getInfo.php?workbook=08_06.xlsx&amp;sheet=U0&amp;row=144&amp;col=6&amp;number=3.4&amp;sourceID=4","3.4")</f>
        <v>3.4</v>
      </c>
      <c r="G144" s="4" t="str">
        <f>HYPERLINK("http://141.218.60.56/~jnz1568/getInfo.php?workbook=08_06.xlsx&amp;sheet=U0&amp;row=144&amp;col=7&amp;number==G124*3&amp;sourceID=4","=G124*3")</f>
        <v>=G124*3</v>
      </c>
      <c r="H144" s="4" t="str">
        <f>HYPERLINK("http://141.218.60.56/~jnz1568/getInfo.php?workbook=08_06.xlsx&amp;sheet=U0&amp;row=144&amp;col=8&amp;number=2&amp;sourceID=8","2")</f>
        <v>2</v>
      </c>
      <c r="I144" s="4" t="str">
        <f>HYPERLINK("http://141.218.60.56/~jnz1568/getInfo.php?workbook=08_06.xlsx&amp;sheet=U0&amp;row=144&amp;col=9&amp;number=0.1765&amp;sourceID=8","0.1765")</f>
        <v>0.1765</v>
      </c>
      <c r="J144" s="4" t="str">
        <f>HYPERLINK("http://141.218.60.56/~jnz1568/getInfo.php?workbook=08_06.xlsx&amp;sheet=U0&amp;row=144&amp;col=10&amp;number=3&amp;sourceID=9","3")</f>
        <v>3</v>
      </c>
      <c r="K144" s="4" t="str">
        <f>HYPERLINK("http://141.218.60.56/~jnz1568/getInfo.php?workbook=08_06.xlsx&amp;sheet=U0&amp;row=144&amp;col=11&amp;number=0.0918&amp;sourceID=9","0.0918")</f>
        <v>0.0918</v>
      </c>
      <c r="L144" s="4" t="str">
        <f>HYPERLINK("http://141.218.60.56/~jnz1568/getInfo.php?workbook=08_06.xlsx&amp;sheet=U0&amp;row=144&amp;col=12&amp;number=3.69897000434&amp;sourceID=10","3.69897000434")</f>
        <v>3.69897000434</v>
      </c>
      <c r="M144" s="4" t="str">
        <f>HYPERLINK("http://141.218.60.56/~jnz1568/getInfo.php?workbook=08_06.xlsx&amp;sheet=U0&amp;row=144&amp;col=13&amp;number=0.06699284875&amp;sourceID=10","0.06699284875")</f>
        <v>0.06699284875</v>
      </c>
    </row>
    <row r="145" spans="1:13">
      <c r="A145" s="3"/>
      <c r="B145" s="3"/>
      <c r="C145" s="3"/>
      <c r="D145" s="3"/>
      <c r="E145" s="3">
        <v>2</v>
      </c>
      <c r="F145" s="4" t="str">
        <f>HYPERLINK("http://141.218.60.56/~jnz1568/getInfo.php?workbook=08_06.xlsx&amp;sheet=U0&amp;row=145&amp;col=6&amp;number=3.7&amp;sourceID=4","3.7")</f>
        <v>3.7</v>
      </c>
      <c r="G145" s="4" t="str">
        <f>HYPERLINK("http://141.218.60.56/~jnz1568/getInfo.php?workbook=08_06.xlsx&amp;sheet=U0&amp;row=145&amp;col=7&amp;number==&amp;sourceID=4","=")</f>
        <v>=</v>
      </c>
      <c r="H145" s="4" t="str">
        <f>HYPERLINK("http://141.218.60.56/~jnz1568/getInfo.php?workbook=08_06.xlsx&amp;sheet=U0&amp;row=145&amp;col=8&amp;number=2.69897000434&amp;sourceID=8","2.69897000434")</f>
        <v>2.69897000434</v>
      </c>
      <c r="I145" s="4" t="str">
        <f>HYPERLINK("http://141.218.60.56/~jnz1568/getInfo.php?workbook=08_06.xlsx&amp;sheet=U0&amp;row=145&amp;col=9&amp;number=0.159&amp;sourceID=8","0.159")</f>
        <v>0.159</v>
      </c>
      <c r="J145" s="4" t="str">
        <f>HYPERLINK("http://141.218.60.56/~jnz1568/getInfo.php?workbook=08_06.xlsx&amp;sheet=U0&amp;row=145&amp;col=10&amp;number=3.2&amp;sourceID=9","3.2")</f>
        <v>3.2</v>
      </c>
      <c r="K145" s="4" t="str">
        <f>HYPERLINK("http://141.218.60.56/~jnz1568/getInfo.php?workbook=08_06.xlsx&amp;sheet=U0&amp;row=145&amp;col=11&amp;number=0.0912666666667&amp;sourceID=9","0.0912666666667")</f>
        <v>0.0912666666667</v>
      </c>
      <c r="L145" s="4" t="str">
        <f>HYPERLINK("http://141.218.60.56/~jnz1568/getInfo.php?workbook=08_06.xlsx&amp;sheet=U0&amp;row=145&amp;col=12&amp;number=3.77815125038&amp;sourceID=10","3.77815125038")</f>
        <v>3.77815125038</v>
      </c>
      <c r="M145" s="4" t="str">
        <f>HYPERLINK("http://141.218.60.56/~jnz1568/getInfo.php?workbook=08_06.xlsx&amp;sheet=U0&amp;row=145&amp;col=13&amp;number=0.0707079728&amp;sourceID=10","0.0707079728")</f>
        <v>0.0707079728</v>
      </c>
    </row>
    <row r="146" spans="1:13">
      <c r="A146" s="3"/>
      <c r="B146" s="3"/>
      <c r="C146" s="3"/>
      <c r="D146" s="3"/>
      <c r="E146" s="3">
        <v>3</v>
      </c>
      <c r="F146" s="4" t="str">
        <f>HYPERLINK("http://141.218.60.56/~jnz1568/getInfo.php?workbook=08_06.xlsx&amp;sheet=U0&amp;row=146&amp;col=6&amp;number=3.88&amp;sourceID=4","3.88")</f>
        <v>3.88</v>
      </c>
      <c r="G146" s="4" t="str">
        <f>HYPERLINK("http://141.218.60.56/~jnz1568/getInfo.php?workbook=08_06.xlsx&amp;sheet=U0&amp;row=146&amp;col=7&amp;number==&amp;sourceID=4","=")</f>
        <v>=</v>
      </c>
      <c r="H146" s="4" t="str">
        <f>HYPERLINK("http://141.218.60.56/~jnz1568/getInfo.php?workbook=08_06.xlsx&amp;sheet=U0&amp;row=146&amp;col=8&amp;number=3&amp;sourceID=8","3")</f>
        <v>3</v>
      </c>
      <c r="I146" s="4" t="str">
        <f>HYPERLINK("http://141.218.60.56/~jnz1568/getInfo.php?workbook=08_06.xlsx&amp;sheet=U0&amp;row=146&amp;col=9&amp;number=0.1477&amp;sourceID=8","0.1477")</f>
        <v>0.1477</v>
      </c>
      <c r="J146" s="4" t="str">
        <f>HYPERLINK("http://141.218.60.56/~jnz1568/getInfo.php?workbook=08_06.xlsx&amp;sheet=U0&amp;row=146&amp;col=10&amp;number=3.4&amp;sourceID=9","3.4")</f>
        <v>3.4</v>
      </c>
      <c r="K146" s="4" t="str">
        <f>HYPERLINK("http://141.218.60.56/~jnz1568/getInfo.php?workbook=08_06.xlsx&amp;sheet=U0&amp;row=146&amp;col=11&amp;number=0.0904333333333&amp;sourceID=9","0.0904333333333")</f>
        <v>0.0904333333333</v>
      </c>
      <c r="L146" s="4" t="str">
        <f>HYPERLINK("http://141.218.60.56/~jnz1568/getInfo.php?workbook=08_06.xlsx&amp;sheet=U0&amp;row=146&amp;col=12&amp;number=3.84509804001&amp;sourceID=10","3.84509804001")</f>
        <v>3.84509804001</v>
      </c>
      <c r="M146" s="4" t="str">
        <f>HYPERLINK("http://141.218.60.56/~jnz1568/getInfo.php?workbook=08_06.xlsx&amp;sheet=U0&amp;row=146&amp;col=13&amp;number=0.074591290377&amp;sourceID=10","0.074591290377")</f>
        <v>0.074591290377</v>
      </c>
    </row>
    <row r="147" spans="1:13">
      <c r="A147" s="3"/>
      <c r="B147" s="3"/>
      <c r="C147" s="3"/>
      <c r="D147" s="3"/>
      <c r="E147" s="3">
        <v>4</v>
      </c>
      <c r="F147" s="4" t="str">
        <f>HYPERLINK("http://141.218.60.56/~jnz1568/getInfo.php?workbook=08_06.xlsx&amp;sheet=U0&amp;row=147&amp;col=6&amp;number=4&amp;sourceID=4","4")</f>
        <v>4</v>
      </c>
      <c r="G147" s="4" t="str">
        <f>HYPERLINK("http://141.218.60.56/~jnz1568/getInfo.php?workbook=08_06.xlsx&amp;sheet=U0&amp;row=147&amp;col=7&amp;number==&amp;sourceID=4","=")</f>
        <v>=</v>
      </c>
      <c r="H147" s="4" t="str">
        <f>HYPERLINK("http://141.218.60.56/~jnz1568/getInfo.php?workbook=08_06.xlsx&amp;sheet=U0&amp;row=147&amp;col=8&amp;number=3.69897000434&amp;sourceID=8","3.69897000434")</f>
        <v>3.69897000434</v>
      </c>
      <c r="I147" s="4" t="str">
        <f>HYPERLINK("http://141.218.60.56/~jnz1568/getInfo.php?workbook=08_06.xlsx&amp;sheet=U0&amp;row=147&amp;col=9&amp;number=0.1228&amp;sourceID=8","0.1228")</f>
        <v>0.1228</v>
      </c>
      <c r="J147" s="4" t="str">
        <f>HYPERLINK("http://141.218.60.56/~jnz1568/getInfo.php?workbook=08_06.xlsx&amp;sheet=U0&amp;row=147&amp;col=10&amp;number=3.6&amp;sourceID=9","3.6")</f>
        <v>3.6</v>
      </c>
      <c r="K147" s="4" t="str">
        <f>HYPERLINK("http://141.218.60.56/~jnz1568/getInfo.php?workbook=08_06.xlsx&amp;sheet=U0&amp;row=147&amp;col=11&amp;number=0.0897666666667&amp;sourceID=9","0.0897666666667")</f>
        <v>0.0897666666667</v>
      </c>
      <c r="L147" s="4" t="str">
        <f>HYPERLINK("http://141.218.60.56/~jnz1568/getInfo.php?workbook=08_06.xlsx&amp;sheet=U0&amp;row=147&amp;col=12&amp;number=3.90308998699&amp;sourceID=10","3.90308998699")</f>
        <v>3.90308998699</v>
      </c>
      <c r="M147" s="4" t="str">
        <f>HYPERLINK("http://141.218.60.56/~jnz1568/getInfo.php?workbook=08_06.xlsx&amp;sheet=U0&amp;row=147&amp;col=13&amp;number=0.078342349117&amp;sourceID=10","0.078342349117")</f>
        <v>0.078342349117</v>
      </c>
    </row>
    <row r="148" spans="1:13">
      <c r="A148" s="3"/>
      <c r="B148" s="3"/>
      <c r="C148" s="3"/>
      <c r="D148" s="3"/>
      <c r="E148" s="3">
        <v>5</v>
      </c>
      <c r="F148" s="4" t="str">
        <f>HYPERLINK("http://141.218.60.56/~jnz1568/getInfo.php?workbook=08_06.xlsx&amp;sheet=U0&amp;row=148&amp;col=6&amp;number=4.1&amp;sourceID=4","4.1")</f>
        <v>4.1</v>
      </c>
      <c r="G148" s="4" t="str">
        <f>HYPERLINK("http://141.218.60.56/~jnz1568/getInfo.php?workbook=08_06.xlsx&amp;sheet=U0&amp;row=148&amp;col=7&amp;number==&amp;sourceID=4","=")</f>
        <v>=</v>
      </c>
      <c r="H148" s="4" t="str">
        <f>HYPERLINK("http://141.218.60.56/~jnz1568/getInfo.php?workbook=08_06.xlsx&amp;sheet=U0&amp;row=148&amp;col=8&amp;number=4&amp;sourceID=8","4")</f>
        <v>4</v>
      </c>
      <c r="I148" s="4" t="str">
        <f>HYPERLINK("http://141.218.60.56/~jnz1568/getInfo.php?workbook=08_06.xlsx&amp;sheet=U0&amp;row=148&amp;col=9&amp;number=0.1223&amp;sourceID=8","0.1223")</f>
        <v>0.1223</v>
      </c>
      <c r="J148" s="4" t="str">
        <f>HYPERLINK("http://141.218.60.56/~jnz1568/getInfo.php?workbook=08_06.xlsx&amp;sheet=U0&amp;row=148&amp;col=10&amp;number=3.8&amp;sourceID=9","3.8")</f>
        <v>3.8</v>
      </c>
      <c r="K148" s="4" t="str">
        <f>HYPERLINK("http://141.218.60.56/~jnz1568/getInfo.php?workbook=08_06.xlsx&amp;sheet=U0&amp;row=148&amp;col=11&amp;number=0.0915666666667&amp;sourceID=9","0.0915666666667")</f>
        <v>0.0915666666667</v>
      </c>
      <c r="L148" s="4" t="str">
        <f>HYPERLINK("http://141.218.60.56/~jnz1568/getInfo.php?workbook=08_06.xlsx&amp;sheet=U0&amp;row=148&amp;col=12&amp;number=3.95424250944&amp;sourceID=10","3.95424250944")</f>
        <v>3.95424250944</v>
      </c>
      <c r="M148" s="4" t="str">
        <f>HYPERLINK("http://141.218.60.56/~jnz1568/getInfo.php?workbook=08_06.xlsx&amp;sheet=U0&amp;row=148&amp;col=13&amp;number=0.081825165728&amp;sourceID=10","0.081825165728")</f>
        <v>0.081825165728</v>
      </c>
    </row>
    <row r="149" spans="1:13">
      <c r="A149" s="3"/>
      <c r="B149" s="3"/>
      <c r="C149" s="3"/>
      <c r="D149" s="3"/>
      <c r="E149" s="3">
        <v>6</v>
      </c>
      <c r="F149" s="4" t="str">
        <f>HYPERLINK("http://141.218.60.56/~jnz1568/getInfo.php?workbook=08_06.xlsx&amp;sheet=U0&amp;row=149&amp;col=6&amp;number=4.18&amp;sourceID=4","4.18")</f>
        <v>4.18</v>
      </c>
      <c r="G149" s="4" t="str">
        <f>HYPERLINK("http://141.218.60.56/~jnz1568/getInfo.php?workbook=08_06.xlsx&amp;sheet=U0&amp;row=149&amp;col=7&amp;number==&amp;sourceID=4","=")</f>
        <v>=</v>
      </c>
      <c r="H149" s="4" t="str">
        <f>HYPERLINK("http://141.218.60.56/~jnz1568/getInfo.php?workbook=08_06.xlsx&amp;sheet=U0&amp;row=149&amp;col=8&amp;number=4.30102999566&amp;sourceID=8","4.30102999566")</f>
        <v>4.30102999566</v>
      </c>
      <c r="I149" s="4" t="str">
        <f>HYPERLINK("http://141.218.60.56/~jnz1568/getInfo.php?workbook=08_06.xlsx&amp;sheet=U0&amp;row=149&amp;col=9&amp;number=0.1294&amp;sourceID=8","0.1294")</f>
        <v>0.1294</v>
      </c>
      <c r="J149" s="4" t="str">
        <f>HYPERLINK("http://141.218.60.56/~jnz1568/getInfo.php?workbook=08_06.xlsx&amp;sheet=U0&amp;row=149&amp;col=10&amp;number=4&amp;sourceID=9","4")</f>
        <v>4</v>
      </c>
      <c r="K149" s="4" t="str">
        <f>HYPERLINK("http://141.218.60.56/~jnz1568/getInfo.php?workbook=08_06.xlsx&amp;sheet=U0&amp;row=149&amp;col=11&amp;number=0.0975&amp;sourceID=9","0.0975")</f>
        <v>0.0975</v>
      </c>
      <c r="L149" s="4" t="str">
        <f>HYPERLINK("http://141.218.60.56/~jnz1568/getInfo.php?workbook=08_06.xlsx&amp;sheet=U0&amp;row=149&amp;col=12&amp;number=4&amp;sourceID=10","4")</f>
        <v>4</v>
      </c>
      <c r="M149" s="4" t="str">
        <f>HYPERLINK("http://141.218.60.56/~jnz1568/getInfo.php?workbook=08_06.xlsx&amp;sheet=U0&amp;row=149&amp;col=13&amp;number=0.08499285933&amp;sourceID=10","0.08499285933")</f>
        <v>0.08499285933</v>
      </c>
    </row>
    <row r="150" spans="1:13">
      <c r="A150" s="3"/>
      <c r="B150" s="3"/>
      <c r="C150" s="3"/>
      <c r="D150" s="3"/>
      <c r="E150" s="3">
        <v>7</v>
      </c>
      <c r="F150" s="4" t="str">
        <f>HYPERLINK("http://141.218.60.56/~jnz1568/getInfo.php?workbook=08_06.xlsx&amp;sheet=U0&amp;row=150&amp;col=6&amp;number=4.24&amp;sourceID=4","4.24")</f>
        <v>4.24</v>
      </c>
      <c r="G150" s="4" t="str">
        <f>HYPERLINK("http://141.218.60.56/~jnz1568/getInfo.php?workbook=08_06.xlsx&amp;sheet=U0&amp;row=150&amp;col=7&amp;number==&amp;sourceID=4","=")</f>
        <v>=</v>
      </c>
      <c r="H150" s="4" t="str">
        <f>HYPERLINK("http://141.218.60.56/~jnz1568/getInfo.php?workbook=08_06.xlsx&amp;sheet=U0&amp;row=150&amp;col=8&amp;number=4.47712125472&amp;sourceID=8","4.47712125472")</f>
        <v>4.47712125472</v>
      </c>
      <c r="I150" s="4" t="str">
        <f>HYPERLINK("http://141.218.60.56/~jnz1568/getInfo.php?workbook=08_06.xlsx&amp;sheet=U0&amp;row=150&amp;col=9&amp;number=0.1332&amp;sourceID=8","0.1332")</f>
        <v>0.1332</v>
      </c>
      <c r="J150" s="4" t="str">
        <f>HYPERLINK("http://141.218.60.56/~jnz1568/getInfo.php?workbook=08_06.xlsx&amp;sheet=U0&amp;row=150&amp;col=10&amp;number=4.2&amp;sourceID=9","4.2")</f>
        <v>4.2</v>
      </c>
      <c r="K150" s="4" t="str">
        <f>HYPERLINK("http://141.218.60.56/~jnz1568/getInfo.php?workbook=08_06.xlsx&amp;sheet=U0&amp;row=150&amp;col=11&amp;number=0.1058&amp;sourceID=9","0.1058")</f>
        <v>0.1058</v>
      </c>
      <c r="L150" s="4" t="str">
        <f>HYPERLINK("http://141.218.60.56/~jnz1568/getInfo.php?workbook=08_06.xlsx&amp;sheet=U0&amp;row=150&amp;col=12&amp;number=4.04139268516&amp;sourceID=10","4.04139268516")</f>
        <v>4.04139268516</v>
      </c>
      <c r="M150" s="4" t="str">
        <f>HYPERLINK("http://141.218.60.56/~jnz1568/getInfo.php?workbook=08_06.xlsx&amp;sheet=U0&amp;row=150&amp;col=13&amp;number=0.08784361889&amp;sourceID=10","0.08784361889")</f>
        <v>0.08784361889</v>
      </c>
    </row>
    <row r="151" spans="1:13">
      <c r="A151" s="3"/>
      <c r="B151" s="3"/>
      <c r="C151" s="3"/>
      <c r="D151" s="3"/>
      <c r="E151" s="3">
        <v>8</v>
      </c>
      <c r="F151" s="4" t="str">
        <f>HYPERLINK("http://141.218.60.56/~jnz1568/getInfo.php?workbook=08_06.xlsx&amp;sheet=U0&amp;row=151&amp;col=6&amp;number=4.3&amp;sourceID=4","4.3")</f>
        <v>4.3</v>
      </c>
      <c r="G151" s="4" t="str">
        <f>HYPERLINK("http://141.218.60.56/~jnz1568/getInfo.php?workbook=08_06.xlsx&amp;sheet=U0&amp;row=151&amp;col=7&amp;number==&amp;sourceID=4","=")</f>
        <v>=</v>
      </c>
      <c r="H151" s="4" t="str">
        <f>HYPERLINK("http://141.218.60.56/~jnz1568/getInfo.php?workbook=08_06.xlsx&amp;sheet=U0&amp;row=151&amp;col=8&amp;number=&amp;sourceID=8","")</f>
        <v/>
      </c>
      <c r="I151" s="4" t="str">
        <f>HYPERLINK("http://141.218.60.56/~jnz1568/getInfo.php?workbook=08_06.xlsx&amp;sheet=U0&amp;row=151&amp;col=9&amp;number=&amp;sourceID=8","")</f>
        <v/>
      </c>
      <c r="J151" s="4" t="str">
        <f>HYPERLINK("http://141.218.60.56/~jnz1568/getInfo.php?workbook=08_06.xlsx&amp;sheet=U0&amp;row=151&amp;col=10&amp;number=4.4&amp;sourceID=9","4.4")</f>
        <v>4.4</v>
      </c>
      <c r="K151" s="4" t="str">
        <f>HYPERLINK("http://141.218.60.56/~jnz1568/getInfo.php?workbook=08_06.xlsx&amp;sheet=U0&amp;row=151&amp;col=11&amp;number=0.1135&amp;sourceID=9","0.1135")</f>
        <v>0.1135</v>
      </c>
      <c r="L151" s="4" t="str">
        <f>HYPERLINK("http://141.218.60.56/~jnz1568/getInfo.php?workbook=08_06.xlsx&amp;sheet=U0&amp;row=151&amp;col=12&amp;number=4.07918124605&amp;sourceID=10","4.07918124605")</f>
        <v>4.07918124605</v>
      </c>
      <c r="M151" s="4" t="str">
        <f>HYPERLINK("http://141.218.60.56/~jnz1568/getInfo.php?workbook=08_06.xlsx&amp;sheet=U0&amp;row=151&amp;col=13&amp;number=0.09039674466&amp;sourceID=10","0.09039674466")</f>
        <v>0.09039674466</v>
      </c>
    </row>
    <row r="152" spans="1:13">
      <c r="A152" s="3"/>
      <c r="B152" s="3"/>
      <c r="C152" s="3"/>
      <c r="D152" s="3"/>
      <c r="E152" s="3">
        <v>9</v>
      </c>
      <c r="F152" s="4" t="str">
        <f>HYPERLINK("http://141.218.60.56/~jnz1568/getInfo.php?workbook=08_06.xlsx&amp;sheet=U0&amp;row=152&amp;col=6&amp;number=4.4&amp;sourceID=4","4.4")</f>
        <v>4.4</v>
      </c>
      <c r="G152" s="4" t="str">
        <f>HYPERLINK("http://141.218.60.56/~jnz1568/getInfo.php?workbook=08_06.xlsx&amp;sheet=U0&amp;row=152&amp;col=7&amp;number==&amp;sourceID=4","=")</f>
        <v>=</v>
      </c>
      <c r="H152" s="4" t="str">
        <f>HYPERLINK("http://141.218.60.56/~jnz1568/getInfo.php?workbook=08_06.xlsx&amp;sheet=U0&amp;row=152&amp;col=8&amp;number=&amp;sourceID=8","")</f>
        <v/>
      </c>
      <c r="I152" s="4" t="str">
        <f>HYPERLINK("http://141.218.60.56/~jnz1568/getInfo.php?workbook=08_06.xlsx&amp;sheet=U0&amp;row=152&amp;col=9&amp;number=&amp;sourceID=8","")</f>
        <v/>
      </c>
      <c r="J152" s="4" t="str">
        <f>HYPERLINK("http://141.218.60.56/~jnz1568/getInfo.php?workbook=08_06.xlsx&amp;sheet=U0&amp;row=152&amp;col=10&amp;number=4.6&amp;sourceID=9","4.6")</f>
        <v>4.6</v>
      </c>
      <c r="K152" s="4" t="str">
        <f>HYPERLINK("http://141.218.60.56/~jnz1568/getInfo.php?workbook=08_06.xlsx&amp;sheet=U0&amp;row=152&amp;col=11&amp;number=0.118766666667&amp;sourceID=9","0.118766666667")</f>
        <v>0.118766666667</v>
      </c>
      <c r="L152" s="4" t="str">
        <f>HYPERLINK("http://141.218.60.56/~jnz1568/getInfo.php?workbook=08_06.xlsx&amp;sheet=U0&amp;row=152&amp;col=12&amp;number=4.11394335231&amp;sourceID=10","4.11394335231")</f>
        <v>4.11394335231</v>
      </c>
      <c r="M152" s="4" t="str">
        <f>HYPERLINK("http://141.218.60.56/~jnz1568/getInfo.php?workbook=08_06.xlsx&amp;sheet=U0&amp;row=152&amp;col=13&amp;number=0.09268003726&amp;sourceID=10","0.09268003726")</f>
        <v>0.09268003726</v>
      </c>
    </row>
    <row r="153" spans="1:13">
      <c r="A153" s="3"/>
      <c r="B153" s="3"/>
      <c r="C153" s="3"/>
      <c r="D153" s="3"/>
      <c r="E153" s="3">
        <v>10</v>
      </c>
      <c r="F153" s="4" t="str">
        <f>HYPERLINK("http://141.218.60.56/~jnz1568/getInfo.php?workbook=08_06.xlsx&amp;sheet=U0&amp;row=153&amp;col=6&amp;number=4.48&amp;sourceID=4","4.48")</f>
        <v>4.48</v>
      </c>
      <c r="G153" s="4" t="str">
        <f>HYPERLINK("http://141.218.60.56/~jnz1568/getInfo.php?workbook=08_06.xlsx&amp;sheet=U0&amp;row=153&amp;col=7&amp;number==&amp;sourceID=4","=")</f>
        <v>=</v>
      </c>
      <c r="H153" s="4" t="str">
        <f>HYPERLINK("http://141.218.60.56/~jnz1568/getInfo.php?workbook=08_06.xlsx&amp;sheet=U0&amp;row=153&amp;col=8&amp;number=&amp;sourceID=8","")</f>
        <v/>
      </c>
      <c r="I153" s="4" t="str">
        <f>HYPERLINK("http://141.218.60.56/~jnz1568/getInfo.php?workbook=08_06.xlsx&amp;sheet=U0&amp;row=153&amp;col=9&amp;number=&amp;sourceID=8","")</f>
        <v/>
      </c>
      <c r="J153" s="4" t="str">
        <f>HYPERLINK("http://141.218.60.56/~jnz1568/getInfo.php?workbook=08_06.xlsx&amp;sheet=U0&amp;row=153&amp;col=10&amp;number=4.8&amp;sourceID=9","4.8")</f>
        <v>4.8</v>
      </c>
      <c r="K153" s="4" t="str">
        <f>HYPERLINK("http://141.218.60.56/~jnz1568/getInfo.php?workbook=08_06.xlsx&amp;sheet=U0&amp;row=153&amp;col=11&amp;number=0.1207&amp;sourceID=9","0.1207")</f>
        <v>0.1207</v>
      </c>
      <c r="L153" s="4" t="str">
        <f>HYPERLINK("http://141.218.60.56/~jnz1568/getInfo.php?workbook=08_06.xlsx&amp;sheet=U0&amp;row=153&amp;col=12&amp;number=4.14612803568&amp;sourceID=10","4.14612803568")</f>
        <v>4.14612803568</v>
      </c>
      <c r="M153" s="4" t="str">
        <f>HYPERLINK("http://141.218.60.56/~jnz1568/getInfo.php?workbook=08_06.xlsx&amp;sheet=U0&amp;row=153&amp;col=13&amp;number=0.09472335263&amp;sourceID=10","0.09472335263")</f>
        <v>0.09472335263</v>
      </c>
    </row>
    <row r="154" spans="1:13">
      <c r="A154" s="3"/>
      <c r="B154" s="3"/>
      <c r="C154" s="3"/>
      <c r="D154" s="3"/>
      <c r="E154" s="3">
        <v>11</v>
      </c>
      <c r="F154" s="4" t="str">
        <f>HYPERLINK("http://141.218.60.56/~jnz1568/getInfo.php?workbook=08_06.xlsx&amp;sheet=U0&amp;row=154&amp;col=6&amp;number=4.6&amp;sourceID=4","4.6")</f>
        <v>4.6</v>
      </c>
      <c r="G154" s="4" t="str">
        <f>HYPERLINK("http://141.218.60.56/~jnz1568/getInfo.php?workbook=08_06.xlsx&amp;sheet=U0&amp;row=154&amp;col=7&amp;number==&amp;sourceID=4","=")</f>
        <v>=</v>
      </c>
      <c r="H154" s="4" t="str">
        <f>HYPERLINK("http://141.218.60.56/~jnz1568/getInfo.php?workbook=08_06.xlsx&amp;sheet=U0&amp;row=154&amp;col=8&amp;number=&amp;sourceID=8","")</f>
        <v/>
      </c>
      <c r="I154" s="4" t="str">
        <f>HYPERLINK("http://141.218.60.56/~jnz1568/getInfo.php?workbook=08_06.xlsx&amp;sheet=U0&amp;row=154&amp;col=9&amp;number=&amp;sourceID=8","")</f>
        <v/>
      </c>
      <c r="J154" s="4" t="str">
        <f>HYPERLINK("http://141.218.60.56/~jnz1568/getInfo.php?workbook=08_06.xlsx&amp;sheet=U0&amp;row=154&amp;col=10&amp;number=5&amp;sourceID=9","5")</f>
        <v>5</v>
      </c>
      <c r="K154" s="4" t="str">
        <f>HYPERLINK("http://141.218.60.56/~jnz1568/getInfo.php?workbook=08_06.xlsx&amp;sheet=U0&amp;row=154&amp;col=11&amp;number=0.119033333333&amp;sourceID=9","0.119033333333")</f>
        <v>0.119033333333</v>
      </c>
      <c r="L154" s="4" t="str">
        <f>HYPERLINK("http://141.218.60.56/~jnz1568/getInfo.php?workbook=08_06.xlsx&amp;sheet=U0&amp;row=154&amp;col=12&amp;number=4.17609125906&amp;sourceID=10","4.17609125906")</f>
        <v>4.17609125906</v>
      </c>
      <c r="M154" s="4" t="str">
        <f>HYPERLINK("http://141.218.60.56/~jnz1568/getInfo.php?workbook=08_06.xlsx&amp;sheet=U0&amp;row=154&amp;col=13&amp;number=0.0965554609&amp;sourceID=10","0.0965554609")</f>
        <v>0.0965554609</v>
      </c>
    </row>
    <row r="155" spans="1:13">
      <c r="A155" s="3"/>
      <c r="B155" s="3"/>
      <c r="C155" s="3"/>
      <c r="D155" s="3"/>
      <c r="E155" s="3">
        <v>12</v>
      </c>
      <c r="F155" s="4" t="str">
        <f>HYPERLINK("http://141.218.60.56/~jnz1568/getInfo.php?workbook=08_06.xlsx&amp;sheet=U0&amp;row=155&amp;col=6&amp;number=4.7&amp;sourceID=4","4.7")</f>
        <v>4.7</v>
      </c>
      <c r="G155" s="4" t="str">
        <f>HYPERLINK("http://141.218.60.56/~jnz1568/getInfo.php?workbook=08_06.xlsx&amp;sheet=U0&amp;row=155&amp;col=7&amp;number==&amp;sourceID=4","=")</f>
        <v>=</v>
      </c>
      <c r="H155" s="4" t="str">
        <f>HYPERLINK("http://141.218.60.56/~jnz1568/getInfo.php?workbook=08_06.xlsx&amp;sheet=U0&amp;row=155&amp;col=8&amp;number=&amp;sourceID=8","")</f>
        <v/>
      </c>
      <c r="I155" s="4" t="str">
        <f>HYPERLINK("http://141.218.60.56/~jnz1568/getInfo.php?workbook=08_06.xlsx&amp;sheet=U0&amp;row=155&amp;col=9&amp;number=&amp;sourceID=8","")</f>
        <v/>
      </c>
      <c r="J155" s="4" t="str">
        <f>HYPERLINK("http://141.218.60.56/~jnz1568/getInfo.php?workbook=08_06.xlsx&amp;sheet=U0&amp;row=155&amp;col=10&amp;number=&amp;sourceID=9","")</f>
        <v/>
      </c>
      <c r="K155" s="4" t="str">
        <f>HYPERLINK("http://141.218.60.56/~jnz1568/getInfo.php?workbook=08_06.xlsx&amp;sheet=U0&amp;row=155&amp;col=11&amp;number=&amp;sourceID=9","")</f>
        <v/>
      </c>
      <c r="L155" s="4" t="str">
        <f>HYPERLINK("http://141.218.60.56/~jnz1568/getInfo.php?workbook=08_06.xlsx&amp;sheet=U0&amp;row=155&amp;col=12&amp;number=4.20411998266&amp;sourceID=10","4.20411998266")</f>
        <v>4.20411998266</v>
      </c>
      <c r="M155" s="4" t="str">
        <f>HYPERLINK("http://141.218.60.56/~jnz1568/getInfo.php?workbook=08_06.xlsx&amp;sheet=U0&amp;row=155&amp;col=13&amp;number=0.09820265936&amp;sourceID=10","0.09820265936")</f>
        <v>0.09820265936</v>
      </c>
    </row>
    <row r="156" spans="1:13">
      <c r="A156" s="3"/>
      <c r="B156" s="3"/>
      <c r="C156" s="3"/>
      <c r="D156" s="3"/>
      <c r="E156" s="3">
        <v>13</v>
      </c>
      <c r="F156" s="4" t="str">
        <f>HYPERLINK("http://141.218.60.56/~jnz1568/getInfo.php?workbook=08_06.xlsx&amp;sheet=U0&amp;row=156&amp;col=6&amp;number=4.78&amp;sourceID=4","4.78")</f>
        <v>4.78</v>
      </c>
      <c r="G156" s="4" t="str">
        <f>HYPERLINK("http://141.218.60.56/~jnz1568/getInfo.php?workbook=08_06.xlsx&amp;sheet=U0&amp;row=156&amp;col=7&amp;number==&amp;sourceID=4","=")</f>
        <v>=</v>
      </c>
      <c r="H156" s="4" t="str">
        <f>HYPERLINK("http://141.218.60.56/~jnz1568/getInfo.php?workbook=08_06.xlsx&amp;sheet=U0&amp;row=156&amp;col=8&amp;number=&amp;sourceID=8","")</f>
        <v/>
      </c>
      <c r="I156" s="4" t="str">
        <f>HYPERLINK("http://141.218.60.56/~jnz1568/getInfo.php?workbook=08_06.xlsx&amp;sheet=U0&amp;row=156&amp;col=9&amp;number=&amp;sourceID=8","")</f>
        <v/>
      </c>
      <c r="J156" s="4" t="str">
        <f>HYPERLINK("http://141.218.60.56/~jnz1568/getInfo.php?workbook=08_06.xlsx&amp;sheet=U0&amp;row=156&amp;col=10&amp;number=&amp;sourceID=9","")</f>
        <v/>
      </c>
      <c r="K156" s="4" t="str">
        <f>HYPERLINK("http://141.218.60.56/~jnz1568/getInfo.php?workbook=08_06.xlsx&amp;sheet=U0&amp;row=156&amp;col=11&amp;number=&amp;sourceID=9","")</f>
        <v/>
      </c>
      <c r="L156" s="4" t="str">
        <f>HYPERLINK("http://141.218.60.56/~jnz1568/getInfo.php?workbook=08_06.xlsx&amp;sheet=U0&amp;row=156&amp;col=12&amp;number=4.23044892138&amp;sourceID=10","4.23044892138")</f>
        <v>4.23044892138</v>
      </c>
      <c r="M156" s="4" t="str">
        <f>HYPERLINK("http://141.218.60.56/~jnz1568/getInfo.php?workbook=08_06.xlsx&amp;sheet=U0&amp;row=156&amp;col=13&amp;number=0.099688301443&amp;sourceID=10","0.099688301443")</f>
        <v>0.099688301443</v>
      </c>
    </row>
    <row r="157" spans="1:13">
      <c r="A157" s="3"/>
      <c r="B157" s="3"/>
      <c r="C157" s="3"/>
      <c r="D157" s="3"/>
      <c r="E157" s="3">
        <v>14</v>
      </c>
      <c r="F157" s="4" t="str">
        <f>HYPERLINK("http://141.218.60.56/~jnz1568/getInfo.php?workbook=08_06.xlsx&amp;sheet=U0&amp;row=157&amp;col=6&amp;number=4.9&amp;sourceID=4","4.9")</f>
        <v>4.9</v>
      </c>
      <c r="G157" s="4" t="str">
        <f>HYPERLINK("http://141.218.60.56/~jnz1568/getInfo.php?workbook=08_06.xlsx&amp;sheet=U0&amp;row=157&amp;col=7&amp;number==&amp;sourceID=4","=")</f>
        <v>=</v>
      </c>
      <c r="H157" s="4" t="str">
        <f>HYPERLINK("http://141.218.60.56/~jnz1568/getInfo.php?workbook=08_06.xlsx&amp;sheet=U0&amp;row=157&amp;col=8&amp;number=&amp;sourceID=8","")</f>
        <v/>
      </c>
      <c r="I157" s="4" t="str">
        <f>HYPERLINK("http://141.218.60.56/~jnz1568/getInfo.php?workbook=08_06.xlsx&amp;sheet=U0&amp;row=157&amp;col=9&amp;number=&amp;sourceID=8","")</f>
        <v/>
      </c>
      <c r="J157" s="4" t="str">
        <f>HYPERLINK("http://141.218.60.56/~jnz1568/getInfo.php?workbook=08_06.xlsx&amp;sheet=U0&amp;row=157&amp;col=10&amp;number=&amp;sourceID=9","")</f>
        <v/>
      </c>
      <c r="K157" s="4" t="str">
        <f>HYPERLINK("http://141.218.60.56/~jnz1568/getInfo.php?workbook=08_06.xlsx&amp;sheet=U0&amp;row=157&amp;col=11&amp;number=&amp;sourceID=9","")</f>
        <v/>
      </c>
      <c r="L157" s="4" t="str">
        <f>HYPERLINK("http://141.218.60.56/~jnz1568/getInfo.php?workbook=08_06.xlsx&amp;sheet=U0&amp;row=157&amp;col=12&amp;number=4.2552725051&amp;sourceID=10","4.2552725051")</f>
        <v>4.2552725051</v>
      </c>
      <c r="M157" s="4" t="str">
        <f>HYPERLINK("http://141.218.60.56/~jnz1568/getInfo.php?workbook=08_06.xlsx&amp;sheet=U0&amp;row=157&amp;col=13&amp;number=0.101032788499&amp;sourceID=10","0.101032788499")</f>
        <v>0.101032788499</v>
      </c>
    </row>
    <row r="158" spans="1:13">
      <c r="A158" s="3"/>
      <c r="B158" s="3"/>
      <c r="C158" s="3"/>
      <c r="D158" s="3"/>
      <c r="E158" s="3">
        <v>15</v>
      </c>
      <c r="F158" s="4" t="str">
        <f>HYPERLINK("http://141.218.60.56/~jnz1568/getInfo.php?workbook=08_06.xlsx&amp;sheet=U0&amp;row=158&amp;col=6&amp;number=5&amp;sourceID=4","5")</f>
        <v>5</v>
      </c>
      <c r="G158" s="4" t="str">
        <f>HYPERLINK("http://141.218.60.56/~jnz1568/getInfo.php?workbook=08_06.xlsx&amp;sheet=U0&amp;row=158&amp;col=7&amp;number==&amp;sourceID=4","=")</f>
        <v>=</v>
      </c>
      <c r="H158" s="4" t="str">
        <f>HYPERLINK("http://141.218.60.56/~jnz1568/getInfo.php?workbook=08_06.xlsx&amp;sheet=U0&amp;row=158&amp;col=8&amp;number=&amp;sourceID=8","")</f>
        <v/>
      </c>
      <c r="I158" s="4" t="str">
        <f>HYPERLINK("http://141.218.60.56/~jnz1568/getInfo.php?workbook=08_06.xlsx&amp;sheet=U0&amp;row=158&amp;col=9&amp;number=&amp;sourceID=8","")</f>
        <v/>
      </c>
      <c r="J158" s="4" t="str">
        <f>HYPERLINK("http://141.218.60.56/~jnz1568/getInfo.php?workbook=08_06.xlsx&amp;sheet=U0&amp;row=158&amp;col=10&amp;number=&amp;sourceID=9","")</f>
        <v/>
      </c>
      <c r="K158" s="4" t="str">
        <f>HYPERLINK("http://141.218.60.56/~jnz1568/getInfo.php?workbook=08_06.xlsx&amp;sheet=U0&amp;row=158&amp;col=11&amp;number=&amp;sourceID=9","")</f>
        <v/>
      </c>
      <c r="L158" s="4" t="str">
        <f>HYPERLINK("http://141.218.60.56/~jnz1568/getInfo.php?workbook=08_06.xlsx&amp;sheet=U0&amp;row=158&amp;col=12&amp;number=4.27875360095&amp;sourceID=10","4.27875360095")</f>
        <v>4.27875360095</v>
      </c>
      <c r="M158" s="4" t="str">
        <f>HYPERLINK("http://141.218.60.56/~jnz1568/getInfo.php?workbook=08_06.xlsx&amp;sheet=U0&amp;row=158&amp;col=13&amp;number=0.102253779453&amp;sourceID=10","0.102253779453")</f>
        <v>0.102253779453</v>
      </c>
    </row>
    <row r="159" spans="1:13">
      <c r="A159" s="3"/>
      <c r="B159" s="3"/>
      <c r="C159" s="3"/>
      <c r="D159" s="3"/>
      <c r="E159" s="3">
        <v>16</v>
      </c>
      <c r="F159" s="4" t="str">
        <f>HYPERLINK("http://141.218.60.56/~jnz1568/getInfo.php?workbook=08_06.xlsx&amp;sheet=U0&amp;row=159&amp;col=6&amp;number=5.08&amp;sourceID=4","5.08")</f>
        <v>5.08</v>
      </c>
      <c r="G159" s="4" t="str">
        <f>HYPERLINK("http://141.218.60.56/~jnz1568/getInfo.php?workbook=08_06.xlsx&amp;sheet=U0&amp;row=159&amp;col=7&amp;number==&amp;sourceID=4","=")</f>
        <v>=</v>
      </c>
      <c r="H159" s="4" t="str">
        <f>HYPERLINK("http://141.218.60.56/~jnz1568/getInfo.php?workbook=08_06.xlsx&amp;sheet=U0&amp;row=159&amp;col=8&amp;number=&amp;sourceID=8","")</f>
        <v/>
      </c>
      <c r="I159" s="4" t="str">
        <f>HYPERLINK("http://141.218.60.56/~jnz1568/getInfo.php?workbook=08_06.xlsx&amp;sheet=U0&amp;row=159&amp;col=9&amp;number=&amp;sourceID=8","")</f>
        <v/>
      </c>
      <c r="J159" s="4" t="str">
        <f>HYPERLINK("http://141.218.60.56/~jnz1568/getInfo.php?workbook=08_06.xlsx&amp;sheet=U0&amp;row=159&amp;col=10&amp;number=&amp;sourceID=9","")</f>
        <v/>
      </c>
      <c r="K159" s="4" t="str">
        <f>HYPERLINK("http://141.218.60.56/~jnz1568/getInfo.php?workbook=08_06.xlsx&amp;sheet=U0&amp;row=159&amp;col=11&amp;number=&amp;sourceID=9","")</f>
        <v/>
      </c>
      <c r="L159" s="4" t="str">
        <f>HYPERLINK("http://141.218.60.56/~jnz1568/getInfo.php?workbook=08_06.xlsx&amp;sheet=U0&amp;row=159&amp;col=12&amp;number=4.30102999566&amp;sourceID=10","4.30102999566")</f>
        <v>4.30102999566</v>
      </c>
      <c r="M159" s="4" t="str">
        <f>HYPERLINK("http://141.218.60.56/~jnz1568/getInfo.php?workbook=08_06.xlsx&amp;sheet=U0&amp;row=159&amp;col=13&amp;number=0.103366487564&amp;sourceID=10","0.103366487564")</f>
        <v>0.103366487564</v>
      </c>
    </row>
    <row r="160" spans="1:13">
      <c r="A160" s="3"/>
      <c r="B160" s="3"/>
      <c r="C160" s="3"/>
      <c r="D160" s="3"/>
      <c r="E160" s="3">
        <v>17</v>
      </c>
      <c r="F160" s="4" t="str">
        <f>HYPERLINK("http://141.218.60.56/~jnz1568/getInfo.php?workbook=08_06.xlsx&amp;sheet=U0&amp;row=160&amp;col=6&amp;number=5.15&amp;sourceID=4","5.15")</f>
        <v>5.15</v>
      </c>
      <c r="G160" s="4" t="str">
        <f>HYPERLINK("http://141.218.60.56/~jnz1568/getInfo.php?workbook=08_06.xlsx&amp;sheet=U0&amp;row=160&amp;col=7&amp;number==&amp;sourceID=4","=")</f>
        <v>=</v>
      </c>
      <c r="H160" s="4" t="str">
        <f>HYPERLINK("http://141.218.60.56/~jnz1568/getInfo.php?workbook=08_06.xlsx&amp;sheet=U0&amp;row=160&amp;col=8&amp;number=&amp;sourceID=8","")</f>
        <v/>
      </c>
      <c r="I160" s="4" t="str">
        <f>HYPERLINK("http://141.218.60.56/~jnz1568/getInfo.php?workbook=08_06.xlsx&amp;sheet=U0&amp;row=160&amp;col=9&amp;number=&amp;sourceID=8","")</f>
        <v/>
      </c>
      <c r="J160" s="4" t="str">
        <f>HYPERLINK("http://141.218.60.56/~jnz1568/getInfo.php?workbook=08_06.xlsx&amp;sheet=U0&amp;row=160&amp;col=10&amp;number=&amp;sourceID=9","")</f>
        <v/>
      </c>
      <c r="K160" s="4" t="str">
        <f>HYPERLINK("http://141.218.60.56/~jnz1568/getInfo.php?workbook=08_06.xlsx&amp;sheet=U0&amp;row=160&amp;col=11&amp;number=&amp;sourceID=9","")</f>
        <v/>
      </c>
      <c r="L160" s="4" t="str">
        <f>HYPERLINK("http://141.218.60.56/~jnz1568/getInfo.php?workbook=08_06.xlsx&amp;sheet=U0&amp;row=160&amp;col=12&amp;number=&amp;sourceID=10","")</f>
        <v/>
      </c>
      <c r="M160" s="4" t="str">
        <f>HYPERLINK("http://141.218.60.56/~jnz1568/getInfo.php?workbook=08_06.xlsx&amp;sheet=U0&amp;row=160&amp;col=13&amp;number=&amp;sourceID=10","")</f>
        <v/>
      </c>
    </row>
    <row r="161" spans="1:13">
      <c r="A161" s="3"/>
      <c r="B161" s="3"/>
      <c r="C161" s="3"/>
      <c r="D161" s="3"/>
      <c r="E161" s="3">
        <v>18</v>
      </c>
      <c r="F161" s="4" t="str">
        <f>HYPERLINK("http://141.218.60.56/~jnz1568/getInfo.php?workbook=08_06.xlsx&amp;sheet=U0&amp;row=161&amp;col=6&amp;number=5.2&amp;sourceID=4","5.2")</f>
        <v>5.2</v>
      </c>
      <c r="G161" s="4" t="str">
        <f>HYPERLINK("http://141.218.60.56/~jnz1568/getInfo.php?workbook=08_06.xlsx&amp;sheet=U0&amp;row=161&amp;col=7&amp;number==&amp;sourceID=4","=")</f>
        <v>=</v>
      </c>
      <c r="H161" s="4" t="str">
        <f>HYPERLINK("http://141.218.60.56/~jnz1568/getInfo.php?workbook=08_06.xlsx&amp;sheet=U0&amp;row=161&amp;col=8&amp;number=&amp;sourceID=8","")</f>
        <v/>
      </c>
      <c r="I161" s="4" t="str">
        <f>HYPERLINK("http://141.218.60.56/~jnz1568/getInfo.php?workbook=08_06.xlsx&amp;sheet=U0&amp;row=161&amp;col=9&amp;number=&amp;sourceID=8","")</f>
        <v/>
      </c>
      <c r="J161" s="4" t="str">
        <f>HYPERLINK("http://141.218.60.56/~jnz1568/getInfo.php?workbook=08_06.xlsx&amp;sheet=U0&amp;row=161&amp;col=10&amp;number=&amp;sourceID=9","")</f>
        <v/>
      </c>
      <c r="K161" s="4" t="str">
        <f>HYPERLINK("http://141.218.60.56/~jnz1568/getInfo.php?workbook=08_06.xlsx&amp;sheet=U0&amp;row=161&amp;col=11&amp;number=&amp;sourceID=9","")</f>
        <v/>
      </c>
      <c r="L161" s="4" t="str">
        <f>HYPERLINK("http://141.218.60.56/~jnz1568/getInfo.php?workbook=08_06.xlsx&amp;sheet=U0&amp;row=161&amp;col=12&amp;number=&amp;sourceID=10","")</f>
        <v/>
      </c>
      <c r="M161" s="4" t="str">
        <f>HYPERLINK("http://141.218.60.56/~jnz1568/getInfo.php?workbook=08_06.xlsx&amp;sheet=U0&amp;row=161&amp;col=13&amp;number=&amp;sourceID=10","")</f>
        <v/>
      </c>
    </row>
    <row r="162" spans="1:13">
      <c r="A162" s="3"/>
      <c r="B162" s="3"/>
      <c r="C162" s="3"/>
      <c r="D162" s="3"/>
      <c r="E162" s="3">
        <v>19</v>
      </c>
      <c r="F162" s="4" t="str">
        <f>HYPERLINK("http://141.218.60.56/~jnz1568/getInfo.php?workbook=08_06.xlsx&amp;sheet=U0&amp;row=162&amp;col=6&amp;number=5.26&amp;sourceID=4","5.26")</f>
        <v>5.26</v>
      </c>
      <c r="G162" s="4" t="str">
        <f>HYPERLINK("http://141.218.60.56/~jnz1568/getInfo.php?workbook=08_06.xlsx&amp;sheet=U0&amp;row=162&amp;col=7&amp;number==&amp;sourceID=4","=")</f>
        <v>=</v>
      </c>
      <c r="H162" s="4" t="str">
        <f>HYPERLINK("http://141.218.60.56/~jnz1568/getInfo.php?workbook=08_06.xlsx&amp;sheet=U0&amp;row=162&amp;col=8&amp;number=&amp;sourceID=8","")</f>
        <v/>
      </c>
      <c r="I162" s="4" t="str">
        <f>HYPERLINK("http://141.218.60.56/~jnz1568/getInfo.php?workbook=08_06.xlsx&amp;sheet=U0&amp;row=162&amp;col=9&amp;number=&amp;sourceID=8","")</f>
        <v/>
      </c>
      <c r="J162" s="4" t="str">
        <f>HYPERLINK("http://141.218.60.56/~jnz1568/getInfo.php?workbook=08_06.xlsx&amp;sheet=U0&amp;row=162&amp;col=10&amp;number=&amp;sourceID=9","")</f>
        <v/>
      </c>
      <c r="K162" s="4" t="str">
        <f>HYPERLINK("http://141.218.60.56/~jnz1568/getInfo.php?workbook=08_06.xlsx&amp;sheet=U0&amp;row=162&amp;col=11&amp;number=&amp;sourceID=9","")</f>
        <v/>
      </c>
      <c r="L162" s="4" t="str">
        <f>HYPERLINK("http://141.218.60.56/~jnz1568/getInfo.php?workbook=08_06.xlsx&amp;sheet=U0&amp;row=162&amp;col=12&amp;number=&amp;sourceID=10","")</f>
        <v/>
      </c>
      <c r="M162" s="4" t="str">
        <f>HYPERLINK("http://141.218.60.56/~jnz1568/getInfo.php?workbook=08_06.xlsx&amp;sheet=U0&amp;row=162&amp;col=13&amp;number=&amp;sourceID=10","")</f>
        <v/>
      </c>
    </row>
    <row r="163" spans="1:13">
      <c r="A163" s="3"/>
      <c r="B163" s="3"/>
      <c r="C163" s="3"/>
      <c r="D163" s="3"/>
      <c r="E163" s="3">
        <v>20</v>
      </c>
      <c r="F163" s="4" t="str">
        <f>HYPERLINK("http://141.218.60.56/~jnz1568/getInfo.php?workbook=08_06.xlsx&amp;sheet=U0&amp;row=163&amp;col=6&amp;number=5.3&amp;sourceID=4","5.3")</f>
        <v>5.3</v>
      </c>
      <c r="G163" s="4" t="str">
        <f>HYPERLINK("http://141.218.60.56/~jnz1568/getInfo.php?workbook=08_06.xlsx&amp;sheet=U0&amp;row=163&amp;col=7&amp;number==&amp;sourceID=4","=")</f>
        <v>=</v>
      </c>
      <c r="H163" s="4" t="str">
        <f>HYPERLINK("http://141.218.60.56/~jnz1568/getInfo.php?workbook=08_06.xlsx&amp;sheet=U0&amp;row=163&amp;col=8&amp;number=&amp;sourceID=8","")</f>
        <v/>
      </c>
      <c r="I163" s="4" t="str">
        <f>HYPERLINK("http://141.218.60.56/~jnz1568/getInfo.php?workbook=08_06.xlsx&amp;sheet=U0&amp;row=163&amp;col=9&amp;number=&amp;sourceID=8","")</f>
        <v/>
      </c>
      <c r="J163" s="4" t="str">
        <f>HYPERLINK("http://141.218.60.56/~jnz1568/getInfo.php?workbook=08_06.xlsx&amp;sheet=U0&amp;row=163&amp;col=10&amp;number=&amp;sourceID=9","")</f>
        <v/>
      </c>
      <c r="K163" s="4" t="str">
        <f>HYPERLINK("http://141.218.60.56/~jnz1568/getInfo.php?workbook=08_06.xlsx&amp;sheet=U0&amp;row=163&amp;col=11&amp;number=&amp;sourceID=9","")</f>
        <v/>
      </c>
      <c r="L163" s="4" t="str">
        <f>HYPERLINK("http://141.218.60.56/~jnz1568/getInfo.php?workbook=08_06.xlsx&amp;sheet=U0&amp;row=163&amp;col=12&amp;number=&amp;sourceID=10","")</f>
        <v/>
      </c>
      <c r="M163" s="4" t="str">
        <f>HYPERLINK("http://141.218.60.56/~jnz1568/getInfo.php?workbook=08_06.xlsx&amp;sheet=U0&amp;row=163&amp;col=13&amp;number=&amp;sourceID=10","")</f>
        <v/>
      </c>
    </row>
    <row r="164" spans="1:13">
      <c r="A164" s="3">
        <v>8</v>
      </c>
      <c r="B164" s="3">
        <v>6</v>
      </c>
      <c r="C164" s="3">
        <v>5</v>
      </c>
      <c r="D164" s="3">
        <v>3</v>
      </c>
      <c r="E164" s="3">
        <v>1</v>
      </c>
      <c r="F164" s="4" t="str">
        <f>HYPERLINK("http://141.218.60.56/~jnz1568/getInfo.php?workbook=08_06.xlsx&amp;sheet=U0&amp;row=164&amp;col=6&amp;number=3.4&amp;sourceID=4","3.4")</f>
        <v>3.4</v>
      </c>
      <c r="G164" s="4" t="str">
        <f>HYPERLINK("http://141.218.60.56/~jnz1568/getInfo.php?workbook=08_06.xlsx&amp;sheet=U0&amp;row=164&amp;col=7&amp;number==G124*5&amp;sourceID=4","=G124*5")</f>
        <v>=G124*5</v>
      </c>
      <c r="H164" s="4" t="str">
        <f>HYPERLINK("http://141.218.60.56/~jnz1568/getInfo.php?workbook=08_06.xlsx&amp;sheet=U0&amp;row=164&amp;col=8&amp;number=2&amp;sourceID=8","2")</f>
        <v>2</v>
      </c>
      <c r="I164" s="4" t="str">
        <f>HYPERLINK("http://141.218.60.56/~jnz1568/getInfo.php?workbook=08_06.xlsx&amp;sheet=U0&amp;row=164&amp;col=9&amp;number=0.285&amp;sourceID=8","0.285")</f>
        <v>0.285</v>
      </c>
      <c r="J164" s="4" t="str">
        <f>HYPERLINK("http://141.218.60.56/~jnz1568/getInfo.php?workbook=08_06.xlsx&amp;sheet=U0&amp;row=164&amp;col=10&amp;number=3&amp;sourceID=9","3")</f>
        <v>3</v>
      </c>
      <c r="K164" s="4" t="str">
        <f>HYPERLINK("http://141.218.60.56/~jnz1568/getInfo.php?workbook=08_06.xlsx&amp;sheet=U0&amp;row=164&amp;col=11&amp;number=0.153&amp;sourceID=9","0.153")</f>
        <v>0.153</v>
      </c>
      <c r="L164" s="4" t="str">
        <f>HYPERLINK("http://141.218.60.56/~jnz1568/getInfo.php?workbook=08_06.xlsx&amp;sheet=U0&amp;row=164&amp;col=12&amp;number=3.69897000434&amp;sourceID=10","3.69897000434")</f>
        <v>3.69897000434</v>
      </c>
      <c r="M164" s="4" t="str">
        <f>HYPERLINK("http://141.218.60.56/~jnz1568/getInfo.php?workbook=08_06.xlsx&amp;sheet=U0&amp;row=164&amp;col=13&amp;number=0.11165177667&amp;sourceID=10","0.11165177667")</f>
        <v>0.11165177667</v>
      </c>
    </row>
    <row r="165" spans="1:13">
      <c r="A165" s="3"/>
      <c r="B165" s="3"/>
      <c r="C165" s="3"/>
      <c r="D165" s="3"/>
      <c r="E165" s="3">
        <v>2</v>
      </c>
      <c r="F165" s="4" t="str">
        <f>HYPERLINK("http://141.218.60.56/~jnz1568/getInfo.php?workbook=08_06.xlsx&amp;sheet=U0&amp;row=165&amp;col=6&amp;number=3.7&amp;sourceID=4","3.7")</f>
        <v>3.7</v>
      </c>
      <c r="G165" s="4" t="str">
        <f>HYPERLINK("http://141.218.60.56/~jnz1568/getInfo.php?workbook=08_06.xlsx&amp;sheet=U0&amp;row=165&amp;col=7&amp;number==&amp;sourceID=4","=")</f>
        <v>=</v>
      </c>
      <c r="H165" s="4" t="str">
        <f>HYPERLINK("http://141.218.60.56/~jnz1568/getInfo.php?workbook=08_06.xlsx&amp;sheet=U0&amp;row=165&amp;col=8&amp;number=2.69897000434&amp;sourceID=8","2.69897000434")</f>
        <v>2.69897000434</v>
      </c>
      <c r="I165" s="4" t="str">
        <f>HYPERLINK("http://141.218.60.56/~jnz1568/getInfo.php?workbook=08_06.xlsx&amp;sheet=U0&amp;row=165&amp;col=9&amp;number=0.2587&amp;sourceID=8","0.2587")</f>
        <v>0.2587</v>
      </c>
      <c r="J165" s="4" t="str">
        <f>HYPERLINK("http://141.218.60.56/~jnz1568/getInfo.php?workbook=08_06.xlsx&amp;sheet=U0&amp;row=165&amp;col=10&amp;number=3.2&amp;sourceID=9","3.2")</f>
        <v>3.2</v>
      </c>
      <c r="K165" s="4" t="str">
        <f>HYPERLINK("http://141.218.60.56/~jnz1568/getInfo.php?workbook=08_06.xlsx&amp;sheet=U0&amp;row=165&amp;col=11&amp;number=0.152111111111&amp;sourceID=9","0.152111111111")</f>
        <v>0.152111111111</v>
      </c>
      <c r="L165" s="4" t="str">
        <f>HYPERLINK("http://141.218.60.56/~jnz1568/getInfo.php?workbook=08_06.xlsx&amp;sheet=U0&amp;row=165&amp;col=12&amp;number=3.77815125038&amp;sourceID=10","3.77815125038")</f>
        <v>3.77815125038</v>
      </c>
      <c r="M165" s="4" t="str">
        <f>HYPERLINK("http://141.218.60.56/~jnz1568/getInfo.php?workbook=08_06.xlsx&amp;sheet=U0&amp;row=165&amp;col=13&amp;number=0.11784383018&amp;sourceID=10","0.11784383018")</f>
        <v>0.11784383018</v>
      </c>
    </row>
    <row r="166" spans="1:13">
      <c r="A166" s="3"/>
      <c r="B166" s="3"/>
      <c r="C166" s="3"/>
      <c r="D166" s="3"/>
      <c r="E166" s="3">
        <v>3</v>
      </c>
      <c r="F166" s="4" t="str">
        <f>HYPERLINK("http://141.218.60.56/~jnz1568/getInfo.php?workbook=08_06.xlsx&amp;sheet=U0&amp;row=166&amp;col=6&amp;number=3.88&amp;sourceID=4","3.88")</f>
        <v>3.88</v>
      </c>
      <c r="G166" s="4" t="str">
        <f>HYPERLINK("http://141.218.60.56/~jnz1568/getInfo.php?workbook=08_06.xlsx&amp;sheet=U0&amp;row=166&amp;col=7&amp;number==&amp;sourceID=4","=")</f>
        <v>=</v>
      </c>
      <c r="H166" s="4" t="str">
        <f>HYPERLINK("http://141.218.60.56/~jnz1568/getInfo.php?workbook=08_06.xlsx&amp;sheet=U0&amp;row=166&amp;col=8&amp;number=3&amp;sourceID=8","3")</f>
        <v>3</v>
      </c>
      <c r="I166" s="4" t="str">
        <f>HYPERLINK("http://141.218.60.56/~jnz1568/getInfo.php?workbook=08_06.xlsx&amp;sheet=U0&amp;row=166&amp;col=9&amp;number=0.2421&amp;sourceID=8","0.2421")</f>
        <v>0.2421</v>
      </c>
      <c r="J166" s="4" t="str">
        <f>HYPERLINK("http://141.218.60.56/~jnz1568/getInfo.php?workbook=08_06.xlsx&amp;sheet=U0&amp;row=166&amp;col=10&amp;number=3.4&amp;sourceID=9","3.4")</f>
        <v>3.4</v>
      </c>
      <c r="K166" s="4" t="str">
        <f>HYPERLINK("http://141.218.60.56/~jnz1568/getInfo.php?workbook=08_06.xlsx&amp;sheet=U0&amp;row=166&amp;col=11&amp;number=0.150722222222&amp;sourceID=9","0.150722222222")</f>
        <v>0.150722222222</v>
      </c>
      <c r="L166" s="4" t="str">
        <f>HYPERLINK("http://141.218.60.56/~jnz1568/getInfo.php?workbook=08_06.xlsx&amp;sheet=U0&amp;row=166&amp;col=12&amp;number=3.84509804001&amp;sourceID=10","3.84509804001")</f>
        <v>3.84509804001</v>
      </c>
      <c r="M166" s="4" t="str">
        <f>HYPERLINK("http://141.218.60.56/~jnz1568/getInfo.php?workbook=08_06.xlsx&amp;sheet=U0&amp;row=166&amp;col=13&amp;number=0.124316126029&amp;sourceID=10","0.124316126029")</f>
        <v>0.124316126029</v>
      </c>
    </row>
    <row r="167" spans="1:13">
      <c r="A167" s="3"/>
      <c r="B167" s="3"/>
      <c r="C167" s="3"/>
      <c r="D167" s="3"/>
      <c r="E167" s="3">
        <v>4</v>
      </c>
      <c r="F167" s="4" t="str">
        <f>HYPERLINK("http://141.218.60.56/~jnz1568/getInfo.php?workbook=08_06.xlsx&amp;sheet=U0&amp;row=167&amp;col=6&amp;number=4&amp;sourceID=4","4")</f>
        <v>4</v>
      </c>
      <c r="G167" s="4" t="str">
        <f>HYPERLINK("http://141.218.60.56/~jnz1568/getInfo.php?workbook=08_06.xlsx&amp;sheet=U0&amp;row=167&amp;col=7&amp;number==&amp;sourceID=4","=")</f>
        <v>=</v>
      </c>
      <c r="H167" s="4" t="str">
        <f>HYPERLINK("http://141.218.60.56/~jnz1568/getInfo.php?workbook=08_06.xlsx&amp;sheet=U0&amp;row=167&amp;col=8&amp;number=3.69897000434&amp;sourceID=8","3.69897000434")</f>
        <v>3.69897000434</v>
      </c>
      <c r="I167" s="4" t="str">
        <f>HYPERLINK("http://141.218.60.56/~jnz1568/getInfo.php?workbook=08_06.xlsx&amp;sheet=U0&amp;row=167&amp;col=9&amp;number=0.2045&amp;sourceID=8","0.2045")</f>
        <v>0.2045</v>
      </c>
      <c r="J167" s="4" t="str">
        <f>HYPERLINK("http://141.218.60.56/~jnz1568/getInfo.php?workbook=08_06.xlsx&amp;sheet=U0&amp;row=167&amp;col=10&amp;number=3.6&amp;sourceID=9","3.6")</f>
        <v>3.6</v>
      </c>
      <c r="K167" s="4" t="str">
        <f>HYPERLINK("http://141.218.60.56/~jnz1568/getInfo.php?workbook=08_06.xlsx&amp;sheet=U0&amp;row=167&amp;col=11&amp;number=0.149611111111&amp;sourceID=9","0.149611111111")</f>
        <v>0.149611111111</v>
      </c>
      <c r="L167" s="4" t="str">
        <f>HYPERLINK("http://141.218.60.56/~jnz1568/getInfo.php?workbook=08_06.xlsx&amp;sheet=U0&amp;row=167&amp;col=12&amp;number=3.90308998699&amp;sourceID=10","3.90308998699")</f>
        <v>3.90308998699</v>
      </c>
      <c r="M167" s="4" t="str">
        <f>HYPERLINK("http://141.218.60.56/~jnz1568/getInfo.php?workbook=08_06.xlsx&amp;sheet=U0&amp;row=167&amp;col=13&amp;number=0.130567936904&amp;sourceID=10","0.130567936904")</f>
        <v>0.130567936904</v>
      </c>
    </row>
    <row r="168" spans="1:13">
      <c r="A168" s="3"/>
      <c r="B168" s="3"/>
      <c r="C168" s="3"/>
      <c r="D168" s="3"/>
      <c r="E168" s="3">
        <v>5</v>
      </c>
      <c r="F168" s="4" t="str">
        <f>HYPERLINK("http://141.218.60.56/~jnz1568/getInfo.php?workbook=08_06.xlsx&amp;sheet=U0&amp;row=168&amp;col=6&amp;number=4.1&amp;sourceID=4","4.1")</f>
        <v>4.1</v>
      </c>
      <c r="G168" s="4" t="str">
        <f>HYPERLINK("http://141.218.60.56/~jnz1568/getInfo.php?workbook=08_06.xlsx&amp;sheet=U0&amp;row=168&amp;col=7&amp;number==&amp;sourceID=4","=")</f>
        <v>=</v>
      </c>
      <c r="H168" s="4" t="str">
        <f>HYPERLINK("http://141.218.60.56/~jnz1568/getInfo.php?workbook=08_06.xlsx&amp;sheet=U0&amp;row=168&amp;col=8&amp;number=4&amp;sourceID=8","4")</f>
        <v>4</v>
      </c>
      <c r="I168" s="4" t="str">
        <f>HYPERLINK("http://141.218.60.56/~jnz1568/getInfo.php?workbook=08_06.xlsx&amp;sheet=U0&amp;row=168&amp;col=9&amp;number=0.2046&amp;sourceID=8","0.2046")</f>
        <v>0.2046</v>
      </c>
      <c r="J168" s="4" t="str">
        <f>HYPERLINK("http://141.218.60.56/~jnz1568/getInfo.php?workbook=08_06.xlsx&amp;sheet=U0&amp;row=168&amp;col=10&amp;number=3.8&amp;sourceID=9","3.8")</f>
        <v>3.8</v>
      </c>
      <c r="K168" s="4" t="str">
        <f>HYPERLINK("http://141.218.60.56/~jnz1568/getInfo.php?workbook=08_06.xlsx&amp;sheet=U0&amp;row=168&amp;col=11&amp;number=0.152611111111&amp;sourceID=9","0.152611111111")</f>
        <v>0.152611111111</v>
      </c>
      <c r="L168" s="4" t="str">
        <f>HYPERLINK("http://141.218.60.56/~jnz1568/getInfo.php?workbook=08_06.xlsx&amp;sheet=U0&amp;row=168&amp;col=12&amp;number=3.95424250944&amp;sourceID=10","3.95424250944")</f>
        <v>3.95424250944</v>
      </c>
      <c r="M168" s="4" t="str">
        <f>HYPERLINK("http://141.218.60.56/~jnz1568/getInfo.php?workbook=08_06.xlsx&amp;sheet=U0&amp;row=168&amp;col=13&amp;number=0.136372642958&amp;sourceID=10","0.136372642958")</f>
        <v>0.136372642958</v>
      </c>
    </row>
    <row r="169" spans="1:13">
      <c r="A169" s="3"/>
      <c r="B169" s="3"/>
      <c r="C169" s="3"/>
      <c r="D169" s="3"/>
      <c r="E169" s="3">
        <v>6</v>
      </c>
      <c r="F169" s="4" t="str">
        <f>HYPERLINK("http://141.218.60.56/~jnz1568/getInfo.php?workbook=08_06.xlsx&amp;sheet=U0&amp;row=169&amp;col=6&amp;number=4.18&amp;sourceID=4","4.18")</f>
        <v>4.18</v>
      </c>
      <c r="G169" s="4" t="str">
        <f>HYPERLINK("http://141.218.60.56/~jnz1568/getInfo.php?workbook=08_06.xlsx&amp;sheet=U0&amp;row=169&amp;col=7&amp;number==&amp;sourceID=4","=")</f>
        <v>=</v>
      </c>
      <c r="H169" s="4" t="str">
        <f>HYPERLINK("http://141.218.60.56/~jnz1568/getInfo.php?workbook=08_06.xlsx&amp;sheet=U0&amp;row=169&amp;col=8&amp;number=4.30102999566&amp;sourceID=8","4.30102999566")</f>
        <v>4.30102999566</v>
      </c>
      <c r="I169" s="4" t="str">
        <f>HYPERLINK("http://141.218.60.56/~jnz1568/getInfo.php?workbook=08_06.xlsx&amp;sheet=U0&amp;row=169&amp;col=9&amp;number=0.217&amp;sourceID=8","0.217")</f>
        <v>0.217</v>
      </c>
      <c r="J169" s="4" t="str">
        <f>HYPERLINK("http://141.218.60.56/~jnz1568/getInfo.php?workbook=08_06.xlsx&amp;sheet=U0&amp;row=169&amp;col=10&amp;number=4&amp;sourceID=9","4")</f>
        <v>4</v>
      </c>
      <c r="K169" s="4" t="str">
        <f>HYPERLINK("http://141.218.60.56/~jnz1568/getInfo.php?workbook=08_06.xlsx&amp;sheet=U0&amp;row=169&amp;col=11&amp;number=0.1625&amp;sourceID=9","0.1625")</f>
        <v>0.1625</v>
      </c>
      <c r="L169" s="4" t="str">
        <f>HYPERLINK("http://141.218.60.56/~jnz1568/getInfo.php?workbook=08_06.xlsx&amp;sheet=U0&amp;row=169&amp;col=12&amp;number=4&amp;sourceID=10","4")</f>
        <v>4</v>
      </c>
      <c r="M169" s="4" t="str">
        <f>HYPERLINK("http://141.218.60.56/~jnz1568/getInfo.php?workbook=08_06.xlsx&amp;sheet=U0&amp;row=169&amp;col=13&amp;number=0.14165212264&amp;sourceID=10","0.14165212264")</f>
        <v>0.14165212264</v>
      </c>
    </row>
    <row r="170" spans="1:13">
      <c r="A170" s="3"/>
      <c r="B170" s="3"/>
      <c r="C170" s="3"/>
      <c r="D170" s="3"/>
      <c r="E170" s="3">
        <v>7</v>
      </c>
      <c r="F170" s="4" t="str">
        <f>HYPERLINK("http://141.218.60.56/~jnz1568/getInfo.php?workbook=08_06.xlsx&amp;sheet=U0&amp;row=170&amp;col=6&amp;number=4.24&amp;sourceID=4","4.24")</f>
        <v>4.24</v>
      </c>
      <c r="G170" s="4" t="str">
        <f>HYPERLINK("http://141.218.60.56/~jnz1568/getInfo.php?workbook=08_06.xlsx&amp;sheet=U0&amp;row=170&amp;col=7&amp;number==&amp;sourceID=4","=")</f>
        <v>=</v>
      </c>
      <c r="H170" s="4" t="str">
        <f>HYPERLINK("http://141.218.60.56/~jnz1568/getInfo.php?workbook=08_06.xlsx&amp;sheet=U0&amp;row=170&amp;col=8&amp;number=4.47712125472&amp;sourceID=8","4.47712125472")</f>
        <v>4.47712125472</v>
      </c>
      <c r="I170" s="4" t="str">
        <f>HYPERLINK("http://141.218.60.56/~jnz1568/getInfo.php?workbook=08_06.xlsx&amp;sheet=U0&amp;row=170&amp;col=9&amp;number=0.2235&amp;sourceID=8","0.2235")</f>
        <v>0.2235</v>
      </c>
      <c r="J170" s="4" t="str">
        <f>HYPERLINK("http://141.218.60.56/~jnz1568/getInfo.php?workbook=08_06.xlsx&amp;sheet=U0&amp;row=170&amp;col=10&amp;number=4.2&amp;sourceID=9","4.2")</f>
        <v>4.2</v>
      </c>
      <c r="K170" s="4" t="str">
        <f>HYPERLINK("http://141.218.60.56/~jnz1568/getInfo.php?workbook=08_06.xlsx&amp;sheet=U0&amp;row=170&amp;col=11&amp;number=0.176333333333&amp;sourceID=9","0.176333333333")</f>
        <v>0.176333333333</v>
      </c>
      <c r="L170" s="4" t="str">
        <f>HYPERLINK("http://141.218.60.56/~jnz1568/getInfo.php?workbook=08_06.xlsx&amp;sheet=U0&amp;row=170&amp;col=12&amp;number=4.04139268516&amp;sourceID=10","4.04139268516")</f>
        <v>4.04139268516</v>
      </c>
      <c r="M170" s="4" t="str">
        <f>HYPERLINK("http://141.218.60.56/~jnz1568/getInfo.php?workbook=08_06.xlsx&amp;sheet=U0&amp;row=170&amp;col=13&amp;number=0.14640336661&amp;sourceID=10","0.14640336661")</f>
        <v>0.14640336661</v>
      </c>
    </row>
    <row r="171" spans="1:13">
      <c r="A171" s="3"/>
      <c r="B171" s="3"/>
      <c r="C171" s="3"/>
      <c r="D171" s="3"/>
      <c r="E171" s="3">
        <v>8</v>
      </c>
      <c r="F171" s="4" t="str">
        <f>HYPERLINK("http://141.218.60.56/~jnz1568/getInfo.php?workbook=08_06.xlsx&amp;sheet=U0&amp;row=171&amp;col=6&amp;number=4.3&amp;sourceID=4","4.3")</f>
        <v>4.3</v>
      </c>
      <c r="G171" s="4" t="str">
        <f>HYPERLINK("http://141.218.60.56/~jnz1568/getInfo.php?workbook=08_06.xlsx&amp;sheet=U0&amp;row=171&amp;col=7&amp;number==&amp;sourceID=4","=")</f>
        <v>=</v>
      </c>
      <c r="H171" s="4" t="str">
        <f>HYPERLINK("http://141.218.60.56/~jnz1568/getInfo.php?workbook=08_06.xlsx&amp;sheet=U0&amp;row=171&amp;col=8&amp;number=&amp;sourceID=8","")</f>
        <v/>
      </c>
      <c r="I171" s="4" t="str">
        <f>HYPERLINK("http://141.218.60.56/~jnz1568/getInfo.php?workbook=08_06.xlsx&amp;sheet=U0&amp;row=171&amp;col=9&amp;number=&amp;sourceID=8","")</f>
        <v/>
      </c>
      <c r="J171" s="4" t="str">
        <f>HYPERLINK("http://141.218.60.56/~jnz1568/getInfo.php?workbook=08_06.xlsx&amp;sheet=U0&amp;row=171&amp;col=10&amp;number=4.4&amp;sourceID=9","4.4")</f>
        <v>4.4</v>
      </c>
      <c r="K171" s="4" t="str">
        <f>HYPERLINK("http://141.218.60.56/~jnz1568/getInfo.php?workbook=08_06.xlsx&amp;sheet=U0&amp;row=171&amp;col=11&amp;number=0.189166666667&amp;sourceID=9","0.189166666667")</f>
        <v>0.189166666667</v>
      </c>
      <c r="L171" s="4" t="str">
        <f>HYPERLINK("http://141.218.60.56/~jnz1568/getInfo.php?workbook=08_06.xlsx&amp;sheet=U0&amp;row=171&amp;col=12&amp;number=4.07918124605&amp;sourceID=10","4.07918124605")</f>
        <v>4.07918124605</v>
      </c>
      <c r="M171" s="4" t="str">
        <f>HYPERLINK("http://141.218.60.56/~jnz1568/getInfo.php?workbook=08_06.xlsx&amp;sheet=U0&amp;row=171&amp;col=13&amp;number=0.15065854803&amp;sourceID=10","0.15065854803")</f>
        <v>0.15065854803</v>
      </c>
    </row>
    <row r="172" spans="1:13">
      <c r="A172" s="3"/>
      <c r="B172" s="3"/>
      <c r="C172" s="3"/>
      <c r="D172" s="3"/>
      <c r="E172" s="3">
        <v>9</v>
      </c>
      <c r="F172" s="4" t="str">
        <f>HYPERLINK("http://141.218.60.56/~jnz1568/getInfo.php?workbook=08_06.xlsx&amp;sheet=U0&amp;row=172&amp;col=6&amp;number=4.4&amp;sourceID=4","4.4")</f>
        <v>4.4</v>
      </c>
      <c r="G172" s="4" t="str">
        <f>HYPERLINK("http://141.218.60.56/~jnz1568/getInfo.php?workbook=08_06.xlsx&amp;sheet=U0&amp;row=172&amp;col=7&amp;number==&amp;sourceID=4","=")</f>
        <v>=</v>
      </c>
      <c r="H172" s="4" t="str">
        <f>HYPERLINK("http://141.218.60.56/~jnz1568/getInfo.php?workbook=08_06.xlsx&amp;sheet=U0&amp;row=172&amp;col=8&amp;number=&amp;sourceID=8","")</f>
        <v/>
      </c>
      <c r="I172" s="4" t="str">
        <f>HYPERLINK("http://141.218.60.56/~jnz1568/getInfo.php?workbook=08_06.xlsx&amp;sheet=U0&amp;row=172&amp;col=9&amp;number=&amp;sourceID=8","")</f>
        <v/>
      </c>
      <c r="J172" s="4" t="str">
        <f>HYPERLINK("http://141.218.60.56/~jnz1568/getInfo.php?workbook=08_06.xlsx&amp;sheet=U0&amp;row=172&amp;col=10&amp;number=4.6&amp;sourceID=9","4.6")</f>
        <v>4.6</v>
      </c>
      <c r="K172" s="4" t="str">
        <f>HYPERLINK("http://141.218.60.56/~jnz1568/getInfo.php?workbook=08_06.xlsx&amp;sheet=U0&amp;row=172&amp;col=11&amp;number=0.197944444444&amp;sourceID=9","0.197944444444")</f>
        <v>0.197944444444</v>
      </c>
      <c r="L172" s="4" t="str">
        <f>HYPERLINK("http://141.218.60.56/~jnz1568/getInfo.php?workbook=08_06.xlsx&amp;sheet=U0&amp;row=172&amp;col=12&amp;number=4.11394335231&amp;sourceID=10","4.11394335231")</f>
        <v>4.11394335231</v>
      </c>
      <c r="M172" s="4" t="str">
        <f>HYPERLINK("http://141.218.60.56/~jnz1568/getInfo.php?workbook=08_06.xlsx&amp;sheet=U0&amp;row=172&amp;col=13&amp;number=0.15446400527&amp;sourceID=10","0.15446400527")</f>
        <v>0.15446400527</v>
      </c>
    </row>
    <row r="173" spans="1:13">
      <c r="A173" s="3"/>
      <c r="B173" s="3"/>
      <c r="C173" s="3"/>
      <c r="D173" s="3"/>
      <c r="E173" s="3">
        <v>10</v>
      </c>
      <c r="F173" s="4" t="str">
        <f>HYPERLINK("http://141.218.60.56/~jnz1568/getInfo.php?workbook=08_06.xlsx&amp;sheet=U0&amp;row=173&amp;col=6&amp;number=4.48&amp;sourceID=4","4.48")</f>
        <v>4.48</v>
      </c>
      <c r="G173" s="4" t="str">
        <f>HYPERLINK("http://141.218.60.56/~jnz1568/getInfo.php?workbook=08_06.xlsx&amp;sheet=U0&amp;row=173&amp;col=7&amp;number==&amp;sourceID=4","=")</f>
        <v>=</v>
      </c>
      <c r="H173" s="4" t="str">
        <f>HYPERLINK("http://141.218.60.56/~jnz1568/getInfo.php?workbook=08_06.xlsx&amp;sheet=U0&amp;row=173&amp;col=8&amp;number=&amp;sourceID=8","")</f>
        <v/>
      </c>
      <c r="I173" s="4" t="str">
        <f>HYPERLINK("http://141.218.60.56/~jnz1568/getInfo.php?workbook=08_06.xlsx&amp;sheet=U0&amp;row=173&amp;col=9&amp;number=&amp;sourceID=8","")</f>
        <v/>
      </c>
      <c r="J173" s="4" t="str">
        <f>HYPERLINK("http://141.218.60.56/~jnz1568/getInfo.php?workbook=08_06.xlsx&amp;sheet=U0&amp;row=173&amp;col=10&amp;number=4.8&amp;sourceID=9","4.8")</f>
        <v>4.8</v>
      </c>
      <c r="K173" s="4" t="str">
        <f>HYPERLINK("http://141.218.60.56/~jnz1568/getInfo.php?workbook=08_06.xlsx&amp;sheet=U0&amp;row=173&amp;col=11&amp;number=0.201166666667&amp;sourceID=9","0.201166666667")</f>
        <v>0.201166666667</v>
      </c>
      <c r="L173" s="4" t="str">
        <f>HYPERLINK("http://141.218.60.56/~jnz1568/getInfo.php?workbook=08_06.xlsx&amp;sheet=U0&amp;row=173&amp;col=12&amp;number=4.14612803568&amp;sourceID=10","4.14612803568")</f>
        <v>4.14612803568</v>
      </c>
      <c r="M173" s="4" t="str">
        <f>HYPERLINK("http://141.218.60.56/~jnz1568/getInfo.php?workbook=08_06.xlsx&amp;sheet=U0&amp;row=173&amp;col=13&amp;number=0.15786950077&amp;sourceID=10","0.15786950077")</f>
        <v>0.15786950077</v>
      </c>
    </row>
    <row r="174" spans="1:13">
      <c r="A174" s="3"/>
      <c r="B174" s="3"/>
      <c r="C174" s="3"/>
      <c r="D174" s="3"/>
      <c r="E174" s="3">
        <v>11</v>
      </c>
      <c r="F174" s="4" t="str">
        <f>HYPERLINK("http://141.218.60.56/~jnz1568/getInfo.php?workbook=08_06.xlsx&amp;sheet=U0&amp;row=174&amp;col=6&amp;number=4.6&amp;sourceID=4","4.6")</f>
        <v>4.6</v>
      </c>
      <c r="G174" s="4" t="str">
        <f>HYPERLINK("http://141.218.60.56/~jnz1568/getInfo.php?workbook=08_06.xlsx&amp;sheet=U0&amp;row=174&amp;col=7&amp;number==&amp;sourceID=4","=")</f>
        <v>=</v>
      </c>
      <c r="H174" s="4" t="str">
        <f>HYPERLINK("http://141.218.60.56/~jnz1568/getInfo.php?workbook=08_06.xlsx&amp;sheet=U0&amp;row=174&amp;col=8&amp;number=&amp;sourceID=8","")</f>
        <v/>
      </c>
      <c r="I174" s="4" t="str">
        <f>HYPERLINK("http://141.218.60.56/~jnz1568/getInfo.php?workbook=08_06.xlsx&amp;sheet=U0&amp;row=174&amp;col=9&amp;number=&amp;sourceID=8","")</f>
        <v/>
      </c>
      <c r="J174" s="4" t="str">
        <f>HYPERLINK("http://141.218.60.56/~jnz1568/getInfo.php?workbook=08_06.xlsx&amp;sheet=U0&amp;row=174&amp;col=10&amp;number=5&amp;sourceID=9","5")</f>
        <v>5</v>
      </c>
      <c r="K174" s="4" t="str">
        <f>HYPERLINK("http://141.218.60.56/~jnz1568/getInfo.php?workbook=08_06.xlsx&amp;sheet=U0&amp;row=174&amp;col=11&amp;number=0.198388888889&amp;sourceID=9","0.198388888889")</f>
        <v>0.198388888889</v>
      </c>
      <c r="L174" s="4" t="str">
        <f>HYPERLINK("http://141.218.60.56/~jnz1568/getInfo.php?workbook=08_06.xlsx&amp;sheet=U0&amp;row=174&amp;col=12&amp;number=4.17609125906&amp;sourceID=10","4.17609125906")</f>
        <v>4.17609125906</v>
      </c>
      <c r="M174" s="4" t="str">
        <f>HYPERLINK("http://141.218.60.56/~jnz1568/getInfo.php?workbook=08_06.xlsx&amp;sheet=U0&amp;row=174&amp;col=13&amp;number=0.16092298636&amp;sourceID=10","0.16092298636")</f>
        <v>0.16092298636</v>
      </c>
    </row>
    <row r="175" spans="1:13">
      <c r="A175" s="3"/>
      <c r="B175" s="3"/>
      <c r="C175" s="3"/>
      <c r="D175" s="3"/>
      <c r="E175" s="3">
        <v>12</v>
      </c>
      <c r="F175" s="4" t="str">
        <f>HYPERLINK("http://141.218.60.56/~jnz1568/getInfo.php?workbook=08_06.xlsx&amp;sheet=U0&amp;row=175&amp;col=6&amp;number=4.7&amp;sourceID=4","4.7")</f>
        <v>4.7</v>
      </c>
      <c r="G175" s="4" t="str">
        <f>HYPERLINK("http://141.218.60.56/~jnz1568/getInfo.php?workbook=08_06.xlsx&amp;sheet=U0&amp;row=175&amp;col=7&amp;number==&amp;sourceID=4","=")</f>
        <v>=</v>
      </c>
      <c r="H175" s="4" t="str">
        <f>HYPERLINK("http://141.218.60.56/~jnz1568/getInfo.php?workbook=08_06.xlsx&amp;sheet=U0&amp;row=175&amp;col=8&amp;number=&amp;sourceID=8","")</f>
        <v/>
      </c>
      <c r="I175" s="4" t="str">
        <f>HYPERLINK("http://141.218.60.56/~jnz1568/getInfo.php?workbook=08_06.xlsx&amp;sheet=U0&amp;row=175&amp;col=9&amp;number=&amp;sourceID=8","")</f>
        <v/>
      </c>
      <c r="J175" s="4" t="str">
        <f>HYPERLINK("http://141.218.60.56/~jnz1568/getInfo.php?workbook=08_06.xlsx&amp;sheet=U0&amp;row=175&amp;col=10&amp;number=&amp;sourceID=9","")</f>
        <v/>
      </c>
      <c r="K175" s="4" t="str">
        <f>HYPERLINK("http://141.218.60.56/~jnz1568/getInfo.php?workbook=08_06.xlsx&amp;sheet=U0&amp;row=175&amp;col=11&amp;number=&amp;sourceID=9","")</f>
        <v/>
      </c>
      <c r="L175" s="4" t="str">
        <f>HYPERLINK("http://141.218.60.56/~jnz1568/getInfo.php?workbook=08_06.xlsx&amp;sheet=U0&amp;row=175&amp;col=12&amp;number=4.20411998266&amp;sourceID=10","4.20411998266")</f>
        <v>4.20411998266</v>
      </c>
      <c r="M175" s="4" t="str">
        <f>HYPERLINK("http://141.218.60.56/~jnz1568/getInfo.php?workbook=08_06.xlsx&amp;sheet=U0&amp;row=175&amp;col=13&amp;number=0.16366829178&amp;sourceID=10","0.16366829178")</f>
        <v>0.16366829178</v>
      </c>
    </row>
    <row r="176" spans="1:13">
      <c r="A176" s="3"/>
      <c r="B176" s="3"/>
      <c r="C176" s="3"/>
      <c r="D176" s="3"/>
      <c r="E176" s="3">
        <v>13</v>
      </c>
      <c r="F176" s="4" t="str">
        <f>HYPERLINK("http://141.218.60.56/~jnz1568/getInfo.php?workbook=08_06.xlsx&amp;sheet=U0&amp;row=176&amp;col=6&amp;number=4.78&amp;sourceID=4","4.78")</f>
        <v>4.78</v>
      </c>
      <c r="G176" s="4" t="str">
        <f>HYPERLINK("http://141.218.60.56/~jnz1568/getInfo.php?workbook=08_06.xlsx&amp;sheet=U0&amp;row=176&amp;col=7&amp;number==&amp;sourceID=4","=")</f>
        <v>=</v>
      </c>
      <c r="H176" s="4" t="str">
        <f>HYPERLINK("http://141.218.60.56/~jnz1568/getInfo.php?workbook=08_06.xlsx&amp;sheet=U0&amp;row=176&amp;col=8&amp;number=&amp;sourceID=8","")</f>
        <v/>
      </c>
      <c r="I176" s="4" t="str">
        <f>HYPERLINK("http://141.218.60.56/~jnz1568/getInfo.php?workbook=08_06.xlsx&amp;sheet=U0&amp;row=176&amp;col=9&amp;number=&amp;sourceID=8","")</f>
        <v/>
      </c>
      <c r="J176" s="4" t="str">
        <f>HYPERLINK("http://141.218.60.56/~jnz1568/getInfo.php?workbook=08_06.xlsx&amp;sheet=U0&amp;row=176&amp;col=10&amp;number=&amp;sourceID=9","")</f>
        <v/>
      </c>
      <c r="K176" s="4" t="str">
        <f>HYPERLINK("http://141.218.60.56/~jnz1568/getInfo.php?workbook=08_06.xlsx&amp;sheet=U0&amp;row=176&amp;col=11&amp;number=&amp;sourceID=9","")</f>
        <v/>
      </c>
      <c r="L176" s="4" t="str">
        <f>HYPERLINK("http://141.218.60.56/~jnz1568/getInfo.php?workbook=08_06.xlsx&amp;sheet=U0&amp;row=176&amp;col=12&amp;number=4.23044892138&amp;sourceID=10","4.23044892138")</f>
        <v>4.23044892138</v>
      </c>
      <c r="M176" s="4" t="str">
        <f>HYPERLINK("http://141.218.60.56/~jnz1568/getInfo.php?workbook=08_06.xlsx&amp;sheet=U0&amp;row=176&amp;col=13&amp;number=0.166144339897&amp;sourceID=10","0.166144339897")</f>
        <v>0.166144339897</v>
      </c>
    </row>
    <row r="177" spans="1:13">
      <c r="A177" s="3"/>
      <c r="B177" s="3"/>
      <c r="C177" s="3"/>
      <c r="D177" s="3"/>
      <c r="E177" s="3">
        <v>14</v>
      </c>
      <c r="F177" s="4" t="str">
        <f>HYPERLINK("http://141.218.60.56/~jnz1568/getInfo.php?workbook=08_06.xlsx&amp;sheet=U0&amp;row=177&amp;col=6&amp;number=4.9&amp;sourceID=4","4.9")</f>
        <v>4.9</v>
      </c>
      <c r="G177" s="4" t="str">
        <f>HYPERLINK("http://141.218.60.56/~jnz1568/getInfo.php?workbook=08_06.xlsx&amp;sheet=U0&amp;row=177&amp;col=7&amp;number==&amp;sourceID=4","=")</f>
        <v>=</v>
      </c>
      <c r="H177" s="4" t="str">
        <f>HYPERLINK("http://141.218.60.56/~jnz1568/getInfo.php?workbook=08_06.xlsx&amp;sheet=U0&amp;row=177&amp;col=8&amp;number=&amp;sourceID=8","")</f>
        <v/>
      </c>
      <c r="I177" s="4" t="str">
        <f>HYPERLINK("http://141.218.60.56/~jnz1568/getInfo.php?workbook=08_06.xlsx&amp;sheet=U0&amp;row=177&amp;col=9&amp;number=&amp;sourceID=8","")</f>
        <v/>
      </c>
      <c r="J177" s="4" t="str">
        <f>HYPERLINK("http://141.218.60.56/~jnz1568/getInfo.php?workbook=08_06.xlsx&amp;sheet=U0&amp;row=177&amp;col=10&amp;number=&amp;sourceID=9","")</f>
        <v/>
      </c>
      <c r="K177" s="4" t="str">
        <f>HYPERLINK("http://141.218.60.56/~jnz1568/getInfo.php?workbook=08_06.xlsx&amp;sheet=U0&amp;row=177&amp;col=11&amp;number=&amp;sourceID=9","")</f>
        <v/>
      </c>
      <c r="L177" s="4" t="str">
        <f>HYPERLINK("http://141.218.60.56/~jnz1568/getInfo.php?workbook=08_06.xlsx&amp;sheet=U0&amp;row=177&amp;col=12&amp;number=4.2552725051&amp;sourceID=10","4.2552725051")</f>
        <v>4.2552725051</v>
      </c>
      <c r="M177" s="4" t="str">
        <f>HYPERLINK("http://141.218.60.56/~jnz1568/getInfo.php?workbook=08_06.xlsx&amp;sheet=U0&amp;row=177&amp;col=13&amp;number=0.168385133184&amp;sourceID=10","0.168385133184")</f>
        <v>0.168385133184</v>
      </c>
    </row>
    <row r="178" spans="1:13">
      <c r="A178" s="3"/>
      <c r="B178" s="3"/>
      <c r="C178" s="3"/>
      <c r="D178" s="3"/>
      <c r="E178" s="3">
        <v>15</v>
      </c>
      <c r="F178" s="4" t="str">
        <f>HYPERLINK("http://141.218.60.56/~jnz1568/getInfo.php?workbook=08_06.xlsx&amp;sheet=U0&amp;row=178&amp;col=6&amp;number=5&amp;sourceID=4","5")</f>
        <v>5</v>
      </c>
      <c r="G178" s="4" t="str">
        <f>HYPERLINK("http://141.218.60.56/~jnz1568/getInfo.php?workbook=08_06.xlsx&amp;sheet=U0&amp;row=178&amp;col=7&amp;number==&amp;sourceID=4","=")</f>
        <v>=</v>
      </c>
      <c r="H178" s="4" t="str">
        <f>HYPERLINK("http://141.218.60.56/~jnz1568/getInfo.php?workbook=08_06.xlsx&amp;sheet=U0&amp;row=178&amp;col=8&amp;number=&amp;sourceID=8","")</f>
        <v/>
      </c>
      <c r="I178" s="4" t="str">
        <f>HYPERLINK("http://141.218.60.56/~jnz1568/getInfo.php?workbook=08_06.xlsx&amp;sheet=U0&amp;row=178&amp;col=9&amp;number=&amp;sourceID=8","")</f>
        <v/>
      </c>
      <c r="J178" s="4" t="str">
        <f>HYPERLINK("http://141.218.60.56/~jnz1568/getInfo.php?workbook=08_06.xlsx&amp;sheet=U0&amp;row=178&amp;col=10&amp;number=&amp;sourceID=9","")</f>
        <v/>
      </c>
      <c r="K178" s="4" t="str">
        <f>HYPERLINK("http://141.218.60.56/~jnz1568/getInfo.php?workbook=08_06.xlsx&amp;sheet=U0&amp;row=178&amp;col=11&amp;number=&amp;sourceID=9","")</f>
        <v/>
      </c>
      <c r="L178" s="4" t="str">
        <f>HYPERLINK("http://141.218.60.56/~jnz1568/getInfo.php?workbook=08_06.xlsx&amp;sheet=U0&amp;row=178&amp;col=12&amp;number=4.27875360095&amp;sourceID=10","4.27875360095")</f>
        <v>4.27875360095</v>
      </c>
      <c r="M178" s="4" t="str">
        <f>HYPERLINK("http://141.218.60.56/~jnz1568/getInfo.php?workbook=08_06.xlsx&amp;sheet=U0&amp;row=178&amp;col=13&amp;number=0.170420103191&amp;sourceID=10","0.170420103191")</f>
        <v>0.170420103191</v>
      </c>
    </row>
    <row r="179" spans="1:13">
      <c r="A179" s="3"/>
      <c r="B179" s="3"/>
      <c r="C179" s="3"/>
      <c r="D179" s="3"/>
      <c r="E179" s="3">
        <v>16</v>
      </c>
      <c r="F179" s="4" t="str">
        <f>HYPERLINK("http://141.218.60.56/~jnz1568/getInfo.php?workbook=08_06.xlsx&amp;sheet=U0&amp;row=179&amp;col=6&amp;number=5.08&amp;sourceID=4","5.08")</f>
        <v>5.08</v>
      </c>
      <c r="G179" s="4" t="str">
        <f>HYPERLINK("http://141.218.60.56/~jnz1568/getInfo.php?workbook=08_06.xlsx&amp;sheet=U0&amp;row=179&amp;col=7&amp;number==&amp;sourceID=4","=")</f>
        <v>=</v>
      </c>
      <c r="H179" s="4" t="str">
        <f>HYPERLINK("http://141.218.60.56/~jnz1568/getInfo.php?workbook=08_06.xlsx&amp;sheet=U0&amp;row=179&amp;col=8&amp;number=&amp;sourceID=8","")</f>
        <v/>
      </c>
      <c r="I179" s="4" t="str">
        <f>HYPERLINK("http://141.218.60.56/~jnz1568/getInfo.php?workbook=08_06.xlsx&amp;sheet=U0&amp;row=179&amp;col=9&amp;number=&amp;sourceID=8","")</f>
        <v/>
      </c>
      <c r="J179" s="4" t="str">
        <f>HYPERLINK("http://141.218.60.56/~jnz1568/getInfo.php?workbook=08_06.xlsx&amp;sheet=U0&amp;row=179&amp;col=10&amp;number=&amp;sourceID=9","")</f>
        <v/>
      </c>
      <c r="K179" s="4" t="str">
        <f>HYPERLINK("http://141.218.60.56/~jnz1568/getInfo.php?workbook=08_06.xlsx&amp;sheet=U0&amp;row=179&amp;col=11&amp;number=&amp;sourceID=9","")</f>
        <v/>
      </c>
      <c r="L179" s="4" t="str">
        <f>HYPERLINK("http://141.218.60.56/~jnz1568/getInfo.php?workbook=08_06.xlsx&amp;sheet=U0&amp;row=179&amp;col=12&amp;number=4.30102999566&amp;sourceID=10","4.30102999566")</f>
        <v>4.30102999566</v>
      </c>
      <c r="M179" s="4" t="str">
        <f>HYPERLINK("http://141.218.60.56/~jnz1568/getInfo.php?workbook=08_06.xlsx&amp;sheet=U0&amp;row=179&amp;col=13&amp;number=0.172274605248&amp;sourceID=10","0.172274605248")</f>
        <v>0.172274605248</v>
      </c>
    </row>
    <row r="180" spans="1:13">
      <c r="A180" s="3"/>
      <c r="B180" s="3"/>
      <c r="C180" s="3"/>
      <c r="D180" s="3"/>
      <c r="E180" s="3">
        <v>17</v>
      </c>
      <c r="F180" s="4" t="str">
        <f>HYPERLINK("http://141.218.60.56/~jnz1568/getInfo.php?workbook=08_06.xlsx&amp;sheet=U0&amp;row=180&amp;col=6&amp;number=5.15&amp;sourceID=4","5.15")</f>
        <v>5.15</v>
      </c>
      <c r="G180" s="4" t="str">
        <f>HYPERLINK("http://141.218.60.56/~jnz1568/getInfo.php?workbook=08_06.xlsx&amp;sheet=U0&amp;row=180&amp;col=7&amp;number==&amp;sourceID=4","=")</f>
        <v>=</v>
      </c>
      <c r="H180" s="4" t="str">
        <f>HYPERLINK("http://141.218.60.56/~jnz1568/getInfo.php?workbook=08_06.xlsx&amp;sheet=U0&amp;row=180&amp;col=8&amp;number=&amp;sourceID=8","")</f>
        <v/>
      </c>
      <c r="I180" s="4" t="str">
        <f>HYPERLINK("http://141.218.60.56/~jnz1568/getInfo.php?workbook=08_06.xlsx&amp;sheet=U0&amp;row=180&amp;col=9&amp;number=&amp;sourceID=8","")</f>
        <v/>
      </c>
      <c r="J180" s="4" t="str">
        <f>HYPERLINK("http://141.218.60.56/~jnz1568/getInfo.php?workbook=08_06.xlsx&amp;sheet=U0&amp;row=180&amp;col=10&amp;number=&amp;sourceID=9","")</f>
        <v/>
      </c>
      <c r="K180" s="4" t="str">
        <f>HYPERLINK("http://141.218.60.56/~jnz1568/getInfo.php?workbook=08_06.xlsx&amp;sheet=U0&amp;row=180&amp;col=11&amp;number=&amp;sourceID=9","")</f>
        <v/>
      </c>
      <c r="L180" s="4" t="str">
        <f>HYPERLINK("http://141.218.60.56/~jnz1568/getInfo.php?workbook=08_06.xlsx&amp;sheet=U0&amp;row=180&amp;col=12&amp;number=&amp;sourceID=10","")</f>
        <v/>
      </c>
      <c r="M180" s="4" t="str">
        <f>HYPERLINK("http://141.218.60.56/~jnz1568/getInfo.php?workbook=08_06.xlsx&amp;sheet=U0&amp;row=180&amp;col=13&amp;number=&amp;sourceID=10","")</f>
        <v/>
      </c>
    </row>
    <row r="181" spans="1:13">
      <c r="A181" s="3"/>
      <c r="B181" s="3"/>
      <c r="C181" s="3"/>
      <c r="D181" s="3"/>
      <c r="E181" s="3">
        <v>18</v>
      </c>
      <c r="F181" s="4" t="str">
        <f>HYPERLINK("http://141.218.60.56/~jnz1568/getInfo.php?workbook=08_06.xlsx&amp;sheet=U0&amp;row=181&amp;col=6&amp;number=5.2&amp;sourceID=4","5.2")</f>
        <v>5.2</v>
      </c>
      <c r="G181" s="4" t="str">
        <f>HYPERLINK("http://141.218.60.56/~jnz1568/getInfo.php?workbook=08_06.xlsx&amp;sheet=U0&amp;row=181&amp;col=7&amp;number==&amp;sourceID=4","=")</f>
        <v>=</v>
      </c>
      <c r="H181" s="4" t="str">
        <f>HYPERLINK("http://141.218.60.56/~jnz1568/getInfo.php?workbook=08_06.xlsx&amp;sheet=U0&amp;row=181&amp;col=8&amp;number=&amp;sourceID=8","")</f>
        <v/>
      </c>
      <c r="I181" s="4" t="str">
        <f>HYPERLINK("http://141.218.60.56/~jnz1568/getInfo.php?workbook=08_06.xlsx&amp;sheet=U0&amp;row=181&amp;col=9&amp;number=&amp;sourceID=8","")</f>
        <v/>
      </c>
      <c r="J181" s="4" t="str">
        <f>HYPERLINK("http://141.218.60.56/~jnz1568/getInfo.php?workbook=08_06.xlsx&amp;sheet=U0&amp;row=181&amp;col=10&amp;number=&amp;sourceID=9","")</f>
        <v/>
      </c>
      <c r="K181" s="4" t="str">
        <f>HYPERLINK("http://141.218.60.56/~jnz1568/getInfo.php?workbook=08_06.xlsx&amp;sheet=U0&amp;row=181&amp;col=11&amp;number=&amp;sourceID=9","")</f>
        <v/>
      </c>
      <c r="L181" s="4" t="str">
        <f>HYPERLINK("http://141.218.60.56/~jnz1568/getInfo.php?workbook=08_06.xlsx&amp;sheet=U0&amp;row=181&amp;col=12&amp;number=&amp;sourceID=10","")</f>
        <v/>
      </c>
      <c r="M181" s="4" t="str">
        <f>HYPERLINK("http://141.218.60.56/~jnz1568/getInfo.php?workbook=08_06.xlsx&amp;sheet=U0&amp;row=181&amp;col=13&amp;number=&amp;sourceID=10","")</f>
        <v/>
      </c>
    </row>
    <row r="182" spans="1:13">
      <c r="A182" s="3"/>
      <c r="B182" s="3"/>
      <c r="C182" s="3"/>
      <c r="D182" s="3"/>
      <c r="E182" s="3">
        <v>19</v>
      </c>
      <c r="F182" s="4" t="str">
        <f>HYPERLINK("http://141.218.60.56/~jnz1568/getInfo.php?workbook=08_06.xlsx&amp;sheet=U0&amp;row=182&amp;col=6&amp;number=5.26&amp;sourceID=4","5.26")</f>
        <v>5.26</v>
      </c>
      <c r="G182" s="4" t="str">
        <f>HYPERLINK("http://141.218.60.56/~jnz1568/getInfo.php?workbook=08_06.xlsx&amp;sheet=U0&amp;row=182&amp;col=7&amp;number==&amp;sourceID=4","=")</f>
        <v>=</v>
      </c>
      <c r="H182" s="4" t="str">
        <f>HYPERLINK("http://141.218.60.56/~jnz1568/getInfo.php?workbook=08_06.xlsx&amp;sheet=U0&amp;row=182&amp;col=8&amp;number=&amp;sourceID=8","")</f>
        <v/>
      </c>
      <c r="I182" s="4" t="str">
        <f>HYPERLINK("http://141.218.60.56/~jnz1568/getInfo.php?workbook=08_06.xlsx&amp;sheet=U0&amp;row=182&amp;col=9&amp;number=&amp;sourceID=8","")</f>
        <v/>
      </c>
      <c r="J182" s="4" t="str">
        <f>HYPERLINK("http://141.218.60.56/~jnz1568/getInfo.php?workbook=08_06.xlsx&amp;sheet=U0&amp;row=182&amp;col=10&amp;number=&amp;sourceID=9","")</f>
        <v/>
      </c>
      <c r="K182" s="4" t="str">
        <f>HYPERLINK("http://141.218.60.56/~jnz1568/getInfo.php?workbook=08_06.xlsx&amp;sheet=U0&amp;row=182&amp;col=11&amp;number=&amp;sourceID=9","")</f>
        <v/>
      </c>
      <c r="L182" s="4" t="str">
        <f>HYPERLINK("http://141.218.60.56/~jnz1568/getInfo.php?workbook=08_06.xlsx&amp;sheet=U0&amp;row=182&amp;col=12&amp;number=&amp;sourceID=10","")</f>
        <v/>
      </c>
      <c r="M182" s="4" t="str">
        <f>HYPERLINK("http://141.218.60.56/~jnz1568/getInfo.php?workbook=08_06.xlsx&amp;sheet=U0&amp;row=182&amp;col=13&amp;number=&amp;sourceID=10","")</f>
        <v/>
      </c>
    </row>
    <row r="183" spans="1:13">
      <c r="A183" s="3"/>
      <c r="B183" s="3"/>
      <c r="C183" s="3"/>
      <c r="D183" s="3"/>
      <c r="E183" s="3">
        <v>20</v>
      </c>
      <c r="F183" s="4" t="str">
        <f>HYPERLINK("http://141.218.60.56/~jnz1568/getInfo.php?workbook=08_06.xlsx&amp;sheet=U0&amp;row=183&amp;col=6&amp;number=5.3&amp;sourceID=4","5.3")</f>
        <v>5.3</v>
      </c>
      <c r="G183" s="4" t="str">
        <f>HYPERLINK("http://141.218.60.56/~jnz1568/getInfo.php?workbook=08_06.xlsx&amp;sheet=U0&amp;row=183&amp;col=7&amp;number==&amp;sourceID=4","=")</f>
        <v>=</v>
      </c>
      <c r="H183" s="4" t="str">
        <f>HYPERLINK("http://141.218.60.56/~jnz1568/getInfo.php?workbook=08_06.xlsx&amp;sheet=U0&amp;row=183&amp;col=8&amp;number=&amp;sourceID=8","")</f>
        <v/>
      </c>
      <c r="I183" s="4" t="str">
        <f>HYPERLINK("http://141.218.60.56/~jnz1568/getInfo.php?workbook=08_06.xlsx&amp;sheet=U0&amp;row=183&amp;col=9&amp;number=&amp;sourceID=8","")</f>
        <v/>
      </c>
      <c r="J183" s="4" t="str">
        <f>HYPERLINK("http://141.218.60.56/~jnz1568/getInfo.php?workbook=08_06.xlsx&amp;sheet=U0&amp;row=183&amp;col=10&amp;number=&amp;sourceID=9","")</f>
        <v/>
      </c>
      <c r="K183" s="4" t="str">
        <f>HYPERLINK("http://141.218.60.56/~jnz1568/getInfo.php?workbook=08_06.xlsx&amp;sheet=U0&amp;row=183&amp;col=11&amp;number=&amp;sourceID=9","")</f>
        <v/>
      </c>
      <c r="L183" s="4" t="str">
        <f>HYPERLINK("http://141.218.60.56/~jnz1568/getInfo.php?workbook=08_06.xlsx&amp;sheet=U0&amp;row=183&amp;col=12&amp;number=&amp;sourceID=10","")</f>
        <v/>
      </c>
      <c r="M183" s="4" t="str">
        <f>HYPERLINK("http://141.218.60.56/~jnz1568/getInfo.php?workbook=08_06.xlsx&amp;sheet=U0&amp;row=183&amp;col=13&amp;number=&amp;sourceID=10","")</f>
        <v/>
      </c>
    </row>
    <row r="184" spans="1:13">
      <c r="A184" s="3">
        <v>8</v>
      </c>
      <c r="B184" s="3">
        <v>6</v>
      </c>
      <c r="C184" s="3">
        <v>5</v>
      </c>
      <c r="D184" s="3">
        <v>4</v>
      </c>
      <c r="E184" s="3">
        <v>1</v>
      </c>
      <c r="F184" s="4" t="str">
        <f>HYPERLINK("http://141.218.60.56/~jnz1568/getInfo.php?workbook=08_06.xlsx&amp;sheet=U0&amp;row=184&amp;col=6&amp;number=3.4&amp;sourceID=4","3.4")</f>
        <v>3.4</v>
      </c>
      <c r="G184" s="4" t="str">
        <f>HYPERLINK("http://141.218.60.56/~jnz1568/getInfo.php?workbook=08_06.xlsx&amp;sheet=U0&amp;row=184&amp;col=7&amp;number=0.391&amp;sourceID=4","0.391")</f>
        <v>0.391</v>
      </c>
      <c r="H184" s="4" t="str">
        <f>HYPERLINK("http://141.218.60.56/~jnz1568/getInfo.php?workbook=08_06.xlsx&amp;sheet=U0&amp;row=184&amp;col=8&amp;number=2&amp;sourceID=8","2")</f>
        <v>2</v>
      </c>
      <c r="I184" s="4" t="str">
        <f>HYPERLINK("http://141.218.60.56/~jnz1568/getInfo.php?workbook=08_06.xlsx&amp;sheet=U0&amp;row=184&amp;col=9&amp;number=0.39&amp;sourceID=8","0.39")</f>
        <v>0.39</v>
      </c>
      <c r="J184" s="4" t="str">
        <f>HYPERLINK("http://141.218.60.56/~jnz1568/getInfo.php?workbook=08_06.xlsx&amp;sheet=U0&amp;row=184&amp;col=10&amp;number=3&amp;sourceID=9","3")</f>
        <v>3</v>
      </c>
      <c r="K184" s="4" t="str">
        <f>HYPERLINK("http://141.218.60.56/~jnz1568/getInfo.php?workbook=08_06.xlsx&amp;sheet=U0&amp;row=184&amp;col=11&amp;number=0.4241&amp;sourceID=9","0.4241")</f>
        <v>0.4241</v>
      </c>
      <c r="L184" s="4" t="str">
        <f>HYPERLINK("http://141.218.60.56/~jnz1568/getInfo.php?workbook=08_06.xlsx&amp;sheet=U0&amp;row=184&amp;col=12&amp;number=3.69897000434&amp;sourceID=10","3.69897000434")</f>
        <v>3.69897000434</v>
      </c>
      <c r="M184" s="4" t="str">
        <f>HYPERLINK("http://141.218.60.56/~jnz1568/getInfo.php?workbook=08_06.xlsx&amp;sheet=U0&amp;row=184&amp;col=13&amp;number=0.49285397318&amp;sourceID=10","0.49285397318")</f>
        <v>0.49285397318</v>
      </c>
    </row>
    <row r="185" spans="1:13">
      <c r="A185" s="3"/>
      <c r="B185" s="3"/>
      <c r="C185" s="3"/>
      <c r="D185" s="3"/>
      <c r="E185" s="3">
        <v>2</v>
      </c>
      <c r="F185" s="4" t="str">
        <f>HYPERLINK("http://141.218.60.56/~jnz1568/getInfo.php?workbook=08_06.xlsx&amp;sheet=U0&amp;row=185&amp;col=6&amp;number=3.7&amp;sourceID=4","3.7")</f>
        <v>3.7</v>
      </c>
      <c r="G185" s="4" t="str">
        <f>HYPERLINK("http://141.218.60.56/~jnz1568/getInfo.php?workbook=08_06.xlsx&amp;sheet=U0&amp;row=185&amp;col=7&amp;number=0.431&amp;sourceID=4","0.431")</f>
        <v>0.431</v>
      </c>
      <c r="H185" s="4" t="str">
        <f>HYPERLINK("http://141.218.60.56/~jnz1568/getInfo.php?workbook=08_06.xlsx&amp;sheet=U0&amp;row=185&amp;col=8&amp;number=2.69897000434&amp;sourceID=8","2.69897000434")</f>
        <v>2.69897000434</v>
      </c>
      <c r="I185" s="4" t="str">
        <f>HYPERLINK("http://141.218.60.56/~jnz1568/getInfo.php?workbook=08_06.xlsx&amp;sheet=U0&amp;row=185&amp;col=9&amp;number=0.3899&amp;sourceID=8","0.3899")</f>
        <v>0.3899</v>
      </c>
      <c r="J185" s="4" t="str">
        <f>HYPERLINK("http://141.218.60.56/~jnz1568/getInfo.php?workbook=08_06.xlsx&amp;sheet=U0&amp;row=185&amp;col=10&amp;number=3.2&amp;sourceID=9","3.2")</f>
        <v>3.2</v>
      </c>
      <c r="K185" s="4" t="str">
        <f>HYPERLINK("http://141.218.60.56/~jnz1568/getInfo.php?workbook=08_06.xlsx&amp;sheet=U0&amp;row=185&amp;col=11&amp;number=0.4268&amp;sourceID=9","0.4268")</f>
        <v>0.4268</v>
      </c>
      <c r="L185" s="4" t="str">
        <f>HYPERLINK("http://141.218.60.56/~jnz1568/getInfo.php?workbook=08_06.xlsx&amp;sheet=U0&amp;row=185&amp;col=12&amp;number=3.77815125038&amp;sourceID=10","3.77815125038")</f>
        <v>3.77815125038</v>
      </c>
      <c r="M185" s="4" t="str">
        <f>HYPERLINK("http://141.218.60.56/~jnz1568/getInfo.php?workbook=08_06.xlsx&amp;sheet=U0&amp;row=185&amp;col=13&amp;number=0.53733881227&amp;sourceID=10","0.53733881227")</f>
        <v>0.53733881227</v>
      </c>
    </row>
    <row r="186" spans="1:13">
      <c r="A186" s="3"/>
      <c r="B186" s="3"/>
      <c r="C186" s="3"/>
      <c r="D186" s="3"/>
      <c r="E186" s="3">
        <v>3</v>
      </c>
      <c r="F186" s="4" t="str">
        <f>HYPERLINK("http://141.218.60.56/~jnz1568/getInfo.php?workbook=08_06.xlsx&amp;sheet=U0&amp;row=186&amp;col=6&amp;number=3.88&amp;sourceID=4","3.88")</f>
        <v>3.88</v>
      </c>
      <c r="G186" s="4" t="str">
        <f>HYPERLINK("http://141.218.60.56/~jnz1568/getInfo.php?workbook=08_06.xlsx&amp;sheet=U0&amp;row=186&amp;col=7&amp;number=0.484&amp;sourceID=4","0.484")</f>
        <v>0.484</v>
      </c>
      <c r="H186" s="4" t="str">
        <f>HYPERLINK("http://141.218.60.56/~jnz1568/getInfo.php?workbook=08_06.xlsx&amp;sheet=U0&amp;row=186&amp;col=8&amp;number=3&amp;sourceID=8","3")</f>
        <v>3</v>
      </c>
      <c r="I186" s="4" t="str">
        <f>HYPERLINK("http://141.218.60.56/~jnz1568/getInfo.php?workbook=08_06.xlsx&amp;sheet=U0&amp;row=186&amp;col=9&amp;number=0.3899&amp;sourceID=8","0.3899")</f>
        <v>0.3899</v>
      </c>
      <c r="J186" s="4" t="str">
        <f>HYPERLINK("http://141.218.60.56/~jnz1568/getInfo.php?workbook=08_06.xlsx&amp;sheet=U0&amp;row=186&amp;col=10&amp;number=3.4&amp;sourceID=9","3.4")</f>
        <v>3.4</v>
      </c>
      <c r="K186" s="4" t="str">
        <f>HYPERLINK("http://141.218.60.56/~jnz1568/getInfo.php?workbook=08_06.xlsx&amp;sheet=U0&amp;row=186&amp;col=11&amp;number=0.4357&amp;sourceID=9","0.4357")</f>
        <v>0.4357</v>
      </c>
      <c r="L186" s="4" t="str">
        <f>HYPERLINK("http://141.218.60.56/~jnz1568/getInfo.php?workbook=08_06.xlsx&amp;sheet=U0&amp;row=186&amp;col=12&amp;number=3.84509804001&amp;sourceID=10","3.84509804001")</f>
        <v>3.84509804001</v>
      </c>
      <c r="M186" s="4" t="str">
        <f>HYPERLINK("http://141.218.60.56/~jnz1568/getInfo.php?workbook=08_06.xlsx&amp;sheet=U0&amp;row=186&amp;col=13&amp;number=0.571084796305&amp;sourceID=10","0.571084796305")</f>
        <v>0.571084796305</v>
      </c>
    </row>
    <row r="187" spans="1:13">
      <c r="A187" s="3"/>
      <c r="B187" s="3"/>
      <c r="C187" s="3"/>
      <c r="D187" s="3"/>
      <c r="E187" s="3">
        <v>4</v>
      </c>
      <c r="F187" s="4" t="str">
        <f>HYPERLINK("http://141.218.60.56/~jnz1568/getInfo.php?workbook=08_06.xlsx&amp;sheet=U0&amp;row=187&amp;col=6&amp;number=4&amp;sourceID=4","4")</f>
        <v>4</v>
      </c>
      <c r="G187" s="4" t="str">
        <f>HYPERLINK("http://141.218.60.56/~jnz1568/getInfo.php?workbook=08_06.xlsx&amp;sheet=U0&amp;row=187&amp;col=7&amp;number=0.523&amp;sourceID=4","0.523")</f>
        <v>0.523</v>
      </c>
      <c r="H187" s="4" t="str">
        <f>HYPERLINK("http://141.218.60.56/~jnz1568/getInfo.php?workbook=08_06.xlsx&amp;sheet=U0&amp;row=187&amp;col=8&amp;number=3.69897000434&amp;sourceID=8","3.69897000434")</f>
        <v>3.69897000434</v>
      </c>
      <c r="I187" s="4" t="str">
        <f>HYPERLINK("http://141.218.60.56/~jnz1568/getInfo.php?workbook=08_06.xlsx&amp;sheet=U0&amp;row=187&amp;col=9&amp;number=0.4544&amp;sourceID=8","0.4544")</f>
        <v>0.4544</v>
      </c>
      <c r="J187" s="4" t="str">
        <f>HYPERLINK("http://141.218.60.56/~jnz1568/getInfo.php?workbook=08_06.xlsx&amp;sheet=U0&amp;row=187&amp;col=10&amp;number=3.6&amp;sourceID=9","3.6")</f>
        <v>3.6</v>
      </c>
      <c r="K187" s="4" t="str">
        <f>HYPERLINK("http://141.218.60.56/~jnz1568/getInfo.php?workbook=08_06.xlsx&amp;sheet=U0&amp;row=187&amp;col=11&amp;number=0.4652&amp;sourceID=9","0.4652")</f>
        <v>0.4652</v>
      </c>
      <c r="L187" s="4" t="str">
        <f>HYPERLINK("http://141.218.60.56/~jnz1568/getInfo.php?workbook=08_06.xlsx&amp;sheet=U0&amp;row=187&amp;col=12&amp;number=3.90308998699&amp;sourceID=10","3.90308998699")</f>
        <v>3.90308998699</v>
      </c>
      <c r="M187" s="4" t="str">
        <f>HYPERLINK("http://141.218.60.56/~jnz1568/getInfo.php?workbook=08_06.xlsx&amp;sheet=U0&amp;row=187&amp;col=13&amp;number=0.595591920104&amp;sourceID=10","0.595591920104")</f>
        <v>0.595591920104</v>
      </c>
    </row>
    <row r="188" spans="1:13">
      <c r="A188" s="3"/>
      <c r="B188" s="3"/>
      <c r="C188" s="3"/>
      <c r="D188" s="3"/>
      <c r="E188" s="3">
        <v>5</v>
      </c>
      <c r="F188" s="4" t="str">
        <f>HYPERLINK("http://141.218.60.56/~jnz1568/getInfo.php?workbook=08_06.xlsx&amp;sheet=U0&amp;row=188&amp;col=6&amp;number=4.1&amp;sourceID=4","4.1")</f>
        <v>4.1</v>
      </c>
      <c r="G188" s="4" t="str">
        <f>HYPERLINK("http://141.218.60.56/~jnz1568/getInfo.php?workbook=08_06.xlsx&amp;sheet=U0&amp;row=188&amp;col=7&amp;number=0.548&amp;sourceID=4","0.548")</f>
        <v>0.548</v>
      </c>
      <c r="H188" s="4" t="str">
        <f>HYPERLINK("http://141.218.60.56/~jnz1568/getInfo.php?workbook=08_06.xlsx&amp;sheet=U0&amp;row=188&amp;col=8&amp;number=4&amp;sourceID=8","4")</f>
        <v>4</v>
      </c>
      <c r="I188" s="4" t="str">
        <f>HYPERLINK("http://141.218.60.56/~jnz1568/getInfo.php?workbook=08_06.xlsx&amp;sheet=U0&amp;row=188&amp;col=9&amp;number=0.5661&amp;sourceID=8","0.5661")</f>
        <v>0.5661</v>
      </c>
      <c r="J188" s="4" t="str">
        <f>HYPERLINK("http://141.218.60.56/~jnz1568/getInfo.php?workbook=08_06.xlsx&amp;sheet=U0&amp;row=188&amp;col=10&amp;number=3.8&amp;sourceID=9","3.8")</f>
        <v>3.8</v>
      </c>
      <c r="K188" s="4" t="str">
        <f>HYPERLINK("http://141.218.60.56/~jnz1568/getInfo.php?workbook=08_06.xlsx&amp;sheet=U0&amp;row=188&amp;col=11&amp;number=0.5232&amp;sourceID=9","0.5232")</f>
        <v>0.5232</v>
      </c>
      <c r="L188" s="4" t="str">
        <f>HYPERLINK("http://141.218.60.56/~jnz1568/getInfo.php?workbook=08_06.xlsx&amp;sheet=U0&amp;row=188&amp;col=12&amp;number=3.95424250944&amp;sourceID=10","3.95424250944")</f>
        <v>3.95424250944</v>
      </c>
      <c r="M188" s="4" t="str">
        <f>HYPERLINK("http://141.218.60.56/~jnz1568/getInfo.php?workbook=08_06.xlsx&amp;sheet=U0&amp;row=188&amp;col=13&amp;number=0.612759568671&amp;sourceID=10","0.612759568671")</f>
        <v>0.612759568671</v>
      </c>
    </row>
    <row r="189" spans="1:13">
      <c r="A189" s="3"/>
      <c r="B189" s="3"/>
      <c r="C189" s="3"/>
      <c r="D189" s="3"/>
      <c r="E189" s="3">
        <v>6</v>
      </c>
      <c r="F189" s="4" t="str">
        <f>HYPERLINK("http://141.218.60.56/~jnz1568/getInfo.php?workbook=08_06.xlsx&amp;sheet=U0&amp;row=189&amp;col=6&amp;number=4.18&amp;sourceID=4","4.18")</f>
        <v>4.18</v>
      </c>
      <c r="G189" s="4" t="str">
        <f>HYPERLINK("http://141.218.60.56/~jnz1568/getInfo.php?workbook=08_06.xlsx&amp;sheet=U0&amp;row=189&amp;col=7&amp;number=0.563&amp;sourceID=4","0.563")</f>
        <v>0.563</v>
      </c>
      <c r="H189" s="4" t="str">
        <f>HYPERLINK("http://141.218.60.56/~jnz1568/getInfo.php?workbook=08_06.xlsx&amp;sheet=U0&amp;row=189&amp;col=8&amp;number=4.30102999566&amp;sourceID=8","4.30102999566")</f>
        <v>4.30102999566</v>
      </c>
      <c r="I189" s="4" t="str">
        <f>HYPERLINK("http://141.218.60.56/~jnz1568/getInfo.php?workbook=08_06.xlsx&amp;sheet=U0&amp;row=189&amp;col=9&amp;number=0.623&amp;sourceID=8","0.623")</f>
        <v>0.623</v>
      </c>
      <c r="J189" s="4" t="str">
        <f>HYPERLINK("http://141.218.60.56/~jnz1568/getInfo.php?workbook=08_06.xlsx&amp;sheet=U0&amp;row=189&amp;col=10&amp;number=4&amp;sourceID=9","4")</f>
        <v>4</v>
      </c>
      <c r="K189" s="4" t="str">
        <f>HYPERLINK("http://141.218.60.56/~jnz1568/getInfo.php?workbook=08_06.xlsx&amp;sheet=U0&amp;row=189&amp;col=11&amp;number=0.5815&amp;sourceID=9","0.5815")</f>
        <v>0.5815</v>
      </c>
      <c r="L189" s="4" t="str">
        <f>HYPERLINK("http://141.218.60.56/~jnz1568/getInfo.php?workbook=08_06.xlsx&amp;sheet=U0&amp;row=189&amp;col=12&amp;number=4&amp;sourceID=10","4")</f>
        <v>4</v>
      </c>
      <c r="M189" s="4" t="str">
        <f>HYPERLINK("http://141.218.60.56/~jnz1568/getInfo.php?workbook=08_06.xlsx&amp;sheet=U0&amp;row=189&amp;col=13&amp;number=0.62430933935&amp;sourceID=10","0.62430933935")</f>
        <v>0.62430933935</v>
      </c>
    </row>
    <row r="190" spans="1:13">
      <c r="A190" s="3"/>
      <c r="B190" s="3"/>
      <c r="C190" s="3"/>
      <c r="D190" s="3"/>
      <c r="E190" s="3">
        <v>7</v>
      </c>
      <c r="F190" s="4" t="str">
        <f>HYPERLINK("http://141.218.60.56/~jnz1568/getInfo.php?workbook=08_06.xlsx&amp;sheet=U0&amp;row=190&amp;col=6&amp;number=4.24&amp;sourceID=4","4.24")</f>
        <v>4.24</v>
      </c>
      <c r="G190" s="4" t="str">
        <f>HYPERLINK("http://141.218.60.56/~jnz1568/getInfo.php?workbook=08_06.xlsx&amp;sheet=U0&amp;row=190&amp;col=7&amp;number=0.572&amp;sourceID=4","0.572")</f>
        <v>0.572</v>
      </c>
      <c r="H190" s="4" t="str">
        <f>HYPERLINK("http://141.218.60.56/~jnz1568/getInfo.php?workbook=08_06.xlsx&amp;sheet=U0&amp;row=190&amp;col=8&amp;number=4.47712125472&amp;sourceID=8","4.47712125472")</f>
        <v>4.47712125472</v>
      </c>
      <c r="I190" s="4" t="str">
        <f>HYPERLINK("http://141.218.60.56/~jnz1568/getInfo.php?workbook=08_06.xlsx&amp;sheet=U0&amp;row=190&amp;col=9&amp;number=0.6219&amp;sourceID=8","0.6219")</f>
        <v>0.6219</v>
      </c>
      <c r="J190" s="4" t="str">
        <f>HYPERLINK("http://141.218.60.56/~jnz1568/getInfo.php?workbook=08_06.xlsx&amp;sheet=U0&amp;row=190&amp;col=10&amp;number=4.2&amp;sourceID=9","4.2")</f>
        <v>4.2</v>
      </c>
      <c r="K190" s="4" t="str">
        <f>HYPERLINK("http://141.218.60.56/~jnz1568/getInfo.php?workbook=08_06.xlsx&amp;sheet=U0&amp;row=190&amp;col=11&amp;number=0.61&amp;sourceID=9","0.61")</f>
        <v>0.61</v>
      </c>
      <c r="L190" s="4" t="str">
        <f>HYPERLINK("http://141.218.60.56/~jnz1568/getInfo.php?workbook=08_06.xlsx&amp;sheet=U0&amp;row=190&amp;col=12&amp;number=4.04139268516&amp;sourceID=10","4.04139268516")</f>
        <v>4.04139268516</v>
      </c>
      <c r="M190" s="4" t="str">
        <f>HYPERLINK("http://141.218.60.56/~jnz1568/getInfo.php?workbook=08_06.xlsx&amp;sheet=U0&amp;row=190&amp;col=13&amp;number=0.63163933874&amp;sourceID=10","0.63163933874")</f>
        <v>0.63163933874</v>
      </c>
    </row>
    <row r="191" spans="1:13">
      <c r="A191" s="3"/>
      <c r="B191" s="3"/>
      <c r="C191" s="3"/>
      <c r="D191" s="3"/>
      <c r="E191" s="3">
        <v>8</v>
      </c>
      <c r="F191" s="4" t="str">
        <f>HYPERLINK("http://141.218.60.56/~jnz1568/getInfo.php?workbook=08_06.xlsx&amp;sheet=U0&amp;row=191&amp;col=6&amp;number=4.3&amp;sourceID=4","4.3")</f>
        <v>4.3</v>
      </c>
      <c r="G191" s="4" t="str">
        <f>HYPERLINK("http://141.218.60.56/~jnz1568/getInfo.php?workbook=08_06.xlsx&amp;sheet=U0&amp;row=191&amp;col=7&amp;number=0.577&amp;sourceID=4","0.577")</f>
        <v>0.577</v>
      </c>
      <c r="H191" s="4" t="str">
        <f>HYPERLINK("http://141.218.60.56/~jnz1568/getInfo.php?workbook=08_06.xlsx&amp;sheet=U0&amp;row=191&amp;col=8&amp;number=&amp;sourceID=8","")</f>
        <v/>
      </c>
      <c r="I191" s="4" t="str">
        <f>HYPERLINK("http://141.218.60.56/~jnz1568/getInfo.php?workbook=08_06.xlsx&amp;sheet=U0&amp;row=191&amp;col=9&amp;number=&amp;sourceID=8","")</f>
        <v/>
      </c>
      <c r="J191" s="4" t="str">
        <f>HYPERLINK("http://141.218.60.56/~jnz1568/getInfo.php?workbook=08_06.xlsx&amp;sheet=U0&amp;row=191&amp;col=10&amp;number=4.4&amp;sourceID=9","4.4")</f>
        <v>4.4</v>
      </c>
      <c r="K191" s="4" t="str">
        <f>HYPERLINK("http://141.218.60.56/~jnz1568/getInfo.php?workbook=08_06.xlsx&amp;sheet=U0&amp;row=191&amp;col=11&amp;number=0.609&amp;sourceID=9","0.609")</f>
        <v>0.609</v>
      </c>
      <c r="L191" s="4" t="str">
        <f>HYPERLINK("http://141.218.60.56/~jnz1568/getInfo.php?workbook=08_06.xlsx&amp;sheet=U0&amp;row=191&amp;col=12&amp;number=4.07918124605&amp;sourceID=10","4.07918124605")</f>
        <v>4.07918124605</v>
      </c>
      <c r="M191" s="4" t="str">
        <f>HYPERLINK("http://141.218.60.56/~jnz1568/getInfo.php?workbook=08_06.xlsx&amp;sheet=U0&amp;row=191&amp;col=13&amp;number=0.63583320804&amp;sourceID=10","0.63583320804")</f>
        <v>0.63583320804</v>
      </c>
    </row>
    <row r="192" spans="1:13">
      <c r="A192" s="3"/>
      <c r="B192" s="3"/>
      <c r="C192" s="3"/>
      <c r="D192" s="3"/>
      <c r="E192" s="3">
        <v>9</v>
      </c>
      <c r="F192" s="4" t="str">
        <f>HYPERLINK("http://141.218.60.56/~jnz1568/getInfo.php?workbook=08_06.xlsx&amp;sheet=U0&amp;row=192&amp;col=6&amp;number=4.4&amp;sourceID=4","4.4")</f>
        <v>4.4</v>
      </c>
      <c r="G192" s="4" t="str">
        <f>HYPERLINK("http://141.218.60.56/~jnz1568/getInfo.php?workbook=08_06.xlsx&amp;sheet=U0&amp;row=192&amp;col=7&amp;number=0.581&amp;sourceID=4","0.581")</f>
        <v>0.581</v>
      </c>
      <c r="H192" s="4" t="str">
        <f>HYPERLINK("http://141.218.60.56/~jnz1568/getInfo.php?workbook=08_06.xlsx&amp;sheet=U0&amp;row=192&amp;col=8&amp;number=&amp;sourceID=8","")</f>
        <v/>
      </c>
      <c r="I192" s="4" t="str">
        <f>HYPERLINK("http://141.218.60.56/~jnz1568/getInfo.php?workbook=08_06.xlsx&amp;sheet=U0&amp;row=192&amp;col=9&amp;number=&amp;sourceID=8","")</f>
        <v/>
      </c>
      <c r="J192" s="4" t="str">
        <f>HYPERLINK("http://141.218.60.56/~jnz1568/getInfo.php?workbook=08_06.xlsx&amp;sheet=U0&amp;row=192&amp;col=10&amp;number=4.6&amp;sourceID=9","4.6")</f>
        <v>4.6</v>
      </c>
      <c r="K192" s="4" t="str">
        <f>HYPERLINK("http://141.218.60.56/~jnz1568/getInfo.php?workbook=08_06.xlsx&amp;sheet=U0&amp;row=192&amp;col=11&amp;number=0.5971&amp;sourceID=9","0.5971")</f>
        <v>0.5971</v>
      </c>
      <c r="L192" s="4" t="str">
        <f>HYPERLINK("http://141.218.60.56/~jnz1568/getInfo.php?workbook=08_06.xlsx&amp;sheet=U0&amp;row=192&amp;col=12&amp;number=4.11394335231&amp;sourceID=10","4.11394335231")</f>
        <v>4.11394335231</v>
      </c>
      <c r="M192" s="4" t="str">
        <f>HYPERLINK("http://141.218.60.56/~jnz1568/getInfo.php?workbook=08_06.xlsx&amp;sheet=U0&amp;row=192&amp;col=13&amp;number=0.63771328463&amp;sourceID=10","0.63771328463")</f>
        <v>0.63771328463</v>
      </c>
    </row>
    <row r="193" spans="1:13">
      <c r="A193" s="3"/>
      <c r="B193" s="3"/>
      <c r="C193" s="3"/>
      <c r="D193" s="3"/>
      <c r="E193" s="3">
        <v>10</v>
      </c>
      <c r="F193" s="4" t="str">
        <f>HYPERLINK("http://141.218.60.56/~jnz1568/getInfo.php?workbook=08_06.xlsx&amp;sheet=U0&amp;row=193&amp;col=6&amp;number=4.48&amp;sourceID=4","4.48")</f>
        <v>4.48</v>
      </c>
      <c r="G193" s="4" t="str">
        <f>HYPERLINK("http://141.218.60.56/~jnz1568/getInfo.php?workbook=08_06.xlsx&amp;sheet=U0&amp;row=193&amp;col=7&amp;number=0.581&amp;sourceID=4","0.581")</f>
        <v>0.581</v>
      </c>
      <c r="H193" s="4" t="str">
        <f>HYPERLINK("http://141.218.60.56/~jnz1568/getInfo.php?workbook=08_06.xlsx&amp;sheet=U0&amp;row=193&amp;col=8&amp;number=&amp;sourceID=8","")</f>
        <v/>
      </c>
      <c r="I193" s="4" t="str">
        <f>HYPERLINK("http://141.218.60.56/~jnz1568/getInfo.php?workbook=08_06.xlsx&amp;sheet=U0&amp;row=193&amp;col=9&amp;number=&amp;sourceID=8","")</f>
        <v/>
      </c>
      <c r="J193" s="4" t="str">
        <f>HYPERLINK("http://141.218.60.56/~jnz1568/getInfo.php?workbook=08_06.xlsx&amp;sheet=U0&amp;row=193&amp;col=10&amp;number=4.8&amp;sourceID=9","4.8")</f>
        <v>4.8</v>
      </c>
      <c r="K193" s="4" t="str">
        <f>HYPERLINK("http://141.218.60.56/~jnz1568/getInfo.php?workbook=08_06.xlsx&amp;sheet=U0&amp;row=193&amp;col=11&amp;number=0.5865&amp;sourceID=9","0.5865")</f>
        <v>0.5865</v>
      </c>
      <c r="L193" s="4" t="str">
        <f>HYPERLINK("http://141.218.60.56/~jnz1568/getInfo.php?workbook=08_06.xlsx&amp;sheet=U0&amp;row=193&amp;col=12&amp;number=4.14612803568&amp;sourceID=10","4.14612803568")</f>
        <v>4.14612803568</v>
      </c>
      <c r="M193" s="4" t="str">
        <f>HYPERLINK("http://141.218.60.56/~jnz1568/getInfo.php?workbook=08_06.xlsx&amp;sheet=U0&amp;row=193&amp;col=13&amp;number=0.63789791005&amp;sourceID=10","0.63789791005")</f>
        <v>0.63789791005</v>
      </c>
    </row>
    <row r="194" spans="1:13">
      <c r="A194" s="3"/>
      <c r="B194" s="3"/>
      <c r="C194" s="3"/>
      <c r="D194" s="3"/>
      <c r="E194" s="3">
        <v>11</v>
      </c>
      <c r="F194" s="4" t="str">
        <f>HYPERLINK("http://141.218.60.56/~jnz1568/getInfo.php?workbook=08_06.xlsx&amp;sheet=U0&amp;row=194&amp;col=6&amp;number=4.6&amp;sourceID=4","4.6")</f>
        <v>4.6</v>
      </c>
      <c r="G194" s="4" t="str">
        <f>HYPERLINK("http://141.218.60.56/~jnz1568/getInfo.php?workbook=08_06.xlsx&amp;sheet=U0&amp;row=194&amp;col=7&amp;number=0.579&amp;sourceID=4","0.579")</f>
        <v>0.579</v>
      </c>
      <c r="H194" s="4" t="str">
        <f>HYPERLINK("http://141.218.60.56/~jnz1568/getInfo.php?workbook=08_06.xlsx&amp;sheet=U0&amp;row=194&amp;col=8&amp;number=&amp;sourceID=8","")</f>
        <v/>
      </c>
      <c r="I194" s="4" t="str">
        <f>HYPERLINK("http://141.218.60.56/~jnz1568/getInfo.php?workbook=08_06.xlsx&amp;sheet=U0&amp;row=194&amp;col=9&amp;number=&amp;sourceID=8","")</f>
        <v/>
      </c>
      <c r="J194" s="4" t="str">
        <f>HYPERLINK("http://141.218.60.56/~jnz1568/getInfo.php?workbook=08_06.xlsx&amp;sheet=U0&amp;row=194&amp;col=10&amp;number=5&amp;sourceID=9","5")</f>
        <v>5</v>
      </c>
      <c r="K194" s="4" t="str">
        <f>HYPERLINK("http://141.218.60.56/~jnz1568/getInfo.php?workbook=08_06.xlsx&amp;sheet=U0&amp;row=194&amp;col=11&amp;number=0.5725&amp;sourceID=9","0.5725")</f>
        <v>0.5725</v>
      </c>
      <c r="L194" s="4" t="str">
        <f>HYPERLINK("http://141.218.60.56/~jnz1568/getInfo.php?workbook=08_06.xlsx&amp;sheet=U0&amp;row=194&amp;col=12&amp;number=4.17609125906&amp;sourceID=10","4.17609125906")</f>
        <v>4.17609125906</v>
      </c>
      <c r="M194" s="4" t="str">
        <f>HYPERLINK("http://141.218.60.56/~jnz1568/getInfo.php?workbook=08_06.xlsx&amp;sheet=U0&amp;row=194&amp;col=13&amp;number=0.63685055376&amp;sourceID=10","0.63685055376")</f>
        <v>0.63685055376</v>
      </c>
    </row>
    <row r="195" spans="1:13">
      <c r="A195" s="3"/>
      <c r="B195" s="3"/>
      <c r="C195" s="3"/>
      <c r="D195" s="3"/>
      <c r="E195" s="3">
        <v>12</v>
      </c>
      <c r="F195" s="4" t="str">
        <f>HYPERLINK("http://141.218.60.56/~jnz1568/getInfo.php?workbook=08_06.xlsx&amp;sheet=U0&amp;row=195&amp;col=6&amp;number=4.7&amp;sourceID=4","4.7")</f>
        <v>4.7</v>
      </c>
      <c r="G195" s="4" t="str">
        <f>HYPERLINK("http://141.218.60.56/~jnz1568/getInfo.php?workbook=08_06.xlsx&amp;sheet=U0&amp;row=195&amp;col=7&amp;number=0.578&amp;sourceID=4","0.578")</f>
        <v>0.578</v>
      </c>
      <c r="H195" s="4" t="str">
        <f>HYPERLINK("http://141.218.60.56/~jnz1568/getInfo.php?workbook=08_06.xlsx&amp;sheet=U0&amp;row=195&amp;col=8&amp;number=&amp;sourceID=8","")</f>
        <v/>
      </c>
      <c r="I195" s="4" t="str">
        <f>HYPERLINK("http://141.218.60.56/~jnz1568/getInfo.php?workbook=08_06.xlsx&amp;sheet=U0&amp;row=195&amp;col=9&amp;number=&amp;sourceID=8","")</f>
        <v/>
      </c>
      <c r="J195" s="4" t="str">
        <f>HYPERLINK("http://141.218.60.56/~jnz1568/getInfo.php?workbook=08_06.xlsx&amp;sheet=U0&amp;row=195&amp;col=10&amp;number=&amp;sourceID=9","")</f>
        <v/>
      </c>
      <c r="K195" s="4" t="str">
        <f>HYPERLINK("http://141.218.60.56/~jnz1568/getInfo.php?workbook=08_06.xlsx&amp;sheet=U0&amp;row=195&amp;col=11&amp;number=&amp;sourceID=9","")</f>
        <v/>
      </c>
      <c r="L195" s="4" t="str">
        <f>HYPERLINK("http://141.218.60.56/~jnz1568/getInfo.php?workbook=08_06.xlsx&amp;sheet=U0&amp;row=195&amp;col=12&amp;number=4.20411998266&amp;sourceID=10","4.20411998266")</f>
        <v>4.20411998266</v>
      </c>
      <c r="M195" s="4" t="str">
        <f>HYPERLINK("http://141.218.60.56/~jnz1568/getInfo.php?workbook=08_06.xlsx&amp;sheet=U0&amp;row=195&amp;col=13&amp;number=0.63491854162&amp;sourceID=10","0.63491854162")</f>
        <v>0.63491854162</v>
      </c>
    </row>
    <row r="196" spans="1:13">
      <c r="A196" s="3"/>
      <c r="B196" s="3"/>
      <c r="C196" s="3"/>
      <c r="D196" s="3"/>
      <c r="E196" s="3">
        <v>13</v>
      </c>
      <c r="F196" s="4" t="str">
        <f>HYPERLINK("http://141.218.60.56/~jnz1568/getInfo.php?workbook=08_06.xlsx&amp;sheet=U0&amp;row=196&amp;col=6&amp;number=4.78&amp;sourceID=4","4.78")</f>
        <v>4.78</v>
      </c>
      <c r="G196" s="4" t="str">
        <f>HYPERLINK("http://141.218.60.56/~jnz1568/getInfo.php?workbook=08_06.xlsx&amp;sheet=U0&amp;row=196&amp;col=7&amp;number=0.577&amp;sourceID=4","0.577")</f>
        <v>0.577</v>
      </c>
      <c r="H196" s="4" t="str">
        <f>HYPERLINK("http://141.218.60.56/~jnz1568/getInfo.php?workbook=08_06.xlsx&amp;sheet=U0&amp;row=196&amp;col=8&amp;number=&amp;sourceID=8","")</f>
        <v/>
      </c>
      <c r="I196" s="4" t="str">
        <f>HYPERLINK("http://141.218.60.56/~jnz1568/getInfo.php?workbook=08_06.xlsx&amp;sheet=U0&amp;row=196&amp;col=9&amp;number=&amp;sourceID=8","")</f>
        <v/>
      </c>
      <c r="J196" s="4" t="str">
        <f>HYPERLINK("http://141.218.60.56/~jnz1568/getInfo.php?workbook=08_06.xlsx&amp;sheet=U0&amp;row=196&amp;col=10&amp;number=&amp;sourceID=9","")</f>
        <v/>
      </c>
      <c r="K196" s="4" t="str">
        <f>HYPERLINK("http://141.218.60.56/~jnz1568/getInfo.php?workbook=08_06.xlsx&amp;sheet=U0&amp;row=196&amp;col=11&amp;number=&amp;sourceID=9","")</f>
        <v/>
      </c>
      <c r="L196" s="4" t="str">
        <f>HYPERLINK("http://141.218.60.56/~jnz1568/getInfo.php?workbook=08_06.xlsx&amp;sheet=U0&amp;row=196&amp;col=12&amp;number=4.23044892138&amp;sourceID=10","4.23044892138")</f>
        <v>4.23044892138</v>
      </c>
      <c r="M196" s="4" t="str">
        <f>HYPERLINK("http://141.218.60.56/~jnz1568/getInfo.php?workbook=08_06.xlsx&amp;sheet=U0&amp;row=196&amp;col=13&amp;number=0.632362476588&amp;sourceID=10","0.632362476588")</f>
        <v>0.632362476588</v>
      </c>
    </row>
    <row r="197" spans="1:13">
      <c r="A197" s="3"/>
      <c r="B197" s="3"/>
      <c r="C197" s="3"/>
      <c r="D197" s="3"/>
      <c r="E197" s="3">
        <v>14</v>
      </c>
      <c r="F197" s="4" t="str">
        <f>HYPERLINK("http://141.218.60.56/~jnz1568/getInfo.php?workbook=08_06.xlsx&amp;sheet=U0&amp;row=197&amp;col=6&amp;number=4.9&amp;sourceID=4","4.9")</f>
        <v>4.9</v>
      </c>
      <c r="G197" s="4" t="str">
        <f>HYPERLINK("http://141.218.60.56/~jnz1568/getInfo.php?workbook=08_06.xlsx&amp;sheet=U0&amp;row=197&amp;col=7&amp;number=0.576&amp;sourceID=4","0.576")</f>
        <v>0.576</v>
      </c>
      <c r="H197" s="4" t="str">
        <f>HYPERLINK("http://141.218.60.56/~jnz1568/getInfo.php?workbook=08_06.xlsx&amp;sheet=U0&amp;row=197&amp;col=8&amp;number=&amp;sourceID=8","")</f>
        <v/>
      </c>
      <c r="I197" s="4" t="str">
        <f>HYPERLINK("http://141.218.60.56/~jnz1568/getInfo.php?workbook=08_06.xlsx&amp;sheet=U0&amp;row=197&amp;col=9&amp;number=&amp;sourceID=8","")</f>
        <v/>
      </c>
      <c r="J197" s="4" t="str">
        <f>HYPERLINK("http://141.218.60.56/~jnz1568/getInfo.php?workbook=08_06.xlsx&amp;sheet=U0&amp;row=197&amp;col=10&amp;number=&amp;sourceID=9","")</f>
        <v/>
      </c>
      <c r="K197" s="4" t="str">
        <f>HYPERLINK("http://141.218.60.56/~jnz1568/getInfo.php?workbook=08_06.xlsx&amp;sheet=U0&amp;row=197&amp;col=11&amp;number=&amp;sourceID=9","")</f>
        <v/>
      </c>
      <c r="L197" s="4" t="str">
        <f>HYPERLINK("http://141.218.60.56/~jnz1568/getInfo.php?workbook=08_06.xlsx&amp;sheet=U0&amp;row=197&amp;col=12&amp;number=4.2552725051&amp;sourceID=10","4.2552725051")</f>
        <v>4.2552725051</v>
      </c>
      <c r="M197" s="4" t="str">
        <f>HYPERLINK("http://141.218.60.56/~jnz1568/getInfo.php?workbook=08_06.xlsx&amp;sheet=U0&amp;row=197&amp;col=13&amp;number=0.629378209519&amp;sourceID=10","0.629378209519")</f>
        <v>0.629378209519</v>
      </c>
    </row>
    <row r="198" spans="1:13">
      <c r="A198" s="3"/>
      <c r="B198" s="3"/>
      <c r="C198" s="3"/>
      <c r="D198" s="3"/>
      <c r="E198" s="3">
        <v>15</v>
      </c>
      <c r="F198" s="4" t="str">
        <f>HYPERLINK("http://141.218.60.56/~jnz1568/getInfo.php?workbook=08_06.xlsx&amp;sheet=U0&amp;row=198&amp;col=6&amp;number=5&amp;sourceID=4","5")</f>
        <v>5</v>
      </c>
      <c r="G198" s="4" t="str">
        <f>HYPERLINK("http://141.218.60.56/~jnz1568/getInfo.php?workbook=08_06.xlsx&amp;sheet=U0&amp;row=198&amp;col=7&amp;number=0.574&amp;sourceID=4","0.574")</f>
        <v>0.574</v>
      </c>
      <c r="H198" s="4" t="str">
        <f>HYPERLINK("http://141.218.60.56/~jnz1568/getInfo.php?workbook=08_06.xlsx&amp;sheet=U0&amp;row=198&amp;col=8&amp;number=&amp;sourceID=8","")</f>
        <v/>
      </c>
      <c r="I198" s="4" t="str">
        <f>HYPERLINK("http://141.218.60.56/~jnz1568/getInfo.php?workbook=08_06.xlsx&amp;sheet=U0&amp;row=198&amp;col=9&amp;number=&amp;sourceID=8","")</f>
        <v/>
      </c>
      <c r="J198" s="4" t="str">
        <f>HYPERLINK("http://141.218.60.56/~jnz1568/getInfo.php?workbook=08_06.xlsx&amp;sheet=U0&amp;row=198&amp;col=10&amp;number=&amp;sourceID=9","")</f>
        <v/>
      </c>
      <c r="K198" s="4" t="str">
        <f>HYPERLINK("http://141.218.60.56/~jnz1568/getInfo.php?workbook=08_06.xlsx&amp;sheet=U0&amp;row=198&amp;col=11&amp;number=&amp;sourceID=9","")</f>
        <v/>
      </c>
      <c r="L198" s="4" t="str">
        <f>HYPERLINK("http://141.218.60.56/~jnz1568/getInfo.php?workbook=08_06.xlsx&amp;sheet=U0&amp;row=198&amp;col=12&amp;number=4.27875360095&amp;sourceID=10","4.27875360095")</f>
        <v>4.27875360095</v>
      </c>
      <c r="M198" s="4" t="str">
        <f>HYPERLINK("http://141.218.60.56/~jnz1568/getInfo.php?workbook=08_06.xlsx&amp;sheet=U0&amp;row=198&amp;col=13&amp;number=0.626113129606&amp;sourceID=10","0.626113129606")</f>
        <v>0.626113129606</v>
      </c>
    </row>
    <row r="199" spans="1:13">
      <c r="A199" s="3"/>
      <c r="B199" s="3"/>
      <c r="C199" s="3"/>
      <c r="D199" s="3"/>
      <c r="E199" s="3">
        <v>16</v>
      </c>
      <c r="F199" s="4" t="str">
        <f>HYPERLINK("http://141.218.60.56/~jnz1568/getInfo.php?workbook=08_06.xlsx&amp;sheet=U0&amp;row=199&amp;col=6&amp;number=5.08&amp;sourceID=4","5.08")</f>
        <v>5.08</v>
      </c>
      <c r="G199" s="4" t="str">
        <f>HYPERLINK("http://141.218.60.56/~jnz1568/getInfo.php?workbook=08_06.xlsx&amp;sheet=U0&amp;row=199&amp;col=7&amp;number=0.572&amp;sourceID=4","0.572")</f>
        <v>0.572</v>
      </c>
      <c r="H199" s="4" t="str">
        <f>HYPERLINK("http://141.218.60.56/~jnz1568/getInfo.php?workbook=08_06.xlsx&amp;sheet=U0&amp;row=199&amp;col=8&amp;number=&amp;sourceID=8","")</f>
        <v/>
      </c>
      <c r="I199" s="4" t="str">
        <f>HYPERLINK("http://141.218.60.56/~jnz1568/getInfo.php?workbook=08_06.xlsx&amp;sheet=U0&amp;row=199&amp;col=9&amp;number=&amp;sourceID=8","")</f>
        <v/>
      </c>
      <c r="J199" s="4" t="str">
        <f>HYPERLINK("http://141.218.60.56/~jnz1568/getInfo.php?workbook=08_06.xlsx&amp;sheet=U0&amp;row=199&amp;col=10&amp;number=&amp;sourceID=9","")</f>
        <v/>
      </c>
      <c r="K199" s="4" t="str">
        <f>HYPERLINK("http://141.218.60.56/~jnz1568/getInfo.php?workbook=08_06.xlsx&amp;sheet=U0&amp;row=199&amp;col=11&amp;number=&amp;sourceID=9","")</f>
        <v/>
      </c>
      <c r="L199" s="4" t="str">
        <f>HYPERLINK("http://141.218.60.56/~jnz1568/getInfo.php?workbook=08_06.xlsx&amp;sheet=U0&amp;row=199&amp;col=12&amp;number=4.30102999566&amp;sourceID=10","4.30102999566")</f>
        <v>4.30102999566</v>
      </c>
      <c r="M199" s="4" t="str">
        <f>HYPERLINK("http://141.218.60.56/~jnz1568/getInfo.php?workbook=08_06.xlsx&amp;sheet=U0&amp;row=199&amp;col=13&amp;number=0.622678221987&amp;sourceID=10","0.622678221987")</f>
        <v>0.622678221987</v>
      </c>
    </row>
    <row r="200" spans="1:13">
      <c r="A200" s="3"/>
      <c r="B200" s="3"/>
      <c r="C200" s="3"/>
      <c r="D200" s="3"/>
      <c r="E200" s="3">
        <v>17</v>
      </c>
      <c r="F200" s="4" t="str">
        <f>HYPERLINK("http://141.218.60.56/~jnz1568/getInfo.php?workbook=08_06.xlsx&amp;sheet=U0&amp;row=200&amp;col=6&amp;number=5.15&amp;sourceID=4","5.15")</f>
        <v>5.15</v>
      </c>
      <c r="G200" s="4" t="str">
        <f>HYPERLINK("http://141.218.60.56/~jnz1568/getInfo.php?workbook=08_06.xlsx&amp;sheet=U0&amp;row=200&amp;col=7&amp;number=0.568&amp;sourceID=4","0.568")</f>
        <v>0.568</v>
      </c>
      <c r="H200" s="4" t="str">
        <f>HYPERLINK("http://141.218.60.56/~jnz1568/getInfo.php?workbook=08_06.xlsx&amp;sheet=U0&amp;row=200&amp;col=8&amp;number=&amp;sourceID=8","")</f>
        <v/>
      </c>
      <c r="I200" s="4" t="str">
        <f>HYPERLINK("http://141.218.60.56/~jnz1568/getInfo.php?workbook=08_06.xlsx&amp;sheet=U0&amp;row=200&amp;col=9&amp;number=&amp;sourceID=8","")</f>
        <v/>
      </c>
      <c r="J200" s="4" t="str">
        <f>HYPERLINK("http://141.218.60.56/~jnz1568/getInfo.php?workbook=08_06.xlsx&amp;sheet=U0&amp;row=200&amp;col=10&amp;number=&amp;sourceID=9","")</f>
        <v/>
      </c>
      <c r="K200" s="4" t="str">
        <f>HYPERLINK("http://141.218.60.56/~jnz1568/getInfo.php?workbook=08_06.xlsx&amp;sheet=U0&amp;row=200&amp;col=11&amp;number=&amp;sourceID=9","")</f>
        <v/>
      </c>
      <c r="L200" s="4" t="str">
        <f>HYPERLINK("http://141.218.60.56/~jnz1568/getInfo.php?workbook=08_06.xlsx&amp;sheet=U0&amp;row=200&amp;col=12&amp;number=&amp;sourceID=10","")</f>
        <v/>
      </c>
      <c r="M200" s="4" t="str">
        <f>HYPERLINK("http://141.218.60.56/~jnz1568/getInfo.php?workbook=08_06.xlsx&amp;sheet=U0&amp;row=200&amp;col=13&amp;number=&amp;sourceID=10","")</f>
        <v/>
      </c>
    </row>
    <row r="201" spans="1:13">
      <c r="A201" s="3"/>
      <c r="B201" s="3"/>
      <c r="C201" s="3"/>
      <c r="D201" s="3"/>
      <c r="E201" s="3">
        <v>18</v>
      </c>
      <c r="F201" s="4" t="str">
        <f>HYPERLINK("http://141.218.60.56/~jnz1568/getInfo.php?workbook=08_06.xlsx&amp;sheet=U0&amp;row=201&amp;col=6&amp;number=5.2&amp;sourceID=4","5.2")</f>
        <v>5.2</v>
      </c>
      <c r="G201" s="4" t="str">
        <f>HYPERLINK("http://141.218.60.56/~jnz1568/getInfo.php?workbook=08_06.xlsx&amp;sheet=U0&amp;row=201&amp;col=7&amp;number=0.564&amp;sourceID=4","0.564")</f>
        <v>0.564</v>
      </c>
      <c r="H201" s="4" t="str">
        <f>HYPERLINK("http://141.218.60.56/~jnz1568/getInfo.php?workbook=08_06.xlsx&amp;sheet=U0&amp;row=201&amp;col=8&amp;number=&amp;sourceID=8","")</f>
        <v/>
      </c>
      <c r="I201" s="4" t="str">
        <f>HYPERLINK("http://141.218.60.56/~jnz1568/getInfo.php?workbook=08_06.xlsx&amp;sheet=U0&amp;row=201&amp;col=9&amp;number=&amp;sourceID=8","")</f>
        <v/>
      </c>
      <c r="J201" s="4" t="str">
        <f>HYPERLINK("http://141.218.60.56/~jnz1568/getInfo.php?workbook=08_06.xlsx&amp;sheet=U0&amp;row=201&amp;col=10&amp;number=&amp;sourceID=9","")</f>
        <v/>
      </c>
      <c r="K201" s="4" t="str">
        <f>HYPERLINK("http://141.218.60.56/~jnz1568/getInfo.php?workbook=08_06.xlsx&amp;sheet=U0&amp;row=201&amp;col=11&amp;number=&amp;sourceID=9","")</f>
        <v/>
      </c>
      <c r="L201" s="4" t="str">
        <f>HYPERLINK("http://141.218.60.56/~jnz1568/getInfo.php?workbook=08_06.xlsx&amp;sheet=U0&amp;row=201&amp;col=12&amp;number=&amp;sourceID=10","")</f>
        <v/>
      </c>
      <c r="M201" s="4" t="str">
        <f>HYPERLINK("http://141.218.60.56/~jnz1568/getInfo.php?workbook=08_06.xlsx&amp;sheet=U0&amp;row=201&amp;col=13&amp;number=&amp;sourceID=10","")</f>
        <v/>
      </c>
    </row>
    <row r="202" spans="1:13">
      <c r="A202" s="3"/>
      <c r="B202" s="3"/>
      <c r="C202" s="3"/>
      <c r="D202" s="3"/>
      <c r="E202" s="3">
        <v>19</v>
      </c>
      <c r="F202" s="4" t="str">
        <f>HYPERLINK("http://141.218.60.56/~jnz1568/getInfo.php?workbook=08_06.xlsx&amp;sheet=U0&amp;row=202&amp;col=6&amp;number=5.26&amp;sourceID=4","5.26")</f>
        <v>5.26</v>
      </c>
      <c r="G202" s="4" t="str">
        <f>HYPERLINK("http://141.218.60.56/~jnz1568/getInfo.php?workbook=08_06.xlsx&amp;sheet=U0&amp;row=202&amp;col=7&amp;number=0.56&amp;sourceID=4","0.56")</f>
        <v>0.56</v>
      </c>
      <c r="H202" s="4" t="str">
        <f>HYPERLINK("http://141.218.60.56/~jnz1568/getInfo.php?workbook=08_06.xlsx&amp;sheet=U0&amp;row=202&amp;col=8&amp;number=&amp;sourceID=8","")</f>
        <v/>
      </c>
      <c r="I202" s="4" t="str">
        <f>HYPERLINK("http://141.218.60.56/~jnz1568/getInfo.php?workbook=08_06.xlsx&amp;sheet=U0&amp;row=202&amp;col=9&amp;number=&amp;sourceID=8","")</f>
        <v/>
      </c>
      <c r="J202" s="4" t="str">
        <f>HYPERLINK("http://141.218.60.56/~jnz1568/getInfo.php?workbook=08_06.xlsx&amp;sheet=U0&amp;row=202&amp;col=10&amp;number=&amp;sourceID=9","")</f>
        <v/>
      </c>
      <c r="K202" s="4" t="str">
        <f>HYPERLINK("http://141.218.60.56/~jnz1568/getInfo.php?workbook=08_06.xlsx&amp;sheet=U0&amp;row=202&amp;col=11&amp;number=&amp;sourceID=9","")</f>
        <v/>
      </c>
      <c r="L202" s="4" t="str">
        <f>HYPERLINK("http://141.218.60.56/~jnz1568/getInfo.php?workbook=08_06.xlsx&amp;sheet=U0&amp;row=202&amp;col=12&amp;number=&amp;sourceID=10","")</f>
        <v/>
      </c>
      <c r="M202" s="4" t="str">
        <f>HYPERLINK("http://141.218.60.56/~jnz1568/getInfo.php?workbook=08_06.xlsx&amp;sheet=U0&amp;row=202&amp;col=13&amp;number=&amp;sourceID=10","")</f>
        <v/>
      </c>
    </row>
    <row r="203" spans="1:13">
      <c r="A203" s="3"/>
      <c r="B203" s="3"/>
      <c r="C203" s="3"/>
      <c r="D203" s="3"/>
      <c r="E203" s="3">
        <v>20</v>
      </c>
      <c r="F203" s="4" t="str">
        <f>HYPERLINK("http://141.218.60.56/~jnz1568/getInfo.php?workbook=08_06.xlsx&amp;sheet=U0&amp;row=203&amp;col=6&amp;number=5.3&amp;sourceID=4","5.3")</f>
        <v>5.3</v>
      </c>
      <c r="G203" s="4" t="str">
        <f>HYPERLINK("http://141.218.60.56/~jnz1568/getInfo.php?workbook=08_06.xlsx&amp;sheet=U0&amp;row=203&amp;col=7&amp;number=0.556&amp;sourceID=4","0.556")</f>
        <v>0.556</v>
      </c>
      <c r="H203" s="4" t="str">
        <f>HYPERLINK("http://141.218.60.56/~jnz1568/getInfo.php?workbook=08_06.xlsx&amp;sheet=U0&amp;row=203&amp;col=8&amp;number=&amp;sourceID=8","")</f>
        <v/>
      </c>
      <c r="I203" s="4" t="str">
        <f>HYPERLINK("http://141.218.60.56/~jnz1568/getInfo.php?workbook=08_06.xlsx&amp;sheet=U0&amp;row=203&amp;col=9&amp;number=&amp;sourceID=8","")</f>
        <v/>
      </c>
      <c r="J203" s="4" t="str">
        <f>HYPERLINK("http://141.218.60.56/~jnz1568/getInfo.php?workbook=08_06.xlsx&amp;sheet=U0&amp;row=203&amp;col=10&amp;number=&amp;sourceID=9","")</f>
        <v/>
      </c>
      <c r="K203" s="4" t="str">
        <f>HYPERLINK("http://141.218.60.56/~jnz1568/getInfo.php?workbook=08_06.xlsx&amp;sheet=U0&amp;row=203&amp;col=11&amp;number=&amp;sourceID=9","")</f>
        <v/>
      </c>
      <c r="L203" s="4" t="str">
        <f>HYPERLINK("http://141.218.60.56/~jnz1568/getInfo.php?workbook=08_06.xlsx&amp;sheet=U0&amp;row=203&amp;col=12&amp;number=&amp;sourceID=10","")</f>
        <v/>
      </c>
      <c r="M203" s="4" t="str">
        <f>HYPERLINK("http://141.218.60.56/~jnz1568/getInfo.php?workbook=08_06.xlsx&amp;sheet=U0&amp;row=203&amp;col=13&amp;number=&amp;sourceID=10","")</f>
        <v/>
      </c>
    </row>
    <row r="204" spans="1:13">
      <c r="A204" s="3">
        <v>8</v>
      </c>
      <c r="B204" s="3">
        <v>6</v>
      </c>
      <c r="C204" s="3">
        <v>6</v>
      </c>
      <c r="D204" s="3">
        <v>1</v>
      </c>
      <c r="E204" s="3">
        <v>1</v>
      </c>
      <c r="F204" s="4" t="str">
        <f>HYPERLINK("http://141.218.60.56/~jnz1568/getInfo.php?workbook=08_06.xlsx&amp;sheet=U0&amp;row=204&amp;col=6&amp;number=3.4&amp;sourceID=4","3.4")</f>
        <v>3.4</v>
      </c>
      <c r="G204" s="4" t="str">
        <f>HYPERLINK("http://141.218.60.56/~jnz1568/getInfo.php?workbook=08_06.xlsx&amp;sheet=U0&amp;row=204&amp;col=7&amp;number=0.111&amp;sourceID=4","0.111")</f>
        <v>0.111</v>
      </c>
      <c r="H204" s="4" t="str">
        <f>HYPERLINK("http://141.218.60.56/~jnz1568/getInfo.php?workbook=08_06.xlsx&amp;sheet=U0&amp;row=204&amp;col=8&amp;number=&amp;sourceID=8","")</f>
        <v/>
      </c>
      <c r="I204" s="4" t="str">
        <f>HYPERLINK("http://141.218.60.56/~jnz1568/getInfo.php?workbook=08_06.xlsx&amp;sheet=U0&amp;row=204&amp;col=9&amp;number=&amp;sourceID=8","")</f>
        <v/>
      </c>
      <c r="J204" s="4" t="str">
        <f>HYPERLINK("http://141.218.60.56/~jnz1568/getInfo.php?workbook=08_06.xlsx&amp;sheet=U0&amp;row=204&amp;col=10&amp;number=3&amp;sourceID=9","3")</f>
        <v>3</v>
      </c>
      <c r="K204" s="4" t="str">
        <f>HYPERLINK("http://141.218.60.56/~jnz1568/getInfo.php?workbook=08_06.xlsx&amp;sheet=U0&amp;row=204&amp;col=11&amp;number=0.108444444444&amp;sourceID=9","0.108444444444")</f>
        <v>0.108444444444</v>
      </c>
      <c r="L204" s="4" t="str">
        <f>HYPERLINK("http://141.218.60.56/~jnz1568/getInfo.php?workbook=08_06.xlsx&amp;sheet=U0&amp;row=204&amp;col=12&amp;number=&amp;sourceID=10","")</f>
        <v/>
      </c>
      <c r="M204" s="4" t="str">
        <f>HYPERLINK("http://141.218.60.56/~jnz1568/getInfo.php?workbook=08_06.xlsx&amp;sheet=U0&amp;row=204&amp;col=13&amp;number=&amp;sourceID=10","")</f>
        <v/>
      </c>
    </row>
    <row r="205" spans="1:13">
      <c r="A205" s="3"/>
      <c r="B205" s="3"/>
      <c r="C205" s="3"/>
      <c r="D205" s="3"/>
      <c r="E205" s="3">
        <v>2</v>
      </c>
      <c r="F205" s="4" t="str">
        <f>HYPERLINK("http://141.218.60.56/~jnz1568/getInfo.php?workbook=08_06.xlsx&amp;sheet=U0&amp;row=205&amp;col=6&amp;number=3.7&amp;sourceID=4","3.7")</f>
        <v>3.7</v>
      </c>
      <c r="G205" s="4" t="str">
        <f>HYPERLINK("http://141.218.60.56/~jnz1568/getInfo.php?workbook=08_06.xlsx&amp;sheet=U0&amp;row=205&amp;col=7&amp;number=0.113&amp;sourceID=4","0.113")</f>
        <v>0.113</v>
      </c>
      <c r="H205" s="4" t="str">
        <f>HYPERLINK("http://141.218.60.56/~jnz1568/getInfo.php?workbook=08_06.xlsx&amp;sheet=U0&amp;row=205&amp;col=8&amp;number=&amp;sourceID=8","")</f>
        <v/>
      </c>
      <c r="I205" s="4" t="str">
        <f>HYPERLINK("http://141.218.60.56/~jnz1568/getInfo.php?workbook=08_06.xlsx&amp;sheet=U0&amp;row=205&amp;col=9&amp;number=&amp;sourceID=8","")</f>
        <v/>
      </c>
      <c r="J205" s="4" t="str">
        <f>HYPERLINK("http://141.218.60.56/~jnz1568/getInfo.php?workbook=08_06.xlsx&amp;sheet=U0&amp;row=205&amp;col=10&amp;number=3.2&amp;sourceID=9","3.2")</f>
        <v>3.2</v>
      </c>
      <c r="K205" s="4" t="str">
        <f>HYPERLINK("http://141.218.60.56/~jnz1568/getInfo.php?workbook=08_06.xlsx&amp;sheet=U0&amp;row=205&amp;col=11&amp;number=0.107477777778&amp;sourceID=9","0.107477777778")</f>
        <v>0.107477777778</v>
      </c>
      <c r="L205" s="4" t="str">
        <f>HYPERLINK("http://141.218.60.56/~jnz1568/getInfo.php?workbook=08_06.xlsx&amp;sheet=U0&amp;row=205&amp;col=12&amp;number=&amp;sourceID=10","")</f>
        <v/>
      </c>
      <c r="M205" s="4" t="str">
        <f>HYPERLINK("http://141.218.60.56/~jnz1568/getInfo.php?workbook=08_06.xlsx&amp;sheet=U0&amp;row=205&amp;col=13&amp;number=&amp;sourceID=10","")</f>
        <v/>
      </c>
    </row>
    <row r="206" spans="1:13">
      <c r="A206" s="3"/>
      <c r="B206" s="3"/>
      <c r="C206" s="3"/>
      <c r="D206" s="3"/>
      <c r="E206" s="3">
        <v>3</v>
      </c>
      <c r="F206" s="4" t="str">
        <f>HYPERLINK("http://141.218.60.56/~jnz1568/getInfo.php?workbook=08_06.xlsx&amp;sheet=U0&amp;row=206&amp;col=6&amp;number=3.88&amp;sourceID=4","3.88")</f>
        <v>3.88</v>
      </c>
      <c r="G206" s="4" t="str">
        <f>HYPERLINK("http://141.218.60.56/~jnz1568/getInfo.php?workbook=08_06.xlsx&amp;sheet=U0&amp;row=206&amp;col=7&amp;number=0.119&amp;sourceID=4","0.119")</f>
        <v>0.119</v>
      </c>
      <c r="H206" s="4" t="str">
        <f>HYPERLINK("http://141.218.60.56/~jnz1568/getInfo.php?workbook=08_06.xlsx&amp;sheet=U0&amp;row=206&amp;col=8&amp;number=&amp;sourceID=8","")</f>
        <v/>
      </c>
      <c r="I206" s="4" t="str">
        <f>HYPERLINK("http://141.218.60.56/~jnz1568/getInfo.php?workbook=08_06.xlsx&amp;sheet=U0&amp;row=206&amp;col=9&amp;number=&amp;sourceID=8","")</f>
        <v/>
      </c>
      <c r="J206" s="4" t="str">
        <f>HYPERLINK("http://141.218.60.56/~jnz1568/getInfo.php?workbook=08_06.xlsx&amp;sheet=U0&amp;row=206&amp;col=10&amp;number=3.4&amp;sourceID=9","3.4")</f>
        <v>3.4</v>
      </c>
      <c r="K206" s="4" t="str">
        <f>HYPERLINK("http://141.218.60.56/~jnz1568/getInfo.php?workbook=08_06.xlsx&amp;sheet=U0&amp;row=206&amp;col=11&amp;number=0.107911111111&amp;sourceID=9","0.107911111111")</f>
        <v>0.107911111111</v>
      </c>
      <c r="L206" s="4" t="str">
        <f>HYPERLINK("http://141.218.60.56/~jnz1568/getInfo.php?workbook=08_06.xlsx&amp;sheet=U0&amp;row=206&amp;col=12&amp;number=&amp;sourceID=10","")</f>
        <v/>
      </c>
      <c r="M206" s="4" t="str">
        <f>HYPERLINK("http://141.218.60.56/~jnz1568/getInfo.php?workbook=08_06.xlsx&amp;sheet=U0&amp;row=206&amp;col=13&amp;number=&amp;sourceID=10","")</f>
        <v/>
      </c>
    </row>
    <row r="207" spans="1:13">
      <c r="A207" s="3"/>
      <c r="B207" s="3"/>
      <c r="C207" s="3"/>
      <c r="D207" s="3"/>
      <c r="E207" s="3">
        <v>4</v>
      </c>
      <c r="F207" s="4" t="str">
        <f>HYPERLINK("http://141.218.60.56/~jnz1568/getInfo.php?workbook=08_06.xlsx&amp;sheet=U0&amp;row=207&amp;col=6&amp;number=4&amp;sourceID=4","4")</f>
        <v>4</v>
      </c>
      <c r="G207" s="4" t="str">
        <f>HYPERLINK("http://141.218.60.56/~jnz1568/getInfo.php?workbook=08_06.xlsx&amp;sheet=U0&amp;row=207&amp;col=7&amp;number=0.124&amp;sourceID=4","0.124")</f>
        <v>0.124</v>
      </c>
      <c r="H207" s="4" t="str">
        <f>HYPERLINK("http://141.218.60.56/~jnz1568/getInfo.php?workbook=08_06.xlsx&amp;sheet=U0&amp;row=207&amp;col=8&amp;number=&amp;sourceID=8","")</f>
        <v/>
      </c>
      <c r="I207" s="4" t="str">
        <f>HYPERLINK("http://141.218.60.56/~jnz1568/getInfo.php?workbook=08_06.xlsx&amp;sheet=U0&amp;row=207&amp;col=9&amp;number=&amp;sourceID=8","")</f>
        <v/>
      </c>
      <c r="J207" s="4" t="str">
        <f>HYPERLINK("http://141.218.60.56/~jnz1568/getInfo.php?workbook=08_06.xlsx&amp;sheet=U0&amp;row=207&amp;col=10&amp;number=3.6&amp;sourceID=9","3.6")</f>
        <v>3.6</v>
      </c>
      <c r="K207" s="4" t="str">
        <f>HYPERLINK("http://141.218.60.56/~jnz1568/getInfo.php?workbook=08_06.xlsx&amp;sheet=U0&amp;row=207&amp;col=11&amp;number=0.1136&amp;sourceID=9","0.1136")</f>
        <v>0.1136</v>
      </c>
      <c r="L207" s="4" t="str">
        <f>HYPERLINK("http://141.218.60.56/~jnz1568/getInfo.php?workbook=08_06.xlsx&amp;sheet=U0&amp;row=207&amp;col=12&amp;number=&amp;sourceID=10","")</f>
        <v/>
      </c>
      <c r="M207" s="4" t="str">
        <f>HYPERLINK("http://141.218.60.56/~jnz1568/getInfo.php?workbook=08_06.xlsx&amp;sheet=U0&amp;row=207&amp;col=13&amp;number=&amp;sourceID=10","")</f>
        <v/>
      </c>
    </row>
    <row r="208" spans="1:13">
      <c r="A208" s="3"/>
      <c r="B208" s="3"/>
      <c r="C208" s="3"/>
      <c r="D208" s="3"/>
      <c r="E208" s="3">
        <v>5</v>
      </c>
      <c r="F208" s="4" t="str">
        <f>HYPERLINK("http://141.218.60.56/~jnz1568/getInfo.php?workbook=08_06.xlsx&amp;sheet=U0&amp;row=208&amp;col=6&amp;number=4.1&amp;sourceID=4","4.1")</f>
        <v>4.1</v>
      </c>
      <c r="G208" s="4" t="str">
        <f>HYPERLINK("http://141.218.60.56/~jnz1568/getInfo.php?workbook=08_06.xlsx&amp;sheet=U0&amp;row=208&amp;col=7&amp;number=0.128&amp;sourceID=4","0.128")</f>
        <v>0.128</v>
      </c>
      <c r="H208" s="4" t="str">
        <f>HYPERLINK("http://141.218.60.56/~jnz1568/getInfo.php?workbook=08_06.xlsx&amp;sheet=U0&amp;row=208&amp;col=8&amp;number=&amp;sourceID=8","")</f>
        <v/>
      </c>
      <c r="I208" s="4" t="str">
        <f>HYPERLINK("http://141.218.60.56/~jnz1568/getInfo.php?workbook=08_06.xlsx&amp;sheet=U0&amp;row=208&amp;col=9&amp;number=&amp;sourceID=8","")</f>
        <v/>
      </c>
      <c r="J208" s="4" t="str">
        <f>HYPERLINK("http://141.218.60.56/~jnz1568/getInfo.php?workbook=08_06.xlsx&amp;sheet=U0&amp;row=208&amp;col=10&amp;number=3.8&amp;sourceID=9","3.8")</f>
        <v>3.8</v>
      </c>
      <c r="K208" s="4" t="str">
        <f>HYPERLINK("http://141.218.60.56/~jnz1568/getInfo.php?workbook=08_06.xlsx&amp;sheet=U0&amp;row=208&amp;col=11&amp;number=0.1244&amp;sourceID=9","0.1244")</f>
        <v>0.1244</v>
      </c>
      <c r="L208" s="4" t="str">
        <f>HYPERLINK("http://141.218.60.56/~jnz1568/getInfo.php?workbook=08_06.xlsx&amp;sheet=U0&amp;row=208&amp;col=12&amp;number=&amp;sourceID=10","")</f>
        <v/>
      </c>
      <c r="M208" s="4" t="str">
        <f>HYPERLINK("http://141.218.60.56/~jnz1568/getInfo.php?workbook=08_06.xlsx&amp;sheet=U0&amp;row=208&amp;col=13&amp;number=&amp;sourceID=10","")</f>
        <v/>
      </c>
    </row>
    <row r="209" spans="1:13">
      <c r="A209" s="3"/>
      <c r="B209" s="3"/>
      <c r="C209" s="3"/>
      <c r="D209" s="3"/>
      <c r="E209" s="3">
        <v>6</v>
      </c>
      <c r="F209" s="4" t="str">
        <f>HYPERLINK("http://141.218.60.56/~jnz1568/getInfo.php?workbook=08_06.xlsx&amp;sheet=U0&amp;row=209&amp;col=6&amp;number=4.18&amp;sourceID=4","4.18")</f>
        <v>4.18</v>
      </c>
      <c r="G209" s="4" t="str">
        <f>HYPERLINK("http://141.218.60.56/~jnz1568/getInfo.php?workbook=08_06.xlsx&amp;sheet=U0&amp;row=209&amp;col=7&amp;number=0.131&amp;sourceID=4","0.131")</f>
        <v>0.131</v>
      </c>
      <c r="H209" s="4" t="str">
        <f>HYPERLINK("http://141.218.60.56/~jnz1568/getInfo.php?workbook=08_06.xlsx&amp;sheet=U0&amp;row=209&amp;col=8&amp;number=&amp;sourceID=8","")</f>
        <v/>
      </c>
      <c r="I209" s="4" t="str">
        <f>HYPERLINK("http://141.218.60.56/~jnz1568/getInfo.php?workbook=08_06.xlsx&amp;sheet=U0&amp;row=209&amp;col=9&amp;number=&amp;sourceID=8","")</f>
        <v/>
      </c>
      <c r="J209" s="4" t="str">
        <f>HYPERLINK("http://141.218.60.56/~jnz1568/getInfo.php?workbook=08_06.xlsx&amp;sheet=U0&amp;row=209&amp;col=10&amp;number=4&amp;sourceID=9","4")</f>
        <v>4</v>
      </c>
      <c r="K209" s="4" t="str">
        <f>HYPERLINK("http://141.218.60.56/~jnz1568/getInfo.php?workbook=08_06.xlsx&amp;sheet=U0&amp;row=209&amp;col=11&amp;number=0.134155555556&amp;sourceID=9","0.134155555556")</f>
        <v>0.134155555556</v>
      </c>
      <c r="L209" s="4" t="str">
        <f>HYPERLINK("http://141.218.60.56/~jnz1568/getInfo.php?workbook=08_06.xlsx&amp;sheet=U0&amp;row=209&amp;col=12&amp;number=&amp;sourceID=10","")</f>
        <v/>
      </c>
      <c r="M209" s="4" t="str">
        <f>HYPERLINK("http://141.218.60.56/~jnz1568/getInfo.php?workbook=08_06.xlsx&amp;sheet=U0&amp;row=209&amp;col=13&amp;number=&amp;sourceID=10","")</f>
        <v/>
      </c>
    </row>
    <row r="210" spans="1:13">
      <c r="A210" s="3"/>
      <c r="B210" s="3"/>
      <c r="C210" s="3"/>
      <c r="D210" s="3"/>
      <c r="E210" s="3">
        <v>7</v>
      </c>
      <c r="F210" s="4" t="str">
        <f>HYPERLINK("http://141.218.60.56/~jnz1568/getInfo.php?workbook=08_06.xlsx&amp;sheet=U0&amp;row=210&amp;col=6&amp;number=4.24&amp;sourceID=4","4.24")</f>
        <v>4.24</v>
      </c>
      <c r="G210" s="4" t="str">
        <f>HYPERLINK("http://141.218.60.56/~jnz1568/getInfo.php?workbook=08_06.xlsx&amp;sheet=U0&amp;row=210&amp;col=7&amp;number=0.133&amp;sourceID=4","0.133")</f>
        <v>0.133</v>
      </c>
      <c r="H210" s="4" t="str">
        <f>HYPERLINK("http://141.218.60.56/~jnz1568/getInfo.php?workbook=08_06.xlsx&amp;sheet=U0&amp;row=210&amp;col=8&amp;number=&amp;sourceID=8","")</f>
        <v/>
      </c>
      <c r="I210" s="4" t="str">
        <f>HYPERLINK("http://141.218.60.56/~jnz1568/getInfo.php?workbook=08_06.xlsx&amp;sheet=U0&amp;row=210&amp;col=9&amp;number=&amp;sourceID=8","")</f>
        <v/>
      </c>
      <c r="J210" s="4" t="str">
        <f>HYPERLINK("http://141.218.60.56/~jnz1568/getInfo.php?workbook=08_06.xlsx&amp;sheet=U0&amp;row=210&amp;col=10&amp;number=4.2&amp;sourceID=9","4.2")</f>
        <v>4.2</v>
      </c>
      <c r="K210" s="4" t="str">
        <f>HYPERLINK("http://141.218.60.56/~jnz1568/getInfo.php?workbook=08_06.xlsx&amp;sheet=U0&amp;row=210&amp;col=11&amp;number=0.139711111111&amp;sourceID=9","0.139711111111")</f>
        <v>0.139711111111</v>
      </c>
      <c r="L210" s="4" t="str">
        <f>HYPERLINK("http://141.218.60.56/~jnz1568/getInfo.php?workbook=08_06.xlsx&amp;sheet=U0&amp;row=210&amp;col=12&amp;number=&amp;sourceID=10","")</f>
        <v/>
      </c>
      <c r="M210" s="4" t="str">
        <f>HYPERLINK("http://141.218.60.56/~jnz1568/getInfo.php?workbook=08_06.xlsx&amp;sheet=U0&amp;row=210&amp;col=13&amp;number=&amp;sourceID=10","")</f>
        <v/>
      </c>
    </row>
    <row r="211" spans="1:13">
      <c r="A211" s="3"/>
      <c r="B211" s="3"/>
      <c r="C211" s="3"/>
      <c r="D211" s="3"/>
      <c r="E211" s="3">
        <v>8</v>
      </c>
      <c r="F211" s="4" t="str">
        <f>HYPERLINK("http://141.218.60.56/~jnz1568/getInfo.php?workbook=08_06.xlsx&amp;sheet=U0&amp;row=211&amp;col=6&amp;number=4.3&amp;sourceID=4","4.3")</f>
        <v>4.3</v>
      </c>
      <c r="G211" s="4" t="str">
        <f>HYPERLINK("http://141.218.60.56/~jnz1568/getInfo.php?workbook=08_06.xlsx&amp;sheet=U0&amp;row=211&amp;col=7&amp;number=0.135&amp;sourceID=4","0.135")</f>
        <v>0.135</v>
      </c>
      <c r="H211" s="4" t="str">
        <f>HYPERLINK("http://141.218.60.56/~jnz1568/getInfo.php?workbook=08_06.xlsx&amp;sheet=U0&amp;row=211&amp;col=8&amp;number=&amp;sourceID=8","")</f>
        <v/>
      </c>
      <c r="I211" s="4" t="str">
        <f>HYPERLINK("http://141.218.60.56/~jnz1568/getInfo.php?workbook=08_06.xlsx&amp;sheet=U0&amp;row=211&amp;col=9&amp;number=&amp;sourceID=8","")</f>
        <v/>
      </c>
      <c r="J211" s="4" t="str">
        <f>HYPERLINK("http://141.218.60.56/~jnz1568/getInfo.php?workbook=08_06.xlsx&amp;sheet=U0&amp;row=211&amp;col=10&amp;number=4.4&amp;sourceID=9","4.4")</f>
        <v>4.4</v>
      </c>
      <c r="K211" s="4" t="str">
        <f>HYPERLINK("http://141.218.60.56/~jnz1568/getInfo.php?workbook=08_06.xlsx&amp;sheet=U0&amp;row=211&amp;col=11&amp;number=0.141333333333&amp;sourceID=9","0.141333333333")</f>
        <v>0.141333333333</v>
      </c>
      <c r="L211" s="4" t="str">
        <f>HYPERLINK("http://141.218.60.56/~jnz1568/getInfo.php?workbook=08_06.xlsx&amp;sheet=U0&amp;row=211&amp;col=12&amp;number=&amp;sourceID=10","")</f>
        <v/>
      </c>
      <c r="M211" s="4" t="str">
        <f>HYPERLINK("http://141.218.60.56/~jnz1568/getInfo.php?workbook=08_06.xlsx&amp;sheet=U0&amp;row=211&amp;col=13&amp;number=&amp;sourceID=10","")</f>
        <v/>
      </c>
    </row>
    <row r="212" spans="1:13">
      <c r="A212" s="3"/>
      <c r="B212" s="3"/>
      <c r="C212" s="3"/>
      <c r="D212" s="3"/>
      <c r="E212" s="3">
        <v>9</v>
      </c>
      <c r="F212" s="4" t="str">
        <f>HYPERLINK("http://141.218.60.56/~jnz1568/getInfo.php?workbook=08_06.xlsx&amp;sheet=U0&amp;row=212&amp;col=6&amp;number=4.4&amp;sourceID=4","4.4")</f>
        <v>4.4</v>
      </c>
      <c r="G212" s="4" t="str">
        <f>HYPERLINK("http://141.218.60.56/~jnz1568/getInfo.php?workbook=08_06.xlsx&amp;sheet=U0&amp;row=212&amp;col=7&amp;number=0.137&amp;sourceID=4","0.137")</f>
        <v>0.137</v>
      </c>
      <c r="H212" s="4" t="str">
        <f>HYPERLINK("http://141.218.60.56/~jnz1568/getInfo.php?workbook=08_06.xlsx&amp;sheet=U0&amp;row=212&amp;col=8&amp;number=&amp;sourceID=8","")</f>
        <v/>
      </c>
      <c r="I212" s="4" t="str">
        <f>HYPERLINK("http://141.218.60.56/~jnz1568/getInfo.php?workbook=08_06.xlsx&amp;sheet=U0&amp;row=212&amp;col=9&amp;number=&amp;sourceID=8","")</f>
        <v/>
      </c>
      <c r="J212" s="4" t="str">
        <f>HYPERLINK("http://141.218.60.56/~jnz1568/getInfo.php?workbook=08_06.xlsx&amp;sheet=U0&amp;row=212&amp;col=10&amp;number=4.6&amp;sourceID=9","4.6")</f>
        <v>4.6</v>
      </c>
      <c r="K212" s="4" t="str">
        <f>HYPERLINK("http://141.218.60.56/~jnz1568/getInfo.php?workbook=08_06.xlsx&amp;sheet=U0&amp;row=212&amp;col=11&amp;number=0.138344444444&amp;sourceID=9","0.138344444444")</f>
        <v>0.138344444444</v>
      </c>
      <c r="L212" s="4" t="str">
        <f>HYPERLINK("http://141.218.60.56/~jnz1568/getInfo.php?workbook=08_06.xlsx&amp;sheet=U0&amp;row=212&amp;col=12&amp;number=&amp;sourceID=10","")</f>
        <v/>
      </c>
      <c r="M212" s="4" t="str">
        <f>HYPERLINK("http://141.218.60.56/~jnz1568/getInfo.php?workbook=08_06.xlsx&amp;sheet=U0&amp;row=212&amp;col=13&amp;number=&amp;sourceID=10","")</f>
        <v/>
      </c>
    </row>
    <row r="213" spans="1:13">
      <c r="A213" s="3"/>
      <c r="B213" s="3"/>
      <c r="C213" s="3"/>
      <c r="D213" s="3"/>
      <c r="E213" s="3">
        <v>10</v>
      </c>
      <c r="F213" s="4" t="str">
        <f>HYPERLINK("http://141.218.60.56/~jnz1568/getInfo.php?workbook=08_06.xlsx&amp;sheet=U0&amp;row=213&amp;col=6&amp;number=4.48&amp;sourceID=4","4.48")</f>
        <v>4.48</v>
      </c>
      <c r="G213" s="4" t="str">
        <f>HYPERLINK("http://141.218.60.56/~jnz1568/getInfo.php?workbook=08_06.xlsx&amp;sheet=U0&amp;row=213&amp;col=7&amp;number=0.137&amp;sourceID=4","0.137")</f>
        <v>0.137</v>
      </c>
      <c r="H213" s="4" t="str">
        <f>HYPERLINK("http://141.218.60.56/~jnz1568/getInfo.php?workbook=08_06.xlsx&amp;sheet=U0&amp;row=213&amp;col=8&amp;number=&amp;sourceID=8","")</f>
        <v/>
      </c>
      <c r="I213" s="4" t="str">
        <f>HYPERLINK("http://141.218.60.56/~jnz1568/getInfo.php?workbook=08_06.xlsx&amp;sheet=U0&amp;row=213&amp;col=9&amp;number=&amp;sourceID=8","")</f>
        <v/>
      </c>
      <c r="J213" s="4" t="str">
        <f>HYPERLINK("http://141.218.60.56/~jnz1568/getInfo.php?workbook=08_06.xlsx&amp;sheet=U0&amp;row=213&amp;col=10&amp;number=4.8&amp;sourceID=9","4.8")</f>
        <v>4.8</v>
      </c>
      <c r="K213" s="4" t="str">
        <f>HYPERLINK("http://141.218.60.56/~jnz1568/getInfo.php?workbook=08_06.xlsx&amp;sheet=U0&amp;row=213&amp;col=11&amp;number=0.130044444444&amp;sourceID=9","0.130044444444")</f>
        <v>0.130044444444</v>
      </c>
      <c r="L213" s="4" t="str">
        <f>HYPERLINK("http://141.218.60.56/~jnz1568/getInfo.php?workbook=08_06.xlsx&amp;sheet=U0&amp;row=213&amp;col=12&amp;number=&amp;sourceID=10","")</f>
        <v/>
      </c>
      <c r="M213" s="4" t="str">
        <f>HYPERLINK("http://141.218.60.56/~jnz1568/getInfo.php?workbook=08_06.xlsx&amp;sheet=U0&amp;row=213&amp;col=13&amp;number=&amp;sourceID=10","")</f>
        <v/>
      </c>
    </row>
    <row r="214" spans="1:13">
      <c r="A214" s="3"/>
      <c r="B214" s="3"/>
      <c r="C214" s="3"/>
      <c r="D214" s="3"/>
      <c r="E214" s="3">
        <v>11</v>
      </c>
      <c r="F214" s="4" t="str">
        <f>HYPERLINK("http://141.218.60.56/~jnz1568/getInfo.php?workbook=08_06.xlsx&amp;sheet=U0&amp;row=214&amp;col=6&amp;number=4.6&amp;sourceID=4","4.6")</f>
        <v>4.6</v>
      </c>
      <c r="G214" s="4" t="str">
        <f>HYPERLINK("http://141.218.60.56/~jnz1568/getInfo.php?workbook=08_06.xlsx&amp;sheet=U0&amp;row=214&amp;col=7&amp;number=0.137&amp;sourceID=4","0.137")</f>
        <v>0.137</v>
      </c>
      <c r="H214" s="4" t="str">
        <f>HYPERLINK("http://141.218.60.56/~jnz1568/getInfo.php?workbook=08_06.xlsx&amp;sheet=U0&amp;row=214&amp;col=8&amp;number=&amp;sourceID=8","")</f>
        <v/>
      </c>
      <c r="I214" s="4" t="str">
        <f>HYPERLINK("http://141.218.60.56/~jnz1568/getInfo.php?workbook=08_06.xlsx&amp;sheet=U0&amp;row=214&amp;col=9&amp;number=&amp;sourceID=8","")</f>
        <v/>
      </c>
      <c r="J214" s="4" t="str">
        <f>HYPERLINK("http://141.218.60.56/~jnz1568/getInfo.php?workbook=08_06.xlsx&amp;sheet=U0&amp;row=214&amp;col=10&amp;number=5&amp;sourceID=9","5")</f>
        <v>5</v>
      </c>
      <c r="K214" s="4" t="str">
        <f>HYPERLINK("http://141.218.60.56/~jnz1568/getInfo.php?workbook=08_06.xlsx&amp;sheet=U0&amp;row=214&amp;col=11&amp;number=0.117777777778&amp;sourceID=9","0.117777777778")</f>
        <v>0.117777777778</v>
      </c>
      <c r="L214" s="4" t="str">
        <f>HYPERLINK("http://141.218.60.56/~jnz1568/getInfo.php?workbook=08_06.xlsx&amp;sheet=U0&amp;row=214&amp;col=12&amp;number=&amp;sourceID=10","")</f>
        <v/>
      </c>
      <c r="M214" s="4" t="str">
        <f>HYPERLINK("http://141.218.60.56/~jnz1568/getInfo.php?workbook=08_06.xlsx&amp;sheet=U0&amp;row=214&amp;col=13&amp;number=&amp;sourceID=10","")</f>
        <v/>
      </c>
    </row>
    <row r="215" spans="1:13">
      <c r="A215" s="3"/>
      <c r="B215" s="3"/>
      <c r="C215" s="3"/>
      <c r="D215" s="3"/>
      <c r="E215" s="3">
        <v>12</v>
      </c>
      <c r="F215" s="4" t="str">
        <f>HYPERLINK("http://141.218.60.56/~jnz1568/getInfo.php?workbook=08_06.xlsx&amp;sheet=U0&amp;row=215&amp;col=6&amp;number=4.7&amp;sourceID=4","4.7")</f>
        <v>4.7</v>
      </c>
      <c r="G215" s="4" t="str">
        <f>HYPERLINK("http://141.218.60.56/~jnz1568/getInfo.php?workbook=08_06.xlsx&amp;sheet=U0&amp;row=215&amp;col=7&amp;number=0.134&amp;sourceID=4","0.134")</f>
        <v>0.134</v>
      </c>
      <c r="H215" s="4" t="str">
        <f>HYPERLINK("http://141.218.60.56/~jnz1568/getInfo.php?workbook=08_06.xlsx&amp;sheet=U0&amp;row=215&amp;col=8&amp;number=&amp;sourceID=8","")</f>
        <v/>
      </c>
      <c r="I215" s="4" t="str">
        <f>HYPERLINK("http://141.218.60.56/~jnz1568/getInfo.php?workbook=08_06.xlsx&amp;sheet=U0&amp;row=215&amp;col=9&amp;number=&amp;sourceID=8","")</f>
        <v/>
      </c>
      <c r="J215" s="4" t="str">
        <f>HYPERLINK("http://141.218.60.56/~jnz1568/getInfo.php?workbook=08_06.xlsx&amp;sheet=U0&amp;row=215&amp;col=10&amp;number=&amp;sourceID=9","")</f>
        <v/>
      </c>
      <c r="K215" s="4" t="str">
        <f>HYPERLINK("http://141.218.60.56/~jnz1568/getInfo.php?workbook=08_06.xlsx&amp;sheet=U0&amp;row=215&amp;col=11&amp;number=&amp;sourceID=9","")</f>
        <v/>
      </c>
      <c r="L215" s="4" t="str">
        <f>HYPERLINK("http://141.218.60.56/~jnz1568/getInfo.php?workbook=08_06.xlsx&amp;sheet=U0&amp;row=215&amp;col=12&amp;number=&amp;sourceID=10","")</f>
        <v/>
      </c>
      <c r="M215" s="4" t="str">
        <f>HYPERLINK("http://141.218.60.56/~jnz1568/getInfo.php?workbook=08_06.xlsx&amp;sheet=U0&amp;row=215&amp;col=13&amp;number=&amp;sourceID=10","")</f>
        <v/>
      </c>
    </row>
    <row r="216" spans="1:13">
      <c r="A216" s="3"/>
      <c r="B216" s="3"/>
      <c r="C216" s="3"/>
      <c r="D216" s="3"/>
      <c r="E216" s="3">
        <v>13</v>
      </c>
      <c r="F216" s="4" t="str">
        <f>HYPERLINK("http://141.218.60.56/~jnz1568/getInfo.php?workbook=08_06.xlsx&amp;sheet=U0&amp;row=216&amp;col=6&amp;number=4.78&amp;sourceID=4","4.78")</f>
        <v>4.78</v>
      </c>
      <c r="G216" s="4" t="str">
        <f>HYPERLINK("http://141.218.60.56/~jnz1568/getInfo.php?workbook=08_06.xlsx&amp;sheet=U0&amp;row=216&amp;col=7&amp;number=0.131&amp;sourceID=4","0.131")</f>
        <v>0.131</v>
      </c>
      <c r="H216" s="4" t="str">
        <f>HYPERLINK("http://141.218.60.56/~jnz1568/getInfo.php?workbook=08_06.xlsx&amp;sheet=U0&amp;row=216&amp;col=8&amp;number=&amp;sourceID=8","")</f>
        <v/>
      </c>
      <c r="I216" s="4" t="str">
        <f>HYPERLINK("http://141.218.60.56/~jnz1568/getInfo.php?workbook=08_06.xlsx&amp;sheet=U0&amp;row=216&amp;col=9&amp;number=&amp;sourceID=8","")</f>
        <v/>
      </c>
      <c r="J216" s="4" t="str">
        <f>HYPERLINK("http://141.218.60.56/~jnz1568/getInfo.php?workbook=08_06.xlsx&amp;sheet=U0&amp;row=216&amp;col=10&amp;number=&amp;sourceID=9","")</f>
        <v/>
      </c>
      <c r="K216" s="4" t="str">
        <f>HYPERLINK("http://141.218.60.56/~jnz1568/getInfo.php?workbook=08_06.xlsx&amp;sheet=U0&amp;row=216&amp;col=11&amp;number=&amp;sourceID=9","")</f>
        <v/>
      </c>
      <c r="L216" s="4" t="str">
        <f>HYPERLINK("http://141.218.60.56/~jnz1568/getInfo.php?workbook=08_06.xlsx&amp;sheet=U0&amp;row=216&amp;col=12&amp;number=&amp;sourceID=10","")</f>
        <v/>
      </c>
      <c r="M216" s="4" t="str">
        <f>HYPERLINK("http://141.218.60.56/~jnz1568/getInfo.php?workbook=08_06.xlsx&amp;sheet=U0&amp;row=216&amp;col=13&amp;number=&amp;sourceID=10","")</f>
        <v/>
      </c>
    </row>
    <row r="217" spans="1:13">
      <c r="A217" s="3"/>
      <c r="B217" s="3"/>
      <c r="C217" s="3"/>
      <c r="D217" s="3"/>
      <c r="E217" s="3">
        <v>14</v>
      </c>
      <c r="F217" s="4" t="str">
        <f>HYPERLINK("http://141.218.60.56/~jnz1568/getInfo.php?workbook=08_06.xlsx&amp;sheet=U0&amp;row=217&amp;col=6&amp;number=4.9&amp;sourceID=4","4.9")</f>
        <v>4.9</v>
      </c>
      <c r="G217" s="4" t="str">
        <f>HYPERLINK("http://141.218.60.56/~jnz1568/getInfo.php?workbook=08_06.xlsx&amp;sheet=U0&amp;row=217&amp;col=7&amp;number=0.125&amp;sourceID=4","0.125")</f>
        <v>0.125</v>
      </c>
      <c r="H217" s="4" t="str">
        <f>HYPERLINK("http://141.218.60.56/~jnz1568/getInfo.php?workbook=08_06.xlsx&amp;sheet=U0&amp;row=217&amp;col=8&amp;number=&amp;sourceID=8","")</f>
        <v/>
      </c>
      <c r="I217" s="4" t="str">
        <f>HYPERLINK("http://141.218.60.56/~jnz1568/getInfo.php?workbook=08_06.xlsx&amp;sheet=U0&amp;row=217&amp;col=9&amp;number=&amp;sourceID=8","")</f>
        <v/>
      </c>
      <c r="J217" s="4" t="str">
        <f>HYPERLINK("http://141.218.60.56/~jnz1568/getInfo.php?workbook=08_06.xlsx&amp;sheet=U0&amp;row=217&amp;col=10&amp;number=&amp;sourceID=9","")</f>
        <v/>
      </c>
      <c r="K217" s="4" t="str">
        <f>HYPERLINK("http://141.218.60.56/~jnz1568/getInfo.php?workbook=08_06.xlsx&amp;sheet=U0&amp;row=217&amp;col=11&amp;number=&amp;sourceID=9","")</f>
        <v/>
      </c>
      <c r="L217" s="4" t="str">
        <f>HYPERLINK("http://141.218.60.56/~jnz1568/getInfo.php?workbook=08_06.xlsx&amp;sheet=U0&amp;row=217&amp;col=12&amp;number=&amp;sourceID=10","")</f>
        <v/>
      </c>
      <c r="M217" s="4" t="str">
        <f>HYPERLINK("http://141.218.60.56/~jnz1568/getInfo.php?workbook=08_06.xlsx&amp;sheet=U0&amp;row=217&amp;col=13&amp;number=&amp;sourceID=10","")</f>
        <v/>
      </c>
    </row>
    <row r="218" spans="1:13">
      <c r="A218" s="3"/>
      <c r="B218" s="3"/>
      <c r="C218" s="3"/>
      <c r="D218" s="3"/>
      <c r="E218" s="3">
        <v>15</v>
      </c>
      <c r="F218" s="4" t="str">
        <f>HYPERLINK("http://141.218.60.56/~jnz1568/getInfo.php?workbook=08_06.xlsx&amp;sheet=U0&amp;row=218&amp;col=6&amp;number=5&amp;sourceID=4","5")</f>
        <v>5</v>
      </c>
      <c r="G218" s="4" t="str">
        <f>HYPERLINK("http://141.218.60.56/~jnz1568/getInfo.php?workbook=08_06.xlsx&amp;sheet=U0&amp;row=218&amp;col=7&amp;number=0.119&amp;sourceID=4","0.119")</f>
        <v>0.119</v>
      </c>
      <c r="H218" s="4" t="str">
        <f>HYPERLINK("http://141.218.60.56/~jnz1568/getInfo.php?workbook=08_06.xlsx&amp;sheet=U0&amp;row=218&amp;col=8&amp;number=&amp;sourceID=8","")</f>
        <v/>
      </c>
      <c r="I218" s="4" t="str">
        <f>HYPERLINK("http://141.218.60.56/~jnz1568/getInfo.php?workbook=08_06.xlsx&amp;sheet=U0&amp;row=218&amp;col=9&amp;number=&amp;sourceID=8","")</f>
        <v/>
      </c>
      <c r="J218" s="4" t="str">
        <f>HYPERLINK("http://141.218.60.56/~jnz1568/getInfo.php?workbook=08_06.xlsx&amp;sheet=U0&amp;row=218&amp;col=10&amp;number=&amp;sourceID=9","")</f>
        <v/>
      </c>
      <c r="K218" s="4" t="str">
        <f>HYPERLINK("http://141.218.60.56/~jnz1568/getInfo.php?workbook=08_06.xlsx&amp;sheet=U0&amp;row=218&amp;col=11&amp;number=&amp;sourceID=9","")</f>
        <v/>
      </c>
      <c r="L218" s="4" t="str">
        <f>HYPERLINK("http://141.218.60.56/~jnz1568/getInfo.php?workbook=08_06.xlsx&amp;sheet=U0&amp;row=218&amp;col=12&amp;number=&amp;sourceID=10","")</f>
        <v/>
      </c>
      <c r="M218" s="4" t="str">
        <f>HYPERLINK("http://141.218.60.56/~jnz1568/getInfo.php?workbook=08_06.xlsx&amp;sheet=U0&amp;row=218&amp;col=13&amp;number=&amp;sourceID=10","")</f>
        <v/>
      </c>
    </row>
    <row r="219" spans="1:13">
      <c r="A219" s="3"/>
      <c r="B219" s="3"/>
      <c r="C219" s="3"/>
      <c r="D219" s="3"/>
      <c r="E219" s="3">
        <v>16</v>
      </c>
      <c r="F219" s="4" t="str">
        <f>HYPERLINK("http://141.218.60.56/~jnz1568/getInfo.php?workbook=08_06.xlsx&amp;sheet=U0&amp;row=219&amp;col=6&amp;number=5.08&amp;sourceID=4","5.08")</f>
        <v>5.08</v>
      </c>
      <c r="G219" s="4" t="str">
        <f>HYPERLINK("http://141.218.60.56/~jnz1568/getInfo.php?workbook=08_06.xlsx&amp;sheet=U0&amp;row=219&amp;col=7&amp;number=0.114&amp;sourceID=4","0.114")</f>
        <v>0.114</v>
      </c>
      <c r="H219" s="4" t="str">
        <f>HYPERLINK("http://141.218.60.56/~jnz1568/getInfo.php?workbook=08_06.xlsx&amp;sheet=U0&amp;row=219&amp;col=8&amp;number=&amp;sourceID=8","")</f>
        <v/>
      </c>
      <c r="I219" s="4" t="str">
        <f>HYPERLINK("http://141.218.60.56/~jnz1568/getInfo.php?workbook=08_06.xlsx&amp;sheet=U0&amp;row=219&amp;col=9&amp;number=&amp;sourceID=8","")</f>
        <v/>
      </c>
      <c r="J219" s="4" t="str">
        <f>HYPERLINK("http://141.218.60.56/~jnz1568/getInfo.php?workbook=08_06.xlsx&amp;sheet=U0&amp;row=219&amp;col=10&amp;number=&amp;sourceID=9","")</f>
        <v/>
      </c>
      <c r="K219" s="4" t="str">
        <f>HYPERLINK("http://141.218.60.56/~jnz1568/getInfo.php?workbook=08_06.xlsx&amp;sheet=U0&amp;row=219&amp;col=11&amp;number=&amp;sourceID=9","")</f>
        <v/>
      </c>
      <c r="L219" s="4" t="str">
        <f>HYPERLINK("http://141.218.60.56/~jnz1568/getInfo.php?workbook=08_06.xlsx&amp;sheet=U0&amp;row=219&amp;col=12&amp;number=&amp;sourceID=10","")</f>
        <v/>
      </c>
      <c r="M219" s="4" t="str">
        <f>HYPERLINK("http://141.218.60.56/~jnz1568/getInfo.php?workbook=08_06.xlsx&amp;sheet=U0&amp;row=219&amp;col=13&amp;number=&amp;sourceID=10","")</f>
        <v/>
      </c>
    </row>
    <row r="220" spans="1:13">
      <c r="A220" s="3"/>
      <c r="B220" s="3"/>
      <c r="C220" s="3"/>
      <c r="D220" s="3"/>
      <c r="E220" s="3">
        <v>17</v>
      </c>
      <c r="F220" s="4" t="str">
        <f>HYPERLINK("http://141.218.60.56/~jnz1568/getInfo.php?workbook=08_06.xlsx&amp;sheet=U0&amp;row=220&amp;col=6&amp;number=5.15&amp;sourceID=4","5.15")</f>
        <v>5.15</v>
      </c>
      <c r="G220" s="4" t="str">
        <f>HYPERLINK("http://141.218.60.56/~jnz1568/getInfo.php?workbook=08_06.xlsx&amp;sheet=U0&amp;row=220&amp;col=7&amp;number=0.109&amp;sourceID=4","0.109")</f>
        <v>0.109</v>
      </c>
      <c r="H220" s="4" t="str">
        <f>HYPERLINK("http://141.218.60.56/~jnz1568/getInfo.php?workbook=08_06.xlsx&amp;sheet=U0&amp;row=220&amp;col=8&amp;number=&amp;sourceID=8","")</f>
        <v/>
      </c>
      <c r="I220" s="4" t="str">
        <f>HYPERLINK("http://141.218.60.56/~jnz1568/getInfo.php?workbook=08_06.xlsx&amp;sheet=U0&amp;row=220&amp;col=9&amp;number=&amp;sourceID=8","")</f>
        <v/>
      </c>
      <c r="J220" s="4" t="str">
        <f>HYPERLINK("http://141.218.60.56/~jnz1568/getInfo.php?workbook=08_06.xlsx&amp;sheet=U0&amp;row=220&amp;col=10&amp;number=&amp;sourceID=9","")</f>
        <v/>
      </c>
      <c r="K220" s="4" t="str">
        <f>HYPERLINK("http://141.218.60.56/~jnz1568/getInfo.php?workbook=08_06.xlsx&amp;sheet=U0&amp;row=220&amp;col=11&amp;number=&amp;sourceID=9","")</f>
        <v/>
      </c>
      <c r="L220" s="4" t="str">
        <f>HYPERLINK("http://141.218.60.56/~jnz1568/getInfo.php?workbook=08_06.xlsx&amp;sheet=U0&amp;row=220&amp;col=12&amp;number=&amp;sourceID=10","")</f>
        <v/>
      </c>
      <c r="M220" s="4" t="str">
        <f>HYPERLINK("http://141.218.60.56/~jnz1568/getInfo.php?workbook=08_06.xlsx&amp;sheet=U0&amp;row=220&amp;col=13&amp;number=&amp;sourceID=10","")</f>
        <v/>
      </c>
    </row>
    <row r="221" spans="1:13">
      <c r="A221" s="3"/>
      <c r="B221" s="3"/>
      <c r="C221" s="3"/>
      <c r="D221" s="3"/>
      <c r="E221" s="3">
        <v>18</v>
      </c>
      <c r="F221" s="4" t="str">
        <f>HYPERLINK("http://141.218.60.56/~jnz1568/getInfo.php?workbook=08_06.xlsx&amp;sheet=U0&amp;row=221&amp;col=6&amp;number=5.2&amp;sourceID=4","5.2")</f>
        <v>5.2</v>
      </c>
      <c r="G221" s="4" t="str">
        <f>HYPERLINK("http://141.218.60.56/~jnz1568/getInfo.php?workbook=08_06.xlsx&amp;sheet=U0&amp;row=221&amp;col=7&amp;number=0.105&amp;sourceID=4","0.105")</f>
        <v>0.105</v>
      </c>
      <c r="H221" s="4" t="str">
        <f>HYPERLINK("http://141.218.60.56/~jnz1568/getInfo.php?workbook=08_06.xlsx&amp;sheet=U0&amp;row=221&amp;col=8&amp;number=&amp;sourceID=8","")</f>
        <v/>
      </c>
      <c r="I221" s="4" t="str">
        <f>HYPERLINK("http://141.218.60.56/~jnz1568/getInfo.php?workbook=08_06.xlsx&amp;sheet=U0&amp;row=221&amp;col=9&amp;number=&amp;sourceID=8","")</f>
        <v/>
      </c>
      <c r="J221" s="4" t="str">
        <f>HYPERLINK("http://141.218.60.56/~jnz1568/getInfo.php?workbook=08_06.xlsx&amp;sheet=U0&amp;row=221&amp;col=10&amp;number=&amp;sourceID=9","")</f>
        <v/>
      </c>
      <c r="K221" s="4" t="str">
        <f>HYPERLINK("http://141.218.60.56/~jnz1568/getInfo.php?workbook=08_06.xlsx&amp;sheet=U0&amp;row=221&amp;col=11&amp;number=&amp;sourceID=9","")</f>
        <v/>
      </c>
      <c r="L221" s="4" t="str">
        <f>HYPERLINK("http://141.218.60.56/~jnz1568/getInfo.php?workbook=08_06.xlsx&amp;sheet=U0&amp;row=221&amp;col=12&amp;number=&amp;sourceID=10","")</f>
        <v/>
      </c>
      <c r="M221" s="4" t="str">
        <f>HYPERLINK("http://141.218.60.56/~jnz1568/getInfo.php?workbook=08_06.xlsx&amp;sheet=U0&amp;row=221&amp;col=13&amp;number=&amp;sourceID=10","")</f>
        <v/>
      </c>
    </row>
    <row r="222" spans="1:13">
      <c r="A222" s="3"/>
      <c r="B222" s="3"/>
      <c r="C222" s="3"/>
      <c r="D222" s="3"/>
      <c r="E222" s="3">
        <v>19</v>
      </c>
      <c r="F222" s="4" t="str">
        <f>HYPERLINK("http://141.218.60.56/~jnz1568/getInfo.php?workbook=08_06.xlsx&amp;sheet=U0&amp;row=222&amp;col=6&amp;number=5.26&amp;sourceID=4","5.26")</f>
        <v>5.26</v>
      </c>
      <c r="G222" s="4" t="str">
        <f>HYPERLINK("http://141.218.60.56/~jnz1568/getInfo.php?workbook=08_06.xlsx&amp;sheet=U0&amp;row=222&amp;col=7&amp;number=0.101&amp;sourceID=4","0.101")</f>
        <v>0.101</v>
      </c>
      <c r="H222" s="4" t="str">
        <f>HYPERLINK("http://141.218.60.56/~jnz1568/getInfo.php?workbook=08_06.xlsx&amp;sheet=U0&amp;row=222&amp;col=8&amp;number=&amp;sourceID=8","")</f>
        <v/>
      </c>
      <c r="I222" s="4" t="str">
        <f>HYPERLINK("http://141.218.60.56/~jnz1568/getInfo.php?workbook=08_06.xlsx&amp;sheet=U0&amp;row=222&amp;col=9&amp;number=&amp;sourceID=8","")</f>
        <v/>
      </c>
      <c r="J222" s="4" t="str">
        <f>HYPERLINK("http://141.218.60.56/~jnz1568/getInfo.php?workbook=08_06.xlsx&amp;sheet=U0&amp;row=222&amp;col=10&amp;number=&amp;sourceID=9","")</f>
        <v/>
      </c>
      <c r="K222" s="4" t="str">
        <f>HYPERLINK("http://141.218.60.56/~jnz1568/getInfo.php?workbook=08_06.xlsx&amp;sheet=U0&amp;row=222&amp;col=11&amp;number=&amp;sourceID=9","")</f>
        <v/>
      </c>
      <c r="L222" s="4" t="str">
        <f>HYPERLINK("http://141.218.60.56/~jnz1568/getInfo.php?workbook=08_06.xlsx&amp;sheet=U0&amp;row=222&amp;col=12&amp;number=&amp;sourceID=10","")</f>
        <v/>
      </c>
      <c r="M222" s="4" t="str">
        <f>HYPERLINK("http://141.218.60.56/~jnz1568/getInfo.php?workbook=08_06.xlsx&amp;sheet=U0&amp;row=222&amp;col=13&amp;number=&amp;sourceID=10","")</f>
        <v/>
      </c>
    </row>
    <row r="223" spans="1:13">
      <c r="A223" s="3"/>
      <c r="B223" s="3"/>
      <c r="C223" s="3"/>
      <c r="D223" s="3"/>
      <c r="E223" s="3">
        <v>20</v>
      </c>
      <c r="F223" s="4" t="str">
        <f>HYPERLINK("http://141.218.60.56/~jnz1568/getInfo.php?workbook=08_06.xlsx&amp;sheet=U0&amp;row=223&amp;col=6&amp;number=5.3&amp;sourceID=4","5.3")</f>
        <v>5.3</v>
      </c>
      <c r="G223" s="4" t="str">
        <f>HYPERLINK("http://141.218.60.56/~jnz1568/getInfo.php?workbook=08_06.xlsx&amp;sheet=U0&amp;row=223&amp;col=7&amp;number=0.0981&amp;sourceID=4","0.0981")</f>
        <v>0.0981</v>
      </c>
      <c r="H223" s="4" t="str">
        <f>HYPERLINK("http://141.218.60.56/~jnz1568/getInfo.php?workbook=08_06.xlsx&amp;sheet=U0&amp;row=223&amp;col=8&amp;number=&amp;sourceID=8","")</f>
        <v/>
      </c>
      <c r="I223" s="4" t="str">
        <f>HYPERLINK("http://141.218.60.56/~jnz1568/getInfo.php?workbook=08_06.xlsx&amp;sheet=U0&amp;row=223&amp;col=9&amp;number=&amp;sourceID=8","")</f>
        <v/>
      </c>
      <c r="J223" s="4" t="str">
        <f>HYPERLINK("http://141.218.60.56/~jnz1568/getInfo.php?workbook=08_06.xlsx&amp;sheet=U0&amp;row=223&amp;col=10&amp;number=&amp;sourceID=9","")</f>
        <v/>
      </c>
      <c r="K223" s="4" t="str">
        <f>HYPERLINK("http://141.218.60.56/~jnz1568/getInfo.php?workbook=08_06.xlsx&amp;sheet=U0&amp;row=223&amp;col=11&amp;number=&amp;sourceID=9","")</f>
        <v/>
      </c>
      <c r="L223" s="4" t="str">
        <f>HYPERLINK("http://141.218.60.56/~jnz1568/getInfo.php?workbook=08_06.xlsx&amp;sheet=U0&amp;row=223&amp;col=12&amp;number=&amp;sourceID=10","")</f>
        <v/>
      </c>
      <c r="M223" s="4" t="str">
        <f>HYPERLINK("http://141.218.60.56/~jnz1568/getInfo.php?workbook=08_06.xlsx&amp;sheet=U0&amp;row=223&amp;col=13&amp;number=&amp;sourceID=10","")</f>
        <v/>
      </c>
    </row>
    <row r="224" spans="1:13">
      <c r="A224" s="3">
        <v>8</v>
      </c>
      <c r="B224" s="3">
        <v>6</v>
      </c>
      <c r="C224" s="3">
        <v>6</v>
      </c>
      <c r="D224" s="3">
        <v>2</v>
      </c>
      <c r="E224" s="3">
        <v>1</v>
      </c>
      <c r="F224" s="4" t="str">
        <f>HYPERLINK("http://141.218.60.56/~jnz1568/getInfo.php?workbook=08_06.xlsx&amp;sheet=U0&amp;row=224&amp;col=6&amp;number=3.4&amp;sourceID=4","3.4")</f>
        <v>3.4</v>
      </c>
      <c r="G224" s="4" t="str">
        <f>HYPERLINK("http://141.218.60.56/~jnz1568/getInfo.php?workbook=08_06.xlsx&amp;sheet=U0&amp;row=224&amp;col=7&amp;number=0.333&amp;sourceID=4","0.333")</f>
        <v>0.333</v>
      </c>
      <c r="H224" s="4" t="str">
        <f>HYPERLINK("http://141.218.60.56/~jnz1568/getInfo.php?workbook=08_06.xlsx&amp;sheet=U0&amp;row=224&amp;col=8&amp;number=&amp;sourceID=8","")</f>
        <v/>
      </c>
      <c r="I224" s="4" t="str">
        <f>HYPERLINK("http://141.218.60.56/~jnz1568/getInfo.php?workbook=08_06.xlsx&amp;sheet=U0&amp;row=224&amp;col=9&amp;number=&amp;sourceID=8","")</f>
        <v/>
      </c>
      <c r="J224" s="4" t="str">
        <f>HYPERLINK("http://141.218.60.56/~jnz1568/getInfo.php?workbook=08_06.xlsx&amp;sheet=U0&amp;row=224&amp;col=10&amp;number=3&amp;sourceID=9","3")</f>
        <v>3</v>
      </c>
      <c r="K224" s="4" t="str">
        <f>HYPERLINK("http://141.218.60.56/~jnz1568/getInfo.php?workbook=08_06.xlsx&amp;sheet=U0&amp;row=224&amp;col=11&amp;number=0.325333333333&amp;sourceID=9","0.325333333333")</f>
        <v>0.325333333333</v>
      </c>
      <c r="L224" s="4" t="str">
        <f>HYPERLINK("http://141.218.60.56/~jnz1568/getInfo.php?workbook=08_06.xlsx&amp;sheet=U0&amp;row=224&amp;col=12&amp;number=&amp;sourceID=10","")</f>
        <v/>
      </c>
      <c r="M224" s="4" t="str">
        <f>HYPERLINK("http://141.218.60.56/~jnz1568/getInfo.php?workbook=08_06.xlsx&amp;sheet=U0&amp;row=224&amp;col=13&amp;number=&amp;sourceID=10","")</f>
        <v/>
      </c>
    </row>
    <row r="225" spans="1:13">
      <c r="A225" s="3"/>
      <c r="B225" s="3"/>
      <c r="C225" s="3"/>
      <c r="D225" s="3"/>
      <c r="E225" s="3">
        <v>2</v>
      </c>
      <c r="F225" s="4" t="str">
        <f>HYPERLINK("http://141.218.60.56/~jnz1568/getInfo.php?workbook=08_06.xlsx&amp;sheet=U0&amp;row=225&amp;col=6&amp;number=3.7&amp;sourceID=4","3.7")</f>
        <v>3.7</v>
      </c>
      <c r="G225" s="4" t="str">
        <f>HYPERLINK("http://141.218.60.56/~jnz1568/getInfo.php?workbook=08_06.xlsx&amp;sheet=U0&amp;row=225&amp;col=7&amp;number=0.339&amp;sourceID=4","0.339")</f>
        <v>0.339</v>
      </c>
      <c r="H225" s="4" t="str">
        <f>HYPERLINK("http://141.218.60.56/~jnz1568/getInfo.php?workbook=08_06.xlsx&amp;sheet=U0&amp;row=225&amp;col=8&amp;number=&amp;sourceID=8","")</f>
        <v/>
      </c>
      <c r="I225" s="4" t="str">
        <f>HYPERLINK("http://141.218.60.56/~jnz1568/getInfo.php?workbook=08_06.xlsx&amp;sheet=U0&amp;row=225&amp;col=9&amp;number=&amp;sourceID=8","")</f>
        <v/>
      </c>
      <c r="J225" s="4" t="str">
        <f>HYPERLINK("http://141.218.60.56/~jnz1568/getInfo.php?workbook=08_06.xlsx&amp;sheet=U0&amp;row=225&amp;col=10&amp;number=3.2&amp;sourceID=9","3.2")</f>
        <v>3.2</v>
      </c>
      <c r="K225" s="4" t="str">
        <f>HYPERLINK("http://141.218.60.56/~jnz1568/getInfo.php?workbook=08_06.xlsx&amp;sheet=U0&amp;row=225&amp;col=11&amp;number=0.322433333333&amp;sourceID=9","0.322433333333")</f>
        <v>0.322433333333</v>
      </c>
      <c r="L225" s="4" t="str">
        <f>HYPERLINK("http://141.218.60.56/~jnz1568/getInfo.php?workbook=08_06.xlsx&amp;sheet=U0&amp;row=225&amp;col=12&amp;number=&amp;sourceID=10","")</f>
        <v/>
      </c>
      <c r="M225" s="4" t="str">
        <f>HYPERLINK("http://141.218.60.56/~jnz1568/getInfo.php?workbook=08_06.xlsx&amp;sheet=U0&amp;row=225&amp;col=13&amp;number=&amp;sourceID=10","")</f>
        <v/>
      </c>
    </row>
    <row r="226" spans="1:13">
      <c r="A226" s="3"/>
      <c r="B226" s="3"/>
      <c r="C226" s="3"/>
      <c r="D226" s="3"/>
      <c r="E226" s="3">
        <v>3</v>
      </c>
      <c r="F226" s="4" t="str">
        <f>HYPERLINK("http://141.218.60.56/~jnz1568/getInfo.php?workbook=08_06.xlsx&amp;sheet=U0&amp;row=226&amp;col=6&amp;number=3.88&amp;sourceID=4","3.88")</f>
        <v>3.88</v>
      </c>
      <c r="G226" s="4" t="str">
        <f>HYPERLINK("http://141.218.60.56/~jnz1568/getInfo.php?workbook=08_06.xlsx&amp;sheet=U0&amp;row=226&amp;col=7&amp;number=0.357&amp;sourceID=4","0.357")</f>
        <v>0.357</v>
      </c>
      <c r="H226" s="4" t="str">
        <f>HYPERLINK("http://141.218.60.56/~jnz1568/getInfo.php?workbook=08_06.xlsx&amp;sheet=U0&amp;row=226&amp;col=8&amp;number=&amp;sourceID=8","")</f>
        <v/>
      </c>
      <c r="I226" s="4" t="str">
        <f>HYPERLINK("http://141.218.60.56/~jnz1568/getInfo.php?workbook=08_06.xlsx&amp;sheet=U0&amp;row=226&amp;col=9&amp;number=&amp;sourceID=8","")</f>
        <v/>
      </c>
      <c r="J226" s="4" t="str">
        <f>HYPERLINK("http://141.218.60.56/~jnz1568/getInfo.php?workbook=08_06.xlsx&amp;sheet=U0&amp;row=226&amp;col=10&amp;number=3.4&amp;sourceID=9","3.4")</f>
        <v>3.4</v>
      </c>
      <c r="K226" s="4" t="str">
        <f>HYPERLINK("http://141.218.60.56/~jnz1568/getInfo.php?workbook=08_06.xlsx&amp;sheet=U0&amp;row=226&amp;col=11&amp;number=0.323733333333&amp;sourceID=9","0.323733333333")</f>
        <v>0.323733333333</v>
      </c>
      <c r="L226" s="4" t="str">
        <f>HYPERLINK("http://141.218.60.56/~jnz1568/getInfo.php?workbook=08_06.xlsx&amp;sheet=U0&amp;row=226&amp;col=12&amp;number=&amp;sourceID=10","")</f>
        <v/>
      </c>
      <c r="M226" s="4" t="str">
        <f>HYPERLINK("http://141.218.60.56/~jnz1568/getInfo.php?workbook=08_06.xlsx&amp;sheet=U0&amp;row=226&amp;col=13&amp;number=&amp;sourceID=10","")</f>
        <v/>
      </c>
    </row>
    <row r="227" spans="1:13">
      <c r="A227" s="3"/>
      <c r="B227" s="3"/>
      <c r="C227" s="3"/>
      <c r="D227" s="3"/>
      <c r="E227" s="3">
        <v>4</v>
      </c>
      <c r="F227" s="4" t="str">
        <f>HYPERLINK("http://141.218.60.56/~jnz1568/getInfo.php?workbook=08_06.xlsx&amp;sheet=U0&amp;row=227&amp;col=6&amp;number=4&amp;sourceID=4","4")</f>
        <v>4</v>
      </c>
      <c r="G227" s="4" t="str">
        <f>HYPERLINK("http://141.218.60.56/~jnz1568/getInfo.php?workbook=08_06.xlsx&amp;sheet=U0&amp;row=227&amp;col=7&amp;number=0.372&amp;sourceID=4","0.372")</f>
        <v>0.372</v>
      </c>
      <c r="H227" s="4" t="str">
        <f>HYPERLINK("http://141.218.60.56/~jnz1568/getInfo.php?workbook=08_06.xlsx&amp;sheet=U0&amp;row=227&amp;col=8&amp;number=&amp;sourceID=8","")</f>
        <v/>
      </c>
      <c r="I227" s="4" t="str">
        <f>HYPERLINK("http://141.218.60.56/~jnz1568/getInfo.php?workbook=08_06.xlsx&amp;sheet=U0&amp;row=227&amp;col=9&amp;number=&amp;sourceID=8","")</f>
        <v/>
      </c>
      <c r="J227" s="4" t="str">
        <f>HYPERLINK("http://141.218.60.56/~jnz1568/getInfo.php?workbook=08_06.xlsx&amp;sheet=U0&amp;row=227&amp;col=10&amp;number=3.6&amp;sourceID=9","3.6")</f>
        <v>3.6</v>
      </c>
      <c r="K227" s="4" t="str">
        <f>HYPERLINK("http://141.218.60.56/~jnz1568/getInfo.php?workbook=08_06.xlsx&amp;sheet=U0&amp;row=227&amp;col=11&amp;number=0.3408&amp;sourceID=9","0.3408")</f>
        <v>0.3408</v>
      </c>
      <c r="L227" s="4" t="str">
        <f>HYPERLINK("http://141.218.60.56/~jnz1568/getInfo.php?workbook=08_06.xlsx&amp;sheet=U0&amp;row=227&amp;col=12&amp;number=&amp;sourceID=10","")</f>
        <v/>
      </c>
      <c r="M227" s="4" t="str">
        <f>HYPERLINK("http://141.218.60.56/~jnz1568/getInfo.php?workbook=08_06.xlsx&amp;sheet=U0&amp;row=227&amp;col=13&amp;number=&amp;sourceID=10","")</f>
        <v/>
      </c>
    </row>
    <row r="228" spans="1:13">
      <c r="A228" s="3"/>
      <c r="B228" s="3"/>
      <c r="C228" s="3"/>
      <c r="D228" s="3"/>
      <c r="E228" s="3">
        <v>5</v>
      </c>
      <c r="F228" s="4" t="str">
        <f>HYPERLINK("http://141.218.60.56/~jnz1568/getInfo.php?workbook=08_06.xlsx&amp;sheet=U0&amp;row=228&amp;col=6&amp;number=4.1&amp;sourceID=4","4.1")</f>
        <v>4.1</v>
      </c>
      <c r="G228" s="4" t="str">
        <f>HYPERLINK("http://141.218.60.56/~jnz1568/getInfo.php?workbook=08_06.xlsx&amp;sheet=U0&amp;row=228&amp;col=7&amp;number=0.384&amp;sourceID=4","0.384")</f>
        <v>0.384</v>
      </c>
      <c r="H228" s="4" t="str">
        <f>HYPERLINK("http://141.218.60.56/~jnz1568/getInfo.php?workbook=08_06.xlsx&amp;sheet=U0&amp;row=228&amp;col=8&amp;number=&amp;sourceID=8","")</f>
        <v/>
      </c>
      <c r="I228" s="4" t="str">
        <f>HYPERLINK("http://141.218.60.56/~jnz1568/getInfo.php?workbook=08_06.xlsx&amp;sheet=U0&amp;row=228&amp;col=9&amp;number=&amp;sourceID=8","")</f>
        <v/>
      </c>
      <c r="J228" s="4" t="str">
        <f>HYPERLINK("http://141.218.60.56/~jnz1568/getInfo.php?workbook=08_06.xlsx&amp;sheet=U0&amp;row=228&amp;col=10&amp;number=3.8&amp;sourceID=9","3.8")</f>
        <v>3.8</v>
      </c>
      <c r="K228" s="4" t="str">
        <f>HYPERLINK("http://141.218.60.56/~jnz1568/getInfo.php?workbook=08_06.xlsx&amp;sheet=U0&amp;row=228&amp;col=11&amp;number=0.3732&amp;sourceID=9","0.3732")</f>
        <v>0.3732</v>
      </c>
      <c r="L228" s="4" t="str">
        <f>HYPERLINK("http://141.218.60.56/~jnz1568/getInfo.php?workbook=08_06.xlsx&amp;sheet=U0&amp;row=228&amp;col=12&amp;number=&amp;sourceID=10","")</f>
        <v/>
      </c>
      <c r="M228" s="4" t="str">
        <f>HYPERLINK("http://141.218.60.56/~jnz1568/getInfo.php?workbook=08_06.xlsx&amp;sheet=U0&amp;row=228&amp;col=13&amp;number=&amp;sourceID=10","")</f>
        <v/>
      </c>
    </row>
    <row r="229" spans="1:13">
      <c r="A229" s="3"/>
      <c r="B229" s="3"/>
      <c r="C229" s="3"/>
      <c r="D229" s="3"/>
      <c r="E229" s="3">
        <v>6</v>
      </c>
      <c r="F229" s="4" t="str">
        <f>HYPERLINK("http://141.218.60.56/~jnz1568/getInfo.php?workbook=08_06.xlsx&amp;sheet=U0&amp;row=229&amp;col=6&amp;number=4.18&amp;sourceID=4","4.18")</f>
        <v>4.18</v>
      </c>
      <c r="G229" s="4" t="str">
        <f>HYPERLINK("http://141.218.60.56/~jnz1568/getInfo.php?workbook=08_06.xlsx&amp;sheet=U0&amp;row=229&amp;col=7&amp;number=0.393&amp;sourceID=4","0.393")</f>
        <v>0.393</v>
      </c>
      <c r="H229" s="4" t="str">
        <f>HYPERLINK("http://141.218.60.56/~jnz1568/getInfo.php?workbook=08_06.xlsx&amp;sheet=U0&amp;row=229&amp;col=8&amp;number=&amp;sourceID=8","")</f>
        <v/>
      </c>
      <c r="I229" s="4" t="str">
        <f>HYPERLINK("http://141.218.60.56/~jnz1568/getInfo.php?workbook=08_06.xlsx&amp;sheet=U0&amp;row=229&amp;col=9&amp;number=&amp;sourceID=8","")</f>
        <v/>
      </c>
      <c r="J229" s="4" t="str">
        <f>HYPERLINK("http://141.218.60.56/~jnz1568/getInfo.php?workbook=08_06.xlsx&amp;sheet=U0&amp;row=229&amp;col=10&amp;number=4&amp;sourceID=9","4")</f>
        <v>4</v>
      </c>
      <c r="K229" s="4" t="str">
        <f>HYPERLINK("http://141.218.60.56/~jnz1568/getInfo.php?workbook=08_06.xlsx&amp;sheet=U0&amp;row=229&amp;col=11&amp;number=0.402466666667&amp;sourceID=9","0.402466666667")</f>
        <v>0.402466666667</v>
      </c>
      <c r="L229" s="4" t="str">
        <f>HYPERLINK("http://141.218.60.56/~jnz1568/getInfo.php?workbook=08_06.xlsx&amp;sheet=U0&amp;row=229&amp;col=12&amp;number=&amp;sourceID=10","")</f>
        <v/>
      </c>
      <c r="M229" s="4" t="str">
        <f>HYPERLINK("http://141.218.60.56/~jnz1568/getInfo.php?workbook=08_06.xlsx&amp;sheet=U0&amp;row=229&amp;col=13&amp;number=&amp;sourceID=10","")</f>
        <v/>
      </c>
    </row>
    <row r="230" spans="1:13">
      <c r="A230" s="3"/>
      <c r="B230" s="3"/>
      <c r="C230" s="3"/>
      <c r="D230" s="3"/>
      <c r="E230" s="3">
        <v>7</v>
      </c>
      <c r="F230" s="4" t="str">
        <f>HYPERLINK("http://141.218.60.56/~jnz1568/getInfo.php?workbook=08_06.xlsx&amp;sheet=U0&amp;row=230&amp;col=6&amp;number=4.24&amp;sourceID=4","4.24")</f>
        <v>4.24</v>
      </c>
      <c r="G230" s="4" t="str">
        <f>HYPERLINK("http://141.218.60.56/~jnz1568/getInfo.php?workbook=08_06.xlsx&amp;sheet=U0&amp;row=230&amp;col=7&amp;number=0.399&amp;sourceID=4","0.399")</f>
        <v>0.399</v>
      </c>
      <c r="H230" s="4" t="str">
        <f>HYPERLINK("http://141.218.60.56/~jnz1568/getInfo.php?workbook=08_06.xlsx&amp;sheet=U0&amp;row=230&amp;col=8&amp;number=&amp;sourceID=8","")</f>
        <v/>
      </c>
      <c r="I230" s="4" t="str">
        <f>HYPERLINK("http://141.218.60.56/~jnz1568/getInfo.php?workbook=08_06.xlsx&amp;sheet=U0&amp;row=230&amp;col=9&amp;number=&amp;sourceID=8","")</f>
        <v/>
      </c>
      <c r="J230" s="4" t="str">
        <f>HYPERLINK("http://141.218.60.56/~jnz1568/getInfo.php?workbook=08_06.xlsx&amp;sheet=U0&amp;row=230&amp;col=10&amp;number=4.2&amp;sourceID=9","4.2")</f>
        <v>4.2</v>
      </c>
      <c r="K230" s="4" t="str">
        <f>HYPERLINK("http://141.218.60.56/~jnz1568/getInfo.php?workbook=08_06.xlsx&amp;sheet=U0&amp;row=230&amp;col=11&amp;number=0.419133333333&amp;sourceID=9","0.419133333333")</f>
        <v>0.419133333333</v>
      </c>
      <c r="L230" s="4" t="str">
        <f>HYPERLINK("http://141.218.60.56/~jnz1568/getInfo.php?workbook=08_06.xlsx&amp;sheet=U0&amp;row=230&amp;col=12&amp;number=&amp;sourceID=10","")</f>
        <v/>
      </c>
      <c r="M230" s="4" t="str">
        <f>HYPERLINK("http://141.218.60.56/~jnz1568/getInfo.php?workbook=08_06.xlsx&amp;sheet=U0&amp;row=230&amp;col=13&amp;number=&amp;sourceID=10","")</f>
        <v/>
      </c>
    </row>
    <row r="231" spans="1:13">
      <c r="A231" s="3"/>
      <c r="B231" s="3"/>
      <c r="C231" s="3"/>
      <c r="D231" s="3"/>
      <c r="E231" s="3">
        <v>8</v>
      </c>
      <c r="F231" s="4" t="str">
        <f>HYPERLINK("http://141.218.60.56/~jnz1568/getInfo.php?workbook=08_06.xlsx&amp;sheet=U0&amp;row=231&amp;col=6&amp;number=4.3&amp;sourceID=4","4.3")</f>
        <v>4.3</v>
      </c>
      <c r="G231" s="4" t="str">
        <f>HYPERLINK("http://141.218.60.56/~jnz1568/getInfo.php?workbook=08_06.xlsx&amp;sheet=U0&amp;row=231&amp;col=7&amp;number=0.405&amp;sourceID=4","0.405")</f>
        <v>0.405</v>
      </c>
      <c r="H231" s="4" t="str">
        <f>HYPERLINK("http://141.218.60.56/~jnz1568/getInfo.php?workbook=08_06.xlsx&amp;sheet=U0&amp;row=231&amp;col=8&amp;number=&amp;sourceID=8","")</f>
        <v/>
      </c>
      <c r="I231" s="4" t="str">
        <f>HYPERLINK("http://141.218.60.56/~jnz1568/getInfo.php?workbook=08_06.xlsx&amp;sheet=U0&amp;row=231&amp;col=9&amp;number=&amp;sourceID=8","")</f>
        <v/>
      </c>
      <c r="J231" s="4" t="str">
        <f>HYPERLINK("http://141.218.60.56/~jnz1568/getInfo.php?workbook=08_06.xlsx&amp;sheet=U0&amp;row=231&amp;col=10&amp;number=4.4&amp;sourceID=9","4.4")</f>
        <v>4.4</v>
      </c>
      <c r="K231" s="4" t="str">
        <f>HYPERLINK("http://141.218.60.56/~jnz1568/getInfo.php?workbook=08_06.xlsx&amp;sheet=U0&amp;row=231&amp;col=11&amp;number=0.424&amp;sourceID=9","0.424")</f>
        <v>0.424</v>
      </c>
      <c r="L231" s="4" t="str">
        <f>HYPERLINK("http://141.218.60.56/~jnz1568/getInfo.php?workbook=08_06.xlsx&amp;sheet=U0&amp;row=231&amp;col=12&amp;number=&amp;sourceID=10","")</f>
        <v/>
      </c>
      <c r="M231" s="4" t="str">
        <f>HYPERLINK("http://141.218.60.56/~jnz1568/getInfo.php?workbook=08_06.xlsx&amp;sheet=U0&amp;row=231&amp;col=13&amp;number=&amp;sourceID=10","")</f>
        <v/>
      </c>
    </row>
    <row r="232" spans="1:13">
      <c r="A232" s="3"/>
      <c r="B232" s="3"/>
      <c r="C232" s="3"/>
      <c r="D232" s="3"/>
      <c r="E232" s="3">
        <v>9</v>
      </c>
      <c r="F232" s="4" t="str">
        <f>HYPERLINK("http://141.218.60.56/~jnz1568/getInfo.php?workbook=08_06.xlsx&amp;sheet=U0&amp;row=232&amp;col=6&amp;number=4.4&amp;sourceID=4","4.4")</f>
        <v>4.4</v>
      </c>
      <c r="G232" s="4" t="str">
        <f>HYPERLINK("http://141.218.60.56/~jnz1568/getInfo.php?workbook=08_06.xlsx&amp;sheet=U0&amp;row=232&amp;col=7&amp;number=0.411&amp;sourceID=4","0.411")</f>
        <v>0.411</v>
      </c>
      <c r="H232" s="4" t="str">
        <f>HYPERLINK("http://141.218.60.56/~jnz1568/getInfo.php?workbook=08_06.xlsx&amp;sheet=U0&amp;row=232&amp;col=8&amp;number=&amp;sourceID=8","")</f>
        <v/>
      </c>
      <c r="I232" s="4" t="str">
        <f>HYPERLINK("http://141.218.60.56/~jnz1568/getInfo.php?workbook=08_06.xlsx&amp;sheet=U0&amp;row=232&amp;col=9&amp;number=&amp;sourceID=8","")</f>
        <v/>
      </c>
      <c r="J232" s="4" t="str">
        <f>HYPERLINK("http://141.218.60.56/~jnz1568/getInfo.php?workbook=08_06.xlsx&amp;sheet=U0&amp;row=232&amp;col=10&amp;number=4.6&amp;sourceID=9","4.6")</f>
        <v>4.6</v>
      </c>
      <c r="K232" s="4" t="str">
        <f>HYPERLINK("http://141.218.60.56/~jnz1568/getInfo.php?workbook=08_06.xlsx&amp;sheet=U0&amp;row=232&amp;col=11&amp;number=0.415033333333&amp;sourceID=9","0.415033333333")</f>
        <v>0.415033333333</v>
      </c>
      <c r="L232" s="4" t="str">
        <f>HYPERLINK("http://141.218.60.56/~jnz1568/getInfo.php?workbook=08_06.xlsx&amp;sheet=U0&amp;row=232&amp;col=12&amp;number=&amp;sourceID=10","")</f>
        <v/>
      </c>
      <c r="M232" s="4" t="str">
        <f>HYPERLINK("http://141.218.60.56/~jnz1568/getInfo.php?workbook=08_06.xlsx&amp;sheet=U0&amp;row=232&amp;col=13&amp;number=&amp;sourceID=10","")</f>
        <v/>
      </c>
    </row>
    <row r="233" spans="1:13">
      <c r="A233" s="3"/>
      <c r="B233" s="3"/>
      <c r="C233" s="3"/>
      <c r="D233" s="3"/>
      <c r="E233" s="3">
        <v>10</v>
      </c>
      <c r="F233" s="4" t="str">
        <f>HYPERLINK("http://141.218.60.56/~jnz1568/getInfo.php?workbook=08_06.xlsx&amp;sheet=U0&amp;row=233&amp;col=6&amp;number=4.48&amp;sourceID=4","4.48")</f>
        <v>4.48</v>
      </c>
      <c r="G233" s="4" t="str">
        <f>HYPERLINK("http://141.218.60.56/~jnz1568/getInfo.php?workbook=08_06.xlsx&amp;sheet=U0&amp;row=233&amp;col=7&amp;number=0.411&amp;sourceID=4","0.411")</f>
        <v>0.411</v>
      </c>
      <c r="H233" s="4" t="str">
        <f>HYPERLINK("http://141.218.60.56/~jnz1568/getInfo.php?workbook=08_06.xlsx&amp;sheet=U0&amp;row=233&amp;col=8&amp;number=&amp;sourceID=8","")</f>
        <v/>
      </c>
      <c r="I233" s="4" t="str">
        <f>HYPERLINK("http://141.218.60.56/~jnz1568/getInfo.php?workbook=08_06.xlsx&amp;sheet=U0&amp;row=233&amp;col=9&amp;number=&amp;sourceID=8","")</f>
        <v/>
      </c>
      <c r="J233" s="4" t="str">
        <f>HYPERLINK("http://141.218.60.56/~jnz1568/getInfo.php?workbook=08_06.xlsx&amp;sheet=U0&amp;row=233&amp;col=10&amp;number=4.8&amp;sourceID=9","4.8")</f>
        <v>4.8</v>
      </c>
      <c r="K233" s="4" t="str">
        <f>HYPERLINK("http://141.218.60.56/~jnz1568/getInfo.php?workbook=08_06.xlsx&amp;sheet=U0&amp;row=233&amp;col=11&amp;number=0.390133333333&amp;sourceID=9","0.390133333333")</f>
        <v>0.390133333333</v>
      </c>
      <c r="L233" s="4" t="str">
        <f>HYPERLINK("http://141.218.60.56/~jnz1568/getInfo.php?workbook=08_06.xlsx&amp;sheet=U0&amp;row=233&amp;col=12&amp;number=&amp;sourceID=10","")</f>
        <v/>
      </c>
      <c r="M233" s="4" t="str">
        <f>HYPERLINK("http://141.218.60.56/~jnz1568/getInfo.php?workbook=08_06.xlsx&amp;sheet=U0&amp;row=233&amp;col=13&amp;number=&amp;sourceID=10","")</f>
        <v/>
      </c>
    </row>
    <row r="234" spans="1:13">
      <c r="A234" s="3"/>
      <c r="B234" s="3"/>
      <c r="C234" s="3"/>
      <c r="D234" s="3"/>
      <c r="E234" s="3">
        <v>11</v>
      </c>
      <c r="F234" s="4" t="str">
        <f>HYPERLINK("http://141.218.60.56/~jnz1568/getInfo.php?workbook=08_06.xlsx&amp;sheet=U0&amp;row=234&amp;col=6&amp;number=4.6&amp;sourceID=4","4.6")</f>
        <v>4.6</v>
      </c>
      <c r="G234" s="4" t="str">
        <f>HYPERLINK("http://141.218.60.56/~jnz1568/getInfo.php?workbook=08_06.xlsx&amp;sheet=U0&amp;row=234&amp;col=7&amp;number=0.411&amp;sourceID=4","0.411")</f>
        <v>0.411</v>
      </c>
      <c r="H234" s="4" t="str">
        <f>HYPERLINK("http://141.218.60.56/~jnz1568/getInfo.php?workbook=08_06.xlsx&amp;sheet=U0&amp;row=234&amp;col=8&amp;number=&amp;sourceID=8","")</f>
        <v/>
      </c>
      <c r="I234" s="4" t="str">
        <f>HYPERLINK("http://141.218.60.56/~jnz1568/getInfo.php?workbook=08_06.xlsx&amp;sheet=U0&amp;row=234&amp;col=9&amp;number=&amp;sourceID=8","")</f>
        <v/>
      </c>
      <c r="J234" s="4" t="str">
        <f>HYPERLINK("http://141.218.60.56/~jnz1568/getInfo.php?workbook=08_06.xlsx&amp;sheet=U0&amp;row=234&amp;col=10&amp;number=5&amp;sourceID=9","5")</f>
        <v>5</v>
      </c>
      <c r="K234" s="4" t="str">
        <f>HYPERLINK("http://141.218.60.56/~jnz1568/getInfo.php?workbook=08_06.xlsx&amp;sheet=U0&amp;row=234&amp;col=11&amp;number=0.353333333333&amp;sourceID=9","0.353333333333")</f>
        <v>0.353333333333</v>
      </c>
      <c r="L234" s="4" t="str">
        <f>HYPERLINK("http://141.218.60.56/~jnz1568/getInfo.php?workbook=08_06.xlsx&amp;sheet=U0&amp;row=234&amp;col=12&amp;number=&amp;sourceID=10","")</f>
        <v/>
      </c>
      <c r="M234" s="4" t="str">
        <f>HYPERLINK("http://141.218.60.56/~jnz1568/getInfo.php?workbook=08_06.xlsx&amp;sheet=U0&amp;row=234&amp;col=13&amp;number=&amp;sourceID=10","")</f>
        <v/>
      </c>
    </row>
    <row r="235" spans="1:13">
      <c r="A235" s="3"/>
      <c r="B235" s="3"/>
      <c r="C235" s="3"/>
      <c r="D235" s="3"/>
      <c r="E235" s="3">
        <v>12</v>
      </c>
      <c r="F235" s="4" t="str">
        <f>HYPERLINK("http://141.218.60.56/~jnz1568/getInfo.php?workbook=08_06.xlsx&amp;sheet=U0&amp;row=235&amp;col=6&amp;number=4.7&amp;sourceID=4","4.7")</f>
        <v>4.7</v>
      </c>
      <c r="G235" s="4" t="str">
        <f>HYPERLINK("http://141.218.60.56/~jnz1568/getInfo.php?workbook=08_06.xlsx&amp;sheet=U0&amp;row=235&amp;col=7&amp;number=0.402&amp;sourceID=4","0.402")</f>
        <v>0.402</v>
      </c>
      <c r="H235" s="4" t="str">
        <f>HYPERLINK("http://141.218.60.56/~jnz1568/getInfo.php?workbook=08_06.xlsx&amp;sheet=U0&amp;row=235&amp;col=8&amp;number=&amp;sourceID=8","")</f>
        <v/>
      </c>
      <c r="I235" s="4" t="str">
        <f>HYPERLINK("http://141.218.60.56/~jnz1568/getInfo.php?workbook=08_06.xlsx&amp;sheet=U0&amp;row=235&amp;col=9&amp;number=&amp;sourceID=8","")</f>
        <v/>
      </c>
      <c r="J235" s="4" t="str">
        <f>HYPERLINK("http://141.218.60.56/~jnz1568/getInfo.php?workbook=08_06.xlsx&amp;sheet=U0&amp;row=235&amp;col=10&amp;number=&amp;sourceID=9","")</f>
        <v/>
      </c>
      <c r="K235" s="4" t="str">
        <f>HYPERLINK("http://141.218.60.56/~jnz1568/getInfo.php?workbook=08_06.xlsx&amp;sheet=U0&amp;row=235&amp;col=11&amp;number=&amp;sourceID=9","")</f>
        <v/>
      </c>
      <c r="L235" s="4" t="str">
        <f>HYPERLINK("http://141.218.60.56/~jnz1568/getInfo.php?workbook=08_06.xlsx&amp;sheet=U0&amp;row=235&amp;col=12&amp;number=&amp;sourceID=10","")</f>
        <v/>
      </c>
      <c r="M235" s="4" t="str">
        <f>HYPERLINK("http://141.218.60.56/~jnz1568/getInfo.php?workbook=08_06.xlsx&amp;sheet=U0&amp;row=235&amp;col=13&amp;number=&amp;sourceID=10","")</f>
        <v/>
      </c>
    </row>
    <row r="236" spans="1:13">
      <c r="A236" s="3"/>
      <c r="B236" s="3"/>
      <c r="C236" s="3"/>
      <c r="D236" s="3"/>
      <c r="E236" s="3">
        <v>13</v>
      </c>
      <c r="F236" s="4" t="str">
        <f>HYPERLINK("http://141.218.60.56/~jnz1568/getInfo.php?workbook=08_06.xlsx&amp;sheet=U0&amp;row=236&amp;col=6&amp;number=4.78&amp;sourceID=4","4.78")</f>
        <v>4.78</v>
      </c>
      <c r="G236" s="4" t="str">
        <f>HYPERLINK("http://141.218.60.56/~jnz1568/getInfo.php?workbook=08_06.xlsx&amp;sheet=U0&amp;row=236&amp;col=7&amp;number=0.393&amp;sourceID=4","0.393")</f>
        <v>0.393</v>
      </c>
      <c r="H236" s="4" t="str">
        <f>HYPERLINK("http://141.218.60.56/~jnz1568/getInfo.php?workbook=08_06.xlsx&amp;sheet=U0&amp;row=236&amp;col=8&amp;number=&amp;sourceID=8","")</f>
        <v/>
      </c>
      <c r="I236" s="4" t="str">
        <f>HYPERLINK("http://141.218.60.56/~jnz1568/getInfo.php?workbook=08_06.xlsx&amp;sheet=U0&amp;row=236&amp;col=9&amp;number=&amp;sourceID=8","")</f>
        <v/>
      </c>
      <c r="J236" s="4" t="str">
        <f>HYPERLINK("http://141.218.60.56/~jnz1568/getInfo.php?workbook=08_06.xlsx&amp;sheet=U0&amp;row=236&amp;col=10&amp;number=&amp;sourceID=9","")</f>
        <v/>
      </c>
      <c r="K236" s="4" t="str">
        <f>HYPERLINK("http://141.218.60.56/~jnz1568/getInfo.php?workbook=08_06.xlsx&amp;sheet=U0&amp;row=236&amp;col=11&amp;number=&amp;sourceID=9","")</f>
        <v/>
      </c>
      <c r="L236" s="4" t="str">
        <f>HYPERLINK("http://141.218.60.56/~jnz1568/getInfo.php?workbook=08_06.xlsx&amp;sheet=U0&amp;row=236&amp;col=12&amp;number=&amp;sourceID=10","")</f>
        <v/>
      </c>
      <c r="M236" s="4" t="str">
        <f>HYPERLINK("http://141.218.60.56/~jnz1568/getInfo.php?workbook=08_06.xlsx&amp;sheet=U0&amp;row=236&amp;col=13&amp;number=&amp;sourceID=10","")</f>
        <v/>
      </c>
    </row>
    <row r="237" spans="1:13">
      <c r="A237" s="3"/>
      <c r="B237" s="3"/>
      <c r="C237" s="3"/>
      <c r="D237" s="3"/>
      <c r="E237" s="3">
        <v>14</v>
      </c>
      <c r="F237" s="4" t="str">
        <f>HYPERLINK("http://141.218.60.56/~jnz1568/getInfo.php?workbook=08_06.xlsx&amp;sheet=U0&amp;row=237&amp;col=6&amp;number=4.9&amp;sourceID=4","4.9")</f>
        <v>4.9</v>
      </c>
      <c r="G237" s="4" t="str">
        <f>HYPERLINK("http://141.218.60.56/~jnz1568/getInfo.php?workbook=08_06.xlsx&amp;sheet=U0&amp;row=237&amp;col=7&amp;number=0.375&amp;sourceID=4","0.375")</f>
        <v>0.375</v>
      </c>
      <c r="H237" s="4" t="str">
        <f>HYPERLINK("http://141.218.60.56/~jnz1568/getInfo.php?workbook=08_06.xlsx&amp;sheet=U0&amp;row=237&amp;col=8&amp;number=&amp;sourceID=8","")</f>
        <v/>
      </c>
      <c r="I237" s="4" t="str">
        <f>HYPERLINK("http://141.218.60.56/~jnz1568/getInfo.php?workbook=08_06.xlsx&amp;sheet=U0&amp;row=237&amp;col=9&amp;number=&amp;sourceID=8","")</f>
        <v/>
      </c>
      <c r="J237" s="4" t="str">
        <f>HYPERLINK("http://141.218.60.56/~jnz1568/getInfo.php?workbook=08_06.xlsx&amp;sheet=U0&amp;row=237&amp;col=10&amp;number=&amp;sourceID=9","")</f>
        <v/>
      </c>
      <c r="K237" s="4" t="str">
        <f>HYPERLINK("http://141.218.60.56/~jnz1568/getInfo.php?workbook=08_06.xlsx&amp;sheet=U0&amp;row=237&amp;col=11&amp;number=&amp;sourceID=9","")</f>
        <v/>
      </c>
      <c r="L237" s="4" t="str">
        <f>HYPERLINK("http://141.218.60.56/~jnz1568/getInfo.php?workbook=08_06.xlsx&amp;sheet=U0&amp;row=237&amp;col=12&amp;number=&amp;sourceID=10","")</f>
        <v/>
      </c>
      <c r="M237" s="4" t="str">
        <f>HYPERLINK("http://141.218.60.56/~jnz1568/getInfo.php?workbook=08_06.xlsx&amp;sheet=U0&amp;row=237&amp;col=13&amp;number=&amp;sourceID=10","")</f>
        <v/>
      </c>
    </row>
    <row r="238" spans="1:13">
      <c r="A238" s="3"/>
      <c r="B238" s="3"/>
      <c r="C238" s="3"/>
      <c r="D238" s="3"/>
      <c r="E238" s="3">
        <v>15</v>
      </c>
      <c r="F238" s="4" t="str">
        <f>HYPERLINK("http://141.218.60.56/~jnz1568/getInfo.php?workbook=08_06.xlsx&amp;sheet=U0&amp;row=238&amp;col=6&amp;number=5&amp;sourceID=4","5")</f>
        <v>5</v>
      </c>
      <c r="G238" s="4" t="str">
        <f>HYPERLINK("http://141.218.60.56/~jnz1568/getInfo.php?workbook=08_06.xlsx&amp;sheet=U0&amp;row=238&amp;col=7&amp;number=0.357&amp;sourceID=4","0.357")</f>
        <v>0.357</v>
      </c>
      <c r="H238" s="4" t="str">
        <f>HYPERLINK("http://141.218.60.56/~jnz1568/getInfo.php?workbook=08_06.xlsx&amp;sheet=U0&amp;row=238&amp;col=8&amp;number=&amp;sourceID=8","")</f>
        <v/>
      </c>
      <c r="I238" s="4" t="str">
        <f>HYPERLINK("http://141.218.60.56/~jnz1568/getInfo.php?workbook=08_06.xlsx&amp;sheet=U0&amp;row=238&amp;col=9&amp;number=&amp;sourceID=8","")</f>
        <v/>
      </c>
      <c r="J238" s="4" t="str">
        <f>HYPERLINK("http://141.218.60.56/~jnz1568/getInfo.php?workbook=08_06.xlsx&amp;sheet=U0&amp;row=238&amp;col=10&amp;number=&amp;sourceID=9","")</f>
        <v/>
      </c>
      <c r="K238" s="4" t="str">
        <f>HYPERLINK("http://141.218.60.56/~jnz1568/getInfo.php?workbook=08_06.xlsx&amp;sheet=U0&amp;row=238&amp;col=11&amp;number=&amp;sourceID=9","")</f>
        <v/>
      </c>
      <c r="L238" s="4" t="str">
        <f>HYPERLINK("http://141.218.60.56/~jnz1568/getInfo.php?workbook=08_06.xlsx&amp;sheet=U0&amp;row=238&amp;col=12&amp;number=&amp;sourceID=10","")</f>
        <v/>
      </c>
      <c r="M238" s="4" t="str">
        <f>HYPERLINK("http://141.218.60.56/~jnz1568/getInfo.php?workbook=08_06.xlsx&amp;sheet=U0&amp;row=238&amp;col=13&amp;number=&amp;sourceID=10","")</f>
        <v/>
      </c>
    </row>
    <row r="239" spans="1:13">
      <c r="A239" s="3"/>
      <c r="B239" s="3"/>
      <c r="C239" s="3"/>
      <c r="D239" s="3"/>
      <c r="E239" s="3">
        <v>16</v>
      </c>
      <c r="F239" s="4" t="str">
        <f>HYPERLINK("http://141.218.60.56/~jnz1568/getInfo.php?workbook=08_06.xlsx&amp;sheet=U0&amp;row=239&amp;col=6&amp;number=5.08&amp;sourceID=4","5.08")</f>
        <v>5.08</v>
      </c>
      <c r="G239" s="4" t="str">
        <f>HYPERLINK("http://141.218.60.56/~jnz1568/getInfo.php?workbook=08_06.xlsx&amp;sheet=U0&amp;row=239&amp;col=7&amp;number=0.342&amp;sourceID=4","0.342")</f>
        <v>0.342</v>
      </c>
      <c r="H239" s="4" t="str">
        <f>HYPERLINK("http://141.218.60.56/~jnz1568/getInfo.php?workbook=08_06.xlsx&amp;sheet=U0&amp;row=239&amp;col=8&amp;number=&amp;sourceID=8","")</f>
        <v/>
      </c>
      <c r="I239" s="4" t="str">
        <f>HYPERLINK("http://141.218.60.56/~jnz1568/getInfo.php?workbook=08_06.xlsx&amp;sheet=U0&amp;row=239&amp;col=9&amp;number=&amp;sourceID=8","")</f>
        <v/>
      </c>
      <c r="J239" s="4" t="str">
        <f>HYPERLINK("http://141.218.60.56/~jnz1568/getInfo.php?workbook=08_06.xlsx&amp;sheet=U0&amp;row=239&amp;col=10&amp;number=&amp;sourceID=9","")</f>
        <v/>
      </c>
      <c r="K239" s="4" t="str">
        <f>HYPERLINK("http://141.218.60.56/~jnz1568/getInfo.php?workbook=08_06.xlsx&amp;sheet=U0&amp;row=239&amp;col=11&amp;number=&amp;sourceID=9","")</f>
        <v/>
      </c>
      <c r="L239" s="4" t="str">
        <f>HYPERLINK("http://141.218.60.56/~jnz1568/getInfo.php?workbook=08_06.xlsx&amp;sheet=U0&amp;row=239&amp;col=12&amp;number=&amp;sourceID=10","")</f>
        <v/>
      </c>
      <c r="M239" s="4" t="str">
        <f>HYPERLINK("http://141.218.60.56/~jnz1568/getInfo.php?workbook=08_06.xlsx&amp;sheet=U0&amp;row=239&amp;col=13&amp;number=&amp;sourceID=10","")</f>
        <v/>
      </c>
    </row>
    <row r="240" spans="1:13">
      <c r="A240" s="3"/>
      <c r="B240" s="3"/>
      <c r="C240" s="3"/>
      <c r="D240" s="3"/>
      <c r="E240" s="3">
        <v>17</v>
      </c>
      <c r="F240" s="4" t="str">
        <f>HYPERLINK("http://141.218.60.56/~jnz1568/getInfo.php?workbook=08_06.xlsx&amp;sheet=U0&amp;row=240&amp;col=6&amp;number=5.15&amp;sourceID=4","5.15")</f>
        <v>5.15</v>
      </c>
      <c r="G240" s="4" t="str">
        <f>HYPERLINK("http://141.218.60.56/~jnz1568/getInfo.php?workbook=08_06.xlsx&amp;sheet=U0&amp;row=240&amp;col=7&amp;number=0.327&amp;sourceID=4","0.327")</f>
        <v>0.327</v>
      </c>
      <c r="H240" s="4" t="str">
        <f>HYPERLINK("http://141.218.60.56/~jnz1568/getInfo.php?workbook=08_06.xlsx&amp;sheet=U0&amp;row=240&amp;col=8&amp;number=&amp;sourceID=8","")</f>
        <v/>
      </c>
      <c r="I240" s="4" t="str">
        <f>HYPERLINK("http://141.218.60.56/~jnz1568/getInfo.php?workbook=08_06.xlsx&amp;sheet=U0&amp;row=240&amp;col=9&amp;number=&amp;sourceID=8","")</f>
        <v/>
      </c>
      <c r="J240" s="4" t="str">
        <f>HYPERLINK("http://141.218.60.56/~jnz1568/getInfo.php?workbook=08_06.xlsx&amp;sheet=U0&amp;row=240&amp;col=10&amp;number=&amp;sourceID=9","")</f>
        <v/>
      </c>
      <c r="K240" s="4" t="str">
        <f>HYPERLINK("http://141.218.60.56/~jnz1568/getInfo.php?workbook=08_06.xlsx&amp;sheet=U0&amp;row=240&amp;col=11&amp;number=&amp;sourceID=9","")</f>
        <v/>
      </c>
      <c r="L240" s="4" t="str">
        <f>HYPERLINK("http://141.218.60.56/~jnz1568/getInfo.php?workbook=08_06.xlsx&amp;sheet=U0&amp;row=240&amp;col=12&amp;number=&amp;sourceID=10","")</f>
        <v/>
      </c>
      <c r="M240" s="4" t="str">
        <f>HYPERLINK("http://141.218.60.56/~jnz1568/getInfo.php?workbook=08_06.xlsx&amp;sheet=U0&amp;row=240&amp;col=13&amp;number=&amp;sourceID=10","")</f>
        <v/>
      </c>
    </row>
    <row r="241" spans="1:13">
      <c r="A241" s="3"/>
      <c r="B241" s="3"/>
      <c r="C241" s="3"/>
      <c r="D241" s="3"/>
      <c r="E241" s="3">
        <v>18</v>
      </c>
      <c r="F241" s="4" t="str">
        <f>HYPERLINK("http://141.218.60.56/~jnz1568/getInfo.php?workbook=08_06.xlsx&amp;sheet=U0&amp;row=241&amp;col=6&amp;number=5.2&amp;sourceID=4","5.2")</f>
        <v>5.2</v>
      </c>
      <c r="G241" s="4" t="str">
        <f>HYPERLINK("http://141.218.60.56/~jnz1568/getInfo.php?workbook=08_06.xlsx&amp;sheet=U0&amp;row=241&amp;col=7&amp;number=0.315&amp;sourceID=4","0.315")</f>
        <v>0.315</v>
      </c>
      <c r="H241" s="4" t="str">
        <f>HYPERLINK("http://141.218.60.56/~jnz1568/getInfo.php?workbook=08_06.xlsx&amp;sheet=U0&amp;row=241&amp;col=8&amp;number=&amp;sourceID=8","")</f>
        <v/>
      </c>
      <c r="I241" s="4" t="str">
        <f>HYPERLINK("http://141.218.60.56/~jnz1568/getInfo.php?workbook=08_06.xlsx&amp;sheet=U0&amp;row=241&amp;col=9&amp;number=&amp;sourceID=8","")</f>
        <v/>
      </c>
      <c r="J241" s="4" t="str">
        <f>HYPERLINK("http://141.218.60.56/~jnz1568/getInfo.php?workbook=08_06.xlsx&amp;sheet=U0&amp;row=241&amp;col=10&amp;number=&amp;sourceID=9","")</f>
        <v/>
      </c>
      <c r="K241" s="4" t="str">
        <f>HYPERLINK("http://141.218.60.56/~jnz1568/getInfo.php?workbook=08_06.xlsx&amp;sheet=U0&amp;row=241&amp;col=11&amp;number=&amp;sourceID=9","")</f>
        <v/>
      </c>
      <c r="L241" s="4" t="str">
        <f>HYPERLINK("http://141.218.60.56/~jnz1568/getInfo.php?workbook=08_06.xlsx&amp;sheet=U0&amp;row=241&amp;col=12&amp;number=&amp;sourceID=10","")</f>
        <v/>
      </c>
      <c r="M241" s="4" t="str">
        <f>HYPERLINK("http://141.218.60.56/~jnz1568/getInfo.php?workbook=08_06.xlsx&amp;sheet=U0&amp;row=241&amp;col=13&amp;number=&amp;sourceID=10","")</f>
        <v/>
      </c>
    </row>
    <row r="242" spans="1:13">
      <c r="A242" s="3"/>
      <c r="B242" s="3"/>
      <c r="C242" s="3"/>
      <c r="D242" s="3"/>
      <c r="E242" s="3">
        <v>19</v>
      </c>
      <c r="F242" s="4" t="str">
        <f>HYPERLINK("http://141.218.60.56/~jnz1568/getInfo.php?workbook=08_06.xlsx&amp;sheet=U0&amp;row=242&amp;col=6&amp;number=5.26&amp;sourceID=4","5.26")</f>
        <v>5.26</v>
      </c>
      <c r="G242" s="4" t="str">
        <f>HYPERLINK("http://141.218.60.56/~jnz1568/getInfo.php?workbook=08_06.xlsx&amp;sheet=U0&amp;row=242&amp;col=7&amp;number=0.303&amp;sourceID=4","0.303")</f>
        <v>0.303</v>
      </c>
      <c r="H242" s="4" t="str">
        <f>HYPERLINK("http://141.218.60.56/~jnz1568/getInfo.php?workbook=08_06.xlsx&amp;sheet=U0&amp;row=242&amp;col=8&amp;number=&amp;sourceID=8","")</f>
        <v/>
      </c>
      <c r="I242" s="4" t="str">
        <f>HYPERLINK("http://141.218.60.56/~jnz1568/getInfo.php?workbook=08_06.xlsx&amp;sheet=U0&amp;row=242&amp;col=9&amp;number=&amp;sourceID=8","")</f>
        <v/>
      </c>
      <c r="J242" s="4" t="str">
        <f>HYPERLINK("http://141.218.60.56/~jnz1568/getInfo.php?workbook=08_06.xlsx&amp;sheet=U0&amp;row=242&amp;col=10&amp;number=&amp;sourceID=9","")</f>
        <v/>
      </c>
      <c r="K242" s="4" t="str">
        <f>HYPERLINK("http://141.218.60.56/~jnz1568/getInfo.php?workbook=08_06.xlsx&amp;sheet=U0&amp;row=242&amp;col=11&amp;number=&amp;sourceID=9","")</f>
        <v/>
      </c>
      <c r="L242" s="4" t="str">
        <f>HYPERLINK("http://141.218.60.56/~jnz1568/getInfo.php?workbook=08_06.xlsx&amp;sheet=U0&amp;row=242&amp;col=12&amp;number=&amp;sourceID=10","")</f>
        <v/>
      </c>
      <c r="M242" s="4" t="str">
        <f>HYPERLINK("http://141.218.60.56/~jnz1568/getInfo.php?workbook=08_06.xlsx&amp;sheet=U0&amp;row=242&amp;col=13&amp;number=&amp;sourceID=10","")</f>
        <v/>
      </c>
    </row>
    <row r="243" spans="1:13">
      <c r="A243" s="3"/>
      <c r="B243" s="3"/>
      <c r="C243" s="3"/>
      <c r="D243" s="3"/>
      <c r="E243" s="3">
        <v>20</v>
      </c>
      <c r="F243" s="4" t="str">
        <f>HYPERLINK("http://141.218.60.56/~jnz1568/getInfo.php?workbook=08_06.xlsx&amp;sheet=U0&amp;row=243&amp;col=6&amp;number=5.3&amp;sourceID=4","5.3")</f>
        <v>5.3</v>
      </c>
      <c r="G243" s="4" t="str">
        <f>HYPERLINK("http://141.218.60.56/~jnz1568/getInfo.php?workbook=08_06.xlsx&amp;sheet=U0&amp;row=243&amp;col=7&amp;number=0.2943&amp;sourceID=4","0.2943")</f>
        <v>0.2943</v>
      </c>
      <c r="H243" s="4" t="str">
        <f>HYPERLINK("http://141.218.60.56/~jnz1568/getInfo.php?workbook=08_06.xlsx&amp;sheet=U0&amp;row=243&amp;col=8&amp;number=&amp;sourceID=8","")</f>
        <v/>
      </c>
      <c r="I243" s="4" t="str">
        <f>HYPERLINK("http://141.218.60.56/~jnz1568/getInfo.php?workbook=08_06.xlsx&amp;sheet=U0&amp;row=243&amp;col=9&amp;number=&amp;sourceID=8","")</f>
        <v/>
      </c>
      <c r="J243" s="4" t="str">
        <f>HYPERLINK("http://141.218.60.56/~jnz1568/getInfo.php?workbook=08_06.xlsx&amp;sheet=U0&amp;row=243&amp;col=10&amp;number=&amp;sourceID=9","")</f>
        <v/>
      </c>
      <c r="K243" s="4" t="str">
        <f>HYPERLINK("http://141.218.60.56/~jnz1568/getInfo.php?workbook=08_06.xlsx&amp;sheet=U0&amp;row=243&amp;col=11&amp;number=&amp;sourceID=9","")</f>
        <v/>
      </c>
      <c r="L243" s="4" t="str">
        <f>HYPERLINK("http://141.218.60.56/~jnz1568/getInfo.php?workbook=08_06.xlsx&amp;sheet=U0&amp;row=243&amp;col=12&amp;number=&amp;sourceID=10","")</f>
        <v/>
      </c>
      <c r="M243" s="4" t="str">
        <f>HYPERLINK("http://141.218.60.56/~jnz1568/getInfo.php?workbook=08_06.xlsx&amp;sheet=U0&amp;row=243&amp;col=13&amp;number=&amp;sourceID=10","")</f>
        <v/>
      </c>
    </row>
    <row r="244" spans="1:13">
      <c r="A244" s="3">
        <v>8</v>
      </c>
      <c r="B244" s="3">
        <v>6</v>
      </c>
      <c r="C244" s="3">
        <v>6</v>
      </c>
      <c r="D244" s="3">
        <v>3</v>
      </c>
      <c r="E244" s="3">
        <v>1</v>
      </c>
      <c r="F244" s="4" t="str">
        <f>HYPERLINK("http://141.218.60.56/~jnz1568/getInfo.php?workbook=08_06.xlsx&amp;sheet=U0&amp;row=244&amp;col=6&amp;number=3.4&amp;sourceID=4","3.4")</f>
        <v>3.4</v>
      </c>
      <c r="G244" s="4" t="str">
        <f>HYPERLINK("http://141.218.60.56/~jnz1568/getInfo.php?workbook=08_06.xlsx&amp;sheet=U0&amp;row=244&amp;col=7&amp;number=0.555&amp;sourceID=4","0.555")</f>
        <v>0.555</v>
      </c>
      <c r="H244" s="4" t="str">
        <f>HYPERLINK("http://141.218.60.56/~jnz1568/getInfo.php?workbook=08_06.xlsx&amp;sheet=U0&amp;row=244&amp;col=8&amp;number=&amp;sourceID=8","")</f>
        <v/>
      </c>
      <c r="I244" s="4" t="str">
        <f>HYPERLINK("http://141.218.60.56/~jnz1568/getInfo.php?workbook=08_06.xlsx&amp;sheet=U0&amp;row=244&amp;col=9&amp;number=&amp;sourceID=8","")</f>
        <v/>
      </c>
      <c r="J244" s="4" t="str">
        <f>HYPERLINK("http://141.218.60.56/~jnz1568/getInfo.php?workbook=08_06.xlsx&amp;sheet=U0&amp;row=244&amp;col=10&amp;number=3&amp;sourceID=9","3")</f>
        <v>3</v>
      </c>
      <c r="K244" s="4" t="str">
        <f>HYPERLINK("http://141.218.60.56/~jnz1568/getInfo.php?workbook=08_06.xlsx&amp;sheet=U0&amp;row=244&amp;col=11&amp;number=0.542222222222&amp;sourceID=9","0.542222222222")</f>
        <v>0.542222222222</v>
      </c>
      <c r="L244" s="4" t="str">
        <f>HYPERLINK("http://141.218.60.56/~jnz1568/getInfo.php?workbook=08_06.xlsx&amp;sheet=U0&amp;row=244&amp;col=12&amp;number=&amp;sourceID=10","")</f>
        <v/>
      </c>
      <c r="M244" s="4" t="str">
        <f>HYPERLINK("http://141.218.60.56/~jnz1568/getInfo.php?workbook=08_06.xlsx&amp;sheet=U0&amp;row=244&amp;col=13&amp;number=&amp;sourceID=10","")</f>
        <v/>
      </c>
    </row>
    <row r="245" spans="1:13">
      <c r="A245" s="3"/>
      <c r="B245" s="3"/>
      <c r="C245" s="3"/>
      <c r="D245" s="3"/>
      <c r="E245" s="3">
        <v>2</v>
      </c>
      <c r="F245" s="4" t="str">
        <f>HYPERLINK("http://141.218.60.56/~jnz1568/getInfo.php?workbook=08_06.xlsx&amp;sheet=U0&amp;row=245&amp;col=6&amp;number=3.7&amp;sourceID=4","3.7")</f>
        <v>3.7</v>
      </c>
      <c r="G245" s="4" t="str">
        <f>HYPERLINK("http://141.218.60.56/~jnz1568/getInfo.php?workbook=08_06.xlsx&amp;sheet=U0&amp;row=245&amp;col=7&amp;number=0.565&amp;sourceID=4","0.565")</f>
        <v>0.565</v>
      </c>
      <c r="H245" s="4" t="str">
        <f>HYPERLINK("http://141.218.60.56/~jnz1568/getInfo.php?workbook=08_06.xlsx&amp;sheet=U0&amp;row=245&amp;col=8&amp;number=&amp;sourceID=8","")</f>
        <v/>
      </c>
      <c r="I245" s="4" t="str">
        <f>HYPERLINK("http://141.218.60.56/~jnz1568/getInfo.php?workbook=08_06.xlsx&amp;sheet=U0&amp;row=245&amp;col=9&amp;number=&amp;sourceID=8","")</f>
        <v/>
      </c>
      <c r="J245" s="4" t="str">
        <f>HYPERLINK("http://141.218.60.56/~jnz1568/getInfo.php?workbook=08_06.xlsx&amp;sheet=U0&amp;row=245&amp;col=10&amp;number=3.2&amp;sourceID=9","3.2")</f>
        <v>3.2</v>
      </c>
      <c r="K245" s="4" t="str">
        <f>HYPERLINK("http://141.218.60.56/~jnz1568/getInfo.php?workbook=08_06.xlsx&amp;sheet=U0&amp;row=245&amp;col=11&amp;number=0.537388888889&amp;sourceID=9","0.537388888889")</f>
        <v>0.537388888889</v>
      </c>
      <c r="L245" s="4" t="str">
        <f>HYPERLINK("http://141.218.60.56/~jnz1568/getInfo.php?workbook=08_06.xlsx&amp;sheet=U0&amp;row=245&amp;col=12&amp;number=&amp;sourceID=10","")</f>
        <v/>
      </c>
      <c r="M245" s="4" t="str">
        <f>HYPERLINK("http://141.218.60.56/~jnz1568/getInfo.php?workbook=08_06.xlsx&amp;sheet=U0&amp;row=245&amp;col=13&amp;number=&amp;sourceID=10","")</f>
        <v/>
      </c>
    </row>
    <row r="246" spans="1:13">
      <c r="A246" s="3"/>
      <c r="B246" s="3"/>
      <c r="C246" s="3"/>
      <c r="D246" s="3"/>
      <c r="E246" s="3">
        <v>3</v>
      </c>
      <c r="F246" s="4" t="str">
        <f>HYPERLINK("http://141.218.60.56/~jnz1568/getInfo.php?workbook=08_06.xlsx&amp;sheet=U0&amp;row=246&amp;col=6&amp;number=3.88&amp;sourceID=4","3.88")</f>
        <v>3.88</v>
      </c>
      <c r="G246" s="4" t="str">
        <f>HYPERLINK("http://141.218.60.56/~jnz1568/getInfo.php?workbook=08_06.xlsx&amp;sheet=U0&amp;row=246&amp;col=7&amp;number=0.595&amp;sourceID=4","0.595")</f>
        <v>0.595</v>
      </c>
      <c r="H246" s="4" t="str">
        <f>HYPERLINK("http://141.218.60.56/~jnz1568/getInfo.php?workbook=08_06.xlsx&amp;sheet=U0&amp;row=246&amp;col=8&amp;number=&amp;sourceID=8","")</f>
        <v/>
      </c>
      <c r="I246" s="4" t="str">
        <f>HYPERLINK("http://141.218.60.56/~jnz1568/getInfo.php?workbook=08_06.xlsx&amp;sheet=U0&amp;row=246&amp;col=9&amp;number=&amp;sourceID=8","")</f>
        <v/>
      </c>
      <c r="J246" s="4" t="str">
        <f>HYPERLINK("http://141.218.60.56/~jnz1568/getInfo.php?workbook=08_06.xlsx&amp;sheet=U0&amp;row=246&amp;col=10&amp;number=3.4&amp;sourceID=9","3.4")</f>
        <v>3.4</v>
      </c>
      <c r="K246" s="4" t="str">
        <f>HYPERLINK("http://141.218.60.56/~jnz1568/getInfo.php?workbook=08_06.xlsx&amp;sheet=U0&amp;row=246&amp;col=11&amp;number=0.539555555556&amp;sourceID=9","0.539555555556")</f>
        <v>0.539555555556</v>
      </c>
      <c r="L246" s="4" t="str">
        <f>HYPERLINK("http://141.218.60.56/~jnz1568/getInfo.php?workbook=08_06.xlsx&amp;sheet=U0&amp;row=246&amp;col=12&amp;number=&amp;sourceID=10","")</f>
        <v/>
      </c>
      <c r="M246" s="4" t="str">
        <f>HYPERLINK("http://141.218.60.56/~jnz1568/getInfo.php?workbook=08_06.xlsx&amp;sheet=U0&amp;row=246&amp;col=13&amp;number=&amp;sourceID=10","")</f>
        <v/>
      </c>
    </row>
    <row r="247" spans="1:13">
      <c r="A247" s="3"/>
      <c r="B247" s="3"/>
      <c r="C247" s="3"/>
      <c r="D247" s="3"/>
      <c r="E247" s="3">
        <v>4</v>
      </c>
      <c r="F247" s="4" t="str">
        <f>HYPERLINK("http://141.218.60.56/~jnz1568/getInfo.php?workbook=08_06.xlsx&amp;sheet=U0&amp;row=247&amp;col=6&amp;number=4&amp;sourceID=4","4")</f>
        <v>4</v>
      </c>
      <c r="G247" s="4" t="str">
        <f>HYPERLINK("http://141.218.60.56/~jnz1568/getInfo.php?workbook=08_06.xlsx&amp;sheet=U0&amp;row=247&amp;col=7&amp;number=0.62&amp;sourceID=4","0.62")</f>
        <v>0.62</v>
      </c>
      <c r="H247" s="4" t="str">
        <f>HYPERLINK("http://141.218.60.56/~jnz1568/getInfo.php?workbook=08_06.xlsx&amp;sheet=U0&amp;row=247&amp;col=8&amp;number=&amp;sourceID=8","")</f>
        <v/>
      </c>
      <c r="I247" s="4" t="str">
        <f>HYPERLINK("http://141.218.60.56/~jnz1568/getInfo.php?workbook=08_06.xlsx&amp;sheet=U0&amp;row=247&amp;col=9&amp;number=&amp;sourceID=8","")</f>
        <v/>
      </c>
      <c r="J247" s="4" t="str">
        <f>HYPERLINK("http://141.218.60.56/~jnz1568/getInfo.php?workbook=08_06.xlsx&amp;sheet=U0&amp;row=247&amp;col=10&amp;number=3.6&amp;sourceID=9","3.6")</f>
        <v>3.6</v>
      </c>
      <c r="K247" s="4" t="str">
        <f>HYPERLINK("http://141.218.60.56/~jnz1568/getInfo.php?workbook=08_06.xlsx&amp;sheet=U0&amp;row=247&amp;col=11&amp;number=0.568&amp;sourceID=9","0.568")</f>
        <v>0.568</v>
      </c>
      <c r="L247" s="4" t="str">
        <f>HYPERLINK("http://141.218.60.56/~jnz1568/getInfo.php?workbook=08_06.xlsx&amp;sheet=U0&amp;row=247&amp;col=12&amp;number=&amp;sourceID=10","")</f>
        <v/>
      </c>
      <c r="M247" s="4" t="str">
        <f>HYPERLINK("http://141.218.60.56/~jnz1568/getInfo.php?workbook=08_06.xlsx&amp;sheet=U0&amp;row=247&amp;col=13&amp;number=&amp;sourceID=10","")</f>
        <v/>
      </c>
    </row>
    <row r="248" spans="1:13">
      <c r="A248" s="3"/>
      <c r="B248" s="3"/>
      <c r="C248" s="3"/>
      <c r="D248" s="3"/>
      <c r="E248" s="3">
        <v>5</v>
      </c>
      <c r="F248" s="4" t="str">
        <f>HYPERLINK("http://141.218.60.56/~jnz1568/getInfo.php?workbook=08_06.xlsx&amp;sheet=U0&amp;row=248&amp;col=6&amp;number=4.1&amp;sourceID=4","4.1")</f>
        <v>4.1</v>
      </c>
      <c r="G248" s="4" t="str">
        <f>HYPERLINK("http://141.218.60.56/~jnz1568/getInfo.php?workbook=08_06.xlsx&amp;sheet=U0&amp;row=248&amp;col=7&amp;number=0.64&amp;sourceID=4","0.64")</f>
        <v>0.64</v>
      </c>
      <c r="H248" s="4" t="str">
        <f>HYPERLINK("http://141.218.60.56/~jnz1568/getInfo.php?workbook=08_06.xlsx&amp;sheet=U0&amp;row=248&amp;col=8&amp;number=&amp;sourceID=8","")</f>
        <v/>
      </c>
      <c r="I248" s="4" t="str">
        <f>HYPERLINK("http://141.218.60.56/~jnz1568/getInfo.php?workbook=08_06.xlsx&amp;sheet=U0&amp;row=248&amp;col=9&amp;number=&amp;sourceID=8","")</f>
        <v/>
      </c>
      <c r="J248" s="4" t="str">
        <f>HYPERLINK("http://141.218.60.56/~jnz1568/getInfo.php?workbook=08_06.xlsx&amp;sheet=U0&amp;row=248&amp;col=10&amp;number=3.8&amp;sourceID=9","3.8")</f>
        <v>3.8</v>
      </c>
      <c r="K248" s="4" t="str">
        <f>HYPERLINK("http://141.218.60.56/~jnz1568/getInfo.php?workbook=08_06.xlsx&amp;sheet=U0&amp;row=248&amp;col=11&amp;number=0.622&amp;sourceID=9","0.622")</f>
        <v>0.622</v>
      </c>
      <c r="L248" s="4" t="str">
        <f>HYPERLINK("http://141.218.60.56/~jnz1568/getInfo.php?workbook=08_06.xlsx&amp;sheet=U0&amp;row=248&amp;col=12&amp;number=&amp;sourceID=10","")</f>
        <v/>
      </c>
      <c r="M248" s="4" t="str">
        <f>HYPERLINK("http://141.218.60.56/~jnz1568/getInfo.php?workbook=08_06.xlsx&amp;sheet=U0&amp;row=248&amp;col=13&amp;number=&amp;sourceID=10","")</f>
        <v/>
      </c>
    </row>
    <row r="249" spans="1:13">
      <c r="A249" s="3"/>
      <c r="B249" s="3"/>
      <c r="C249" s="3"/>
      <c r="D249" s="3"/>
      <c r="E249" s="3">
        <v>6</v>
      </c>
      <c r="F249" s="4" t="str">
        <f>HYPERLINK("http://141.218.60.56/~jnz1568/getInfo.php?workbook=08_06.xlsx&amp;sheet=U0&amp;row=249&amp;col=6&amp;number=4.18&amp;sourceID=4","4.18")</f>
        <v>4.18</v>
      </c>
      <c r="G249" s="4" t="str">
        <f>HYPERLINK("http://141.218.60.56/~jnz1568/getInfo.php?workbook=08_06.xlsx&amp;sheet=U0&amp;row=249&amp;col=7&amp;number=0.655&amp;sourceID=4","0.655")</f>
        <v>0.655</v>
      </c>
      <c r="H249" s="4" t="str">
        <f>HYPERLINK("http://141.218.60.56/~jnz1568/getInfo.php?workbook=08_06.xlsx&amp;sheet=U0&amp;row=249&amp;col=8&amp;number=&amp;sourceID=8","")</f>
        <v/>
      </c>
      <c r="I249" s="4" t="str">
        <f>HYPERLINK("http://141.218.60.56/~jnz1568/getInfo.php?workbook=08_06.xlsx&amp;sheet=U0&amp;row=249&amp;col=9&amp;number=&amp;sourceID=8","")</f>
        <v/>
      </c>
      <c r="J249" s="4" t="str">
        <f>HYPERLINK("http://141.218.60.56/~jnz1568/getInfo.php?workbook=08_06.xlsx&amp;sheet=U0&amp;row=249&amp;col=10&amp;number=4&amp;sourceID=9","4")</f>
        <v>4</v>
      </c>
      <c r="K249" s="4" t="str">
        <f>HYPERLINK("http://141.218.60.56/~jnz1568/getInfo.php?workbook=08_06.xlsx&amp;sheet=U0&amp;row=249&amp;col=11&amp;number=0.670777777778&amp;sourceID=9","0.670777777778")</f>
        <v>0.670777777778</v>
      </c>
      <c r="L249" s="4" t="str">
        <f>HYPERLINK("http://141.218.60.56/~jnz1568/getInfo.php?workbook=08_06.xlsx&amp;sheet=U0&amp;row=249&amp;col=12&amp;number=&amp;sourceID=10","")</f>
        <v/>
      </c>
      <c r="M249" s="4" t="str">
        <f>HYPERLINK("http://141.218.60.56/~jnz1568/getInfo.php?workbook=08_06.xlsx&amp;sheet=U0&amp;row=249&amp;col=13&amp;number=&amp;sourceID=10","")</f>
        <v/>
      </c>
    </row>
    <row r="250" spans="1:13">
      <c r="A250" s="3"/>
      <c r="B250" s="3"/>
      <c r="C250" s="3"/>
      <c r="D250" s="3"/>
      <c r="E250" s="3">
        <v>7</v>
      </c>
      <c r="F250" s="4" t="str">
        <f>HYPERLINK("http://141.218.60.56/~jnz1568/getInfo.php?workbook=08_06.xlsx&amp;sheet=U0&amp;row=250&amp;col=6&amp;number=4.24&amp;sourceID=4","4.24")</f>
        <v>4.24</v>
      </c>
      <c r="G250" s="4" t="str">
        <f>HYPERLINK("http://141.218.60.56/~jnz1568/getInfo.php?workbook=08_06.xlsx&amp;sheet=U0&amp;row=250&amp;col=7&amp;number=0.665&amp;sourceID=4","0.665")</f>
        <v>0.665</v>
      </c>
      <c r="H250" s="4" t="str">
        <f>HYPERLINK("http://141.218.60.56/~jnz1568/getInfo.php?workbook=08_06.xlsx&amp;sheet=U0&amp;row=250&amp;col=8&amp;number=&amp;sourceID=8","")</f>
        <v/>
      </c>
      <c r="I250" s="4" t="str">
        <f>HYPERLINK("http://141.218.60.56/~jnz1568/getInfo.php?workbook=08_06.xlsx&amp;sheet=U0&amp;row=250&amp;col=9&amp;number=&amp;sourceID=8","")</f>
        <v/>
      </c>
      <c r="J250" s="4" t="str">
        <f>HYPERLINK("http://141.218.60.56/~jnz1568/getInfo.php?workbook=08_06.xlsx&amp;sheet=U0&amp;row=250&amp;col=10&amp;number=4.2&amp;sourceID=9","4.2")</f>
        <v>4.2</v>
      </c>
      <c r="K250" s="4" t="str">
        <f>HYPERLINK("http://141.218.60.56/~jnz1568/getInfo.php?workbook=08_06.xlsx&amp;sheet=U0&amp;row=250&amp;col=11&amp;number=0.698555555556&amp;sourceID=9","0.698555555556")</f>
        <v>0.698555555556</v>
      </c>
      <c r="L250" s="4" t="str">
        <f>HYPERLINK("http://141.218.60.56/~jnz1568/getInfo.php?workbook=08_06.xlsx&amp;sheet=U0&amp;row=250&amp;col=12&amp;number=&amp;sourceID=10","")</f>
        <v/>
      </c>
      <c r="M250" s="4" t="str">
        <f>HYPERLINK("http://141.218.60.56/~jnz1568/getInfo.php?workbook=08_06.xlsx&amp;sheet=U0&amp;row=250&amp;col=13&amp;number=&amp;sourceID=10","")</f>
        <v/>
      </c>
    </row>
    <row r="251" spans="1:13">
      <c r="A251" s="3"/>
      <c r="B251" s="3"/>
      <c r="C251" s="3"/>
      <c r="D251" s="3"/>
      <c r="E251" s="3">
        <v>8</v>
      </c>
      <c r="F251" s="4" t="str">
        <f>HYPERLINK("http://141.218.60.56/~jnz1568/getInfo.php?workbook=08_06.xlsx&amp;sheet=U0&amp;row=251&amp;col=6&amp;number=4.3&amp;sourceID=4","4.3")</f>
        <v>4.3</v>
      </c>
      <c r="G251" s="4" t="str">
        <f>HYPERLINK("http://141.218.60.56/~jnz1568/getInfo.php?workbook=08_06.xlsx&amp;sheet=U0&amp;row=251&amp;col=7&amp;number=0.675&amp;sourceID=4","0.675")</f>
        <v>0.675</v>
      </c>
      <c r="H251" s="4" t="str">
        <f>HYPERLINK("http://141.218.60.56/~jnz1568/getInfo.php?workbook=08_06.xlsx&amp;sheet=U0&amp;row=251&amp;col=8&amp;number=&amp;sourceID=8","")</f>
        <v/>
      </c>
      <c r="I251" s="4" t="str">
        <f>HYPERLINK("http://141.218.60.56/~jnz1568/getInfo.php?workbook=08_06.xlsx&amp;sheet=U0&amp;row=251&amp;col=9&amp;number=&amp;sourceID=8","")</f>
        <v/>
      </c>
      <c r="J251" s="4" t="str">
        <f>HYPERLINK("http://141.218.60.56/~jnz1568/getInfo.php?workbook=08_06.xlsx&amp;sheet=U0&amp;row=251&amp;col=10&amp;number=4.4&amp;sourceID=9","4.4")</f>
        <v>4.4</v>
      </c>
      <c r="K251" s="4" t="str">
        <f>HYPERLINK("http://141.218.60.56/~jnz1568/getInfo.php?workbook=08_06.xlsx&amp;sheet=U0&amp;row=251&amp;col=11&amp;number=0.706666666667&amp;sourceID=9","0.706666666667")</f>
        <v>0.706666666667</v>
      </c>
      <c r="L251" s="4" t="str">
        <f>HYPERLINK("http://141.218.60.56/~jnz1568/getInfo.php?workbook=08_06.xlsx&amp;sheet=U0&amp;row=251&amp;col=12&amp;number=&amp;sourceID=10","")</f>
        <v/>
      </c>
      <c r="M251" s="4" t="str">
        <f>HYPERLINK("http://141.218.60.56/~jnz1568/getInfo.php?workbook=08_06.xlsx&amp;sheet=U0&amp;row=251&amp;col=13&amp;number=&amp;sourceID=10","")</f>
        <v/>
      </c>
    </row>
    <row r="252" spans="1:13">
      <c r="A252" s="3"/>
      <c r="B252" s="3"/>
      <c r="C252" s="3"/>
      <c r="D252" s="3"/>
      <c r="E252" s="3">
        <v>9</v>
      </c>
      <c r="F252" s="4" t="str">
        <f>HYPERLINK("http://141.218.60.56/~jnz1568/getInfo.php?workbook=08_06.xlsx&amp;sheet=U0&amp;row=252&amp;col=6&amp;number=4.4&amp;sourceID=4","4.4")</f>
        <v>4.4</v>
      </c>
      <c r="G252" s="4" t="str">
        <f>HYPERLINK("http://141.218.60.56/~jnz1568/getInfo.php?workbook=08_06.xlsx&amp;sheet=U0&amp;row=252&amp;col=7&amp;number=0.685&amp;sourceID=4","0.685")</f>
        <v>0.685</v>
      </c>
      <c r="H252" s="4" t="str">
        <f>HYPERLINK("http://141.218.60.56/~jnz1568/getInfo.php?workbook=08_06.xlsx&amp;sheet=U0&amp;row=252&amp;col=8&amp;number=&amp;sourceID=8","")</f>
        <v/>
      </c>
      <c r="I252" s="4" t="str">
        <f>HYPERLINK("http://141.218.60.56/~jnz1568/getInfo.php?workbook=08_06.xlsx&amp;sheet=U0&amp;row=252&amp;col=9&amp;number=&amp;sourceID=8","")</f>
        <v/>
      </c>
      <c r="J252" s="4" t="str">
        <f>HYPERLINK("http://141.218.60.56/~jnz1568/getInfo.php?workbook=08_06.xlsx&amp;sheet=U0&amp;row=252&amp;col=10&amp;number=4.6&amp;sourceID=9","4.6")</f>
        <v>4.6</v>
      </c>
      <c r="K252" s="4" t="str">
        <f>HYPERLINK("http://141.218.60.56/~jnz1568/getInfo.php?workbook=08_06.xlsx&amp;sheet=U0&amp;row=252&amp;col=11&amp;number=0.691722222222&amp;sourceID=9","0.691722222222")</f>
        <v>0.691722222222</v>
      </c>
      <c r="L252" s="4" t="str">
        <f>HYPERLINK("http://141.218.60.56/~jnz1568/getInfo.php?workbook=08_06.xlsx&amp;sheet=U0&amp;row=252&amp;col=12&amp;number=&amp;sourceID=10","")</f>
        <v/>
      </c>
      <c r="M252" s="4" t="str">
        <f>HYPERLINK("http://141.218.60.56/~jnz1568/getInfo.php?workbook=08_06.xlsx&amp;sheet=U0&amp;row=252&amp;col=13&amp;number=&amp;sourceID=10","")</f>
        <v/>
      </c>
    </row>
    <row r="253" spans="1:13">
      <c r="A253" s="3"/>
      <c r="B253" s="3"/>
      <c r="C253" s="3"/>
      <c r="D253" s="3"/>
      <c r="E253" s="3">
        <v>10</v>
      </c>
      <c r="F253" s="4" t="str">
        <f>HYPERLINK("http://141.218.60.56/~jnz1568/getInfo.php?workbook=08_06.xlsx&amp;sheet=U0&amp;row=253&amp;col=6&amp;number=4.48&amp;sourceID=4","4.48")</f>
        <v>4.48</v>
      </c>
      <c r="G253" s="4" t="str">
        <f>HYPERLINK("http://141.218.60.56/~jnz1568/getInfo.php?workbook=08_06.xlsx&amp;sheet=U0&amp;row=253&amp;col=7&amp;number=0.685&amp;sourceID=4","0.685")</f>
        <v>0.685</v>
      </c>
      <c r="H253" s="4" t="str">
        <f>HYPERLINK("http://141.218.60.56/~jnz1568/getInfo.php?workbook=08_06.xlsx&amp;sheet=U0&amp;row=253&amp;col=8&amp;number=&amp;sourceID=8","")</f>
        <v/>
      </c>
      <c r="I253" s="4" t="str">
        <f>HYPERLINK("http://141.218.60.56/~jnz1568/getInfo.php?workbook=08_06.xlsx&amp;sheet=U0&amp;row=253&amp;col=9&amp;number=&amp;sourceID=8","")</f>
        <v/>
      </c>
      <c r="J253" s="4" t="str">
        <f>HYPERLINK("http://141.218.60.56/~jnz1568/getInfo.php?workbook=08_06.xlsx&amp;sheet=U0&amp;row=253&amp;col=10&amp;number=4.8&amp;sourceID=9","4.8")</f>
        <v>4.8</v>
      </c>
      <c r="K253" s="4" t="str">
        <f>HYPERLINK("http://141.218.60.56/~jnz1568/getInfo.php?workbook=08_06.xlsx&amp;sheet=U0&amp;row=253&amp;col=11&amp;number=0.650222222222&amp;sourceID=9","0.650222222222")</f>
        <v>0.650222222222</v>
      </c>
      <c r="L253" s="4" t="str">
        <f>HYPERLINK("http://141.218.60.56/~jnz1568/getInfo.php?workbook=08_06.xlsx&amp;sheet=U0&amp;row=253&amp;col=12&amp;number=&amp;sourceID=10","")</f>
        <v/>
      </c>
      <c r="M253" s="4" t="str">
        <f>HYPERLINK("http://141.218.60.56/~jnz1568/getInfo.php?workbook=08_06.xlsx&amp;sheet=U0&amp;row=253&amp;col=13&amp;number=&amp;sourceID=10","")</f>
        <v/>
      </c>
    </row>
    <row r="254" spans="1:13">
      <c r="A254" s="3"/>
      <c r="B254" s="3"/>
      <c r="C254" s="3"/>
      <c r="D254" s="3"/>
      <c r="E254" s="3">
        <v>11</v>
      </c>
      <c r="F254" s="4" t="str">
        <f>HYPERLINK("http://141.218.60.56/~jnz1568/getInfo.php?workbook=08_06.xlsx&amp;sheet=U0&amp;row=254&amp;col=6&amp;number=4.6&amp;sourceID=4","4.6")</f>
        <v>4.6</v>
      </c>
      <c r="G254" s="4" t="str">
        <f>HYPERLINK("http://141.218.60.56/~jnz1568/getInfo.php?workbook=08_06.xlsx&amp;sheet=U0&amp;row=254&amp;col=7&amp;number=0.685&amp;sourceID=4","0.685")</f>
        <v>0.685</v>
      </c>
      <c r="H254" s="4" t="str">
        <f>HYPERLINK("http://141.218.60.56/~jnz1568/getInfo.php?workbook=08_06.xlsx&amp;sheet=U0&amp;row=254&amp;col=8&amp;number=&amp;sourceID=8","")</f>
        <v/>
      </c>
      <c r="I254" s="4" t="str">
        <f>HYPERLINK("http://141.218.60.56/~jnz1568/getInfo.php?workbook=08_06.xlsx&amp;sheet=U0&amp;row=254&amp;col=9&amp;number=&amp;sourceID=8","")</f>
        <v/>
      </c>
      <c r="J254" s="4" t="str">
        <f>HYPERLINK("http://141.218.60.56/~jnz1568/getInfo.php?workbook=08_06.xlsx&amp;sheet=U0&amp;row=254&amp;col=10&amp;number=5&amp;sourceID=9","5")</f>
        <v>5</v>
      </c>
      <c r="K254" s="4" t="str">
        <f>HYPERLINK("http://141.218.60.56/~jnz1568/getInfo.php?workbook=08_06.xlsx&amp;sheet=U0&amp;row=254&amp;col=11&amp;number=0.588888888889&amp;sourceID=9","0.588888888889")</f>
        <v>0.588888888889</v>
      </c>
      <c r="L254" s="4" t="str">
        <f>HYPERLINK("http://141.218.60.56/~jnz1568/getInfo.php?workbook=08_06.xlsx&amp;sheet=U0&amp;row=254&amp;col=12&amp;number=&amp;sourceID=10","")</f>
        <v/>
      </c>
      <c r="M254" s="4" t="str">
        <f>HYPERLINK("http://141.218.60.56/~jnz1568/getInfo.php?workbook=08_06.xlsx&amp;sheet=U0&amp;row=254&amp;col=13&amp;number=&amp;sourceID=10","")</f>
        <v/>
      </c>
    </row>
    <row r="255" spans="1:13">
      <c r="A255" s="3"/>
      <c r="B255" s="3"/>
      <c r="C255" s="3"/>
      <c r="D255" s="3"/>
      <c r="E255" s="3">
        <v>12</v>
      </c>
      <c r="F255" s="4" t="str">
        <f>HYPERLINK("http://141.218.60.56/~jnz1568/getInfo.php?workbook=08_06.xlsx&amp;sheet=U0&amp;row=255&amp;col=6&amp;number=4.7&amp;sourceID=4","4.7")</f>
        <v>4.7</v>
      </c>
      <c r="G255" s="4" t="str">
        <f>HYPERLINK("http://141.218.60.56/~jnz1568/getInfo.php?workbook=08_06.xlsx&amp;sheet=U0&amp;row=255&amp;col=7&amp;number=0.67&amp;sourceID=4","0.67")</f>
        <v>0.67</v>
      </c>
      <c r="H255" s="4" t="str">
        <f>HYPERLINK("http://141.218.60.56/~jnz1568/getInfo.php?workbook=08_06.xlsx&amp;sheet=U0&amp;row=255&amp;col=8&amp;number=&amp;sourceID=8","")</f>
        <v/>
      </c>
      <c r="I255" s="4" t="str">
        <f>HYPERLINK("http://141.218.60.56/~jnz1568/getInfo.php?workbook=08_06.xlsx&amp;sheet=U0&amp;row=255&amp;col=9&amp;number=&amp;sourceID=8","")</f>
        <v/>
      </c>
      <c r="J255" s="4" t="str">
        <f>HYPERLINK("http://141.218.60.56/~jnz1568/getInfo.php?workbook=08_06.xlsx&amp;sheet=U0&amp;row=255&amp;col=10&amp;number=&amp;sourceID=9","")</f>
        <v/>
      </c>
      <c r="K255" s="4" t="str">
        <f>HYPERLINK("http://141.218.60.56/~jnz1568/getInfo.php?workbook=08_06.xlsx&amp;sheet=U0&amp;row=255&amp;col=11&amp;number=&amp;sourceID=9","")</f>
        <v/>
      </c>
      <c r="L255" s="4" t="str">
        <f>HYPERLINK("http://141.218.60.56/~jnz1568/getInfo.php?workbook=08_06.xlsx&amp;sheet=U0&amp;row=255&amp;col=12&amp;number=&amp;sourceID=10","")</f>
        <v/>
      </c>
      <c r="M255" s="4" t="str">
        <f>HYPERLINK("http://141.218.60.56/~jnz1568/getInfo.php?workbook=08_06.xlsx&amp;sheet=U0&amp;row=255&amp;col=13&amp;number=&amp;sourceID=10","")</f>
        <v/>
      </c>
    </row>
    <row r="256" spans="1:13">
      <c r="A256" s="3"/>
      <c r="B256" s="3"/>
      <c r="C256" s="3"/>
      <c r="D256" s="3"/>
      <c r="E256" s="3">
        <v>13</v>
      </c>
      <c r="F256" s="4" t="str">
        <f>HYPERLINK("http://141.218.60.56/~jnz1568/getInfo.php?workbook=08_06.xlsx&amp;sheet=U0&amp;row=256&amp;col=6&amp;number=4.78&amp;sourceID=4","4.78")</f>
        <v>4.78</v>
      </c>
      <c r="G256" s="4" t="str">
        <f>HYPERLINK("http://141.218.60.56/~jnz1568/getInfo.php?workbook=08_06.xlsx&amp;sheet=U0&amp;row=256&amp;col=7&amp;number=0.655&amp;sourceID=4","0.655")</f>
        <v>0.655</v>
      </c>
      <c r="H256" s="4" t="str">
        <f>HYPERLINK("http://141.218.60.56/~jnz1568/getInfo.php?workbook=08_06.xlsx&amp;sheet=U0&amp;row=256&amp;col=8&amp;number=&amp;sourceID=8","")</f>
        <v/>
      </c>
      <c r="I256" s="4" t="str">
        <f>HYPERLINK("http://141.218.60.56/~jnz1568/getInfo.php?workbook=08_06.xlsx&amp;sheet=U0&amp;row=256&amp;col=9&amp;number=&amp;sourceID=8","")</f>
        <v/>
      </c>
      <c r="J256" s="4" t="str">
        <f>HYPERLINK("http://141.218.60.56/~jnz1568/getInfo.php?workbook=08_06.xlsx&amp;sheet=U0&amp;row=256&amp;col=10&amp;number=&amp;sourceID=9","")</f>
        <v/>
      </c>
      <c r="K256" s="4" t="str">
        <f>HYPERLINK("http://141.218.60.56/~jnz1568/getInfo.php?workbook=08_06.xlsx&amp;sheet=U0&amp;row=256&amp;col=11&amp;number=&amp;sourceID=9","")</f>
        <v/>
      </c>
      <c r="L256" s="4" t="str">
        <f>HYPERLINK("http://141.218.60.56/~jnz1568/getInfo.php?workbook=08_06.xlsx&amp;sheet=U0&amp;row=256&amp;col=12&amp;number=&amp;sourceID=10","")</f>
        <v/>
      </c>
      <c r="M256" s="4" t="str">
        <f>HYPERLINK("http://141.218.60.56/~jnz1568/getInfo.php?workbook=08_06.xlsx&amp;sheet=U0&amp;row=256&amp;col=13&amp;number=&amp;sourceID=10","")</f>
        <v/>
      </c>
    </row>
    <row r="257" spans="1:13">
      <c r="A257" s="3"/>
      <c r="B257" s="3"/>
      <c r="C257" s="3"/>
      <c r="D257" s="3"/>
      <c r="E257" s="3">
        <v>14</v>
      </c>
      <c r="F257" s="4" t="str">
        <f>HYPERLINK("http://141.218.60.56/~jnz1568/getInfo.php?workbook=08_06.xlsx&amp;sheet=U0&amp;row=257&amp;col=6&amp;number=4.9&amp;sourceID=4","4.9")</f>
        <v>4.9</v>
      </c>
      <c r="G257" s="4" t="str">
        <f>HYPERLINK("http://141.218.60.56/~jnz1568/getInfo.php?workbook=08_06.xlsx&amp;sheet=U0&amp;row=257&amp;col=7&amp;number=0.625&amp;sourceID=4","0.625")</f>
        <v>0.625</v>
      </c>
      <c r="H257" s="4" t="str">
        <f>HYPERLINK("http://141.218.60.56/~jnz1568/getInfo.php?workbook=08_06.xlsx&amp;sheet=U0&amp;row=257&amp;col=8&amp;number=&amp;sourceID=8","")</f>
        <v/>
      </c>
      <c r="I257" s="4" t="str">
        <f>HYPERLINK("http://141.218.60.56/~jnz1568/getInfo.php?workbook=08_06.xlsx&amp;sheet=U0&amp;row=257&amp;col=9&amp;number=&amp;sourceID=8","")</f>
        <v/>
      </c>
      <c r="J257" s="4" t="str">
        <f>HYPERLINK("http://141.218.60.56/~jnz1568/getInfo.php?workbook=08_06.xlsx&amp;sheet=U0&amp;row=257&amp;col=10&amp;number=&amp;sourceID=9","")</f>
        <v/>
      </c>
      <c r="K257" s="4" t="str">
        <f>HYPERLINK("http://141.218.60.56/~jnz1568/getInfo.php?workbook=08_06.xlsx&amp;sheet=U0&amp;row=257&amp;col=11&amp;number=&amp;sourceID=9","")</f>
        <v/>
      </c>
      <c r="L257" s="4" t="str">
        <f>HYPERLINK("http://141.218.60.56/~jnz1568/getInfo.php?workbook=08_06.xlsx&amp;sheet=U0&amp;row=257&amp;col=12&amp;number=&amp;sourceID=10","")</f>
        <v/>
      </c>
      <c r="M257" s="4" t="str">
        <f>HYPERLINK("http://141.218.60.56/~jnz1568/getInfo.php?workbook=08_06.xlsx&amp;sheet=U0&amp;row=257&amp;col=13&amp;number=&amp;sourceID=10","")</f>
        <v/>
      </c>
    </row>
    <row r="258" spans="1:13">
      <c r="A258" s="3"/>
      <c r="B258" s="3"/>
      <c r="C258" s="3"/>
      <c r="D258" s="3"/>
      <c r="E258" s="3">
        <v>15</v>
      </c>
      <c r="F258" s="4" t="str">
        <f>HYPERLINK("http://141.218.60.56/~jnz1568/getInfo.php?workbook=08_06.xlsx&amp;sheet=U0&amp;row=258&amp;col=6&amp;number=5&amp;sourceID=4","5")</f>
        <v>5</v>
      </c>
      <c r="G258" s="4" t="str">
        <f>HYPERLINK("http://141.218.60.56/~jnz1568/getInfo.php?workbook=08_06.xlsx&amp;sheet=U0&amp;row=258&amp;col=7&amp;number=0.595&amp;sourceID=4","0.595")</f>
        <v>0.595</v>
      </c>
      <c r="H258" s="4" t="str">
        <f>HYPERLINK("http://141.218.60.56/~jnz1568/getInfo.php?workbook=08_06.xlsx&amp;sheet=U0&amp;row=258&amp;col=8&amp;number=&amp;sourceID=8","")</f>
        <v/>
      </c>
      <c r="I258" s="4" t="str">
        <f>HYPERLINK("http://141.218.60.56/~jnz1568/getInfo.php?workbook=08_06.xlsx&amp;sheet=U0&amp;row=258&amp;col=9&amp;number=&amp;sourceID=8","")</f>
        <v/>
      </c>
      <c r="J258" s="4" t="str">
        <f>HYPERLINK("http://141.218.60.56/~jnz1568/getInfo.php?workbook=08_06.xlsx&amp;sheet=U0&amp;row=258&amp;col=10&amp;number=&amp;sourceID=9","")</f>
        <v/>
      </c>
      <c r="K258" s="4" t="str">
        <f>HYPERLINK("http://141.218.60.56/~jnz1568/getInfo.php?workbook=08_06.xlsx&amp;sheet=U0&amp;row=258&amp;col=11&amp;number=&amp;sourceID=9","")</f>
        <v/>
      </c>
      <c r="L258" s="4" t="str">
        <f>HYPERLINK("http://141.218.60.56/~jnz1568/getInfo.php?workbook=08_06.xlsx&amp;sheet=U0&amp;row=258&amp;col=12&amp;number=&amp;sourceID=10","")</f>
        <v/>
      </c>
      <c r="M258" s="4" t="str">
        <f>HYPERLINK("http://141.218.60.56/~jnz1568/getInfo.php?workbook=08_06.xlsx&amp;sheet=U0&amp;row=258&amp;col=13&amp;number=&amp;sourceID=10","")</f>
        <v/>
      </c>
    </row>
    <row r="259" spans="1:13">
      <c r="A259" s="3"/>
      <c r="B259" s="3"/>
      <c r="C259" s="3"/>
      <c r="D259" s="3"/>
      <c r="E259" s="3">
        <v>16</v>
      </c>
      <c r="F259" s="4" t="str">
        <f>HYPERLINK("http://141.218.60.56/~jnz1568/getInfo.php?workbook=08_06.xlsx&amp;sheet=U0&amp;row=259&amp;col=6&amp;number=5.08&amp;sourceID=4","5.08")</f>
        <v>5.08</v>
      </c>
      <c r="G259" s="4" t="str">
        <f>HYPERLINK("http://141.218.60.56/~jnz1568/getInfo.php?workbook=08_06.xlsx&amp;sheet=U0&amp;row=259&amp;col=7&amp;number=0.57&amp;sourceID=4","0.57")</f>
        <v>0.57</v>
      </c>
      <c r="H259" s="4" t="str">
        <f>HYPERLINK("http://141.218.60.56/~jnz1568/getInfo.php?workbook=08_06.xlsx&amp;sheet=U0&amp;row=259&amp;col=8&amp;number=&amp;sourceID=8","")</f>
        <v/>
      </c>
      <c r="I259" s="4" t="str">
        <f>HYPERLINK("http://141.218.60.56/~jnz1568/getInfo.php?workbook=08_06.xlsx&amp;sheet=U0&amp;row=259&amp;col=9&amp;number=&amp;sourceID=8","")</f>
        <v/>
      </c>
      <c r="J259" s="4" t="str">
        <f>HYPERLINK("http://141.218.60.56/~jnz1568/getInfo.php?workbook=08_06.xlsx&amp;sheet=U0&amp;row=259&amp;col=10&amp;number=&amp;sourceID=9","")</f>
        <v/>
      </c>
      <c r="K259" s="4" t="str">
        <f>HYPERLINK("http://141.218.60.56/~jnz1568/getInfo.php?workbook=08_06.xlsx&amp;sheet=U0&amp;row=259&amp;col=11&amp;number=&amp;sourceID=9","")</f>
        <v/>
      </c>
      <c r="L259" s="4" t="str">
        <f>HYPERLINK("http://141.218.60.56/~jnz1568/getInfo.php?workbook=08_06.xlsx&amp;sheet=U0&amp;row=259&amp;col=12&amp;number=&amp;sourceID=10","")</f>
        <v/>
      </c>
      <c r="M259" s="4" t="str">
        <f>HYPERLINK("http://141.218.60.56/~jnz1568/getInfo.php?workbook=08_06.xlsx&amp;sheet=U0&amp;row=259&amp;col=13&amp;number=&amp;sourceID=10","")</f>
        <v/>
      </c>
    </row>
    <row r="260" spans="1:13">
      <c r="A260" s="3"/>
      <c r="B260" s="3"/>
      <c r="C260" s="3"/>
      <c r="D260" s="3"/>
      <c r="E260" s="3">
        <v>17</v>
      </c>
      <c r="F260" s="4" t="str">
        <f>HYPERLINK("http://141.218.60.56/~jnz1568/getInfo.php?workbook=08_06.xlsx&amp;sheet=U0&amp;row=260&amp;col=6&amp;number=5.15&amp;sourceID=4","5.15")</f>
        <v>5.15</v>
      </c>
      <c r="G260" s="4" t="str">
        <f>HYPERLINK("http://141.218.60.56/~jnz1568/getInfo.php?workbook=08_06.xlsx&amp;sheet=U0&amp;row=260&amp;col=7&amp;number=0.545&amp;sourceID=4","0.545")</f>
        <v>0.545</v>
      </c>
      <c r="H260" s="4" t="str">
        <f>HYPERLINK("http://141.218.60.56/~jnz1568/getInfo.php?workbook=08_06.xlsx&amp;sheet=U0&amp;row=260&amp;col=8&amp;number=&amp;sourceID=8","")</f>
        <v/>
      </c>
      <c r="I260" s="4" t="str">
        <f>HYPERLINK("http://141.218.60.56/~jnz1568/getInfo.php?workbook=08_06.xlsx&amp;sheet=U0&amp;row=260&amp;col=9&amp;number=&amp;sourceID=8","")</f>
        <v/>
      </c>
      <c r="J260" s="4" t="str">
        <f>HYPERLINK("http://141.218.60.56/~jnz1568/getInfo.php?workbook=08_06.xlsx&amp;sheet=U0&amp;row=260&amp;col=10&amp;number=&amp;sourceID=9","")</f>
        <v/>
      </c>
      <c r="K260" s="4" t="str">
        <f>HYPERLINK("http://141.218.60.56/~jnz1568/getInfo.php?workbook=08_06.xlsx&amp;sheet=U0&amp;row=260&amp;col=11&amp;number=&amp;sourceID=9","")</f>
        <v/>
      </c>
      <c r="L260" s="4" t="str">
        <f>HYPERLINK("http://141.218.60.56/~jnz1568/getInfo.php?workbook=08_06.xlsx&amp;sheet=U0&amp;row=260&amp;col=12&amp;number=&amp;sourceID=10","")</f>
        <v/>
      </c>
      <c r="M260" s="4" t="str">
        <f>HYPERLINK("http://141.218.60.56/~jnz1568/getInfo.php?workbook=08_06.xlsx&amp;sheet=U0&amp;row=260&amp;col=13&amp;number=&amp;sourceID=10","")</f>
        <v/>
      </c>
    </row>
    <row r="261" spans="1:13">
      <c r="A261" s="3"/>
      <c r="B261" s="3"/>
      <c r="C261" s="3"/>
      <c r="D261" s="3"/>
      <c r="E261" s="3">
        <v>18</v>
      </c>
      <c r="F261" s="4" t="str">
        <f>HYPERLINK("http://141.218.60.56/~jnz1568/getInfo.php?workbook=08_06.xlsx&amp;sheet=U0&amp;row=261&amp;col=6&amp;number=5.2&amp;sourceID=4","5.2")</f>
        <v>5.2</v>
      </c>
      <c r="G261" s="4" t="str">
        <f>HYPERLINK("http://141.218.60.56/~jnz1568/getInfo.php?workbook=08_06.xlsx&amp;sheet=U0&amp;row=261&amp;col=7&amp;number=0.525&amp;sourceID=4","0.525")</f>
        <v>0.525</v>
      </c>
      <c r="H261" s="4" t="str">
        <f>HYPERLINK("http://141.218.60.56/~jnz1568/getInfo.php?workbook=08_06.xlsx&amp;sheet=U0&amp;row=261&amp;col=8&amp;number=&amp;sourceID=8","")</f>
        <v/>
      </c>
      <c r="I261" s="4" t="str">
        <f>HYPERLINK("http://141.218.60.56/~jnz1568/getInfo.php?workbook=08_06.xlsx&amp;sheet=U0&amp;row=261&amp;col=9&amp;number=&amp;sourceID=8","")</f>
        <v/>
      </c>
      <c r="J261" s="4" t="str">
        <f>HYPERLINK("http://141.218.60.56/~jnz1568/getInfo.php?workbook=08_06.xlsx&amp;sheet=U0&amp;row=261&amp;col=10&amp;number=&amp;sourceID=9","")</f>
        <v/>
      </c>
      <c r="K261" s="4" t="str">
        <f>HYPERLINK("http://141.218.60.56/~jnz1568/getInfo.php?workbook=08_06.xlsx&amp;sheet=U0&amp;row=261&amp;col=11&amp;number=&amp;sourceID=9","")</f>
        <v/>
      </c>
      <c r="L261" s="4" t="str">
        <f>HYPERLINK("http://141.218.60.56/~jnz1568/getInfo.php?workbook=08_06.xlsx&amp;sheet=U0&amp;row=261&amp;col=12&amp;number=&amp;sourceID=10","")</f>
        <v/>
      </c>
      <c r="M261" s="4" t="str">
        <f>HYPERLINK("http://141.218.60.56/~jnz1568/getInfo.php?workbook=08_06.xlsx&amp;sheet=U0&amp;row=261&amp;col=13&amp;number=&amp;sourceID=10","")</f>
        <v/>
      </c>
    </row>
    <row r="262" spans="1:13">
      <c r="A262" s="3"/>
      <c r="B262" s="3"/>
      <c r="C262" s="3"/>
      <c r="D262" s="3"/>
      <c r="E262" s="3">
        <v>19</v>
      </c>
      <c r="F262" s="4" t="str">
        <f>HYPERLINK("http://141.218.60.56/~jnz1568/getInfo.php?workbook=08_06.xlsx&amp;sheet=U0&amp;row=262&amp;col=6&amp;number=5.26&amp;sourceID=4","5.26")</f>
        <v>5.26</v>
      </c>
      <c r="G262" s="4" t="str">
        <f>HYPERLINK("http://141.218.60.56/~jnz1568/getInfo.php?workbook=08_06.xlsx&amp;sheet=U0&amp;row=262&amp;col=7&amp;number=0.505&amp;sourceID=4","0.505")</f>
        <v>0.505</v>
      </c>
      <c r="H262" s="4" t="str">
        <f>HYPERLINK("http://141.218.60.56/~jnz1568/getInfo.php?workbook=08_06.xlsx&amp;sheet=U0&amp;row=262&amp;col=8&amp;number=&amp;sourceID=8","")</f>
        <v/>
      </c>
      <c r="I262" s="4" t="str">
        <f>HYPERLINK("http://141.218.60.56/~jnz1568/getInfo.php?workbook=08_06.xlsx&amp;sheet=U0&amp;row=262&amp;col=9&amp;number=&amp;sourceID=8","")</f>
        <v/>
      </c>
      <c r="J262" s="4" t="str">
        <f>HYPERLINK("http://141.218.60.56/~jnz1568/getInfo.php?workbook=08_06.xlsx&amp;sheet=U0&amp;row=262&amp;col=10&amp;number=&amp;sourceID=9","")</f>
        <v/>
      </c>
      <c r="K262" s="4" t="str">
        <f>HYPERLINK("http://141.218.60.56/~jnz1568/getInfo.php?workbook=08_06.xlsx&amp;sheet=U0&amp;row=262&amp;col=11&amp;number=&amp;sourceID=9","")</f>
        <v/>
      </c>
      <c r="L262" s="4" t="str">
        <f>HYPERLINK("http://141.218.60.56/~jnz1568/getInfo.php?workbook=08_06.xlsx&amp;sheet=U0&amp;row=262&amp;col=12&amp;number=&amp;sourceID=10","")</f>
        <v/>
      </c>
      <c r="M262" s="4" t="str">
        <f>HYPERLINK("http://141.218.60.56/~jnz1568/getInfo.php?workbook=08_06.xlsx&amp;sheet=U0&amp;row=262&amp;col=13&amp;number=&amp;sourceID=10","")</f>
        <v/>
      </c>
    </row>
    <row r="263" spans="1:13">
      <c r="A263" s="3"/>
      <c r="B263" s="3"/>
      <c r="C263" s="3"/>
      <c r="D263" s="3"/>
      <c r="E263" s="3">
        <v>20</v>
      </c>
      <c r="F263" s="4" t="str">
        <f>HYPERLINK("http://141.218.60.56/~jnz1568/getInfo.php?workbook=08_06.xlsx&amp;sheet=U0&amp;row=263&amp;col=6&amp;number=5.3&amp;sourceID=4","5.3")</f>
        <v>5.3</v>
      </c>
      <c r="G263" s="4" t="str">
        <f>HYPERLINK("http://141.218.60.56/~jnz1568/getInfo.php?workbook=08_06.xlsx&amp;sheet=U0&amp;row=263&amp;col=7&amp;number=0.4905&amp;sourceID=4","0.4905")</f>
        <v>0.4905</v>
      </c>
      <c r="H263" s="4" t="str">
        <f>HYPERLINK("http://141.218.60.56/~jnz1568/getInfo.php?workbook=08_06.xlsx&amp;sheet=U0&amp;row=263&amp;col=8&amp;number=&amp;sourceID=8","")</f>
        <v/>
      </c>
      <c r="I263" s="4" t="str">
        <f>HYPERLINK("http://141.218.60.56/~jnz1568/getInfo.php?workbook=08_06.xlsx&amp;sheet=U0&amp;row=263&amp;col=9&amp;number=&amp;sourceID=8","")</f>
        <v/>
      </c>
      <c r="J263" s="4" t="str">
        <f>HYPERLINK("http://141.218.60.56/~jnz1568/getInfo.php?workbook=08_06.xlsx&amp;sheet=U0&amp;row=263&amp;col=10&amp;number=&amp;sourceID=9","")</f>
        <v/>
      </c>
      <c r="K263" s="4" t="str">
        <f>HYPERLINK("http://141.218.60.56/~jnz1568/getInfo.php?workbook=08_06.xlsx&amp;sheet=U0&amp;row=263&amp;col=11&amp;number=&amp;sourceID=9","")</f>
        <v/>
      </c>
      <c r="L263" s="4" t="str">
        <f>HYPERLINK("http://141.218.60.56/~jnz1568/getInfo.php?workbook=08_06.xlsx&amp;sheet=U0&amp;row=263&amp;col=12&amp;number=&amp;sourceID=10","")</f>
        <v/>
      </c>
      <c r="M263" s="4" t="str">
        <f>HYPERLINK("http://141.218.60.56/~jnz1568/getInfo.php?workbook=08_06.xlsx&amp;sheet=U0&amp;row=263&amp;col=13&amp;number=&amp;sourceID=10","")</f>
        <v/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</cols>
  <sheetData>
    <row r="1" spans="1:3">
      <c r="A1" s="1" t="s">
        <v>52</v>
      </c>
      <c r="B1" s="1"/>
      <c r="C1" s="1"/>
    </row>
    <row r="2" spans="1:3">
      <c r="A2" s="2"/>
      <c r="B2" s="2"/>
      <c r="C2" s="2" t="s">
        <v>48</v>
      </c>
    </row>
    <row r="3" spans="1:3">
      <c r="A3" s="2" t="s">
        <v>4</v>
      </c>
      <c r="B3" s="2" t="s">
        <v>5</v>
      </c>
      <c r="C3" s="2" t="s">
        <v>53</v>
      </c>
    </row>
    <row r="4" spans="1:3">
      <c r="A4" s="3">
        <v>8</v>
      </c>
      <c r="B4" s="3">
        <v>6</v>
      </c>
      <c r="C4" s="4" t="str">
        <f>HYPERLINK("http://bit.ly/1gJ1SY5","http://bit.ly/1gJ1SY5")</f>
        <v>http://bit.ly/1gJ1SY5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2015-04-03T13:46:38Z</dcterms:created>
  <dcterms:modified xsi:type="dcterms:W3CDTF">2015-04-03T13:46:38Z</dcterms:modified>
</cp:coreProperties>
</file>