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<sst xmlns="http://schemas.openxmlformats.org/spreadsheetml/2006/main" count="130" uniqueCount="46">
  <si>
    <t>Fine Structure Energy Levels for C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</si>
  <si>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</si>
  <si>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</si>
  <si>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</si>
  <si>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</si>
  <si>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</si>
  <si>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</si>
  <si>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</si>
  <si>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</si>
  <si>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</si>
  <si>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</si>
  <si>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</si>
  <si>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</si>
  <si>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</si>
  <si>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</si>
  <si>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</si>
  <si>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</si>
  <si>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</si>
  <si>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</si>
  <si>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</si>
  <si>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</si>
  <si>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</si>
  <si>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</si>
  <si>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</si>
  <si>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</si>
  <si>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</si>
  <si>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</si>
  <si>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</si>
  <si>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</t>
  </si>
  <si>
    <t>1F</t>
  </si>
  <si>
    <t>1s.5s</t>
  </si>
  <si>
    <t>1s.5p</t>
  </si>
  <si>
    <t>1s.5d</t>
  </si>
  <si>
    <t>1s.5f</t>
  </si>
  <si>
    <t>1s.5g</t>
  </si>
  <si>
    <t>3G</t>
  </si>
  <si>
    <t>1G</t>
  </si>
  <si>
    <t>A-values for fine-structure transitions in C V</t>
  </si>
  <si>
    <t>k</t>
  </si>
  <si>
    <t>WL Vac (A)</t>
  </si>
  <si>
    <t>A (s-1)</t>
  </si>
  <si>
    <t>A2E1(s-1)</t>
  </si>
  <si>
    <t>Effective Collision Strengths for C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</si>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</sst>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6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HYPERLINK("http://141.218.60.56/~jnz1568/getInfo.php?workbook=06_02.xlsx&amp;sheet=E0&amp;row=4&amp;col=10&amp;number=0&amp;sourceID=14","0")</f>
        <v>0</v>
      </c>
    </row>
    <row r="5" spans="1:10">
      <c r="A5" s="3">
        <v>6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HYPERLINK("http://141.218.60.56/~jnz1568/getInfo.php?workbook=06_02.xlsx&amp;sheet=E0&amp;row=5&amp;col=10&amp;number=2411262&amp;sourceID=14","2411262")</f>
        <v>2411262</v>
      </c>
    </row>
    <row r="6" spans="1:10">
      <c r="A6" s="3">
        <v>6</v>
      </c>
      <c r="B6" s="3">
        <v>2</v>
      </c>
      <c r="C6" s="3">
        <v>3</v>
      </c>
      <c r="D6" s="3" t="s">
        <v>14</v>
      </c>
      <c r="E6" s="3" t="s">
        <v>13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HYPERLINK("http://141.218.60.56/~jnz1568/getInfo.php?workbook=06_02.xlsx&amp;sheet=E0&amp;row=6&amp;col=10&amp;number=2455024&amp;sourceID=14","2455024")</f>
        <v>2455024</v>
      </c>
    </row>
    <row r="7" spans="1:10">
      <c r="A7" s="3">
        <v>6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HYPERLINK("http://141.218.60.56/~jnz1568/getInfo.php?workbook=06_02.xlsx&amp;sheet=E0&amp;row=7&amp;col=10&amp;number=2455162.74&amp;sourceID=14","2455162.74")</f>
        <v>2455162.74</v>
      </c>
    </row>
    <row r="8" spans="1:10">
      <c r="A8" s="3">
        <v>6</v>
      </c>
      <c r="B8" s="3">
        <v>2</v>
      </c>
      <c r="C8" s="3">
        <v>5</v>
      </c>
      <c r="D8" s="3" t="s">
        <v>16</v>
      </c>
      <c r="E8" s="3" t="s">
        <v>17</v>
      </c>
      <c r="F8" s="3">
        <v>3</v>
      </c>
      <c r="G8" s="3">
        <v>1</v>
      </c>
      <c r="H8" s="3">
        <v>1</v>
      </c>
      <c r="I8" s="3">
        <v>1</v>
      </c>
      <c r="J8" s="4" t="str">
        <f>HYPERLINK("http://141.218.60.56/~jnz1568/getInfo.php?workbook=06_02.xlsx&amp;sheet=E0&amp;row=8&amp;col=10&amp;number=2455150.23&amp;sourceID=14","2455150.23")</f>
        <v>2455150.23</v>
      </c>
    </row>
    <row r="9" spans="1:10">
      <c r="A9" s="3">
        <v>6</v>
      </c>
      <c r="B9" s="3">
        <v>2</v>
      </c>
      <c r="C9" s="3">
        <v>6</v>
      </c>
      <c r="D9" s="3" t="s">
        <v>16</v>
      </c>
      <c r="E9" s="3" t="s">
        <v>17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HYPERLINK("http://141.218.60.56/~jnz1568/getInfo.php?workbook=06_02.xlsx&amp;sheet=E0&amp;row=9&amp;col=10&amp;number=2455286.012&amp;sourceID=14","2455286.012")</f>
        <v>2455286.012</v>
      </c>
    </row>
    <row r="10" spans="1:10">
      <c r="A10" s="3">
        <v>6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HYPERLINK("http://141.218.60.56/~jnz1568/getInfo.php?workbook=06_02.xlsx&amp;sheet=E0&amp;row=10&amp;col=10&amp;number=2483371&amp;sourceID=14","2483371")</f>
        <v>2483371</v>
      </c>
    </row>
    <row r="11" spans="1:10">
      <c r="A11" s="3">
        <v>6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HYPERLINK("http://141.218.60.56/~jnz1568/getInfo.php?workbook=06_02.xlsx&amp;sheet=E0&amp;row=11&amp;col=10&amp;number=2839562&amp;sourceID=14","2839562")</f>
        <v>2839562</v>
      </c>
    </row>
    <row r="12" spans="1:10">
      <c r="A12" s="3">
        <v>6</v>
      </c>
      <c r="B12" s="3">
        <v>2</v>
      </c>
      <c r="C12" s="3">
        <v>9</v>
      </c>
      <c r="D12" s="3" t="s">
        <v>19</v>
      </c>
      <c r="E12" s="3" t="s">
        <v>13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HYPERLINK("http://141.218.60.56/~jnz1568/getInfo.php?workbook=06_02.xlsx&amp;sheet=E0&amp;row=12&amp;col=10&amp;number=2851180&amp;sourceID=14","2851180")</f>
        <v>2851180</v>
      </c>
    </row>
    <row r="13" spans="1:10">
      <c r="A13" s="3">
        <v>6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HYPERLINK("http://141.218.60.56/~jnz1568/getInfo.php?workbook=06_02.xlsx&amp;sheet=E0&amp;row=13&amp;col=10&amp;number=2851418&amp;sourceID=14","2851418")</f>
        <v>2851418</v>
      </c>
    </row>
    <row r="14" spans="1:10">
      <c r="A14" s="3">
        <v>6</v>
      </c>
      <c r="B14" s="3">
        <v>2</v>
      </c>
      <c r="C14" s="3">
        <v>11</v>
      </c>
      <c r="D14" s="3" t="s">
        <v>20</v>
      </c>
      <c r="E14" s="3" t="s">
        <v>17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HYPERLINK("http://141.218.60.56/~jnz1568/getInfo.php?workbook=06_02.xlsx&amp;sheet=E0&amp;row=14&amp;col=10&amp;number=2851418&amp;sourceID=14","2851418")</f>
        <v>2851418</v>
      </c>
    </row>
    <row r="15" spans="1:10">
      <c r="A15" s="3">
        <v>6</v>
      </c>
      <c r="B15" s="3">
        <v>2</v>
      </c>
      <c r="C15" s="3">
        <v>12</v>
      </c>
      <c r="D15" s="3" t="s">
        <v>20</v>
      </c>
      <c r="E15" s="3" t="s">
        <v>17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HYPERLINK("http://141.218.60.56/~jnz1568/getInfo.php?workbook=06_02.xlsx&amp;sheet=E0&amp;row=15&amp;col=10&amp;number=2851418&amp;sourceID=14","2851418")</f>
        <v>2851418</v>
      </c>
    </row>
    <row r="16" spans="1:10">
      <c r="A16" s="3">
        <v>6</v>
      </c>
      <c r="B16" s="3">
        <v>2</v>
      </c>
      <c r="C16" s="3">
        <v>13</v>
      </c>
      <c r="D16" s="3" t="s">
        <v>20</v>
      </c>
      <c r="E16" s="3" t="s">
        <v>18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HYPERLINK("http://141.218.60.56/~jnz1568/getInfo.php?workbook=06_02.xlsx&amp;sheet=E0&amp;row=16&amp;col=10&amp;number=2859375&amp;sourceID=14","2859375")</f>
        <v>2859375</v>
      </c>
    </row>
    <row r="17" spans="1:10">
      <c r="A17" s="3">
        <v>6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HYPERLINK("http://141.218.60.56/~jnz1568/getInfo.php?workbook=06_02.xlsx&amp;sheet=E0&amp;row=17&amp;col=10&amp;number=2857305&amp;sourceID=14","2857305")</f>
        <v>2857305</v>
      </c>
    </row>
    <row r="18" spans="1:10">
      <c r="A18" s="3">
        <v>6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2</v>
      </c>
      <c r="J18" s="4" t="str">
        <f>HYPERLINK("http://141.218.60.56/~jnz1568/getInfo.php?workbook=06_02.xlsx&amp;sheet=E0&amp;row=18&amp;col=10&amp;number=2857305&amp;sourceID=14","2857305")</f>
        <v>2857305</v>
      </c>
    </row>
    <row r="19" spans="1:10">
      <c r="A19" s="3">
        <v>6</v>
      </c>
      <c r="B19" s="3">
        <v>2</v>
      </c>
      <c r="C19" s="3">
        <v>16</v>
      </c>
      <c r="D19" s="3" t="s">
        <v>21</v>
      </c>
      <c r="E19" s="3" t="s">
        <v>22</v>
      </c>
      <c r="F19" s="3">
        <v>3</v>
      </c>
      <c r="G19" s="3">
        <v>2</v>
      </c>
      <c r="H19" s="3">
        <v>0</v>
      </c>
      <c r="I19" s="3">
        <v>3</v>
      </c>
      <c r="J19" s="4" t="str">
        <f>HYPERLINK("http://141.218.60.56/~jnz1568/getInfo.php?workbook=06_02.xlsx&amp;sheet=E0&amp;row=19&amp;col=10&amp;number=2857315&amp;sourceID=14","2857315")</f>
        <v>2857315</v>
      </c>
    </row>
    <row r="20" spans="1:10">
      <c r="A20" s="3">
        <v>6</v>
      </c>
      <c r="B20" s="3">
        <v>2</v>
      </c>
      <c r="C20" s="3">
        <v>17</v>
      </c>
      <c r="D20" s="3" t="s">
        <v>21</v>
      </c>
      <c r="E20" s="3" t="s">
        <v>23</v>
      </c>
      <c r="F20" s="3">
        <v>1</v>
      </c>
      <c r="G20" s="3">
        <v>2</v>
      </c>
      <c r="H20" s="3">
        <v>0</v>
      </c>
      <c r="I20" s="3">
        <v>2</v>
      </c>
      <c r="J20" s="4" t="str">
        <f>HYPERLINK("http://141.218.60.56/~jnz1568/getInfo.php?workbook=06_02.xlsx&amp;sheet=E0&amp;row=20&amp;col=10&amp;number=2857529&amp;sourceID=14","2857529")</f>
        <v>2857529</v>
      </c>
    </row>
    <row r="21" spans="1:10">
      <c r="A21" s="3">
        <v>6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HYPERLINK("http://141.218.60.56/~jnz1568/getInfo.php?workbook=06_02.xlsx&amp;sheet=E0&amp;row=21&amp;col=10&amp;number=2983541&amp;sourceID=14","2983541")</f>
        <v>2983541</v>
      </c>
    </row>
    <row r="22" spans="1:10">
      <c r="A22" s="3">
        <v>6</v>
      </c>
      <c r="B22" s="3">
        <v>2</v>
      </c>
      <c r="C22" s="3">
        <v>19</v>
      </c>
      <c r="D22" s="3" t="s">
        <v>24</v>
      </c>
      <c r="E22" s="3" t="s">
        <v>13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HYPERLINK("http://141.218.60.56/~jnz1568/getInfo.php?workbook=06_02.xlsx&amp;sheet=E0&amp;row=22&amp;col=10&amp;number=0&amp;sourceID=14","0")</f>
        <v>0</v>
      </c>
    </row>
    <row r="23" spans="1:10">
      <c r="A23" s="3">
        <v>6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HYPERLINK("http://141.218.60.56/~jnz1568/getInfo.php?workbook=06_02.xlsx&amp;sheet=E0&amp;row=23&amp;col=10&amp;number=2988359&amp;sourceID=14","2988359")</f>
        <v>2988359</v>
      </c>
    </row>
    <row r="24" spans="1:10">
      <c r="A24" s="3">
        <v>6</v>
      </c>
      <c r="B24" s="3">
        <v>2</v>
      </c>
      <c r="C24" s="3">
        <v>21</v>
      </c>
      <c r="D24" s="3" t="s">
        <v>25</v>
      </c>
      <c r="E24" s="3" t="s">
        <v>17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HYPERLINK("http://141.218.60.56/~jnz1568/getInfo.php?workbook=06_02.xlsx&amp;sheet=E0&amp;row=24&amp;col=10&amp;number=2988359&amp;sourceID=14","2988359")</f>
        <v>2988359</v>
      </c>
    </row>
    <row r="25" spans="1:10">
      <c r="A25" s="3">
        <v>6</v>
      </c>
      <c r="B25" s="3">
        <v>2</v>
      </c>
      <c r="C25" s="3">
        <v>22</v>
      </c>
      <c r="D25" s="3" t="s">
        <v>25</v>
      </c>
      <c r="E25" s="3" t="s">
        <v>17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HYPERLINK("http://141.218.60.56/~jnz1568/getInfo.php?workbook=06_02.xlsx&amp;sheet=E0&amp;row=25&amp;col=10&amp;number=2988359&amp;sourceID=14","2988359")</f>
        <v>2988359</v>
      </c>
    </row>
    <row r="26" spans="1:10">
      <c r="A26" s="3">
        <v>6</v>
      </c>
      <c r="B26" s="3">
        <v>2</v>
      </c>
      <c r="C26" s="3">
        <v>23</v>
      </c>
      <c r="D26" s="3" t="s">
        <v>25</v>
      </c>
      <c r="E26" s="3" t="s">
        <v>18</v>
      </c>
      <c r="F26" s="3">
        <v>1</v>
      </c>
      <c r="G26" s="3">
        <v>1</v>
      </c>
      <c r="H26" s="3">
        <v>1</v>
      </c>
      <c r="I26" s="3">
        <v>1</v>
      </c>
      <c r="J26" s="4" t="str">
        <f>HYPERLINK("http://141.218.60.56/~jnz1568/getInfo.php?workbook=06_02.xlsx&amp;sheet=E0&amp;row=26&amp;col=10&amp;number=2991710&amp;sourceID=14","2991710")</f>
        <v>2991710</v>
      </c>
    </row>
    <row r="27" spans="1:10">
      <c r="A27" s="3">
        <v>6</v>
      </c>
      <c r="B27" s="3">
        <v>2</v>
      </c>
      <c r="C27" s="3">
        <v>24</v>
      </c>
      <c r="D27" s="3" t="s">
        <v>26</v>
      </c>
      <c r="E27" s="3" t="s">
        <v>22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HYPERLINK("http://141.218.60.56/~jnz1568/getInfo.php?workbook=06_02.xlsx&amp;sheet=E0&amp;row=27&amp;col=10&amp;number=2990776&amp;sourceID=14","2990776")</f>
        <v>2990776</v>
      </c>
    </row>
    <row r="28" spans="1:10">
      <c r="A28" s="3">
        <v>6</v>
      </c>
      <c r="B28" s="3">
        <v>2</v>
      </c>
      <c r="C28" s="3">
        <v>25</v>
      </c>
      <c r="D28" s="3" t="s">
        <v>26</v>
      </c>
      <c r="E28" s="3" t="s">
        <v>22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HYPERLINK("http://141.218.60.56/~jnz1568/getInfo.php?workbook=06_02.xlsx&amp;sheet=E0&amp;row=28&amp;col=10&amp;number=2990776&amp;sourceID=14","2990776")</f>
        <v>2990776</v>
      </c>
    </row>
    <row r="29" spans="1:10">
      <c r="A29" s="3">
        <v>6</v>
      </c>
      <c r="B29" s="3">
        <v>2</v>
      </c>
      <c r="C29" s="3">
        <v>26</v>
      </c>
      <c r="D29" s="3" t="s">
        <v>26</v>
      </c>
      <c r="E29" s="3" t="s">
        <v>22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HYPERLINK("http://141.218.60.56/~jnz1568/getInfo.php?workbook=06_02.xlsx&amp;sheet=E0&amp;row=29&amp;col=10&amp;number=2990776&amp;sourceID=14","2990776")</f>
        <v>2990776</v>
      </c>
    </row>
    <row r="30" spans="1:10">
      <c r="A30" s="3">
        <v>6</v>
      </c>
      <c r="B30" s="3">
        <v>2</v>
      </c>
      <c r="C30" s="3">
        <v>27</v>
      </c>
      <c r="D30" s="3" t="s">
        <v>26</v>
      </c>
      <c r="E30" s="3" t="s">
        <v>23</v>
      </c>
      <c r="F30" s="3">
        <v>1</v>
      </c>
      <c r="G30" s="3">
        <v>2</v>
      </c>
      <c r="H30" s="3">
        <v>0</v>
      </c>
      <c r="I30" s="3">
        <v>2</v>
      </c>
      <c r="J30" s="4" t="str">
        <f>HYPERLINK("http://141.218.60.56/~jnz1568/getInfo.php?workbook=06_02.xlsx&amp;sheet=E0&amp;row=30&amp;col=10&amp;number=2990923&amp;sourceID=14","2990923")</f>
        <v>2990923</v>
      </c>
    </row>
    <row r="31" spans="1:10">
      <c r="A31" s="3">
        <v>6</v>
      </c>
      <c r="B31" s="3">
        <v>2</v>
      </c>
      <c r="C31" s="3">
        <v>28</v>
      </c>
      <c r="D31" s="3" t="s">
        <v>27</v>
      </c>
      <c r="E31" s="3" t="s">
        <v>28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HYPERLINK("http://141.218.60.56/~jnz1568/getInfo.php?workbook=06_02.xlsx&amp;sheet=E0&amp;row=31&amp;col=10&amp;number=2990923.4&amp;sourceID=14","2990923.4")</f>
        <v>2990923.4</v>
      </c>
    </row>
    <row r="32" spans="1:10">
      <c r="A32" s="3">
        <v>6</v>
      </c>
      <c r="B32" s="3">
        <v>2</v>
      </c>
      <c r="C32" s="3">
        <v>29</v>
      </c>
      <c r="D32" s="3" t="s">
        <v>27</v>
      </c>
      <c r="E32" s="3" t="s">
        <v>28</v>
      </c>
      <c r="F32" s="3">
        <v>3</v>
      </c>
      <c r="G32" s="3">
        <v>3</v>
      </c>
      <c r="H32" s="3">
        <v>1</v>
      </c>
      <c r="I32" s="3">
        <v>3</v>
      </c>
      <c r="J32" s="4" t="str">
        <f>HYPERLINK("http://141.218.60.56/~jnz1568/getInfo.php?workbook=06_02.xlsx&amp;sheet=E0&amp;row=32&amp;col=10&amp;number=2990923.4&amp;sourceID=14","2990923.4")</f>
        <v>2990923.4</v>
      </c>
    </row>
    <row r="33" spans="1:10">
      <c r="A33" s="3">
        <v>6</v>
      </c>
      <c r="B33" s="3">
        <v>2</v>
      </c>
      <c r="C33" s="3">
        <v>30</v>
      </c>
      <c r="D33" s="3" t="s">
        <v>27</v>
      </c>
      <c r="E33" s="3" t="s">
        <v>28</v>
      </c>
      <c r="F33" s="3">
        <v>3</v>
      </c>
      <c r="G33" s="3">
        <v>3</v>
      </c>
      <c r="H33" s="3">
        <v>1</v>
      </c>
      <c r="I33" s="3">
        <v>4</v>
      </c>
      <c r="J33" s="4" t="str">
        <f>HYPERLINK("http://141.218.60.56/~jnz1568/getInfo.php?workbook=06_02.xlsx&amp;sheet=E0&amp;row=33&amp;col=10&amp;number=2990923.4&amp;sourceID=14","2990923.4")</f>
        <v>2990923.4</v>
      </c>
    </row>
    <row r="34" spans="1:10">
      <c r="A34" s="3">
        <v>6</v>
      </c>
      <c r="B34" s="3">
        <v>2</v>
      </c>
      <c r="C34" s="3">
        <v>31</v>
      </c>
      <c r="D34" s="3" t="s">
        <v>27</v>
      </c>
      <c r="E34" s="3" t="s">
        <v>29</v>
      </c>
      <c r="F34" s="3">
        <v>1</v>
      </c>
      <c r="G34" s="3">
        <v>3</v>
      </c>
      <c r="H34" s="3">
        <v>1</v>
      </c>
      <c r="I34" s="3">
        <v>3</v>
      </c>
      <c r="J34" s="4" t="str">
        <f>HYPERLINK("http://141.218.60.56/~jnz1568/getInfo.php?workbook=06_02.xlsx&amp;sheet=E0&amp;row=34&amp;col=10&amp;number=2990923.4&amp;sourceID=14","2990923.4")</f>
        <v>2990923.4</v>
      </c>
    </row>
    <row r="35" spans="1:10">
      <c r="A35" s="3">
        <v>6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HYPERLINK("http://141.218.60.56/~jnz1568/getInfo.php?workbook=06_02.xlsx&amp;sheet=E0&amp;row=35&amp;col=10&amp;number=3048927&amp;sourceID=14","3048927")</f>
        <v>3048927</v>
      </c>
    </row>
    <row r="36" spans="1:10">
      <c r="A36" s="3">
        <v>6</v>
      </c>
      <c r="B36" s="3">
        <v>2</v>
      </c>
      <c r="C36" s="3">
        <v>33</v>
      </c>
      <c r="D36" s="3" t="s">
        <v>30</v>
      </c>
      <c r="E36" s="3" t="s">
        <v>13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HYPERLINK("http://141.218.60.56/~jnz1568/getInfo.php?workbook=06_02.xlsx&amp;sheet=E0&amp;row=36&amp;col=10&amp;number=0&amp;sourceID=14","0")</f>
        <v>0</v>
      </c>
    </row>
    <row r="37" spans="1:10">
      <c r="A37" s="3">
        <v>6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HYPERLINK("http://141.218.60.56/~jnz1568/getInfo.php?workbook=06_02.xlsx&amp;sheet=E0&amp;row=37&amp;col=10&amp;number=3051332&amp;sourceID=14","3051332")</f>
        <v>3051332</v>
      </c>
    </row>
    <row r="38" spans="1:10">
      <c r="A38" s="3">
        <v>6</v>
      </c>
      <c r="B38" s="3">
        <v>2</v>
      </c>
      <c r="C38" s="3">
        <v>35</v>
      </c>
      <c r="D38" s="3" t="s">
        <v>31</v>
      </c>
      <c r="E38" s="3" t="s">
        <v>17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HYPERLINK("http://141.218.60.56/~jnz1568/getInfo.php?workbook=06_02.xlsx&amp;sheet=E0&amp;row=38&amp;col=10&amp;number=3051332&amp;sourceID=14","3051332")</f>
        <v>3051332</v>
      </c>
    </row>
    <row r="39" spans="1:10">
      <c r="A39" s="3">
        <v>6</v>
      </c>
      <c r="B39" s="3">
        <v>2</v>
      </c>
      <c r="C39" s="3">
        <v>36</v>
      </c>
      <c r="D39" s="3" t="s">
        <v>31</v>
      </c>
      <c r="E39" s="3" t="s">
        <v>17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HYPERLINK("http://141.218.60.56/~jnz1568/getInfo.php?workbook=06_02.xlsx&amp;sheet=E0&amp;row=39&amp;col=10&amp;number=3051332&amp;sourceID=14","3051332")</f>
        <v>3051332</v>
      </c>
    </row>
    <row r="40" spans="1:10">
      <c r="A40" s="3">
        <v>6</v>
      </c>
      <c r="B40" s="3">
        <v>2</v>
      </c>
      <c r="C40" s="3">
        <v>37</v>
      </c>
      <c r="D40" s="3" t="s">
        <v>31</v>
      </c>
      <c r="E40" s="3" t="s">
        <v>18</v>
      </c>
      <c r="F40" s="3">
        <v>1</v>
      </c>
      <c r="G40" s="3">
        <v>1</v>
      </c>
      <c r="H40" s="3">
        <v>1</v>
      </c>
      <c r="I40" s="3">
        <v>1</v>
      </c>
      <c r="J40" s="4" t="str">
        <f>HYPERLINK("http://141.218.60.56/~jnz1568/getInfo.php?workbook=06_02.xlsx&amp;sheet=E0&amp;row=40&amp;col=10&amp;number=3053044&amp;sourceID=14","3053044")</f>
        <v>3053044</v>
      </c>
    </row>
    <row r="41" spans="1:10">
      <c r="A41" s="3">
        <v>6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HYPERLINK("http://141.218.60.56/~jnz1568/getInfo.php?workbook=06_02.xlsx&amp;sheet=E0&amp;row=41&amp;col=10&amp;number=3052589&amp;sourceID=14","3052589")</f>
        <v>3052589</v>
      </c>
    </row>
    <row r="42" spans="1:10">
      <c r="A42" s="3">
        <v>6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HYPERLINK("http://141.218.60.56/~jnz1568/getInfo.php?workbook=06_02.xlsx&amp;sheet=E0&amp;row=42&amp;col=10&amp;number=3052589&amp;sourceID=14","3052589")</f>
        <v>3052589</v>
      </c>
    </row>
    <row r="43" spans="1:10">
      <c r="A43" s="3">
        <v>6</v>
      </c>
      <c r="B43" s="3">
        <v>2</v>
      </c>
      <c r="C43" s="3">
        <v>40</v>
      </c>
      <c r="D43" s="3" t="s">
        <v>32</v>
      </c>
      <c r="E43" s="3" t="s">
        <v>22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HYPERLINK("http://141.218.60.56/~jnz1568/getInfo.php?workbook=06_02.xlsx&amp;sheet=E0&amp;row=43&amp;col=10&amp;number=3052589&amp;sourceID=14","3052589")</f>
        <v>3052589</v>
      </c>
    </row>
    <row r="44" spans="1:10">
      <c r="A44" s="3">
        <v>6</v>
      </c>
      <c r="B44" s="3">
        <v>2</v>
      </c>
      <c r="C44" s="3">
        <v>41</v>
      </c>
      <c r="D44" s="3" t="s">
        <v>32</v>
      </c>
      <c r="E44" s="3" t="s">
        <v>23</v>
      </c>
      <c r="F44" s="3">
        <v>1</v>
      </c>
      <c r="G44" s="3">
        <v>2</v>
      </c>
      <c r="H44" s="3">
        <v>0</v>
      </c>
      <c r="I44" s="3">
        <v>2</v>
      </c>
      <c r="J44" s="4" t="str">
        <f>HYPERLINK("http://141.218.60.56/~jnz1568/getInfo.php?workbook=06_02.xlsx&amp;sheet=E0&amp;row=44&amp;col=10&amp;number=3052656&amp;sourceID=14","3052656")</f>
        <v>3052656</v>
      </c>
    </row>
    <row r="45" spans="1:10">
      <c r="A45" s="3">
        <v>6</v>
      </c>
      <c r="B45" s="3">
        <v>2</v>
      </c>
      <c r="C45" s="3">
        <v>42</v>
      </c>
      <c r="D45" s="3" t="s">
        <v>33</v>
      </c>
      <c r="E45" s="3" t="s">
        <v>28</v>
      </c>
      <c r="F45" s="3">
        <v>3</v>
      </c>
      <c r="G45" s="3">
        <v>3</v>
      </c>
      <c r="H45" s="3">
        <v>1</v>
      </c>
      <c r="I45" s="3">
        <v>2</v>
      </c>
      <c r="J45" s="4" t="str">
        <f>HYPERLINK("http://141.218.60.56/~jnz1568/getInfo.php?workbook=06_02.xlsx&amp;sheet=E0&amp;row=45&amp;col=10&amp;number=3052653.3&amp;sourceID=14","3052653.3")</f>
        <v>3052653.3</v>
      </c>
    </row>
    <row r="46" spans="1:10">
      <c r="A46" s="3">
        <v>6</v>
      </c>
      <c r="B46" s="3">
        <v>2</v>
      </c>
      <c r="C46" s="3">
        <v>43</v>
      </c>
      <c r="D46" s="3" t="s">
        <v>33</v>
      </c>
      <c r="E46" s="3" t="s">
        <v>28</v>
      </c>
      <c r="F46" s="3">
        <v>3</v>
      </c>
      <c r="G46" s="3">
        <v>3</v>
      </c>
      <c r="H46" s="3">
        <v>1</v>
      </c>
      <c r="I46" s="3">
        <v>3</v>
      </c>
      <c r="J46" s="4" t="str">
        <f>HYPERLINK("http://141.218.60.56/~jnz1568/getInfo.php?workbook=06_02.xlsx&amp;sheet=E0&amp;row=46&amp;col=10&amp;number=3052653.3&amp;sourceID=14","3052653.3")</f>
        <v>3052653.3</v>
      </c>
    </row>
    <row r="47" spans="1:10">
      <c r="A47" s="3">
        <v>6</v>
      </c>
      <c r="B47" s="3">
        <v>2</v>
      </c>
      <c r="C47" s="3">
        <v>44</v>
      </c>
      <c r="D47" s="3" t="s">
        <v>33</v>
      </c>
      <c r="E47" s="3" t="s">
        <v>28</v>
      </c>
      <c r="F47" s="3">
        <v>3</v>
      </c>
      <c r="G47" s="3">
        <v>3</v>
      </c>
      <c r="H47" s="3">
        <v>1</v>
      </c>
      <c r="I47" s="3">
        <v>4</v>
      </c>
      <c r="J47" s="4" t="str">
        <f>HYPERLINK("http://141.218.60.56/~jnz1568/getInfo.php?workbook=06_02.xlsx&amp;sheet=E0&amp;row=47&amp;col=10&amp;number=3052653.3&amp;sourceID=14","3052653.3")</f>
        <v>3052653.3</v>
      </c>
    </row>
    <row r="48" spans="1:10">
      <c r="A48" s="3">
        <v>6</v>
      </c>
      <c r="B48" s="3">
        <v>2</v>
      </c>
      <c r="C48" s="3">
        <v>45</v>
      </c>
      <c r="D48" s="3" t="s">
        <v>33</v>
      </c>
      <c r="E48" s="3" t="s">
        <v>29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HYPERLINK("http://141.218.60.56/~jnz1568/getInfo.php?workbook=06_02.xlsx&amp;sheet=E0&amp;row=48&amp;col=10&amp;number=3052653.3&amp;sourceID=14","3052653.3")</f>
        <v>3052653.3</v>
      </c>
    </row>
    <row r="49" spans="1:10">
      <c r="A49" s="3">
        <v>6</v>
      </c>
      <c r="B49" s="3">
        <v>2</v>
      </c>
      <c r="C49" s="3">
        <v>46</v>
      </c>
      <c r="D49" s="3" t="s">
        <v>34</v>
      </c>
      <c r="E49" s="3" t="s">
        <v>35</v>
      </c>
      <c r="F49" s="3">
        <v>3</v>
      </c>
      <c r="G49" s="3">
        <v>4</v>
      </c>
      <c r="H49" s="3">
        <v>0</v>
      </c>
      <c r="I49" s="3">
        <v>3</v>
      </c>
      <c r="J49" s="4" t="str">
        <f>HYPERLINK("http://141.218.60.56/~jnz1568/getInfo.php?workbook=06_02.xlsx&amp;sheet=E0&amp;row=49&amp;col=10&amp;number=3052659.4&amp;sourceID=14","3052659.4")</f>
        <v>3052659.4</v>
      </c>
    </row>
    <row r="50" spans="1:10">
      <c r="A50" s="3">
        <v>6</v>
      </c>
      <c r="B50" s="3">
        <v>2</v>
      </c>
      <c r="C50" s="3">
        <v>47</v>
      </c>
      <c r="D50" s="3" t="s">
        <v>34</v>
      </c>
      <c r="E50" s="3" t="s">
        <v>35</v>
      </c>
      <c r="F50" s="3">
        <v>3</v>
      </c>
      <c r="G50" s="3">
        <v>4</v>
      </c>
      <c r="H50" s="3">
        <v>0</v>
      </c>
      <c r="I50" s="3">
        <v>4</v>
      </c>
      <c r="J50" s="4" t="str">
        <f>HYPERLINK("http://141.218.60.56/~jnz1568/getInfo.php?workbook=06_02.xlsx&amp;sheet=E0&amp;row=50&amp;col=10&amp;number=3052659.4&amp;sourceID=14","3052659.4")</f>
        <v>3052659.4</v>
      </c>
    </row>
    <row r="51" spans="1:10">
      <c r="A51" s="3">
        <v>6</v>
      </c>
      <c r="B51" s="3">
        <v>2</v>
      </c>
      <c r="C51" s="3">
        <v>48</v>
      </c>
      <c r="D51" s="3" t="s">
        <v>34</v>
      </c>
      <c r="E51" s="3" t="s">
        <v>35</v>
      </c>
      <c r="F51" s="3">
        <v>3</v>
      </c>
      <c r="G51" s="3">
        <v>4</v>
      </c>
      <c r="H51" s="3">
        <v>0</v>
      </c>
      <c r="I51" s="3">
        <v>5</v>
      </c>
      <c r="J51" s="4" t="str">
        <f>HYPERLINK("http://141.218.60.56/~jnz1568/getInfo.php?workbook=06_02.xlsx&amp;sheet=E0&amp;row=51&amp;col=10&amp;number=3052659.4&amp;sourceID=14","3052659.4")</f>
        <v>3052659.4</v>
      </c>
    </row>
    <row r="52" spans="1:10">
      <c r="A52" s="3">
        <v>6</v>
      </c>
      <c r="B52" s="3">
        <v>2</v>
      </c>
      <c r="C52" s="3">
        <v>49</v>
      </c>
      <c r="D52" s="3" t="s">
        <v>34</v>
      </c>
      <c r="E52" s="3" t="s">
        <v>36</v>
      </c>
      <c r="F52" s="3">
        <v>1</v>
      </c>
      <c r="G52" s="3">
        <v>4</v>
      </c>
      <c r="H52" s="3">
        <v>0</v>
      </c>
      <c r="I52" s="3">
        <v>4</v>
      </c>
      <c r="J52" s="4" t="str">
        <f>HYPERLINK("http://141.218.60.56/~jnz1568/getInfo.php?workbook=06_02.xlsx&amp;sheet=E0&amp;row=52&amp;col=10&amp;number=3052659.4&amp;sourceID=14","3052659.4")</f>
        <v>3052659.4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5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6</v>
      </c>
      <c r="B4" s="3">
        <v>2</v>
      </c>
      <c r="C4" s="3">
        <v>2</v>
      </c>
      <c r="D4" s="3">
        <v>1</v>
      </c>
      <c r="E4" s="3">
        <v>41.472</v>
      </c>
      <c r="F4" s="4" t="str">
        <f>HYPERLINK("http://141.218.60.56/~jnz1568/getInfo.php?workbook=06_02.xlsx&amp;sheet=A0&amp;row=4&amp;col=6&amp;number=48.57&amp;sourceID=14","48.57")</f>
        <v>48.57</v>
      </c>
      <c r="G4" s="4" t="str">
        <f>HYPERLINK("http://141.218.60.56/~jnz1568/getInfo.php?workbook=06_02.xlsx&amp;sheet=A0&amp;row=4&amp;col=7&amp;number=0&amp;sourceID=14","0")</f>
        <v>0</v>
      </c>
    </row>
    <row r="5" spans="1:7">
      <c r="A5" s="3">
        <v>6</v>
      </c>
      <c r="B5" s="3">
        <v>2</v>
      </c>
      <c r="C5" s="3">
        <v>3</v>
      </c>
      <c r="D5" s="3">
        <v>1</v>
      </c>
      <c r="E5" s="3">
        <v>0</v>
      </c>
      <c r="F5" s="4" t="str">
        <f>HYPERLINK("http://141.218.60.56/~jnz1568/getInfo.php?workbook=06_02.xlsx&amp;sheet=A0&amp;row=5&amp;col=6&amp;number=0&amp;sourceID=14","0")</f>
        <v>0</v>
      </c>
      <c r="G5" s="4" t="str">
        <f>HYPERLINK("http://141.218.60.56/~jnz1568/getInfo.php?workbook=06_02.xlsx&amp;sheet=A0&amp;row=5&amp;col=7&amp;number=329600&amp;sourceID=14","329600")</f>
        <v>329600</v>
      </c>
    </row>
    <row r="6" spans="1:7">
      <c r="A6" s="3">
        <v>6</v>
      </c>
      <c r="B6" s="3">
        <v>2</v>
      </c>
      <c r="C6" s="3">
        <v>5</v>
      </c>
      <c r="D6" s="3">
        <v>1</v>
      </c>
      <c r="E6" s="3">
        <v>40.731</v>
      </c>
      <c r="F6" s="4" t="str">
        <f>HYPERLINK("http://141.218.60.56/~jnz1568/getInfo.php?workbook=06_02.xlsx&amp;sheet=A0&amp;row=6&amp;col=6&amp;number=29000000&amp;sourceID=14","29000000")</f>
        <v>29000000</v>
      </c>
      <c r="G6" s="4" t="str">
        <f>HYPERLINK("http://141.218.60.56/~jnz1568/getInfo.php?workbook=06_02.xlsx&amp;sheet=A0&amp;row=6&amp;col=7&amp;number=0&amp;sourceID=14","0")</f>
        <v>0</v>
      </c>
    </row>
    <row r="7" spans="1:7">
      <c r="A7" s="3">
        <v>6</v>
      </c>
      <c r="B7" s="3">
        <v>2</v>
      </c>
      <c r="C7" s="3">
        <v>6</v>
      </c>
      <c r="D7" s="3">
        <v>1</v>
      </c>
      <c r="E7" s="3">
        <v>40.728</v>
      </c>
      <c r="F7" s="4" t="str">
        <f>HYPERLINK("http://141.218.60.56/~jnz1568/getInfo.php?workbook=06_02.xlsx&amp;sheet=A0&amp;row=7&amp;col=6&amp;number=26500&amp;sourceID=14","26500")</f>
        <v>26500</v>
      </c>
      <c r="G7" s="4" t="str">
        <f>HYPERLINK("http://141.218.60.56/~jnz1568/getInfo.php?workbook=06_02.xlsx&amp;sheet=A0&amp;row=7&amp;col=7&amp;number=0&amp;sourceID=14","0")</f>
        <v>0</v>
      </c>
    </row>
    <row r="8" spans="1:7">
      <c r="A8" s="3">
        <v>6</v>
      </c>
      <c r="B8" s="3">
        <v>2</v>
      </c>
      <c r="C8" s="3">
        <v>7</v>
      </c>
      <c r="D8" s="3">
        <v>1</v>
      </c>
      <c r="E8" s="3">
        <v>40.268</v>
      </c>
      <c r="F8" s="4" t="str">
        <f>HYPERLINK("http://141.218.60.56/~jnz1568/getInfo.php?workbook=06_02.xlsx&amp;sheet=A0&amp;row=8&amp;col=6&amp;number=947700000000&amp;sourceID=14","947700000000")</f>
        <v>947700000000</v>
      </c>
      <c r="G8" s="4" t="str">
        <f>HYPERLINK("http://141.218.60.56/~jnz1568/getInfo.php?workbook=06_02.xlsx&amp;sheet=A0&amp;row=8&amp;col=7&amp;number=0&amp;sourceID=14","0")</f>
        <v>0</v>
      </c>
    </row>
    <row r="9" spans="1:7">
      <c r="A9" s="3">
        <v>6</v>
      </c>
      <c r="B9" s="3">
        <v>2</v>
      </c>
      <c r="C9" s="3">
        <v>11</v>
      </c>
      <c r="D9" s="3">
        <v>1</v>
      </c>
      <c r="E9" s="3">
        <v>35.07</v>
      </c>
      <c r="F9" s="4" t="str">
        <f>HYPERLINK("http://141.218.60.56/~jnz1568/getInfo.php?workbook=06_02.xlsx&amp;sheet=A0&amp;row=9&amp;col=6&amp;number=6939000&amp;sourceID=14","6939000")</f>
        <v>6939000</v>
      </c>
      <c r="G9" s="4" t="str">
        <f>HYPERLINK("http://141.218.60.56/~jnz1568/getInfo.php?workbook=06_02.xlsx&amp;sheet=A0&amp;row=9&amp;col=7&amp;number=0&amp;sourceID=14","0")</f>
        <v>0</v>
      </c>
    </row>
    <row r="10" spans="1:7">
      <c r="A10" s="3">
        <v>6</v>
      </c>
      <c r="B10" s="3">
        <v>2</v>
      </c>
      <c r="C10" s="3">
        <v>13</v>
      </c>
      <c r="D10" s="3">
        <v>1</v>
      </c>
      <c r="E10" s="3">
        <v>34.973</v>
      </c>
      <c r="F10" s="4" t="str">
        <f>HYPERLINK("http://141.218.60.56/~jnz1568/getInfo.php?workbook=06_02.xlsx&amp;sheet=A0&amp;row=10&amp;col=6&amp;number=310500000000&amp;sourceID=14","310500000000")</f>
        <v>310500000000</v>
      </c>
      <c r="G10" s="4" t="str">
        <f>HYPERLINK("http://141.218.60.56/~jnz1568/getInfo.php?workbook=06_02.xlsx&amp;sheet=A0&amp;row=10&amp;col=7&amp;number=0&amp;sourceID=14","0")</f>
        <v>0</v>
      </c>
    </row>
    <row r="11" spans="1:7">
      <c r="A11" s="3">
        <v>6</v>
      </c>
      <c r="B11" s="3">
        <v>2</v>
      </c>
      <c r="C11" s="3">
        <v>23</v>
      </c>
      <c r="D11" s="3">
        <v>1</v>
      </c>
      <c r="E11" s="3">
        <v>33.426</v>
      </c>
      <c r="F11" s="4" t="str">
        <f>HYPERLINK("http://141.218.60.56/~jnz1568/getInfo.php?workbook=06_02.xlsx&amp;sheet=A0&amp;row=11&amp;col=6&amp;number=57660000000&amp;sourceID=14","57660000000")</f>
        <v>57660000000</v>
      </c>
      <c r="G11" s="4" t="str">
        <f>HYPERLINK("http://141.218.60.56/~jnz1568/getInfo.php?workbook=06_02.xlsx&amp;sheet=A0&amp;row=11&amp;col=7&amp;number=0&amp;sourceID=14","0")</f>
        <v>0</v>
      </c>
    </row>
    <row r="12" spans="1:7">
      <c r="A12" s="3">
        <v>6</v>
      </c>
      <c r="B12" s="3">
        <v>2</v>
      </c>
      <c r="C12" s="3">
        <v>37</v>
      </c>
      <c r="D12" s="3">
        <v>1</v>
      </c>
      <c r="E12" s="3">
        <v>32.754</v>
      </c>
      <c r="F12" s="4" t="str">
        <f>HYPERLINK("http://141.218.60.56/~jnz1568/getInfo.php?workbook=06_02.xlsx&amp;sheet=A0&amp;row=12&amp;col=6&amp;number=28870000000&amp;sourceID=14","28870000000")</f>
        <v>28870000000</v>
      </c>
      <c r="G12" s="4" t="str">
        <f>HYPERLINK("http://141.218.60.56/~jnz1568/getInfo.php?workbook=06_02.xlsx&amp;sheet=A0&amp;row=12&amp;col=7&amp;number=0&amp;sourceID=14","0")</f>
        <v>0</v>
      </c>
    </row>
    <row r="13" spans="1:7">
      <c r="A13" s="3">
        <v>6</v>
      </c>
      <c r="B13" s="3">
        <v>2</v>
      </c>
      <c r="C13" s="3">
        <v>4</v>
      </c>
      <c r="D13" s="3">
        <v>2</v>
      </c>
      <c r="E13" s="3">
        <v>2277.866</v>
      </c>
      <c r="F13" s="4" t="str">
        <f>HYPERLINK("http://141.218.60.56/~jnz1568/getInfo.php?workbook=06_02.xlsx&amp;sheet=A0&amp;row=13&amp;col=6&amp;number=56160000&amp;sourceID=14","56160000")</f>
        <v>56160000</v>
      </c>
      <c r="G13" s="4" t="str">
        <f>HYPERLINK("http://141.218.60.56/~jnz1568/getInfo.php?workbook=06_02.xlsx&amp;sheet=A0&amp;row=13&amp;col=7&amp;number=0&amp;sourceID=14","0")</f>
        <v>0</v>
      </c>
    </row>
    <row r="14" spans="1:7">
      <c r="A14" s="3">
        <v>6</v>
      </c>
      <c r="B14" s="3">
        <v>2</v>
      </c>
      <c r="C14" s="3">
        <v>5</v>
      </c>
      <c r="D14" s="3">
        <v>2</v>
      </c>
      <c r="E14" s="3">
        <v>2278.515</v>
      </c>
      <c r="F14" s="4" t="str">
        <f>HYPERLINK("http://141.218.60.56/~jnz1568/getInfo.php?workbook=06_02.xlsx&amp;sheet=A0&amp;row=14&amp;col=6&amp;number=56550000&amp;sourceID=14","56550000")</f>
        <v>56550000</v>
      </c>
      <c r="G14" s="4" t="str">
        <f>HYPERLINK("http://141.218.60.56/~jnz1568/getInfo.php?workbook=06_02.xlsx&amp;sheet=A0&amp;row=14&amp;col=7&amp;number=0&amp;sourceID=14","0")</f>
        <v>0</v>
      </c>
    </row>
    <row r="15" spans="1:7">
      <c r="A15" s="3">
        <v>6</v>
      </c>
      <c r="B15" s="3">
        <v>2</v>
      </c>
      <c r="C15" s="3">
        <v>6</v>
      </c>
      <c r="D15" s="3">
        <v>2</v>
      </c>
      <c r="E15" s="3">
        <v>2271.488</v>
      </c>
      <c r="F15" s="4" t="str">
        <f>HYPERLINK("http://141.218.60.56/~jnz1568/getInfo.php?workbook=06_02.xlsx&amp;sheet=A0&amp;row=15&amp;col=6&amp;number=57350000&amp;sourceID=14","57350000")</f>
        <v>57350000</v>
      </c>
      <c r="G15" s="4" t="str">
        <f>HYPERLINK("http://141.218.60.56/~jnz1568/getInfo.php?workbook=06_02.xlsx&amp;sheet=A0&amp;row=15&amp;col=7&amp;number=0&amp;sourceID=14","0")</f>
        <v>0</v>
      </c>
    </row>
    <row r="16" spans="1:7">
      <c r="A16" s="3">
        <v>6</v>
      </c>
      <c r="B16" s="3">
        <v>2</v>
      </c>
      <c r="C16" s="3">
        <v>10</v>
      </c>
      <c r="D16" s="3">
        <v>2</v>
      </c>
      <c r="E16" s="3">
        <v>227.193</v>
      </c>
      <c r="F16" s="4" t="str">
        <f>HYPERLINK("http://141.218.60.56/~jnz1568/getInfo.php?workbook=06_02.xlsx&amp;sheet=A0&amp;row=16&amp;col=6&amp;number=13760000000&amp;sourceID=14","13760000000")</f>
        <v>13760000000</v>
      </c>
      <c r="G16" s="4" t="str">
        <f>HYPERLINK("http://141.218.60.56/~jnz1568/getInfo.php?workbook=06_02.xlsx&amp;sheet=A0&amp;row=16&amp;col=7&amp;number=0&amp;sourceID=14","0")</f>
        <v>0</v>
      </c>
    </row>
    <row r="17" spans="1:7">
      <c r="A17" s="3">
        <v>6</v>
      </c>
      <c r="B17" s="3">
        <v>2</v>
      </c>
      <c r="C17" s="3">
        <v>11</v>
      </c>
      <c r="D17" s="3">
        <v>2</v>
      </c>
      <c r="E17" s="3">
        <v>227.193</v>
      </c>
      <c r="F17" s="4" t="str">
        <f>HYPERLINK("http://141.218.60.56/~jnz1568/getInfo.php?workbook=06_02.xlsx&amp;sheet=A0&amp;row=17&amp;col=6&amp;number=13750000000&amp;sourceID=14","13750000000")</f>
        <v>13750000000</v>
      </c>
      <c r="G17" s="4" t="str">
        <f>HYPERLINK("http://141.218.60.56/~jnz1568/getInfo.php?workbook=06_02.xlsx&amp;sheet=A0&amp;row=17&amp;col=7&amp;number=0&amp;sourceID=14","0")</f>
        <v>0</v>
      </c>
    </row>
    <row r="18" spans="1:7">
      <c r="A18" s="3">
        <v>6</v>
      </c>
      <c r="B18" s="3">
        <v>2</v>
      </c>
      <c r="C18" s="3">
        <v>12</v>
      </c>
      <c r="D18" s="3">
        <v>2</v>
      </c>
      <c r="E18" s="3">
        <v>227.193</v>
      </c>
      <c r="F18" s="4" t="str">
        <f>HYPERLINK("http://141.218.60.56/~jnz1568/getInfo.php?workbook=06_02.xlsx&amp;sheet=A0&amp;row=18&amp;col=6&amp;number=13740000000&amp;sourceID=14","13740000000")</f>
        <v>13740000000</v>
      </c>
      <c r="G18" s="4" t="str">
        <f>HYPERLINK("http://141.218.60.56/~jnz1568/getInfo.php?workbook=06_02.xlsx&amp;sheet=A0&amp;row=18&amp;col=7&amp;number=0&amp;sourceID=14","0")</f>
        <v>0</v>
      </c>
    </row>
    <row r="19" spans="1:7">
      <c r="A19" s="3">
        <v>6</v>
      </c>
      <c r="B19" s="3">
        <v>2</v>
      </c>
      <c r="C19" s="3">
        <v>13</v>
      </c>
      <c r="D19" s="3">
        <v>2</v>
      </c>
      <c r="E19" s="3">
        <v>223.158</v>
      </c>
      <c r="F19" s="4" t="str">
        <f>HYPERLINK("http://141.218.60.56/~jnz1568/getInfo.php?workbook=06_02.xlsx&amp;sheet=A0&amp;row=19&amp;col=6&amp;number=289800&amp;sourceID=14","289800")</f>
        <v>289800</v>
      </c>
      <c r="G19" s="4" t="str">
        <f>HYPERLINK("http://141.218.60.56/~jnz1568/getInfo.php?workbook=06_02.xlsx&amp;sheet=A0&amp;row=19&amp;col=7&amp;number=0&amp;sourceID=14","0")</f>
        <v>0</v>
      </c>
    </row>
    <row r="20" spans="1:7">
      <c r="A20" s="3">
        <v>6</v>
      </c>
      <c r="B20" s="3">
        <v>2</v>
      </c>
      <c r="C20" s="3">
        <v>20</v>
      </c>
      <c r="D20" s="3">
        <v>2</v>
      </c>
      <c r="E20" s="3">
        <v>173.281</v>
      </c>
      <c r="F20" s="4" t="str">
        <f>HYPERLINK("http://141.218.60.56/~jnz1568/getInfo.php?workbook=06_02.xlsx&amp;sheet=A0&amp;row=20&amp;col=6&amp;number=7600000000&amp;sourceID=14","7600000000")</f>
        <v>7600000000</v>
      </c>
      <c r="G20" s="4" t="str">
        <f>HYPERLINK("http://141.218.60.56/~jnz1568/getInfo.php?workbook=06_02.xlsx&amp;sheet=A0&amp;row=20&amp;col=7&amp;number=0&amp;sourceID=14","0")</f>
        <v>0</v>
      </c>
    </row>
    <row r="21" spans="1:7">
      <c r="A21" s="3">
        <v>6</v>
      </c>
      <c r="B21" s="3">
        <v>2</v>
      </c>
      <c r="C21" s="3">
        <v>21</v>
      </c>
      <c r="D21" s="3">
        <v>2</v>
      </c>
      <c r="E21" s="3">
        <v>173.281</v>
      </c>
      <c r="F21" s="4" t="str">
        <f>HYPERLINK("http://141.218.60.56/~jnz1568/getInfo.php?workbook=06_02.xlsx&amp;sheet=A0&amp;row=21&amp;col=6&amp;number=7601000000&amp;sourceID=14","7601000000")</f>
        <v>7601000000</v>
      </c>
      <c r="G21" s="4" t="str">
        <f>HYPERLINK("http://141.218.60.56/~jnz1568/getInfo.php?workbook=06_02.xlsx&amp;sheet=A0&amp;row=21&amp;col=7&amp;number=0&amp;sourceID=14","0")</f>
        <v>0</v>
      </c>
    </row>
    <row r="22" spans="1:7">
      <c r="A22" s="3">
        <v>6</v>
      </c>
      <c r="B22" s="3">
        <v>2</v>
      </c>
      <c r="C22" s="3">
        <v>22</v>
      </c>
      <c r="D22" s="3">
        <v>2</v>
      </c>
      <c r="E22" s="3">
        <v>173.281</v>
      </c>
      <c r="F22" s="4" t="str">
        <f>HYPERLINK("http://141.218.60.56/~jnz1568/getInfo.php?workbook=06_02.xlsx&amp;sheet=A0&amp;row=22&amp;col=6&amp;number=7616000000&amp;sourceID=14","7616000000")</f>
        <v>7616000000</v>
      </c>
      <c r="G22" s="4" t="str">
        <f>HYPERLINK("http://141.218.60.56/~jnz1568/getInfo.php?workbook=06_02.xlsx&amp;sheet=A0&amp;row=22&amp;col=7&amp;number=0&amp;sourceID=14","0")</f>
        <v>0</v>
      </c>
    </row>
    <row r="23" spans="1:7">
      <c r="A23" s="3">
        <v>6</v>
      </c>
      <c r="B23" s="3">
        <v>2</v>
      </c>
      <c r="C23" s="3">
        <v>34</v>
      </c>
      <c r="D23" s="3">
        <v>2</v>
      </c>
      <c r="E23" s="3">
        <v>156.233</v>
      </c>
      <c r="F23" s="4" t="str">
        <f>HYPERLINK("http://141.218.60.56/~jnz1568/getInfo.php?workbook=06_02.xlsx&amp;sheet=A0&amp;row=23&amp;col=6&amp;number=3813000000&amp;sourceID=14","3813000000")</f>
        <v>3813000000</v>
      </c>
      <c r="G23" s="4" t="str">
        <f>HYPERLINK("http://141.218.60.56/~jnz1568/getInfo.php?workbook=06_02.xlsx&amp;sheet=A0&amp;row=23&amp;col=7&amp;number=0&amp;sourceID=14","0")</f>
        <v>0</v>
      </c>
    </row>
    <row r="24" spans="1:7">
      <c r="A24" s="3">
        <v>6</v>
      </c>
      <c r="B24" s="3">
        <v>2</v>
      </c>
      <c r="C24" s="3">
        <v>35</v>
      </c>
      <c r="D24" s="3">
        <v>2</v>
      </c>
      <c r="E24" s="3">
        <v>156.233</v>
      </c>
      <c r="F24" s="4" t="str">
        <f>HYPERLINK("http://141.218.60.56/~jnz1568/getInfo.php?workbook=06_02.xlsx&amp;sheet=A0&amp;row=24&amp;col=6&amp;number=3814000000&amp;sourceID=14","3814000000")</f>
        <v>3814000000</v>
      </c>
      <c r="G24" s="4" t="str">
        <f>HYPERLINK("http://141.218.60.56/~jnz1568/getInfo.php?workbook=06_02.xlsx&amp;sheet=A0&amp;row=24&amp;col=7&amp;number=0&amp;sourceID=14","0")</f>
        <v>0</v>
      </c>
    </row>
    <row r="25" spans="1:7">
      <c r="A25" s="3">
        <v>6</v>
      </c>
      <c r="B25" s="3">
        <v>2</v>
      </c>
      <c r="C25" s="3">
        <v>36</v>
      </c>
      <c r="D25" s="3">
        <v>2</v>
      </c>
      <c r="E25" s="3">
        <v>156.233</v>
      </c>
      <c r="F25" s="4" t="str">
        <f>HYPERLINK("http://141.218.60.56/~jnz1568/getInfo.php?workbook=06_02.xlsx&amp;sheet=A0&amp;row=25&amp;col=6&amp;number=3820000000&amp;sourceID=14","3820000000")</f>
        <v>3820000000</v>
      </c>
      <c r="G25" s="4" t="str">
        <f>HYPERLINK("http://141.218.60.56/~jnz1568/getInfo.php?workbook=06_02.xlsx&amp;sheet=A0&amp;row=25&amp;col=7&amp;number=0&amp;sourceID=14","0")</f>
        <v>0</v>
      </c>
    </row>
    <row r="26" spans="1:7">
      <c r="A26" s="3">
        <v>6</v>
      </c>
      <c r="B26" s="3">
        <v>2</v>
      </c>
      <c r="C26" s="3">
        <v>7</v>
      </c>
      <c r="D26" s="3">
        <v>3</v>
      </c>
      <c r="E26" s="3">
        <v>3527.717</v>
      </c>
      <c r="F26" s="4" t="str">
        <f>HYPERLINK("http://141.218.60.56/~jnz1568/getInfo.php?workbook=06_02.xlsx&amp;sheet=A0&amp;row=26&amp;col=6&amp;number=5875000&amp;sourceID=14","5875000")</f>
        <v>5875000</v>
      </c>
      <c r="G26" s="4" t="str">
        <f>HYPERLINK("http://141.218.60.56/~jnz1568/getInfo.php?workbook=06_02.xlsx&amp;sheet=A0&amp;row=26&amp;col=7&amp;number=0&amp;sourceID=14","0")</f>
        <v>0</v>
      </c>
    </row>
    <row r="27" spans="1:7">
      <c r="A27" s="3">
        <v>6</v>
      </c>
      <c r="B27" s="3">
        <v>2</v>
      </c>
      <c r="C27" s="3">
        <v>11</v>
      </c>
      <c r="D27" s="3">
        <v>3</v>
      </c>
      <c r="E27" s="3">
        <v>252.274</v>
      </c>
      <c r="F27" s="4" t="str">
        <f>HYPERLINK("http://141.218.60.56/~jnz1568/getInfo.php?workbook=06_02.xlsx&amp;sheet=A0&amp;row=27&amp;col=6&amp;number=401300&amp;sourceID=14","401300")</f>
        <v>401300</v>
      </c>
      <c r="G27" s="4" t="str">
        <f>HYPERLINK("http://141.218.60.56/~jnz1568/getInfo.php?workbook=06_02.xlsx&amp;sheet=A0&amp;row=27&amp;col=7&amp;number=0&amp;sourceID=14","0")</f>
        <v>0</v>
      </c>
    </row>
    <row r="28" spans="1:7">
      <c r="A28" s="3">
        <v>6</v>
      </c>
      <c r="B28" s="3">
        <v>2</v>
      </c>
      <c r="C28" s="3">
        <v>13</v>
      </c>
      <c r="D28" s="3">
        <v>3</v>
      </c>
      <c r="E28" s="3">
        <v>247.31</v>
      </c>
      <c r="F28" s="4" t="str">
        <f>HYPERLINK("http://141.218.60.56/~jnz1568/getInfo.php?workbook=06_02.xlsx&amp;sheet=A0&amp;row=28&amp;col=6&amp;number=14570000000&amp;sourceID=14","14570000000")</f>
        <v>14570000000</v>
      </c>
      <c r="G28" s="4" t="str">
        <f>HYPERLINK("http://141.218.60.56/~jnz1568/getInfo.php?workbook=06_02.xlsx&amp;sheet=A0&amp;row=28&amp;col=7&amp;number=0&amp;sourceID=14","0")</f>
        <v>0</v>
      </c>
    </row>
    <row r="29" spans="1:7">
      <c r="A29" s="3">
        <v>6</v>
      </c>
      <c r="B29" s="3">
        <v>2</v>
      </c>
      <c r="C29" s="3">
        <v>23</v>
      </c>
      <c r="D29" s="3">
        <v>3</v>
      </c>
      <c r="E29" s="3">
        <v>186.329</v>
      </c>
      <c r="F29" s="4" t="str">
        <f>HYPERLINK("http://141.218.60.56/~jnz1568/getInfo.php?workbook=06_02.xlsx&amp;sheet=A0&amp;row=29&amp;col=6&amp;number=6580000000&amp;sourceID=14","6580000000")</f>
        <v>6580000000</v>
      </c>
      <c r="G29" s="4" t="str">
        <f>HYPERLINK("http://141.218.60.56/~jnz1568/getInfo.php?workbook=06_02.xlsx&amp;sheet=A0&amp;row=29&amp;col=7&amp;number=0&amp;sourceID=14","0")</f>
        <v>0</v>
      </c>
    </row>
    <row r="30" spans="1:7">
      <c r="A30" s="3">
        <v>6</v>
      </c>
      <c r="B30" s="3">
        <v>2</v>
      </c>
      <c r="C30" s="3">
        <v>37</v>
      </c>
      <c r="D30" s="3">
        <v>3</v>
      </c>
      <c r="E30" s="3">
        <v>167.219</v>
      </c>
      <c r="F30" s="4" t="str">
        <f>HYPERLINK("http://141.218.60.56/~jnz1568/getInfo.php?workbook=06_02.xlsx&amp;sheet=A0&amp;row=30&amp;col=6&amp;number=3332000000&amp;sourceID=14","3332000000")</f>
        <v>3332000000</v>
      </c>
      <c r="G30" s="4" t="str">
        <f>HYPERLINK("http://141.218.60.56/~jnz1568/getInfo.php?workbook=06_02.xlsx&amp;sheet=A0&amp;row=30&amp;col=7&amp;number=0&amp;sourceID=14","0")</f>
        <v>0</v>
      </c>
    </row>
    <row r="31" spans="1:7">
      <c r="A31" s="3">
        <v>6</v>
      </c>
      <c r="B31" s="3">
        <v>2</v>
      </c>
      <c r="C31" s="3">
        <v>8</v>
      </c>
      <c r="D31" s="3">
        <v>4</v>
      </c>
      <c r="E31" s="3">
        <v>260.147</v>
      </c>
      <c r="F31" s="4" t="str">
        <f>HYPERLINK("http://141.218.60.56/~jnz1568/getInfo.php?workbook=06_02.xlsx&amp;sheet=A0&amp;row=31&amp;col=6&amp;number=708800000&amp;sourceID=14","708800000")</f>
        <v>708800000</v>
      </c>
      <c r="G31" s="4" t="str">
        <f>HYPERLINK("http://141.218.60.56/~jnz1568/getInfo.php?workbook=06_02.xlsx&amp;sheet=A0&amp;row=31&amp;col=7&amp;number=0&amp;sourceID=14","0")</f>
        <v>0</v>
      </c>
    </row>
    <row r="32" spans="1:7">
      <c r="A32" s="3">
        <v>6</v>
      </c>
      <c r="B32" s="3">
        <v>2</v>
      </c>
      <c r="C32" s="3">
        <v>14</v>
      </c>
      <c r="D32" s="3">
        <v>4</v>
      </c>
      <c r="E32" s="3">
        <v>248.669</v>
      </c>
      <c r="F32" s="4" t="str">
        <f>HYPERLINK("http://141.218.60.56/~jnz1568/getInfo.php?workbook=06_02.xlsx&amp;sheet=A0&amp;row=32&amp;col=6&amp;number=23490000000&amp;sourceID=14","23490000000")</f>
        <v>23490000000</v>
      </c>
      <c r="G32" s="4" t="str">
        <f>HYPERLINK("http://141.218.60.56/~jnz1568/getInfo.php?workbook=06_02.xlsx&amp;sheet=A0&amp;row=32&amp;col=7&amp;number=0&amp;sourceID=14","0")</f>
        <v>0</v>
      </c>
    </row>
    <row r="33" spans="1:7">
      <c r="A33" s="3">
        <v>6</v>
      </c>
      <c r="B33" s="3">
        <v>2</v>
      </c>
      <c r="C33" s="3">
        <v>18</v>
      </c>
      <c r="D33" s="3">
        <v>4</v>
      </c>
      <c r="E33" s="3">
        <v>189.259</v>
      </c>
      <c r="F33" s="4" t="str">
        <f>HYPERLINK("http://141.218.60.56/~jnz1568/getInfo.php?workbook=06_02.xlsx&amp;sheet=A0&amp;row=33&amp;col=6&amp;number=20970000&amp;sourceID=14","20970000")</f>
        <v>20970000</v>
      </c>
      <c r="G33" s="4" t="str">
        <f>HYPERLINK("http://141.218.60.56/~jnz1568/getInfo.php?workbook=06_02.xlsx&amp;sheet=A0&amp;row=33&amp;col=7&amp;number=0&amp;sourceID=14","0")</f>
        <v>0</v>
      </c>
    </row>
    <row r="34" spans="1:7">
      <c r="A34" s="3">
        <v>6</v>
      </c>
      <c r="B34" s="3">
        <v>2</v>
      </c>
      <c r="C34" s="3">
        <v>24</v>
      </c>
      <c r="D34" s="3">
        <v>4</v>
      </c>
      <c r="E34" s="3">
        <v>186.702</v>
      </c>
      <c r="F34" s="4" t="str">
        <f>HYPERLINK("http://141.218.60.56/~jnz1568/getInfo.php?workbook=06_02.xlsx&amp;sheet=A0&amp;row=34&amp;col=6&amp;number=861900000&amp;sourceID=14","861900000")</f>
        <v>861900000</v>
      </c>
      <c r="G34" s="4" t="str">
        <f>HYPERLINK("http://141.218.60.56/~jnz1568/getInfo.php?workbook=06_02.xlsx&amp;sheet=A0&amp;row=34&amp;col=7&amp;number=0&amp;sourceID=14","0")</f>
        <v>0</v>
      </c>
    </row>
    <row r="35" spans="1:7">
      <c r="A35" s="3">
        <v>6</v>
      </c>
      <c r="B35" s="3">
        <v>2</v>
      </c>
      <c r="C35" s="3">
        <v>32</v>
      </c>
      <c r="D35" s="3">
        <v>4</v>
      </c>
      <c r="E35" s="3">
        <v>168.417</v>
      </c>
      <c r="F35" s="4" t="str">
        <f>HYPERLINK("http://141.218.60.56/~jnz1568/getInfo.php?workbook=06_02.xlsx&amp;sheet=A0&amp;row=35&amp;col=6&amp;number=10550000&amp;sourceID=14","10550000")</f>
        <v>10550000</v>
      </c>
      <c r="G35" s="4" t="str">
        <f>HYPERLINK("http://141.218.60.56/~jnz1568/getInfo.php?workbook=06_02.xlsx&amp;sheet=A0&amp;row=35&amp;col=7&amp;number=0&amp;sourceID=14","0")</f>
        <v>0</v>
      </c>
    </row>
    <row r="36" spans="1:7">
      <c r="A36" s="3">
        <v>6</v>
      </c>
      <c r="B36" s="3">
        <v>2</v>
      </c>
      <c r="C36" s="3">
        <v>38</v>
      </c>
      <c r="D36" s="3">
        <v>4</v>
      </c>
      <c r="E36" s="3">
        <v>167.385</v>
      </c>
      <c r="F36" s="4" t="str">
        <f>HYPERLINK("http://141.218.60.56/~jnz1568/getInfo.php?workbook=06_02.xlsx&amp;sheet=A0&amp;row=36&amp;col=6&amp;number=390600000&amp;sourceID=14","390600000")</f>
        <v>390600000</v>
      </c>
      <c r="G36" s="4" t="str">
        <f>HYPERLINK("http://141.218.60.56/~jnz1568/getInfo.php?workbook=06_02.xlsx&amp;sheet=A0&amp;row=36&amp;col=7&amp;number=0&amp;sourceID=14","0")</f>
        <v>0</v>
      </c>
    </row>
    <row r="37" spans="1:7">
      <c r="A37" s="3">
        <v>6</v>
      </c>
      <c r="B37" s="3">
        <v>2</v>
      </c>
      <c r="C37" s="3">
        <v>8</v>
      </c>
      <c r="D37" s="3">
        <v>5</v>
      </c>
      <c r="E37" s="3">
        <v>260.138</v>
      </c>
      <c r="F37" s="4" t="str">
        <f>HYPERLINK("http://141.218.60.56/~jnz1568/getInfo.php?workbook=06_02.xlsx&amp;sheet=A0&amp;row=37&amp;col=6&amp;number=2129000000&amp;sourceID=14","2129000000")</f>
        <v>2129000000</v>
      </c>
      <c r="G37" s="4" t="str">
        <f>HYPERLINK("http://141.218.60.56/~jnz1568/getInfo.php?workbook=06_02.xlsx&amp;sheet=A0&amp;row=37&amp;col=7&amp;number=0&amp;sourceID=14","0")</f>
        <v>0</v>
      </c>
    </row>
    <row r="38" spans="1:7">
      <c r="A38" s="3">
        <v>6</v>
      </c>
      <c r="B38" s="3">
        <v>2</v>
      </c>
      <c r="C38" s="3">
        <v>14</v>
      </c>
      <c r="D38" s="3">
        <v>5</v>
      </c>
      <c r="E38" s="3">
        <v>248.661</v>
      </c>
      <c r="F38" s="4" t="str">
        <f>HYPERLINK("http://141.218.60.56/~jnz1568/getInfo.php?workbook=06_02.xlsx&amp;sheet=A0&amp;row=38&amp;col=6&amp;number=17610000000&amp;sourceID=14","17610000000")</f>
        <v>17610000000</v>
      </c>
      <c r="G38" s="4" t="str">
        <f>HYPERLINK("http://141.218.60.56/~jnz1568/getInfo.php?workbook=06_02.xlsx&amp;sheet=A0&amp;row=38&amp;col=7&amp;number=0&amp;sourceID=14","0")</f>
        <v>0</v>
      </c>
    </row>
    <row r="39" spans="1:7">
      <c r="A39" s="3">
        <v>6</v>
      </c>
      <c r="B39" s="3">
        <v>2</v>
      </c>
      <c r="C39" s="3">
        <v>15</v>
      </c>
      <c r="D39" s="3">
        <v>5</v>
      </c>
      <c r="E39" s="3">
        <v>248.661</v>
      </c>
      <c r="F39" s="4" t="str">
        <f>HYPERLINK("http://141.218.60.56/~jnz1568/getInfo.php?workbook=06_02.xlsx&amp;sheet=A0&amp;row=39&amp;col=6&amp;number=31650000000&amp;sourceID=14","31650000000")</f>
        <v>31650000000</v>
      </c>
      <c r="G39" s="4" t="str">
        <f>HYPERLINK("http://141.218.60.56/~jnz1568/getInfo.php?workbook=06_02.xlsx&amp;sheet=A0&amp;row=39&amp;col=7&amp;number=0&amp;sourceID=14","0")</f>
        <v>0</v>
      </c>
    </row>
    <row r="40" spans="1:7">
      <c r="A40" s="3">
        <v>6</v>
      </c>
      <c r="B40" s="3">
        <v>2</v>
      </c>
      <c r="C40" s="3">
        <v>17</v>
      </c>
      <c r="D40" s="3">
        <v>5</v>
      </c>
      <c r="E40" s="3">
        <v>248.522</v>
      </c>
      <c r="F40" s="4" t="str">
        <f>HYPERLINK("http://141.218.60.56/~jnz1568/getInfo.php?workbook=06_02.xlsx&amp;sheet=A0&amp;row=40&amp;col=6&amp;number=51500000&amp;sourceID=14","51500000")</f>
        <v>51500000</v>
      </c>
      <c r="G40" s="4" t="str">
        <f>HYPERLINK("http://141.218.60.56/~jnz1568/getInfo.php?workbook=06_02.xlsx&amp;sheet=A0&amp;row=40&amp;col=7&amp;number=0&amp;sourceID=14","0")</f>
        <v>0</v>
      </c>
    </row>
    <row r="41" spans="1:7">
      <c r="A41" s="3">
        <v>6</v>
      </c>
      <c r="B41" s="3">
        <v>2</v>
      </c>
      <c r="C41" s="3">
        <v>18</v>
      </c>
      <c r="D41" s="3">
        <v>5</v>
      </c>
      <c r="E41" s="3">
        <v>189.254</v>
      </c>
      <c r="F41" s="4" t="str">
        <f>HYPERLINK("http://141.218.60.56/~jnz1568/getInfo.php?workbook=06_02.xlsx&amp;sheet=A0&amp;row=41&amp;col=6&amp;number=188700000&amp;sourceID=14","188700000")</f>
        <v>188700000</v>
      </c>
      <c r="G41" s="4" t="str">
        <f>HYPERLINK("http://141.218.60.56/~jnz1568/getInfo.php?workbook=06_02.xlsx&amp;sheet=A0&amp;row=41&amp;col=7&amp;number=0&amp;sourceID=14","0")</f>
        <v>0</v>
      </c>
    </row>
    <row r="42" spans="1:7">
      <c r="A42" s="3">
        <v>6</v>
      </c>
      <c r="B42" s="3">
        <v>2</v>
      </c>
      <c r="C42" s="3">
        <v>24</v>
      </c>
      <c r="D42" s="3">
        <v>5</v>
      </c>
      <c r="E42" s="3">
        <v>186.698</v>
      </c>
      <c r="F42" s="4" t="str">
        <f>HYPERLINK("http://141.218.60.56/~jnz1568/getInfo.php?workbook=06_02.xlsx&amp;sheet=A0&amp;row=42&amp;col=6&amp;number=1941000000&amp;sourceID=14","1941000000")</f>
        <v>1941000000</v>
      </c>
      <c r="G42" s="4" t="str">
        <f>HYPERLINK("http://141.218.60.56/~jnz1568/getInfo.php?workbook=06_02.xlsx&amp;sheet=A0&amp;row=42&amp;col=7&amp;number=0&amp;sourceID=14","0")</f>
        <v>0</v>
      </c>
    </row>
    <row r="43" spans="1:7">
      <c r="A43" s="3">
        <v>6</v>
      </c>
      <c r="B43" s="3">
        <v>2</v>
      </c>
      <c r="C43" s="3">
        <v>25</v>
      </c>
      <c r="D43" s="3">
        <v>5</v>
      </c>
      <c r="E43" s="3">
        <v>186.698</v>
      </c>
      <c r="F43" s="4" t="str">
        <f>HYPERLINK("http://141.218.60.56/~jnz1568/getInfo.php?workbook=06_02.xlsx&amp;sheet=A0&amp;row=43&amp;col=6&amp;number=3494000000&amp;sourceID=14","3494000000")</f>
        <v>3494000000</v>
      </c>
      <c r="G43" s="4" t="str">
        <f>HYPERLINK("http://141.218.60.56/~jnz1568/getInfo.php?workbook=06_02.xlsx&amp;sheet=A0&amp;row=43&amp;col=7&amp;number=0&amp;sourceID=14","0")</f>
        <v>0</v>
      </c>
    </row>
    <row r="44" spans="1:7">
      <c r="A44" s="3">
        <v>6</v>
      </c>
      <c r="B44" s="3">
        <v>2</v>
      </c>
      <c r="C44" s="3">
        <v>32</v>
      </c>
      <c r="D44" s="3">
        <v>5</v>
      </c>
      <c r="E44" s="3">
        <v>168.414</v>
      </c>
      <c r="F44" s="4" t="str">
        <f>HYPERLINK("http://141.218.60.56/~jnz1568/getInfo.php?workbook=06_02.xlsx&amp;sheet=A0&amp;row=44&amp;col=6&amp;number=94960000&amp;sourceID=14","94960000")</f>
        <v>94960000</v>
      </c>
      <c r="G44" s="4" t="str">
        <f>HYPERLINK("http://141.218.60.56/~jnz1568/getInfo.php?workbook=06_02.xlsx&amp;sheet=A0&amp;row=44&amp;col=7&amp;number=0&amp;sourceID=14","0")</f>
        <v>0</v>
      </c>
    </row>
    <row r="45" spans="1:7">
      <c r="A45" s="3">
        <v>6</v>
      </c>
      <c r="B45" s="3">
        <v>2</v>
      </c>
      <c r="C45" s="3">
        <v>38</v>
      </c>
      <c r="D45" s="3">
        <v>5</v>
      </c>
      <c r="E45" s="3">
        <v>167.381</v>
      </c>
      <c r="F45" s="4" t="str">
        <f>HYPERLINK("http://141.218.60.56/~jnz1568/getInfo.php?workbook=06_02.xlsx&amp;sheet=A0&amp;row=45&amp;col=6&amp;number=879600000&amp;sourceID=14","879600000")</f>
        <v>879600000</v>
      </c>
      <c r="G45" s="4" t="str">
        <f>HYPERLINK("http://141.218.60.56/~jnz1568/getInfo.php?workbook=06_02.xlsx&amp;sheet=A0&amp;row=45&amp;col=7&amp;number=0&amp;sourceID=14","0")</f>
        <v>0</v>
      </c>
    </row>
    <row r="46" spans="1:7">
      <c r="A46" s="3">
        <v>6</v>
      </c>
      <c r="B46" s="3">
        <v>2</v>
      </c>
      <c r="C46" s="3">
        <v>39</v>
      </c>
      <c r="D46" s="3">
        <v>5</v>
      </c>
      <c r="E46" s="3">
        <v>167.381</v>
      </c>
      <c r="F46" s="4" t="str">
        <f>HYPERLINK("http://141.218.60.56/~jnz1568/getInfo.php?workbook=06_02.xlsx&amp;sheet=A0&amp;row=46&amp;col=6&amp;number=1584000000&amp;sourceID=14","1584000000")</f>
        <v>1584000000</v>
      </c>
      <c r="G46" s="4" t="str">
        <f>HYPERLINK("http://141.218.60.56/~jnz1568/getInfo.php?workbook=06_02.xlsx&amp;sheet=A0&amp;row=46&amp;col=7&amp;number=0&amp;sourceID=14","0")</f>
        <v>0</v>
      </c>
    </row>
    <row r="47" spans="1:7">
      <c r="A47" s="3">
        <v>6</v>
      </c>
      <c r="B47" s="3">
        <v>2</v>
      </c>
      <c r="C47" s="3">
        <v>8</v>
      </c>
      <c r="D47" s="3">
        <v>6</v>
      </c>
      <c r="E47" s="3">
        <v>260.23</v>
      </c>
      <c r="F47" s="4" t="str">
        <f>HYPERLINK("http://141.218.60.56/~jnz1568/getInfo.php?workbook=06_02.xlsx&amp;sheet=A0&amp;row=47&amp;col=6&amp;number=3557000000&amp;sourceID=14","3557000000")</f>
        <v>3557000000</v>
      </c>
      <c r="G47" s="4" t="str">
        <f>HYPERLINK("http://141.218.60.56/~jnz1568/getInfo.php?workbook=06_02.xlsx&amp;sheet=A0&amp;row=47&amp;col=7&amp;number=0&amp;sourceID=14","0")</f>
        <v>0</v>
      </c>
    </row>
    <row r="48" spans="1:7">
      <c r="A48" s="3">
        <v>6</v>
      </c>
      <c r="B48" s="3">
        <v>2</v>
      </c>
      <c r="C48" s="3">
        <v>14</v>
      </c>
      <c r="D48" s="3">
        <v>6</v>
      </c>
      <c r="E48" s="3">
        <v>248.745</v>
      </c>
      <c r="F48" s="4" t="str">
        <f>HYPERLINK("http://141.218.60.56/~jnz1568/getInfo.php?workbook=06_02.xlsx&amp;sheet=A0&amp;row=48&amp;col=6&amp;number=1174000000&amp;sourceID=14","1174000000")</f>
        <v>1174000000</v>
      </c>
      <c r="G48" s="4" t="str">
        <f>HYPERLINK("http://141.218.60.56/~jnz1568/getInfo.php?workbook=06_02.xlsx&amp;sheet=A0&amp;row=48&amp;col=7&amp;number=0&amp;sourceID=14","0")</f>
        <v>0</v>
      </c>
    </row>
    <row r="49" spans="1:7">
      <c r="A49" s="3">
        <v>6</v>
      </c>
      <c r="B49" s="3">
        <v>2</v>
      </c>
      <c r="C49" s="3">
        <v>15</v>
      </c>
      <c r="D49" s="3">
        <v>6</v>
      </c>
      <c r="E49" s="3">
        <v>248.745</v>
      </c>
      <c r="F49" s="4" t="str">
        <f>HYPERLINK("http://141.218.60.56/~jnz1568/getInfo.php?workbook=06_02.xlsx&amp;sheet=A0&amp;row=49&amp;col=6&amp;number=10540000000&amp;sourceID=14","10540000000")</f>
        <v>10540000000</v>
      </c>
      <c r="G49" s="4" t="str">
        <f>HYPERLINK("http://141.218.60.56/~jnz1568/getInfo.php?workbook=06_02.xlsx&amp;sheet=A0&amp;row=49&amp;col=7&amp;number=0&amp;sourceID=14","0")</f>
        <v>0</v>
      </c>
    </row>
    <row r="50" spans="1:7">
      <c r="A50" s="3">
        <v>6</v>
      </c>
      <c r="B50" s="3">
        <v>2</v>
      </c>
      <c r="C50" s="3">
        <v>16</v>
      </c>
      <c r="D50" s="3">
        <v>6</v>
      </c>
      <c r="E50" s="3">
        <v>248.739</v>
      </c>
      <c r="F50" s="4" t="str">
        <f>HYPERLINK("http://141.218.60.56/~jnz1568/getInfo.php?workbook=06_02.xlsx&amp;sheet=A0&amp;row=50&amp;col=6&amp;number=42250000000&amp;sourceID=14","42250000000")</f>
        <v>42250000000</v>
      </c>
      <c r="G50" s="4" t="str">
        <f>HYPERLINK("http://141.218.60.56/~jnz1568/getInfo.php?workbook=06_02.xlsx&amp;sheet=A0&amp;row=50&amp;col=7&amp;number=0&amp;sourceID=14","0")</f>
        <v>0</v>
      </c>
    </row>
    <row r="51" spans="1:7">
      <c r="A51" s="3">
        <v>6</v>
      </c>
      <c r="B51" s="3">
        <v>2</v>
      </c>
      <c r="C51" s="3">
        <v>17</v>
      </c>
      <c r="D51" s="3">
        <v>6</v>
      </c>
      <c r="E51" s="3">
        <v>248.606</v>
      </c>
      <c r="F51" s="4" t="str">
        <f>HYPERLINK("http://141.218.60.56/~jnz1568/getInfo.php?workbook=06_02.xlsx&amp;sheet=A0&amp;row=51&amp;col=6&amp;number=22140000&amp;sourceID=14","22140000")</f>
        <v>22140000</v>
      </c>
      <c r="G51" s="4" t="str">
        <f>HYPERLINK("http://141.218.60.56/~jnz1568/getInfo.php?workbook=06_02.xlsx&amp;sheet=A0&amp;row=51&amp;col=7&amp;number=0&amp;sourceID=14","0")</f>
        <v>0</v>
      </c>
    </row>
    <row r="52" spans="1:7">
      <c r="A52" s="3">
        <v>6</v>
      </c>
      <c r="B52" s="3">
        <v>2</v>
      </c>
      <c r="C52" s="3">
        <v>18</v>
      </c>
      <c r="D52" s="3">
        <v>6</v>
      </c>
      <c r="E52" s="3">
        <v>189.303</v>
      </c>
      <c r="F52" s="4" t="str">
        <f>HYPERLINK("http://141.218.60.56/~jnz1568/getInfo.php?workbook=06_02.xlsx&amp;sheet=A0&amp;row=52&amp;col=6&amp;number=524900000&amp;sourceID=14","524900000")</f>
        <v>524900000</v>
      </c>
      <c r="G52" s="4" t="str">
        <f>HYPERLINK("http://141.218.60.56/~jnz1568/getInfo.php?workbook=06_02.xlsx&amp;sheet=A0&amp;row=52&amp;col=7&amp;number=0&amp;sourceID=14","0")</f>
        <v>0</v>
      </c>
    </row>
    <row r="53" spans="1:7">
      <c r="A53" s="3">
        <v>6</v>
      </c>
      <c r="B53" s="3">
        <v>2</v>
      </c>
      <c r="C53" s="3">
        <v>24</v>
      </c>
      <c r="D53" s="3">
        <v>6</v>
      </c>
      <c r="E53" s="3">
        <v>186.745</v>
      </c>
      <c r="F53" s="4" t="str">
        <f>HYPERLINK("http://141.218.60.56/~jnz1568/getInfo.php?workbook=06_02.xlsx&amp;sheet=A0&amp;row=53&amp;col=6&amp;number=9698000000&amp;sourceID=14","9698000000")</f>
        <v>9698000000</v>
      </c>
      <c r="G53" s="4" t="str">
        <f>HYPERLINK("http://141.218.60.56/~jnz1568/getInfo.php?workbook=06_02.xlsx&amp;sheet=A0&amp;row=53&amp;col=7&amp;number=0&amp;sourceID=14","0")</f>
        <v>0</v>
      </c>
    </row>
    <row r="54" spans="1:7">
      <c r="A54" s="3">
        <v>6</v>
      </c>
      <c r="B54" s="3">
        <v>2</v>
      </c>
      <c r="C54" s="3">
        <v>25</v>
      </c>
      <c r="D54" s="3">
        <v>6</v>
      </c>
      <c r="E54" s="3">
        <v>186.745</v>
      </c>
      <c r="F54" s="4" t="str">
        <f>HYPERLINK("http://141.218.60.56/~jnz1568/getInfo.php?workbook=06_02.xlsx&amp;sheet=A0&amp;row=54&amp;col=6&amp;number=1940000000&amp;sourceID=14","1940000000")</f>
        <v>1940000000</v>
      </c>
      <c r="G54" s="4" t="str">
        <f>HYPERLINK("http://141.218.60.56/~jnz1568/getInfo.php?workbook=06_02.xlsx&amp;sheet=A0&amp;row=54&amp;col=7&amp;number=0&amp;sourceID=14","0")</f>
        <v>0</v>
      </c>
    </row>
    <row r="55" spans="1:7">
      <c r="A55" s="3">
        <v>6</v>
      </c>
      <c r="B55" s="3">
        <v>2</v>
      </c>
      <c r="C55" s="3">
        <v>26</v>
      </c>
      <c r="D55" s="3">
        <v>6</v>
      </c>
      <c r="E55" s="3">
        <v>186.745</v>
      </c>
      <c r="F55" s="4" t="str">
        <f>HYPERLINK("http://141.218.60.56/~jnz1568/getInfo.php?workbook=06_02.xlsx&amp;sheet=A0&amp;row=55&amp;col=6&amp;number=7767000000&amp;sourceID=14","7767000000")</f>
        <v>7767000000</v>
      </c>
      <c r="G55" s="4" t="str">
        <f>HYPERLINK("http://141.218.60.56/~jnz1568/getInfo.php?workbook=06_02.xlsx&amp;sheet=A0&amp;row=55&amp;col=7&amp;number=0&amp;sourceID=14","0")</f>
        <v>0</v>
      </c>
    </row>
    <row r="56" spans="1:7">
      <c r="A56" s="3">
        <v>6</v>
      </c>
      <c r="B56" s="3">
        <v>2</v>
      </c>
      <c r="C56" s="3">
        <v>32</v>
      </c>
      <c r="D56" s="3">
        <v>6</v>
      </c>
      <c r="E56" s="3">
        <v>168.452</v>
      </c>
      <c r="F56" s="4" t="str">
        <f>HYPERLINK("http://141.218.60.56/~jnz1568/getInfo.php?workbook=06_02.xlsx&amp;sheet=A0&amp;row=56&amp;col=6&amp;number=264100000&amp;sourceID=14","264100000")</f>
        <v>264100000</v>
      </c>
      <c r="G56" s="4" t="str">
        <f>HYPERLINK("http://141.218.60.56/~jnz1568/getInfo.php?workbook=06_02.xlsx&amp;sheet=A0&amp;row=56&amp;col=7&amp;number=0&amp;sourceID=14","0")</f>
        <v>0</v>
      </c>
    </row>
    <row r="57" spans="1:7">
      <c r="A57" s="3">
        <v>6</v>
      </c>
      <c r="B57" s="3">
        <v>2</v>
      </c>
      <c r="C57" s="3">
        <v>38</v>
      </c>
      <c r="D57" s="3">
        <v>6</v>
      </c>
      <c r="E57" s="3">
        <v>167.419</v>
      </c>
      <c r="F57" s="4" t="str">
        <f>HYPERLINK("http://141.218.60.56/~jnz1568/getInfo.php?workbook=06_02.xlsx&amp;sheet=A0&amp;row=57&amp;col=6&amp;number=4397000000&amp;sourceID=14","4397000000")</f>
        <v>4397000000</v>
      </c>
      <c r="G57" s="4" t="str">
        <f>HYPERLINK("http://141.218.60.56/~jnz1568/getInfo.php?workbook=06_02.xlsx&amp;sheet=A0&amp;row=57&amp;col=7&amp;number=0&amp;sourceID=14","0")</f>
        <v>0</v>
      </c>
    </row>
    <row r="58" spans="1:7">
      <c r="A58" s="3">
        <v>6</v>
      </c>
      <c r="B58" s="3">
        <v>2</v>
      </c>
      <c r="C58" s="3">
        <v>39</v>
      </c>
      <c r="D58" s="3">
        <v>6</v>
      </c>
      <c r="E58" s="3">
        <v>167.419</v>
      </c>
      <c r="F58" s="4" t="str">
        <f>HYPERLINK("http://141.218.60.56/~jnz1568/getInfo.php?workbook=06_02.xlsx&amp;sheet=A0&amp;row=58&amp;col=6&amp;number=879100000&amp;sourceID=14","879100000")</f>
        <v>879100000</v>
      </c>
      <c r="G58" s="4" t="str">
        <f>HYPERLINK("http://141.218.60.56/~jnz1568/getInfo.php?workbook=06_02.xlsx&amp;sheet=A0&amp;row=58&amp;col=7&amp;number=0&amp;sourceID=14","0")</f>
        <v>0</v>
      </c>
    </row>
    <row r="59" spans="1:7">
      <c r="A59" s="3">
        <v>6</v>
      </c>
      <c r="B59" s="3">
        <v>2</v>
      </c>
      <c r="C59" s="3">
        <v>40</v>
      </c>
      <c r="D59" s="3">
        <v>6</v>
      </c>
      <c r="E59" s="3">
        <v>167.419</v>
      </c>
      <c r="F59" s="4" t="str">
        <f>HYPERLINK("http://141.218.60.56/~jnz1568/getInfo.php?workbook=06_02.xlsx&amp;sheet=A0&amp;row=59&amp;col=6&amp;number=3520000000&amp;sourceID=14","3520000000")</f>
        <v>3520000000</v>
      </c>
      <c r="G59" s="4" t="str">
        <f>HYPERLINK("http://141.218.60.56/~jnz1568/getInfo.php?workbook=06_02.xlsx&amp;sheet=A0&amp;row=59&amp;col=7&amp;number=0&amp;sourceID=14","0")</f>
        <v>0</v>
      </c>
    </row>
    <row r="60" spans="1:7">
      <c r="A60" s="3">
        <v>6</v>
      </c>
      <c r="B60" s="3">
        <v>2</v>
      </c>
      <c r="C60" s="3">
        <v>9</v>
      </c>
      <c r="D60" s="3">
        <v>7</v>
      </c>
      <c r="E60" s="3">
        <v>271.881</v>
      </c>
      <c r="F60" s="4" t="str">
        <f>HYPERLINK("http://141.218.60.56/~jnz1568/getInfo.php?workbook=06_02.xlsx&amp;sheet=A0&amp;row=60&amp;col=6&amp;number=5646000000&amp;sourceID=14","5646000000")</f>
        <v>5646000000</v>
      </c>
      <c r="G60" s="4" t="str">
        <f>HYPERLINK("http://141.218.60.56/~jnz1568/getInfo.php?workbook=06_02.xlsx&amp;sheet=A0&amp;row=60&amp;col=7&amp;number=0&amp;sourceID=14","0")</f>
        <v>0</v>
      </c>
    </row>
    <row r="61" spans="1:7">
      <c r="A61" s="3">
        <v>6</v>
      </c>
      <c r="B61" s="3">
        <v>2</v>
      </c>
      <c r="C61" s="3">
        <v>14</v>
      </c>
      <c r="D61" s="3">
        <v>7</v>
      </c>
      <c r="E61" s="3">
        <v>267.427</v>
      </c>
      <c r="F61" s="4" t="str">
        <f>HYPERLINK("http://141.218.60.56/~jnz1568/getInfo.php?workbook=06_02.xlsx&amp;sheet=A0&amp;row=61&amp;col=6&amp;number=367300&amp;sourceID=14","367300")</f>
        <v>367300</v>
      </c>
      <c r="G61" s="4" t="str">
        <f>HYPERLINK("http://141.218.60.56/~jnz1568/getInfo.php?workbook=06_02.xlsx&amp;sheet=A0&amp;row=61&amp;col=7&amp;number=0&amp;sourceID=14","0")</f>
        <v>0</v>
      </c>
    </row>
    <row r="62" spans="1:7">
      <c r="A62" s="3">
        <v>6</v>
      </c>
      <c r="B62" s="3">
        <v>2</v>
      </c>
      <c r="C62" s="3">
        <v>15</v>
      </c>
      <c r="D62" s="3">
        <v>7</v>
      </c>
      <c r="E62" s="3">
        <v>267.427</v>
      </c>
      <c r="F62" s="4" t="str">
        <f>HYPERLINK("http://141.218.60.56/~jnz1568/getInfo.php?workbook=06_02.xlsx&amp;sheet=A0&amp;row=62&amp;col=6&amp;number=68620000&amp;sourceID=14","68620000")</f>
        <v>68620000</v>
      </c>
      <c r="G62" s="4" t="str">
        <f>HYPERLINK("http://141.218.60.56/~jnz1568/getInfo.php?workbook=06_02.xlsx&amp;sheet=A0&amp;row=62&amp;col=7&amp;number=0&amp;sourceID=14","0")</f>
        <v>0</v>
      </c>
    </row>
    <row r="63" spans="1:7">
      <c r="A63" s="3">
        <v>6</v>
      </c>
      <c r="B63" s="3">
        <v>2</v>
      </c>
      <c r="C63" s="3">
        <v>17</v>
      </c>
      <c r="D63" s="3">
        <v>7</v>
      </c>
      <c r="E63" s="3">
        <v>267.267</v>
      </c>
      <c r="F63" s="4" t="str">
        <f>HYPERLINK("http://141.218.60.56/~jnz1568/getInfo.php?workbook=06_02.xlsx&amp;sheet=A0&amp;row=63&amp;col=6&amp;number=39500000000&amp;sourceID=14","39500000000")</f>
        <v>39500000000</v>
      </c>
      <c r="G63" s="4" t="str">
        <f>HYPERLINK("http://141.218.60.56/~jnz1568/getInfo.php?workbook=06_02.xlsx&amp;sheet=A0&amp;row=63&amp;col=7&amp;number=0&amp;sourceID=14","0")</f>
        <v>0</v>
      </c>
    </row>
    <row r="64" spans="1:7">
      <c r="A64" s="3">
        <v>6</v>
      </c>
      <c r="B64" s="3">
        <v>2</v>
      </c>
      <c r="C64" s="3">
        <v>19</v>
      </c>
      <c r="D64" s="3">
        <v>7</v>
      </c>
      <c r="E64" s="3">
        <v>-209.372</v>
      </c>
      <c r="F64" s="4" t="str">
        <f>HYPERLINK("http://141.218.60.56/~jnz1568/getInfo.php?workbook=06_02.xlsx&amp;sheet=A0&amp;row=64&amp;col=6&amp;number=1389000000&amp;sourceID=14","1389000000")</f>
        <v>1389000000</v>
      </c>
      <c r="G64" s="4" t="str">
        <f>HYPERLINK("http://141.218.60.56/~jnz1568/getInfo.php?workbook=06_02.xlsx&amp;sheet=A0&amp;row=64&amp;col=7&amp;number=0&amp;sourceID=14","0")</f>
        <v>0</v>
      </c>
    </row>
    <row r="65" spans="1:7">
      <c r="A65" s="3">
        <v>6</v>
      </c>
      <c r="B65" s="3">
        <v>2</v>
      </c>
      <c r="C65" s="3">
        <v>27</v>
      </c>
      <c r="D65" s="3">
        <v>7</v>
      </c>
      <c r="E65" s="3">
        <v>197.024</v>
      </c>
      <c r="F65" s="4" t="str">
        <f>HYPERLINK("http://141.218.60.56/~jnz1568/getInfo.php?workbook=06_02.xlsx&amp;sheet=A0&amp;row=65&amp;col=6&amp;number=12550000000&amp;sourceID=14","12550000000")</f>
        <v>12550000000</v>
      </c>
      <c r="G65" s="4" t="str">
        <f>HYPERLINK("http://141.218.60.56/~jnz1568/getInfo.php?workbook=06_02.xlsx&amp;sheet=A0&amp;row=65&amp;col=7&amp;number=0&amp;sourceID=14","0")</f>
        <v>0</v>
      </c>
    </row>
    <row r="66" spans="1:7">
      <c r="A66" s="3">
        <v>6</v>
      </c>
      <c r="B66" s="3">
        <v>2</v>
      </c>
      <c r="C66" s="3">
        <v>33</v>
      </c>
      <c r="D66" s="3">
        <v>7</v>
      </c>
      <c r="E66" s="3">
        <v>-185.716</v>
      </c>
      <c r="F66" s="4" t="str">
        <f>HYPERLINK("http://141.218.60.56/~jnz1568/getInfo.php?workbook=06_02.xlsx&amp;sheet=A0&amp;row=66&amp;col=6&amp;number=703400000&amp;sourceID=14","703400000")</f>
        <v>703400000</v>
      </c>
      <c r="G66" s="4" t="str">
        <f>HYPERLINK("http://141.218.60.56/~jnz1568/getInfo.php?workbook=06_02.xlsx&amp;sheet=A0&amp;row=66&amp;col=7&amp;number=0&amp;sourceID=14","0")</f>
        <v>0</v>
      </c>
    </row>
    <row r="67" spans="1:7">
      <c r="A67" s="3">
        <v>6</v>
      </c>
      <c r="B67" s="3">
        <v>2</v>
      </c>
      <c r="C67" s="3">
        <v>41</v>
      </c>
      <c r="D67" s="3">
        <v>7</v>
      </c>
      <c r="E67" s="3">
        <v>175.659</v>
      </c>
      <c r="F67" s="4" t="str">
        <f>HYPERLINK("http://141.218.60.56/~jnz1568/getInfo.php?workbook=06_02.xlsx&amp;sheet=A0&amp;row=67&amp;col=6&amp;number=5751000000&amp;sourceID=14","5751000000")</f>
        <v>5751000000</v>
      </c>
      <c r="G67" s="4" t="str">
        <f>HYPERLINK("http://141.218.60.56/~jnz1568/getInfo.php?workbook=06_02.xlsx&amp;sheet=A0&amp;row=67&amp;col=7&amp;number=0&amp;sourceID=14","0")</f>
        <v>0</v>
      </c>
    </row>
    <row r="68" spans="1:7">
      <c r="A68" s="3">
        <v>6</v>
      </c>
      <c r="B68" s="3">
        <v>2</v>
      </c>
      <c r="C68" s="3">
        <v>20</v>
      </c>
      <c r="D68" s="3">
        <v>8</v>
      </c>
      <c r="E68" s="3">
        <v>672.058</v>
      </c>
      <c r="F68" s="4" t="str">
        <f>HYPERLINK("http://141.218.60.56/~jnz1568/getInfo.php?workbook=06_02.xlsx&amp;sheet=A0&amp;row=68&amp;col=6&amp;number=2382000000&amp;sourceID=14","2382000000")</f>
        <v>2382000000</v>
      </c>
      <c r="G68" s="4" t="str">
        <f>HYPERLINK("http://141.218.60.56/~jnz1568/getInfo.php?workbook=06_02.xlsx&amp;sheet=A0&amp;row=68&amp;col=7&amp;number=0&amp;sourceID=14","0")</f>
        <v>0</v>
      </c>
    </row>
    <row r="69" spans="1:7">
      <c r="A69" s="3">
        <v>6</v>
      </c>
      <c r="B69" s="3">
        <v>2</v>
      </c>
      <c r="C69" s="3">
        <v>21</v>
      </c>
      <c r="D69" s="3">
        <v>8</v>
      </c>
      <c r="E69" s="3">
        <v>672.058</v>
      </c>
      <c r="F69" s="4" t="str">
        <f>HYPERLINK("http://141.218.60.56/~jnz1568/getInfo.php?workbook=06_02.xlsx&amp;sheet=A0&amp;row=69&amp;col=6&amp;number=2382000000&amp;sourceID=14","2382000000")</f>
        <v>2382000000</v>
      </c>
      <c r="G69" s="4" t="str">
        <f>HYPERLINK("http://141.218.60.56/~jnz1568/getInfo.php?workbook=06_02.xlsx&amp;sheet=A0&amp;row=69&amp;col=7&amp;number=0&amp;sourceID=14","0")</f>
        <v>0</v>
      </c>
    </row>
    <row r="70" spans="1:7">
      <c r="A70" s="3">
        <v>6</v>
      </c>
      <c r="B70" s="3">
        <v>2</v>
      </c>
      <c r="C70" s="3">
        <v>22</v>
      </c>
      <c r="D70" s="3">
        <v>8</v>
      </c>
      <c r="E70" s="3">
        <v>672.058</v>
      </c>
      <c r="F70" s="4" t="str">
        <f>HYPERLINK("http://141.218.60.56/~jnz1568/getInfo.php?workbook=06_02.xlsx&amp;sheet=A0&amp;row=70&amp;col=6&amp;number=2387000000&amp;sourceID=14","2387000000")</f>
        <v>2387000000</v>
      </c>
      <c r="G70" s="4" t="str">
        <f>HYPERLINK("http://141.218.60.56/~jnz1568/getInfo.php?workbook=06_02.xlsx&amp;sheet=A0&amp;row=70&amp;col=7&amp;number=0&amp;sourceID=14","0")</f>
        <v>0</v>
      </c>
    </row>
    <row r="71" spans="1:7">
      <c r="A71" s="3">
        <v>6</v>
      </c>
      <c r="B71" s="3">
        <v>2</v>
      </c>
      <c r="C71" s="3">
        <v>34</v>
      </c>
      <c r="D71" s="3">
        <v>8</v>
      </c>
      <c r="E71" s="3">
        <v>472.211</v>
      </c>
      <c r="F71" s="4" t="str">
        <f>HYPERLINK("http://141.218.60.56/~jnz1568/getInfo.php?workbook=06_02.xlsx&amp;sheet=A0&amp;row=71&amp;col=6&amp;number=1205000000&amp;sourceID=14","1205000000")</f>
        <v>1205000000</v>
      </c>
      <c r="G71" s="4" t="str">
        <f>HYPERLINK("http://141.218.60.56/~jnz1568/getInfo.php?workbook=06_02.xlsx&amp;sheet=A0&amp;row=71&amp;col=7&amp;number=0&amp;sourceID=14","0")</f>
        <v>0</v>
      </c>
    </row>
    <row r="72" spans="1:7">
      <c r="A72" s="3">
        <v>6</v>
      </c>
      <c r="B72" s="3">
        <v>2</v>
      </c>
      <c r="C72" s="3">
        <v>35</v>
      </c>
      <c r="D72" s="3">
        <v>8</v>
      </c>
      <c r="E72" s="3">
        <v>472.211</v>
      </c>
      <c r="F72" s="4" t="str">
        <f>HYPERLINK("http://141.218.60.56/~jnz1568/getInfo.php?workbook=06_02.xlsx&amp;sheet=A0&amp;row=72&amp;col=6&amp;number=1205000000&amp;sourceID=14","1205000000")</f>
        <v>1205000000</v>
      </c>
      <c r="G72" s="4" t="str">
        <f>HYPERLINK("http://141.218.60.56/~jnz1568/getInfo.php?workbook=06_02.xlsx&amp;sheet=A0&amp;row=72&amp;col=7&amp;number=0&amp;sourceID=14","0")</f>
        <v>0</v>
      </c>
    </row>
    <row r="73" spans="1:7">
      <c r="A73" s="3">
        <v>6</v>
      </c>
      <c r="B73" s="3">
        <v>2</v>
      </c>
      <c r="C73" s="3">
        <v>36</v>
      </c>
      <c r="D73" s="3">
        <v>8</v>
      </c>
      <c r="E73" s="3">
        <v>472.211</v>
      </c>
      <c r="F73" s="4" t="str">
        <f>HYPERLINK("http://141.218.60.56/~jnz1568/getInfo.php?workbook=06_02.xlsx&amp;sheet=A0&amp;row=73&amp;col=6&amp;number=1207000000&amp;sourceID=14","1207000000")</f>
        <v>1207000000</v>
      </c>
      <c r="G73" s="4" t="str">
        <f>HYPERLINK("http://141.218.60.56/~jnz1568/getInfo.php?workbook=06_02.xlsx&amp;sheet=A0&amp;row=73&amp;col=7&amp;number=0&amp;sourceID=14","0")</f>
        <v>0</v>
      </c>
    </row>
    <row r="74" spans="1:7">
      <c r="A74" s="3">
        <v>6</v>
      </c>
      <c r="B74" s="3">
        <v>2</v>
      </c>
      <c r="C74" s="3">
        <v>23</v>
      </c>
      <c r="D74" s="3">
        <v>9</v>
      </c>
      <c r="E74" s="3">
        <v>711.593</v>
      </c>
      <c r="F74" s="4" t="str">
        <f>HYPERLINK("http://141.218.60.56/~jnz1568/getInfo.php?workbook=06_02.xlsx&amp;sheet=A0&amp;row=74&amp;col=6&amp;number=2127000000&amp;sourceID=14","2127000000")</f>
        <v>2127000000</v>
      </c>
      <c r="G74" s="4" t="str">
        <f>HYPERLINK("http://141.218.60.56/~jnz1568/getInfo.php?workbook=06_02.xlsx&amp;sheet=A0&amp;row=74&amp;col=7&amp;number=0&amp;sourceID=14","0")</f>
        <v>0</v>
      </c>
    </row>
    <row r="75" spans="1:7">
      <c r="A75" s="3">
        <v>6</v>
      </c>
      <c r="B75" s="3">
        <v>2</v>
      </c>
      <c r="C75" s="3">
        <v>37</v>
      </c>
      <c r="D75" s="3">
        <v>9</v>
      </c>
      <c r="E75" s="3">
        <v>495.384</v>
      </c>
      <c r="F75" s="4" t="str">
        <f>HYPERLINK("http://141.218.60.56/~jnz1568/getInfo.php?workbook=06_02.xlsx&amp;sheet=A0&amp;row=75&amp;col=6&amp;number=1096000000&amp;sourceID=14","1096000000")</f>
        <v>1096000000</v>
      </c>
      <c r="G75" s="4" t="str">
        <f>HYPERLINK("http://141.218.60.56/~jnz1568/getInfo.php?workbook=06_02.xlsx&amp;sheet=A0&amp;row=75&amp;col=7&amp;number=0&amp;sourceID=14","0")</f>
        <v>0</v>
      </c>
    </row>
    <row r="76" spans="1:7">
      <c r="A76" s="3">
        <v>6</v>
      </c>
      <c r="B76" s="3">
        <v>2</v>
      </c>
      <c r="C76" s="3">
        <v>14</v>
      </c>
      <c r="D76" s="3">
        <v>10</v>
      </c>
      <c r="E76" s="3">
        <v>16986.611</v>
      </c>
      <c r="F76" s="4" t="str">
        <f>HYPERLINK("http://141.218.60.56/~jnz1568/getInfo.php?workbook=06_02.xlsx&amp;sheet=A0&amp;row=76&amp;col=6&amp;number=417400&amp;sourceID=14","417400")</f>
        <v>417400</v>
      </c>
      <c r="G76" s="4" t="str">
        <f>HYPERLINK("http://141.218.60.56/~jnz1568/getInfo.php?workbook=06_02.xlsx&amp;sheet=A0&amp;row=76&amp;col=7&amp;number=0&amp;sourceID=14","0")</f>
        <v>0</v>
      </c>
    </row>
    <row r="77" spans="1:7">
      <c r="A77" s="3">
        <v>6</v>
      </c>
      <c r="B77" s="3">
        <v>2</v>
      </c>
      <c r="C77" s="3">
        <v>18</v>
      </c>
      <c r="D77" s="3">
        <v>10</v>
      </c>
      <c r="E77" s="3">
        <v>756.872</v>
      </c>
      <c r="F77" s="4" t="str">
        <f>HYPERLINK("http://141.218.60.56/~jnz1568/getInfo.php?workbook=06_02.xlsx&amp;sheet=A0&amp;row=77&amp;col=6&amp;number=13890000&amp;sourceID=14","13890000")</f>
        <v>13890000</v>
      </c>
      <c r="G77" s="4" t="str">
        <f>HYPERLINK("http://141.218.60.56/~jnz1568/getInfo.php?workbook=06_02.xlsx&amp;sheet=A0&amp;row=77&amp;col=7&amp;number=0&amp;sourceID=14","0")</f>
        <v>0</v>
      </c>
    </row>
    <row r="78" spans="1:7">
      <c r="A78" s="3">
        <v>6</v>
      </c>
      <c r="B78" s="3">
        <v>2</v>
      </c>
      <c r="C78" s="3">
        <v>24</v>
      </c>
      <c r="D78" s="3">
        <v>10</v>
      </c>
      <c r="E78" s="3">
        <v>717.578</v>
      </c>
      <c r="F78" s="4" t="str">
        <f>HYPERLINK("http://141.218.60.56/~jnz1568/getInfo.php?workbook=06_02.xlsx&amp;sheet=A0&amp;row=78&amp;col=6&amp;number=296200000&amp;sourceID=14","296200000")</f>
        <v>296200000</v>
      </c>
      <c r="G78" s="4" t="str">
        <f>HYPERLINK("http://141.218.60.56/~jnz1568/getInfo.php?workbook=06_02.xlsx&amp;sheet=A0&amp;row=78&amp;col=7&amp;number=0&amp;sourceID=14","0")</f>
        <v>0</v>
      </c>
    </row>
    <row r="79" spans="1:7">
      <c r="A79" s="3">
        <v>6</v>
      </c>
      <c r="B79" s="3">
        <v>2</v>
      </c>
      <c r="C79" s="3">
        <v>32</v>
      </c>
      <c r="D79" s="3">
        <v>10</v>
      </c>
      <c r="E79" s="3">
        <v>506.307</v>
      </c>
      <c r="F79" s="4" t="str">
        <f>HYPERLINK("http://141.218.60.56/~jnz1568/getInfo.php?workbook=06_02.xlsx&amp;sheet=A0&amp;row=79&amp;col=6&amp;number=7147000&amp;sourceID=14","7147000")</f>
        <v>7147000</v>
      </c>
      <c r="G79" s="4" t="str">
        <f>HYPERLINK("http://141.218.60.56/~jnz1568/getInfo.php?workbook=06_02.xlsx&amp;sheet=A0&amp;row=79&amp;col=7&amp;number=0&amp;sourceID=14","0")</f>
        <v>0</v>
      </c>
    </row>
    <row r="80" spans="1:7">
      <c r="A80" s="3">
        <v>6</v>
      </c>
      <c r="B80" s="3">
        <v>2</v>
      </c>
      <c r="C80" s="3">
        <v>38</v>
      </c>
      <c r="D80" s="3">
        <v>10</v>
      </c>
      <c r="E80" s="3">
        <v>497.091</v>
      </c>
      <c r="F80" s="4" t="str">
        <f>HYPERLINK("http://141.218.60.56/~jnz1568/getInfo.php?workbook=06_02.xlsx&amp;sheet=A0&amp;row=80&amp;col=6&amp;number=138900000&amp;sourceID=14","138900000")</f>
        <v>138900000</v>
      </c>
      <c r="G80" s="4" t="str">
        <f>HYPERLINK("http://141.218.60.56/~jnz1568/getInfo.php?workbook=06_02.xlsx&amp;sheet=A0&amp;row=80&amp;col=7&amp;number=0&amp;sourceID=14","0")</f>
        <v>0</v>
      </c>
    </row>
    <row r="81" spans="1:7">
      <c r="A81" s="3">
        <v>6</v>
      </c>
      <c r="B81" s="3">
        <v>2</v>
      </c>
      <c r="C81" s="3">
        <v>14</v>
      </c>
      <c r="D81" s="3">
        <v>11</v>
      </c>
      <c r="E81" s="3">
        <v>16986.611</v>
      </c>
      <c r="F81" s="4" t="str">
        <f>HYPERLINK("http://141.218.60.56/~jnz1568/getInfo.php?workbook=06_02.xlsx&amp;sheet=A0&amp;row=81&amp;col=6&amp;number=314200&amp;sourceID=14","314200")</f>
        <v>314200</v>
      </c>
      <c r="G81" s="4" t="str">
        <f>HYPERLINK("http://141.218.60.56/~jnz1568/getInfo.php?workbook=06_02.xlsx&amp;sheet=A0&amp;row=81&amp;col=7&amp;number=0&amp;sourceID=14","0")</f>
        <v>0</v>
      </c>
    </row>
    <row r="82" spans="1:7">
      <c r="A82" s="3">
        <v>6</v>
      </c>
      <c r="B82" s="3">
        <v>2</v>
      </c>
      <c r="C82" s="3">
        <v>15</v>
      </c>
      <c r="D82" s="3">
        <v>11</v>
      </c>
      <c r="E82" s="3">
        <v>16986.611</v>
      </c>
      <c r="F82" s="4" t="str">
        <f>HYPERLINK("http://141.218.60.56/~jnz1568/getInfo.php?workbook=06_02.xlsx&amp;sheet=A0&amp;row=82&amp;col=6&amp;number=564200&amp;sourceID=14","564200")</f>
        <v>564200</v>
      </c>
      <c r="G82" s="4" t="str">
        <f>HYPERLINK("http://141.218.60.56/~jnz1568/getInfo.php?workbook=06_02.xlsx&amp;sheet=A0&amp;row=82&amp;col=7&amp;number=0&amp;sourceID=14","0")</f>
        <v>0</v>
      </c>
    </row>
    <row r="83" spans="1:7">
      <c r="A83" s="3">
        <v>6</v>
      </c>
      <c r="B83" s="3">
        <v>2</v>
      </c>
      <c r="C83" s="3">
        <v>18</v>
      </c>
      <c r="D83" s="3">
        <v>11</v>
      </c>
      <c r="E83" s="3">
        <v>756.872</v>
      </c>
      <c r="F83" s="4" t="str">
        <f>HYPERLINK("http://141.218.60.56/~jnz1568/getInfo.php?workbook=06_02.xlsx&amp;sheet=A0&amp;row=83&amp;col=6&amp;number=125000000&amp;sourceID=14","125000000")</f>
        <v>125000000</v>
      </c>
      <c r="G83" s="4" t="str">
        <f>HYPERLINK("http://141.218.60.56/~jnz1568/getInfo.php?workbook=06_02.xlsx&amp;sheet=A0&amp;row=83&amp;col=7&amp;number=0&amp;sourceID=14","0")</f>
        <v>0</v>
      </c>
    </row>
    <row r="84" spans="1:7">
      <c r="A84" s="3">
        <v>6</v>
      </c>
      <c r="B84" s="3">
        <v>2</v>
      </c>
      <c r="C84" s="3">
        <v>24</v>
      </c>
      <c r="D84" s="3">
        <v>11</v>
      </c>
      <c r="E84" s="3">
        <v>717.578</v>
      </c>
      <c r="F84" s="4" t="str">
        <f>HYPERLINK("http://141.218.60.56/~jnz1568/getInfo.php?workbook=06_02.xlsx&amp;sheet=A0&amp;row=84&amp;col=6&amp;number=666800000&amp;sourceID=14","666800000")</f>
        <v>666800000</v>
      </c>
      <c r="G84" s="4" t="str">
        <f>HYPERLINK("http://141.218.60.56/~jnz1568/getInfo.php?workbook=06_02.xlsx&amp;sheet=A0&amp;row=84&amp;col=7&amp;number=0&amp;sourceID=14","0")</f>
        <v>0</v>
      </c>
    </row>
    <row r="85" spans="1:7">
      <c r="A85" s="3">
        <v>6</v>
      </c>
      <c r="B85" s="3">
        <v>2</v>
      </c>
      <c r="C85" s="3">
        <v>25</v>
      </c>
      <c r="D85" s="3">
        <v>11</v>
      </c>
      <c r="E85" s="3">
        <v>717.578</v>
      </c>
      <c r="F85" s="4" t="str">
        <f>HYPERLINK("http://141.218.60.56/~jnz1568/getInfo.php?workbook=06_02.xlsx&amp;sheet=A0&amp;row=85&amp;col=6&amp;number=1201000000&amp;sourceID=14","1201000000")</f>
        <v>1201000000</v>
      </c>
      <c r="G85" s="4" t="str">
        <f>HYPERLINK("http://141.218.60.56/~jnz1568/getInfo.php?workbook=06_02.xlsx&amp;sheet=A0&amp;row=85&amp;col=7&amp;number=0&amp;sourceID=14","0")</f>
        <v>0</v>
      </c>
    </row>
    <row r="86" spans="1:7">
      <c r="A86" s="3">
        <v>6</v>
      </c>
      <c r="B86" s="3">
        <v>2</v>
      </c>
      <c r="C86" s="3">
        <v>32</v>
      </c>
      <c r="D86" s="3">
        <v>11</v>
      </c>
      <c r="E86" s="3">
        <v>506.307</v>
      </c>
      <c r="F86" s="4" t="str">
        <f>HYPERLINK("http://141.218.60.56/~jnz1568/getInfo.php?workbook=06_02.xlsx&amp;sheet=A0&amp;row=86&amp;col=6&amp;number=64330000&amp;sourceID=14","64330000")</f>
        <v>64330000</v>
      </c>
      <c r="G86" s="4" t="str">
        <f>HYPERLINK("http://141.218.60.56/~jnz1568/getInfo.php?workbook=06_02.xlsx&amp;sheet=A0&amp;row=86&amp;col=7&amp;number=0&amp;sourceID=14","0")</f>
        <v>0</v>
      </c>
    </row>
    <row r="87" spans="1:7">
      <c r="A87" s="3">
        <v>6</v>
      </c>
      <c r="B87" s="3">
        <v>2</v>
      </c>
      <c r="C87" s="3">
        <v>38</v>
      </c>
      <c r="D87" s="3">
        <v>11</v>
      </c>
      <c r="E87" s="3">
        <v>497.091</v>
      </c>
      <c r="F87" s="4" t="str">
        <f>HYPERLINK("http://141.218.60.56/~jnz1568/getInfo.php?workbook=06_02.xlsx&amp;sheet=A0&amp;row=87&amp;col=6&amp;number=312900000&amp;sourceID=14","312900000")</f>
        <v>312900000</v>
      </c>
      <c r="G87" s="4" t="str">
        <f>HYPERLINK("http://141.218.60.56/~jnz1568/getInfo.php?workbook=06_02.xlsx&amp;sheet=A0&amp;row=87&amp;col=7&amp;number=0&amp;sourceID=14","0")</f>
        <v>0</v>
      </c>
    </row>
    <row r="88" spans="1:7">
      <c r="A88" s="3">
        <v>6</v>
      </c>
      <c r="B88" s="3">
        <v>2</v>
      </c>
      <c r="C88" s="3">
        <v>39</v>
      </c>
      <c r="D88" s="3">
        <v>11</v>
      </c>
      <c r="E88" s="3">
        <v>497.091</v>
      </c>
      <c r="F88" s="4" t="str">
        <f>HYPERLINK("http://141.218.60.56/~jnz1568/getInfo.php?workbook=06_02.xlsx&amp;sheet=A0&amp;row=88&amp;col=6&amp;number=563300000&amp;sourceID=14","563300000")</f>
        <v>563300000</v>
      </c>
      <c r="G88" s="4" t="str">
        <f>HYPERLINK("http://141.218.60.56/~jnz1568/getInfo.php?workbook=06_02.xlsx&amp;sheet=A0&amp;row=88&amp;col=7&amp;number=0&amp;sourceID=14","0")</f>
        <v>0</v>
      </c>
    </row>
    <row r="89" spans="1:7">
      <c r="A89" s="3">
        <v>6</v>
      </c>
      <c r="B89" s="3">
        <v>2</v>
      </c>
      <c r="C89" s="3">
        <v>14</v>
      </c>
      <c r="D89" s="3">
        <v>12</v>
      </c>
      <c r="E89" s="3">
        <v>16986.611</v>
      </c>
      <c r="F89" s="4" t="str">
        <f>HYPERLINK("http://141.218.60.56/~jnz1568/getInfo.php?workbook=06_02.xlsx&amp;sheet=A0&amp;row=89&amp;col=6&amp;number=20870&amp;sourceID=14","20870")</f>
        <v>20870</v>
      </c>
      <c r="G89" s="4" t="str">
        <f>HYPERLINK("http://141.218.60.56/~jnz1568/getInfo.php?workbook=06_02.xlsx&amp;sheet=A0&amp;row=89&amp;col=7&amp;number=0&amp;sourceID=14","0")</f>
        <v>0</v>
      </c>
    </row>
    <row r="90" spans="1:7">
      <c r="A90" s="3">
        <v>6</v>
      </c>
      <c r="B90" s="3">
        <v>2</v>
      </c>
      <c r="C90" s="3">
        <v>15</v>
      </c>
      <c r="D90" s="3">
        <v>12</v>
      </c>
      <c r="E90" s="3">
        <v>16986.611</v>
      </c>
      <c r="F90" s="4" t="str">
        <f>HYPERLINK("http://141.218.60.56/~jnz1568/getInfo.php?workbook=06_02.xlsx&amp;sheet=A0&amp;row=90&amp;col=6&amp;number=187800&amp;sourceID=14","187800")</f>
        <v>187800</v>
      </c>
      <c r="G90" s="4" t="str">
        <f>HYPERLINK("http://141.218.60.56/~jnz1568/getInfo.php?workbook=06_02.xlsx&amp;sheet=A0&amp;row=90&amp;col=7&amp;number=0&amp;sourceID=14","0")</f>
        <v>0</v>
      </c>
    </row>
    <row r="91" spans="1:7">
      <c r="A91" s="3">
        <v>6</v>
      </c>
      <c r="B91" s="3">
        <v>2</v>
      </c>
      <c r="C91" s="3">
        <v>16</v>
      </c>
      <c r="D91" s="3">
        <v>12</v>
      </c>
      <c r="E91" s="3">
        <v>16957.807</v>
      </c>
      <c r="F91" s="4" t="str">
        <f>HYPERLINK("http://141.218.60.56/~jnz1568/getInfo.php?workbook=06_02.xlsx&amp;sheet=A0&amp;row=91&amp;col=6&amp;number=751800&amp;sourceID=14","751800")</f>
        <v>751800</v>
      </c>
      <c r="G91" s="4" t="str">
        <f>HYPERLINK("http://141.218.60.56/~jnz1568/getInfo.php?workbook=06_02.xlsx&amp;sheet=A0&amp;row=91&amp;col=7&amp;number=0&amp;sourceID=14","0")</f>
        <v>0</v>
      </c>
    </row>
    <row r="92" spans="1:7">
      <c r="A92" s="3">
        <v>6</v>
      </c>
      <c r="B92" s="3">
        <v>2</v>
      </c>
      <c r="C92" s="3">
        <v>13</v>
      </c>
      <c r="D92" s="3">
        <v>17</v>
      </c>
      <c r="E92" s="3">
        <v>54171.281</v>
      </c>
      <c r="F92" s="4" t="str">
        <f>HYPERLINK("http://141.218.60.56/~jnz1568/getInfo.php?workbook=06_02.xlsx&amp;sheet=A0&amp;row=92&amp;col=6&amp;number=39760&amp;sourceID=14","39760")</f>
        <v>39760</v>
      </c>
      <c r="G92" s="4" t="str">
        <f>HYPERLINK("http://141.218.60.56/~jnz1568/getInfo.php?workbook=06_02.xlsx&amp;sheet=A0&amp;row=92&amp;col=7&amp;number=0&amp;sourceID=14","0")</f>
        <v>0</v>
      </c>
    </row>
    <row r="93" spans="1:7">
      <c r="A93" s="3">
        <v>6</v>
      </c>
      <c r="B93" s="3">
        <v>2</v>
      </c>
      <c r="C93" s="3">
        <v>18</v>
      </c>
      <c r="D93" s="3">
        <v>12</v>
      </c>
      <c r="E93" s="3">
        <v>756.872</v>
      </c>
      <c r="F93" s="4" t="str">
        <f>HYPERLINK("http://141.218.60.56/~jnz1568/getInfo.php?workbook=06_02.xlsx&amp;sheet=A0&amp;row=93&amp;col=6&amp;number=347800000&amp;sourceID=14","347800000")</f>
        <v>347800000</v>
      </c>
      <c r="G93" s="4" t="str">
        <f>HYPERLINK("http://141.218.60.56/~jnz1568/getInfo.php?workbook=06_02.xlsx&amp;sheet=A0&amp;row=93&amp;col=7&amp;number=0&amp;sourceID=14","0")</f>
        <v>0</v>
      </c>
    </row>
    <row r="94" spans="1:7">
      <c r="A94" s="3">
        <v>6</v>
      </c>
      <c r="B94" s="3">
        <v>2</v>
      </c>
      <c r="C94" s="3">
        <v>24</v>
      </c>
      <c r="D94" s="3">
        <v>12</v>
      </c>
      <c r="E94" s="3">
        <v>717.578</v>
      </c>
      <c r="F94" s="4" t="str">
        <f>HYPERLINK("http://141.218.60.56/~jnz1568/getInfo.php?workbook=06_02.xlsx&amp;sheet=A0&amp;row=94&amp;col=6&amp;number=3336000000&amp;sourceID=14","3336000000")</f>
        <v>3336000000</v>
      </c>
      <c r="G94" s="4" t="str">
        <f>HYPERLINK("http://141.218.60.56/~jnz1568/getInfo.php?workbook=06_02.xlsx&amp;sheet=A0&amp;row=94&amp;col=7&amp;number=0&amp;sourceID=14","0")</f>
        <v>0</v>
      </c>
    </row>
    <row r="95" spans="1:7">
      <c r="A95" s="3">
        <v>6</v>
      </c>
      <c r="B95" s="3">
        <v>2</v>
      </c>
      <c r="C95" s="3">
        <v>25</v>
      </c>
      <c r="D95" s="3">
        <v>12</v>
      </c>
      <c r="E95" s="3">
        <v>717.578</v>
      </c>
      <c r="F95" s="4" t="str">
        <f>HYPERLINK("http://141.218.60.56/~jnz1568/getInfo.php?workbook=06_02.xlsx&amp;sheet=A0&amp;row=95&amp;col=6&amp;number=666800000&amp;sourceID=14","666800000")</f>
        <v>666800000</v>
      </c>
      <c r="G95" s="4" t="str">
        <f>HYPERLINK("http://141.218.60.56/~jnz1568/getInfo.php?workbook=06_02.xlsx&amp;sheet=A0&amp;row=95&amp;col=7&amp;number=0&amp;sourceID=14","0")</f>
        <v>0</v>
      </c>
    </row>
    <row r="96" spans="1:7">
      <c r="A96" s="3">
        <v>6</v>
      </c>
      <c r="B96" s="3">
        <v>2</v>
      </c>
      <c r="C96" s="3">
        <v>26</v>
      </c>
      <c r="D96" s="3">
        <v>12</v>
      </c>
      <c r="E96" s="3">
        <v>717.578</v>
      </c>
      <c r="F96" s="4" t="str">
        <f>HYPERLINK("http://141.218.60.56/~jnz1568/getInfo.php?workbook=06_02.xlsx&amp;sheet=A0&amp;row=96&amp;col=6&amp;number=2671000000&amp;sourceID=14","2671000000")</f>
        <v>2671000000</v>
      </c>
      <c r="G96" s="4" t="str">
        <f>HYPERLINK("http://141.218.60.56/~jnz1568/getInfo.php?workbook=06_02.xlsx&amp;sheet=A0&amp;row=96&amp;col=7&amp;number=0&amp;sourceID=14","0")</f>
        <v>0</v>
      </c>
    </row>
    <row r="97" spans="1:7">
      <c r="A97" s="3">
        <v>6</v>
      </c>
      <c r="B97" s="3">
        <v>2</v>
      </c>
      <c r="C97" s="3">
        <v>32</v>
      </c>
      <c r="D97" s="3">
        <v>12</v>
      </c>
      <c r="E97" s="3">
        <v>506.307</v>
      </c>
      <c r="F97" s="4" t="str">
        <f>HYPERLINK("http://141.218.60.56/~jnz1568/getInfo.php?workbook=06_02.xlsx&amp;sheet=A0&amp;row=97&amp;col=6&amp;number=179000000&amp;sourceID=14","179000000")</f>
        <v>179000000</v>
      </c>
      <c r="G97" s="4" t="str">
        <f>HYPERLINK("http://141.218.60.56/~jnz1568/getInfo.php?workbook=06_02.xlsx&amp;sheet=A0&amp;row=97&amp;col=7&amp;number=0&amp;sourceID=14","0")</f>
        <v>0</v>
      </c>
    </row>
    <row r="98" spans="1:7">
      <c r="A98" s="3">
        <v>6</v>
      </c>
      <c r="B98" s="3">
        <v>2</v>
      </c>
      <c r="C98" s="3">
        <v>38</v>
      </c>
      <c r="D98" s="3">
        <v>12</v>
      </c>
      <c r="E98" s="3">
        <v>497.091</v>
      </c>
      <c r="F98" s="4" t="str">
        <f>HYPERLINK("http://141.218.60.56/~jnz1568/getInfo.php?workbook=06_02.xlsx&amp;sheet=A0&amp;row=98&amp;col=6&amp;number=1565000000&amp;sourceID=14","1565000000")</f>
        <v>1565000000</v>
      </c>
      <c r="G98" s="4" t="str">
        <f>HYPERLINK("http://141.218.60.56/~jnz1568/getInfo.php?workbook=06_02.xlsx&amp;sheet=A0&amp;row=98&amp;col=7&amp;number=0&amp;sourceID=14","0")</f>
        <v>0</v>
      </c>
    </row>
    <row r="99" spans="1:7">
      <c r="A99" s="3">
        <v>6</v>
      </c>
      <c r="B99" s="3">
        <v>2</v>
      </c>
      <c r="C99" s="3">
        <v>39</v>
      </c>
      <c r="D99" s="3">
        <v>12</v>
      </c>
      <c r="E99" s="3">
        <v>497.091</v>
      </c>
      <c r="F99" s="4" t="str">
        <f>HYPERLINK("http://141.218.60.56/~jnz1568/getInfo.php?workbook=06_02.xlsx&amp;sheet=A0&amp;row=99&amp;col=6&amp;number=312900000&amp;sourceID=14","312900000")</f>
        <v>312900000</v>
      </c>
      <c r="G99" s="4" t="str">
        <f>HYPERLINK("http://141.218.60.56/~jnz1568/getInfo.php?workbook=06_02.xlsx&amp;sheet=A0&amp;row=99&amp;col=7&amp;number=0&amp;sourceID=14","0")</f>
        <v>0</v>
      </c>
    </row>
    <row r="100" spans="1:7">
      <c r="A100" s="3">
        <v>6</v>
      </c>
      <c r="B100" s="3">
        <v>2</v>
      </c>
      <c r="C100" s="3">
        <v>40</v>
      </c>
      <c r="D100" s="3">
        <v>12</v>
      </c>
      <c r="E100" s="3">
        <v>497.091</v>
      </c>
      <c r="F100" s="4" t="str">
        <f>HYPERLINK("http://141.218.60.56/~jnz1568/getInfo.php?workbook=06_02.xlsx&amp;sheet=A0&amp;row=100&amp;col=6&amp;number=1253000000&amp;sourceID=14","1253000000")</f>
        <v>1253000000</v>
      </c>
      <c r="G100" s="4" t="str">
        <f>HYPERLINK("http://141.218.60.56/~jnz1568/getInfo.php?workbook=06_02.xlsx&amp;sheet=A0&amp;row=100&amp;col=7&amp;number=0&amp;sourceID=14","0")</f>
        <v>0</v>
      </c>
    </row>
    <row r="101" spans="1:7">
      <c r="A101" s="3">
        <v>6</v>
      </c>
      <c r="B101" s="3">
        <v>2</v>
      </c>
      <c r="C101" s="3">
        <v>19</v>
      </c>
      <c r="D101" s="3">
        <v>13</v>
      </c>
      <c r="E101" s="3">
        <v>-821.855</v>
      </c>
      <c r="F101" s="4" t="str">
        <f>HYPERLINK("http://141.218.60.56/~jnz1568/getInfo.php?workbook=06_02.xlsx&amp;sheet=A0&amp;row=101&amp;col=6&amp;number=954900000&amp;sourceID=14","954900000")</f>
        <v>954900000</v>
      </c>
      <c r="G101" s="4" t="str">
        <f>HYPERLINK("http://141.218.60.56/~jnz1568/getInfo.php?workbook=06_02.xlsx&amp;sheet=A0&amp;row=101&amp;col=7&amp;number=0&amp;sourceID=14","0")</f>
        <v>0</v>
      </c>
    </row>
    <row r="102" spans="1:7">
      <c r="A102" s="3">
        <v>6</v>
      </c>
      <c r="B102" s="3">
        <v>2</v>
      </c>
      <c r="C102" s="3">
        <v>27</v>
      </c>
      <c r="D102" s="3">
        <v>13</v>
      </c>
      <c r="E102" s="3">
        <v>760.18</v>
      </c>
      <c r="F102" s="4" t="str">
        <f>HYPERLINK("http://141.218.60.56/~jnz1568/getInfo.php?workbook=06_02.xlsx&amp;sheet=A0&amp;row=102&amp;col=6&amp;number=4280000000&amp;sourceID=14","4280000000")</f>
        <v>4280000000</v>
      </c>
      <c r="G102" s="4" t="str">
        <f>HYPERLINK("http://141.218.60.56/~jnz1568/getInfo.php?workbook=06_02.xlsx&amp;sheet=A0&amp;row=102&amp;col=7&amp;number=0&amp;sourceID=14","0")</f>
        <v>0</v>
      </c>
    </row>
    <row r="103" spans="1:7">
      <c r="A103" s="3">
        <v>6</v>
      </c>
      <c r="B103" s="3">
        <v>2</v>
      </c>
      <c r="C103" s="3">
        <v>33</v>
      </c>
      <c r="D103" s="3">
        <v>13</v>
      </c>
      <c r="E103" s="3">
        <v>-547.902</v>
      </c>
      <c r="F103" s="4" t="str">
        <f>HYPERLINK("http://141.218.60.56/~jnz1568/getInfo.php?workbook=06_02.xlsx&amp;sheet=A0&amp;row=103&amp;col=6&amp;number=494800000&amp;sourceID=14","494800000")</f>
        <v>494800000</v>
      </c>
      <c r="G103" s="4" t="str">
        <f>HYPERLINK("http://141.218.60.56/~jnz1568/getInfo.php?workbook=06_02.xlsx&amp;sheet=A0&amp;row=103&amp;col=7&amp;number=0&amp;sourceID=14","0")</f>
        <v>0</v>
      </c>
    </row>
    <row r="104" spans="1:7">
      <c r="A104" s="3">
        <v>6</v>
      </c>
      <c r="B104" s="3">
        <v>2</v>
      </c>
      <c r="C104" s="3">
        <v>41</v>
      </c>
      <c r="D104" s="3">
        <v>13</v>
      </c>
      <c r="E104" s="3">
        <v>517.382</v>
      </c>
      <c r="F104" s="4" t="str">
        <f>HYPERLINK("http://141.218.60.56/~jnz1568/getInfo.php?workbook=06_02.xlsx&amp;sheet=A0&amp;row=104&amp;col=6&amp;number=2080000000&amp;sourceID=14","2080000000")</f>
        <v>2080000000</v>
      </c>
      <c r="G104" s="4" t="str">
        <f>HYPERLINK("http://141.218.60.56/~jnz1568/getInfo.php?workbook=06_02.xlsx&amp;sheet=A0&amp;row=104&amp;col=7&amp;number=0&amp;sourceID=14","0")</f>
        <v>0</v>
      </c>
    </row>
    <row r="105" spans="1:7">
      <c r="A105" s="3">
        <v>6</v>
      </c>
      <c r="B105" s="3">
        <v>2</v>
      </c>
      <c r="C105" s="3">
        <v>20</v>
      </c>
      <c r="D105" s="3">
        <v>14</v>
      </c>
      <c r="E105" s="3">
        <v>763.046</v>
      </c>
      <c r="F105" s="4" t="str">
        <f>HYPERLINK("http://141.218.60.56/~jnz1568/getInfo.php?workbook=06_02.xlsx&amp;sheet=A0&amp;row=105&amp;col=6&amp;number=41910000&amp;sourceID=14","41910000")</f>
        <v>41910000</v>
      </c>
      <c r="G105" s="4" t="str">
        <f>HYPERLINK("http://141.218.60.56/~jnz1568/getInfo.php?workbook=06_02.xlsx&amp;sheet=A0&amp;row=105&amp;col=7&amp;number=0&amp;sourceID=14","0")</f>
        <v>0</v>
      </c>
    </row>
    <row r="106" spans="1:7">
      <c r="A106" s="3">
        <v>6</v>
      </c>
      <c r="B106" s="3">
        <v>2</v>
      </c>
      <c r="C106" s="3">
        <v>21</v>
      </c>
      <c r="D106" s="3">
        <v>14</v>
      </c>
      <c r="E106" s="3">
        <v>763.046</v>
      </c>
      <c r="F106" s="4" t="str">
        <f>HYPERLINK("http://141.218.60.56/~jnz1568/getInfo.php?workbook=06_02.xlsx&amp;sheet=A0&amp;row=106&amp;col=6&amp;number=10480000&amp;sourceID=14","10480000")</f>
        <v>10480000</v>
      </c>
      <c r="G106" s="4" t="str">
        <f>HYPERLINK("http://141.218.60.56/~jnz1568/getInfo.php?workbook=06_02.xlsx&amp;sheet=A0&amp;row=106&amp;col=7&amp;number=0&amp;sourceID=14","0")</f>
        <v>0</v>
      </c>
    </row>
    <row r="107" spans="1:7">
      <c r="A107" s="3">
        <v>6</v>
      </c>
      <c r="B107" s="3">
        <v>2</v>
      </c>
      <c r="C107" s="3">
        <v>22</v>
      </c>
      <c r="D107" s="3">
        <v>14</v>
      </c>
      <c r="E107" s="3">
        <v>763.046</v>
      </c>
      <c r="F107" s="4" t="str">
        <f>HYPERLINK("http://141.218.60.56/~jnz1568/getInfo.php?workbook=06_02.xlsx&amp;sheet=A0&amp;row=107&amp;col=6&amp;number=18880000&amp;sourceID=14","18880000")</f>
        <v>18880000</v>
      </c>
      <c r="G107" s="4" t="str">
        <f>HYPERLINK("http://141.218.60.56/~jnz1568/getInfo.php?workbook=06_02.xlsx&amp;sheet=A0&amp;row=107&amp;col=7&amp;number=0&amp;sourceID=14","0")</f>
        <v>0</v>
      </c>
    </row>
    <row r="108" spans="1:7">
      <c r="A108" s="3">
        <v>6</v>
      </c>
      <c r="B108" s="3">
        <v>2</v>
      </c>
      <c r="C108" s="3">
        <v>28</v>
      </c>
      <c r="D108" s="3">
        <v>14</v>
      </c>
      <c r="E108" s="3">
        <v>748.401</v>
      </c>
      <c r="F108" s="4" t="str">
        <f>HYPERLINK("http://141.218.60.56/~jnz1568/getInfo.php?workbook=06_02.xlsx&amp;sheet=A0&amp;row=108&amp;col=6&amp;number=1454000000&amp;sourceID=14","1454000000")</f>
        <v>1454000000</v>
      </c>
      <c r="G108" s="4" t="str">
        <f>HYPERLINK("http://141.218.60.56/~jnz1568/getInfo.php?workbook=06_02.xlsx&amp;sheet=A0&amp;row=108&amp;col=7&amp;number=0&amp;sourceID=14","0")</f>
        <v>0</v>
      </c>
    </row>
    <row r="109" spans="1:7">
      <c r="A109" s="3">
        <v>6</v>
      </c>
      <c r="B109" s="3">
        <v>2</v>
      </c>
      <c r="C109" s="3">
        <v>34</v>
      </c>
      <c r="D109" s="3">
        <v>14</v>
      </c>
      <c r="E109" s="3">
        <v>515.393</v>
      </c>
      <c r="F109" s="4" t="str">
        <f>HYPERLINK("http://141.218.60.56/~jnz1568/getInfo.php?workbook=06_02.xlsx&amp;sheet=A0&amp;row=109&amp;col=6&amp;number=18470000&amp;sourceID=14","18470000")</f>
        <v>18470000</v>
      </c>
      <c r="G109" s="4" t="str">
        <f>HYPERLINK("http://141.218.60.56/~jnz1568/getInfo.php?workbook=06_02.xlsx&amp;sheet=A0&amp;row=109&amp;col=7&amp;number=0&amp;sourceID=14","0")</f>
        <v>0</v>
      </c>
    </row>
    <row r="110" spans="1:7">
      <c r="A110" s="3">
        <v>6</v>
      </c>
      <c r="B110" s="3">
        <v>2</v>
      </c>
      <c r="C110" s="3">
        <v>35</v>
      </c>
      <c r="D110" s="3">
        <v>14</v>
      </c>
      <c r="E110" s="3">
        <v>515.393</v>
      </c>
      <c r="F110" s="4" t="str">
        <f>HYPERLINK("http://141.218.60.56/~jnz1568/getInfo.php?workbook=06_02.xlsx&amp;sheet=A0&amp;row=110&amp;col=6&amp;number=4620000&amp;sourceID=14","4620000")</f>
        <v>4620000</v>
      </c>
      <c r="G110" s="4" t="str">
        <f>HYPERLINK("http://141.218.60.56/~jnz1568/getInfo.php?workbook=06_02.xlsx&amp;sheet=A0&amp;row=110&amp;col=7&amp;number=0&amp;sourceID=14","0")</f>
        <v>0</v>
      </c>
    </row>
    <row r="111" spans="1:7">
      <c r="A111" s="3">
        <v>6</v>
      </c>
      <c r="B111" s="3">
        <v>2</v>
      </c>
      <c r="C111" s="3">
        <v>36</v>
      </c>
      <c r="D111" s="3">
        <v>14</v>
      </c>
      <c r="E111" s="3">
        <v>515.393</v>
      </c>
      <c r="F111" s="4" t="str">
        <f>HYPERLINK("http://141.218.60.56/~jnz1568/getInfo.php?workbook=06_02.xlsx&amp;sheet=A0&amp;row=111&amp;col=6&amp;number=8322000&amp;sourceID=14","8322000")</f>
        <v>8322000</v>
      </c>
      <c r="G111" s="4" t="str">
        <f>HYPERLINK("http://141.218.60.56/~jnz1568/getInfo.php?workbook=06_02.xlsx&amp;sheet=A0&amp;row=111&amp;col=7&amp;number=0&amp;sourceID=14","0")</f>
        <v>0</v>
      </c>
    </row>
    <row r="112" spans="1:7">
      <c r="A112" s="3">
        <v>6</v>
      </c>
      <c r="B112" s="3">
        <v>2</v>
      </c>
      <c r="C112" s="3">
        <v>42</v>
      </c>
      <c r="D112" s="3">
        <v>14</v>
      </c>
      <c r="E112" s="3">
        <v>511.907</v>
      </c>
      <c r="F112" s="4" t="str">
        <f>HYPERLINK("http://141.218.60.56/~jnz1568/getInfo.php?workbook=06_02.xlsx&amp;sheet=A0&amp;row=112&amp;col=6&amp;number=478100000&amp;sourceID=14","478100000")</f>
        <v>478100000</v>
      </c>
      <c r="G112" s="4" t="str">
        <f>HYPERLINK("http://141.218.60.56/~jnz1568/getInfo.php?workbook=06_02.xlsx&amp;sheet=A0&amp;row=112&amp;col=7&amp;number=0&amp;sourceID=14","0")</f>
        <v>0</v>
      </c>
    </row>
    <row r="113" spans="1:7">
      <c r="A113" s="3">
        <v>6</v>
      </c>
      <c r="B113" s="3">
        <v>2</v>
      </c>
      <c r="C113" s="3">
        <v>21</v>
      </c>
      <c r="D113" s="3">
        <v>15</v>
      </c>
      <c r="E113" s="3">
        <v>763.046</v>
      </c>
      <c r="F113" s="4" t="str">
        <f>HYPERLINK("http://141.218.60.56/~jnz1568/getInfo.php?workbook=06_02.xlsx&amp;sheet=A0&amp;row=113&amp;col=6&amp;number=52440000&amp;sourceID=14","52440000")</f>
        <v>52440000</v>
      </c>
      <c r="G113" s="4" t="str">
        <f>HYPERLINK("http://141.218.60.56/~jnz1568/getInfo.php?workbook=06_02.xlsx&amp;sheet=A0&amp;row=113&amp;col=7&amp;number=0&amp;sourceID=14","0")</f>
        <v>0</v>
      </c>
    </row>
    <row r="114" spans="1:7">
      <c r="A114" s="3">
        <v>6</v>
      </c>
      <c r="B114" s="3">
        <v>2</v>
      </c>
      <c r="C114" s="3">
        <v>22</v>
      </c>
      <c r="D114" s="3">
        <v>15</v>
      </c>
      <c r="E114" s="3">
        <v>763.046</v>
      </c>
      <c r="F114" s="4" t="str">
        <f>HYPERLINK("http://141.218.60.56/~jnz1568/getInfo.php?workbook=06_02.xlsx&amp;sheet=A0&amp;row=114&amp;col=6&amp;number=10480000&amp;sourceID=14","10480000")</f>
        <v>10480000</v>
      </c>
      <c r="G114" s="4" t="str">
        <f>HYPERLINK("http://141.218.60.56/~jnz1568/getInfo.php?workbook=06_02.xlsx&amp;sheet=A0&amp;row=114&amp;col=7&amp;number=0&amp;sourceID=14","0")</f>
        <v>0</v>
      </c>
    </row>
    <row r="115" spans="1:7">
      <c r="A115" s="3">
        <v>6</v>
      </c>
      <c r="B115" s="3">
        <v>2</v>
      </c>
      <c r="C115" s="3">
        <v>28</v>
      </c>
      <c r="D115" s="3">
        <v>15</v>
      </c>
      <c r="E115" s="3">
        <v>748.401</v>
      </c>
      <c r="F115" s="4" t="str">
        <f>HYPERLINK("http://141.218.60.56/~jnz1568/getInfo.php?workbook=06_02.xlsx&amp;sheet=A0&amp;row=115&amp;col=6&amp;number=448300000&amp;sourceID=14","448300000")</f>
        <v>448300000</v>
      </c>
      <c r="G115" s="4" t="str">
        <f>HYPERLINK("http://141.218.60.56/~jnz1568/getInfo.php?workbook=06_02.xlsx&amp;sheet=A0&amp;row=115&amp;col=7&amp;number=0&amp;sourceID=14","0")</f>
        <v>0</v>
      </c>
    </row>
    <row r="116" spans="1:7">
      <c r="A116" s="3">
        <v>6</v>
      </c>
      <c r="B116" s="3">
        <v>2</v>
      </c>
      <c r="C116" s="3">
        <v>29</v>
      </c>
      <c r="D116" s="3">
        <v>15</v>
      </c>
      <c r="E116" s="3">
        <v>748.401</v>
      </c>
      <c r="F116" s="4" t="str">
        <f>HYPERLINK("http://141.218.60.56/~jnz1568/getInfo.php?workbook=06_02.xlsx&amp;sheet=A0&amp;row=116&amp;col=6&amp;number=2564000000&amp;sourceID=14","2564000000")</f>
        <v>2564000000</v>
      </c>
      <c r="G116" s="4" t="str">
        <f>HYPERLINK("http://141.218.60.56/~jnz1568/getInfo.php?workbook=06_02.xlsx&amp;sheet=A0&amp;row=116&amp;col=7&amp;number=0&amp;sourceID=14","0")</f>
        <v>0</v>
      </c>
    </row>
    <row r="117" spans="1:7">
      <c r="A117" s="3">
        <v>6</v>
      </c>
      <c r="B117" s="3">
        <v>2</v>
      </c>
      <c r="C117" s="3">
        <v>35</v>
      </c>
      <c r="D117" s="3">
        <v>15</v>
      </c>
      <c r="E117" s="3">
        <v>515.393</v>
      </c>
      <c r="F117" s="4" t="str">
        <f>HYPERLINK("http://141.218.60.56/~jnz1568/getInfo.php?workbook=06_02.xlsx&amp;sheet=A0&amp;row=117&amp;col=6&amp;number=23110000&amp;sourceID=14","23110000")</f>
        <v>23110000</v>
      </c>
      <c r="G117" s="4" t="str">
        <f>HYPERLINK("http://141.218.60.56/~jnz1568/getInfo.php?workbook=06_02.xlsx&amp;sheet=A0&amp;row=117&amp;col=7&amp;number=0&amp;sourceID=14","0")</f>
        <v>0</v>
      </c>
    </row>
    <row r="118" spans="1:7">
      <c r="A118" s="3">
        <v>6</v>
      </c>
      <c r="B118" s="3">
        <v>2</v>
      </c>
      <c r="C118" s="3">
        <v>36</v>
      </c>
      <c r="D118" s="3">
        <v>15</v>
      </c>
      <c r="E118" s="3">
        <v>515.393</v>
      </c>
      <c r="F118" s="4" t="str">
        <f>HYPERLINK("http://141.218.60.56/~jnz1568/getInfo.php?workbook=06_02.xlsx&amp;sheet=A0&amp;row=118&amp;col=6&amp;number=4620000&amp;sourceID=14","4620000")</f>
        <v>4620000</v>
      </c>
      <c r="G118" s="4" t="str">
        <f>HYPERLINK("http://141.218.60.56/~jnz1568/getInfo.php?workbook=06_02.xlsx&amp;sheet=A0&amp;row=118&amp;col=7&amp;number=0&amp;sourceID=14","0")</f>
        <v>0</v>
      </c>
    </row>
    <row r="119" spans="1:7">
      <c r="A119" s="3">
        <v>6</v>
      </c>
      <c r="B119" s="3">
        <v>2</v>
      </c>
      <c r="C119" s="3">
        <v>42</v>
      </c>
      <c r="D119" s="3">
        <v>15</v>
      </c>
      <c r="E119" s="3">
        <v>511.907</v>
      </c>
      <c r="F119" s="4" t="str">
        <f>HYPERLINK("http://141.218.60.56/~jnz1568/getInfo.php?workbook=06_02.xlsx&amp;sheet=A0&amp;row=119&amp;col=6&amp;number=147400000&amp;sourceID=14","147400000")</f>
        <v>147400000</v>
      </c>
      <c r="G119" s="4" t="str">
        <f>HYPERLINK("http://141.218.60.56/~jnz1568/getInfo.php?workbook=06_02.xlsx&amp;sheet=A0&amp;row=119&amp;col=7&amp;number=0&amp;sourceID=14","0")</f>
        <v>0</v>
      </c>
    </row>
    <row r="120" spans="1:7">
      <c r="A120" s="3">
        <v>6</v>
      </c>
      <c r="B120" s="3">
        <v>2</v>
      </c>
      <c r="C120" s="3">
        <v>43</v>
      </c>
      <c r="D120" s="3">
        <v>15</v>
      </c>
      <c r="E120" s="3">
        <v>511.907</v>
      </c>
      <c r="F120" s="4" t="str">
        <f>HYPERLINK("http://141.218.60.56/~jnz1568/getInfo.php?workbook=06_02.xlsx&amp;sheet=A0&amp;row=120&amp;col=6&amp;number=843200000&amp;sourceID=14","843200000")</f>
        <v>843200000</v>
      </c>
      <c r="G120" s="4" t="str">
        <f>HYPERLINK("http://141.218.60.56/~jnz1568/getInfo.php?workbook=06_02.xlsx&amp;sheet=A0&amp;row=120&amp;col=7&amp;number=0&amp;sourceID=14","0")</f>
        <v>0</v>
      </c>
    </row>
    <row r="121" spans="1:7">
      <c r="A121" s="3">
        <v>6</v>
      </c>
      <c r="B121" s="3">
        <v>2</v>
      </c>
      <c r="C121" s="3">
        <v>22</v>
      </c>
      <c r="D121" s="3">
        <v>16</v>
      </c>
      <c r="E121" s="3">
        <v>763.104</v>
      </c>
      <c r="F121" s="4" t="str">
        <f>HYPERLINK("http://141.218.60.56/~jnz1568/getInfo.php?workbook=06_02.xlsx&amp;sheet=A0&amp;row=121&amp;col=6&amp;number=82270000&amp;sourceID=14","82270000")</f>
        <v>82270000</v>
      </c>
      <c r="G121" s="4" t="str">
        <f>HYPERLINK("http://141.218.60.56/~jnz1568/getInfo.php?workbook=06_02.xlsx&amp;sheet=A0&amp;row=121&amp;col=7&amp;number=0&amp;sourceID=14","0")</f>
        <v>0</v>
      </c>
    </row>
    <row r="122" spans="1:7">
      <c r="A122" s="3">
        <v>6</v>
      </c>
      <c r="B122" s="3">
        <v>2</v>
      </c>
      <c r="C122" s="3">
        <v>28</v>
      </c>
      <c r="D122" s="3">
        <v>16</v>
      </c>
      <c r="E122" s="3">
        <v>748.457</v>
      </c>
      <c r="F122" s="4" t="str">
        <f>HYPERLINK("http://141.218.60.56/~jnz1568/getInfo.php?workbook=06_02.xlsx&amp;sheet=A0&amp;row=122&amp;col=6&amp;number=878500000&amp;sourceID=14","878500000")</f>
        <v>878500000</v>
      </c>
      <c r="G122" s="4" t="str">
        <f>HYPERLINK("http://141.218.60.56/~jnz1568/getInfo.php?workbook=06_02.xlsx&amp;sheet=A0&amp;row=122&amp;col=7&amp;number=0&amp;sourceID=14","0")</f>
        <v>0</v>
      </c>
    </row>
    <row r="123" spans="1:7">
      <c r="A123" s="3">
        <v>6</v>
      </c>
      <c r="B123" s="3">
        <v>2</v>
      </c>
      <c r="C123" s="3">
        <v>29</v>
      </c>
      <c r="D123" s="3">
        <v>16</v>
      </c>
      <c r="E123" s="3">
        <v>748.457</v>
      </c>
      <c r="F123" s="4" t="str">
        <f>HYPERLINK("http://141.218.60.56/~jnz1568/getInfo.php?workbook=06_02.xlsx&amp;sheet=A0&amp;row=123&amp;col=6&amp;number=448300000&amp;sourceID=14","448300000")</f>
        <v>448300000</v>
      </c>
      <c r="G123" s="4" t="str">
        <f>HYPERLINK("http://141.218.60.56/~jnz1568/getInfo.php?workbook=06_02.xlsx&amp;sheet=A0&amp;row=123&amp;col=7&amp;number=0&amp;sourceID=14","0")</f>
        <v>0</v>
      </c>
    </row>
    <row r="124" spans="1:7">
      <c r="A124" s="3">
        <v>6</v>
      </c>
      <c r="B124" s="3">
        <v>2</v>
      </c>
      <c r="C124" s="3">
        <v>30</v>
      </c>
      <c r="D124" s="3">
        <v>16</v>
      </c>
      <c r="E124" s="3">
        <v>748.457</v>
      </c>
      <c r="F124" s="4" t="str">
        <f>HYPERLINK("http://141.218.60.56/~jnz1568/getInfo.php?workbook=06_02.xlsx&amp;sheet=A0&amp;row=124&amp;col=6&amp;number=4038000000&amp;sourceID=14","4038000000")</f>
        <v>4038000000</v>
      </c>
      <c r="G124" s="4" t="str">
        <f>HYPERLINK("http://141.218.60.56/~jnz1568/getInfo.php?workbook=06_02.xlsx&amp;sheet=A0&amp;row=124&amp;col=7&amp;number=0&amp;sourceID=14","0")</f>
        <v>0</v>
      </c>
    </row>
    <row r="125" spans="1:7">
      <c r="A125" s="3">
        <v>6</v>
      </c>
      <c r="B125" s="3">
        <v>2</v>
      </c>
      <c r="C125" s="3">
        <v>36</v>
      </c>
      <c r="D125" s="3">
        <v>16</v>
      </c>
      <c r="E125" s="3">
        <v>515.42</v>
      </c>
      <c r="F125" s="4" t="str">
        <f>HYPERLINK("http://141.218.60.56/~jnz1568/getInfo.php?workbook=06_02.xlsx&amp;sheet=A0&amp;row=125&amp;col=6&amp;number=36260000&amp;sourceID=14","36260000")</f>
        <v>36260000</v>
      </c>
      <c r="G125" s="4" t="str">
        <f>HYPERLINK("http://141.218.60.56/~jnz1568/getInfo.php?workbook=06_02.xlsx&amp;sheet=A0&amp;row=125&amp;col=7&amp;number=0&amp;sourceID=14","0")</f>
        <v>0</v>
      </c>
    </row>
    <row r="126" spans="1:7">
      <c r="A126" s="3">
        <v>6</v>
      </c>
      <c r="B126" s="3">
        <v>2</v>
      </c>
      <c r="C126" s="3">
        <v>42</v>
      </c>
      <c r="D126" s="3">
        <v>16</v>
      </c>
      <c r="E126" s="3">
        <v>511.933</v>
      </c>
      <c r="F126" s="4" t="str">
        <f>HYPERLINK("http://141.218.60.56/~jnz1568/getInfo.php?workbook=06_02.xlsx&amp;sheet=A0&amp;row=126&amp;col=6&amp;number=288900000&amp;sourceID=14","288900000")</f>
        <v>288900000</v>
      </c>
      <c r="G126" s="4" t="str">
        <f>HYPERLINK("http://141.218.60.56/~jnz1568/getInfo.php?workbook=06_02.xlsx&amp;sheet=A0&amp;row=126&amp;col=7&amp;number=0&amp;sourceID=14","0")</f>
        <v>0</v>
      </c>
    </row>
    <row r="127" spans="1:7">
      <c r="A127" s="3">
        <v>6</v>
      </c>
      <c r="B127" s="3">
        <v>2</v>
      </c>
      <c r="C127" s="3">
        <v>43</v>
      </c>
      <c r="D127" s="3">
        <v>16</v>
      </c>
      <c r="E127" s="3">
        <v>511.933</v>
      </c>
      <c r="F127" s="4" t="str">
        <f>HYPERLINK("http://141.218.60.56/~jnz1568/getInfo.php?workbook=06_02.xlsx&amp;sheet=A0&amp;row=127&amp;col=6&amp;number=147400000&amp;sourceID=14","147400000")</f>
        <v>147400000</v>
      </c>
      <c r="G127" s="4" t="str">
        <f>HYPERLINK("http://141.218.60.56/~jnz1568/getInfo.php?workbook=06_02.xlsx&amp;sheet=A0&amp;row=127&amp;col=7&amp;number=0&amp;sourceID=14","0")</f>
        <v>0</v>
      </c>
    </row>
    <row r="128" spans="1:7">
      <c r="A128" s="3">
        <v>6</v>
      </c>
      <c r="B128" s="3">
        <v>2</v>
      </c>
      <c r="C128" s="3">
        <v>44</v>
      </c>
      <c r="D128" s="3">
        <v>16</v>
      </c>
      <c r="E128" s="3">
        <v>511.933</v>
      </c>
      <c r="F128" s="4" t="str">
        <f>HYPERLINK("http://141.218.60.56/~jnz1568/getInfo.php?workbook=06_02.xlsx&amp;sheet=A0&amp;row=128&amp;col=6&amp;number=1328000000&amp;sourceID=14","1328000000")</f>
        <v>1328000000</v>
      </c>
      <c r="G128" s="4" t="str">
        <f>HYPERLINK("http://141.218.60.56/~jnz1568/getInfo.php?workbook=06_02.xlsx&amp;sheet=A0&amp;row=128&amp;col=7&amp;number=0&amp;sourceID=14","0")</f>
        <v>0</v>
      </c>
    </row>
    <row r="129" spans="1:7">
      <c r="A129" s="3">
        <v>6</v>
      </c>
      <c r="B129" s="3">
        <v>2</v>
      </c>
      <c r="C129" s="3">
        <v>23</v>
      </c>
      <c r="D129" s="3">
        <v>17</v>
      </c>
      <c r="E129" s="3">
        <v>745.263</v>
      </c>
      <c r="F129" s="4" t="str">
        <f>HYPERLINK("http://141.218.60.56/~jnz1568/getInfo.php?workbook=06_02.xlsx&amp;sheet=A0&amp;row=129&amp;col=6&amp;number=219900000&amp;sourceID=14","219900000")</f>
        <v>219900000</v>
      </c>
      <c r="G129" s="4" t="str">
        <f>HYPERLINK("http://141.218.60.56/~jnz1568/getInfo.php?workbook=06_02.xlsx&amp;sheet=A0&amp;row=129&amp;col=7&amp;number=0&amp;sourceID=14","0")</f>
        <v>0</v>
      </c>
    </row>
    <row r="130" spans="1:7">
      <c r="A130" s="3">
        <v>6</v>
      </c>
      <c r="B130" s="3">
        <v>2</v>
      </c>
      <c r="C130" s="3">
        <v>31</v>
      </c>
      <c r="D130" s="3">
        <v>17</v>
      </c>
      <c r="E130" s="3">
        <v>749.658</v>
      </c>
      <c r="F130" s="4" t="str">
        <f>HYPERLINK("http://141.218.60.56/~jnz1568/getInfo.php?workbook=06_02.xlsx&amp;sheet=A0&amp;row=130&amp;col=6&amp;number=8626000000&amp;sourceID=14","8626000000")</f>
        <v>8626000000</v>
      </c>
      <c r="G130" s="4" t="str">
        <f>HYPERLINK("http://141.218.60.56/~jnz1568/getInfo.php?workbook=06_02.xlsx&amp;sheet=A0&amp;row=130&amp;col=7&amp;number=0&amp;sourceID=14","0")</f>
        <v>0</v>
      </c>
    </row>
    <row r="131" spans="1:7">
      <c r="A131" s="3">
        <v>6</v>
      </c>
      <c r="B131" s="3">
        <v>2</v>
      </c>
      <c r="C131" s="3">
        <v>37</v>
      </c>
      <c r="D131" s="3">
        <v>17</v>
      </c>
      <c r="E131" s="3">
        <v>511.471</v>
      </c>
      <c r="F131" s="4" t="str">
        <f>HYPERLINK("http://141.218.60.56/~jnz1568/getInfo.php?workbook=06_02.xlsx&amp;sheet=A0&amp;row=131&amp;col=6&amp;number=93870000&amp;sourceID=14","93870000")</f>
        <v>93870000</v>
      </c>
      <c r="G131" s="4" t="str">
        <f>HYPERLINK("http://141.218.60.56/~jnz1568/getInfo.php?workbook=06_02.xlsx&amp;sheet=A0&amp;row=131&amp;col=7&amp;number=0&amp;sourceID=14","0")</f>
        <v>0</v>
      </c>
    </row>
    <row r="132" spans="1:7">
      <c r="A132" s="3">
        <v>6</v>
      </c>
      <c r="B132" s="3">
        <v>2</v>
      </c>
      <c r="C132" s="3">
        <v>45</v>
      </c>
      <c r="D132" s="3">
        <v>17</v>
      </c>
      <c r="E132" s="3">
        <v>512.495</v>
      </c>
      <c r="F132" s="4" t="str">
        <f>HYPERLINK("http://141.218.60.56/~jnz1568/getInfo.php?workbook=06_02.xlsx&amp;sheet=A0&amp;row=132&amp;col=6&amp;number=2839000000&amp;sourceID=14","2839000000")</f>
        <v>2839000000</v>
      </c>
      <c r="G132" s="4" t="str">
        <f>HYPERLINK("http://141.218.60.56/~jnz1568/getInfo.php?workbook=06_02.xlsx&amp;sheet=A0&amp;row=132&amp;col=7&amp;number=0&amp;sourceID=14","0")</f>
        <v>0</v>
      </c>
    </row>
    <row r="133" spans="1:7">
      <c r="A133" s="3">
        <v>6</v>
      </c>
      <c r="B133" s="3">
        <v>2</v>
      </c>
      <c r="C133" s="3">
        <v>34</v>
      </c>
      <c r="D133" s="3">
        <v>18</v>
      </c>
      <c r="E133" s="3">
        <v>1475.125</v>
      </c>
      <c r="F133" s="4" t="str">
        <f>HYPERLINK("http://141.218.60.56/~jnz1568/getInfo.php?workbook=06_02.xlsx&amp;sheet=A0&amp;row=133&amp;col=6&amp;number=555100000&amp;sourceID=14","555100000")</f>
        <v>555100000</v>
      </c>
      <c r="G133" s="4" t="str">
        <f>HYPERLINK("http://141.218.60.56/~jnz1568/getInfo.php?workbook=06_02.xlsx&amp;sheet=A0&amp;row=133&amp;col=7&amp;number=0&amp;sourceID=14","0")</f>
        <v>0</v>
      </c>
    </row>
    <row r="134" spans="1:7">
      <c r="A134" s="3">
        <v>6</v>
      </c>
      <c r="B134" s="3">
        <v>2</v>
      </c>
      <c r="C134" s="3">
        <v>35</v>
      </c>
      <c r="D134" s="3">
        <v>18</v>
      </c>
      <c r="E134" s="3">
        <v>1475.125</v>
      </c>
      <c r="F134" s="4" t="str">
        <f>HYPERLINK("http://141.218.60.56/~jnz1568/getInfo.php?workbook=06_02.xlsx&amp;sheet=A0&amp;row=134&amp;col=6&amp;number=555300000&amp;sourceID=14","555300000")</f>
        <v>555300000</v>
      </c>
      <c r="G134" s="4" t="str">
        <f>HYPERLINK("http://141.218.60.56/~jnz1568/getInfo.php?workbook=06_02.xlsx&amp;sheet=A0&amp;row=134&amp;col=7&amp;number=0&amp;sourceID=14","0")</f>
        <v>0</v>
      </c>
    </row>
    <row r="135" spans="1:7">
      <c r="A135" s="3">
        <v>6</v>
      </c>
      <c r="B135" s="3">
        <v>2</v>
      </c>
      <c r="C135" s="3">
        <v>36</v>
      </c>
      <c r="D135" s="3">
        <v>18</v>
      </c>
      <c r="E135" s="3">
        <v>1475.125</v>
      </c>
      <c r="F135" s="4" t="str">
        <f>HYPERLINK("http://141.218.60.56/~jnz1568/getInfo.php?workbook=06_02.xlsx&amp;sheet=A0&amp;row=135&amp;col=6&amp;number=556200000&amp;sourceID=14","556200000")</f>
        <v>556200000</v>
      </c>
      <c r="G135" s="4" t="str">
        <f>HYPERLINK("http://141.218.60.56/~jnz1568/getInfo.php?workbook=06_02.xlsx&amp;sheet=A0&amp;row=135&amp;col=7&amp;number=0&amp;sourceID=14","0")</f>
        <v>0</v>
      </c>
    </row>
    <row r="136" spans="1:7">
      <c r="A136" s="3">
        <v>6</v>
      </c>
      <c r="B136" s="3">
        <v>2</v>
      </c>
      <c r="C136" s="3">
        <v>37</v>
      </c>
      <c r="D136" s="3">
        <v>19</v>
      </c>
      <c r="E136" s="3">
        <v>-1582.05</v>
      </c>
      <c r="F136" s="4" t="str">
        <f>HYPERLINK("http://141.218.60.56/~jnz1568/getInfo.php?workbook=06_02.xlsx&amp;sheet=A0&amp;row=136&amp;col=6&amp;number=483200000&amp;sourceID=14","483200000")</f>
        <v>483200000</v>
      </c>
      <c r="G136" s="4" t="str">
        <f>HYPERLINK("http://141.218.60.56/~jnz1568/getInfo.php?workbook=06_02.xlsx&amp;sheet=A0&amp;row=136&amp;col=7&amp;number=0&amp;sourceID=14","0")</f>
        <v>0</v>
      </c>
    </row>
    <row r="137" spans="1:7">
      <c r="A137" s="3">
        <v>6</v>
      </c>
      <c r="B137" s="3">
        <v>2</v>
      </c>
      <c r="C137" s="3">
        <v>32</v>
      </c>
      <c r="D137" s="3">
        <v>20</v>
      </c>
      <c r="E137" s="3">
        <v>1651.04</v>
      </c>
      <c r="F137" s="4" t="str">
        <f>HYPERLINK("http://141.218.60.56/~jnz1568/getInfo.php?workbook=06_02.xlsx&amp;sheet=A0&amp;row=137&amp;col=6&amp;number=4788000&amp;sourceID=14","4788000")</f>
        <v>4788000</v>
      </c>
      <c r="G137" s="4" t="str">
        <f>HYPERLINK("http://141.218.60.56/~jnz1568/getInfo.php?workbook=06_02.xlsx&amp;sheet=A0&amp;row=137&amp;col=7&amp;number=0&amp;sourceID=14","0")</f>
        <v>0</v>
      </c>
    </row>
    <row r="138" spans="1:7">
      <c r="A138" s="3">
        <v>6</v>
      </c>
      <c r="B138" s="3">
        <v>2</v>
      </c>
      <c r="C138" s="3">
        <v>38</v>
      </c>
      <c r="D138" s="3">
        <v>20</v>
      </c>
      <c r="E138" s="3">
        <v>1556.908</v>
      </c>
      <c r="F138" s="4" t="str">
        <f>HYPERLINK("http://141.218.60.56/~jnz1568/getInfo.php?workbook=06_02.xlsx&amp;sheet=A0&amp;row=138&amp;col=6&amp;number=62000000&amp;sourceID=14","62000000")</f>
        <v>62000000</v>
      </c>
      <c r="G138" s="4" t="str">
        <f>HYPERLINK("http://141.218.60.56/~jnz1568/getInfo.php?workbook=06_02.xlsx&amp;sheet=A0&amp;row=138&amp;col=7&amp;number=0&amp;sourceID=14","0")</f>
        <v>0</v>
      </c>
    </row>
    <row r="139" spans="1:7">
      <c r="A139" s="3">
        <v>6</v>
      </c>
      <c r="B139" s="3">
        <v>2</v>
      </c>
      <c r="C139" s="3">
        <v>32</v>
      </c>
      <c r="D139" s="3">
        <v>21</v>
      </c>
      <c r="E139" s="3">
        <v>1651.04</v>
      </c>
      <c r="F139" s="4" t="str">
        <f>HYPERLINK("http://141.218.60.56/~jnz1568/getInfo.php?workbook=06_02.xlsx&amp;sheet=A0&amp;row=139&amp;col=6&amp;number=43090000&amp;sourceID=14","43090000")</f>
        <v>43090000</v>
      </c>
      <c r="G139" s="4" t="str">
        <f>HYPERLINK("http://141.218.60.56/~jnz1568/getInfo.php?workbook=06_02.xlsx&amp;sheet=A0&amp;row=139&amp;col=7&amp;number=0&amp;sourceID=14","0")</f>
        <v>0</v>
      </c>
    </row>
    <row r="140" spans="1:7">
      <c r="A140" s="3">
        <v>6</v>
      </c>
      <c r="B140" s="3">
        <v>2</v>
      </c>
      <c r="C140" s="3">
        <v>38</v>
      </c>
      <c r="D140" s="3">
        <v>21</v>
      </c>
      <c r="E140" s="3">
        <v>1556.908</v>
      </c>
      <c r="F140" s="4" t="str">
        <f>HYPERLINK("http://141.218.60.56/~jnz1568/getInfo.php?workbook=06_02.xlsx&amp;sheet=A0&amp;row=140&amp;col=6&amp;number=139600000&amp;sourceID=14","139600000")</f>
        <v>139600000</v>
      </c>
      <c r="G140" s="4" t="str">
        <f>HYPERLINK("http://141.218.60.56/~jnz1568/getInfo.php?workbook=06_02.xlsx&amp;sheet=A0&amp;row=140&amp;col=7&amp;number=0&amp;sourceID=14","0")</f>
        <v>0</v>
      </c>
    </row>
    <row r="141" spans="1:7">
      <c r="A141" s="3">
        <v>6</v>
      </c>
      <c r="B141" s="3">
        <v>2</v>
      </c>
      <c r="C141" s="3">
        <v>39</v>
      </c>
      <c r="D141" s="3">
        <v>21</v>
      </c>
      <c r="E141" s="3">
        <v>1556.908</v>
      </c>
      <c r="F141" s="4" t="str">
        <f>HYPERLINK("http://141.218.60.56/~jnz1568/getInfo.php?workbook=06_02.xlsx&amp;sheet=A0&amp;row=141&amp;col=6&amp;number=251400000&amp;sourceID=14","251400000")</f>
        <v>251400000</v>
      </c>
      <c r="G141" s="4" t="str">
        <f>HYPERLINK("http://141.218.60.56/~jnz1568/getInfo.php?workbook=06_02.xlsx&amp;sheet=A0&amp;row=141&amp;col=7&amp;number=0&amp;sourceID=14","0")</f>
        <v>0</v>
      </c>
    </row>
    <row r="142" spans="1:7">
      <c r="A142" s="3">
        <v>6</v>
      </c>
      <c r="B142" s="3">
        <v>2</v>
      </c>
      <c r="C142" s="3">
        <v>32</v>
      </c>
      <c r="D142" s="3">
        <v>22</v>
      </c>
      <c r="E142" s="3">
        <v>1651.04</v>
      </c>
      <c r="F142" s="4" t="str">
        <f>HYPERLINK("http://141.218.60.56/~jnz1568/getInfo.php?workbook=06_02.xlsx&amp;sheet=A0&amp;row=142&amp;col=6&amp;number=119900000&amp;sourceID=14","119900000")</f>
        <v>119900000</v>
      </c>
      <c r="G142" s="4" t="str">
        <f>HYPERLINK("http://141.218.60.56/~jnz1568/getInfo.php?workbook=06_02.xlsx&amp;sheet=A0&amp;row=142&amp;col=7&amp;number=0&amp;sourceID=14","0")</f>
        <v>0</v>
      </c>
    </row>
    <row r="143" spans="1:7">
      <c r="A143" s="3">
        <v>6</v>
      </c>
      <c r="B143" s="3">
        <v>2</v>
      </c>
      <c r="C143" s="3">
        <v>38</v>
      </c>
      <c r="D143" s="3">
        <v>22</v>
      </c>
      <c r="E143" s="3">
        <v>1556.908</v>
      </c>
      <c r="F143" s="4" t="str">
        <f>HYPERLINK("http://141.218.60.56/~jnz1568/getInfo.php?workbook=06_02.xlsx&amp;sheet=A0&amp;row=143&amp;col=6&amp;number=698200000&amp;sourceID=14","698200000")</f>
        <v>698200000</v>
      </c>
      <c r="G143" s="4" t="str">
        <f>HYPERLINK("http://141.218.60.56/~jnz1568/getInfo.php?workbook=06_02.xlsx&amp;sheet=A0&amp;row=143&amp;col=7&amp;number=0&amp;sourceID=14","0")</f>
        <v>0</v>
      </c>
    </row>
    <row r="144" spans="1:7">
      <c r="A144" s="3">
        <v>6</v>
      </c>
      <c r="B144" s="3">
        <v>2</v>
      </c>
      <c r="C144" s="3">
        <v>39</v>
      </c>
      <c r="D144" s="3">
        <v>22</v>
      </c>
      <c r="E144" s="3">
        <v>1556.908</v>
      </c>
      <c r="F144" s="4" t="str">
        <f>HYPERLINK("http://141.218.60.56/~jnz1568/getInfo.php?workbook=06_02.xlsx&amp;sheet=A0&amp;row=144&amp;col=6&amp;number=139600000&amp;sourceID=14","139600000")</f>
        <v>139600000</v>
      </c>
      <c r="G144" s="4" t="str">
        <f>HYPERLINK("http://141.218.60.56/~jnz1568/getInfo.php?workbook=06_02.xlsx&amp;sheet=A0&amp;row=144&amp;col=7&amp;number=0&amp;sourceID=14","0")</f>
        <v>0</v>
      </c>
    </row>
    <row r="145" spans="1:7">
      <c r="A145" s="3">
        <v>6</v>
      </c>
      <c r="B145" s="3">
        <v>2</v>
      </c>
      <c r="C145" s="3">
        <v>40</v>
      </c>
      <c r="D145" s="3">
        <v>22</v>
      </c>
      <c r="E145" s="3">
        <v>1556.908</v>
      </c>
      <c r="F145" s="4" t="str">
        <f>HYPERLINK("http://141.218.60.56/~jnz1568/getInfo.php?workbook=06_02.xlsx&amp;sheet=A0&amp;row=145&amp;col=6&amp;number=559100000&amp;sourceID=14","559100000")</f>
        <v>559100000</v>
      </c>
      <c r="G145" s="4" t="str">
        <f>HYPERLINK("http://141.218.60.56/~jnz1568/getInfo.php?workbook=06_02.xlsx&amp;sheet=A0&amp;row=145&amp;col=7&amp;number=0&amp;sourceID=14","0")</f>
        <v>0</v>
      </c>
    </row>
    <row r="146" spans="1:7">
      <c r="A146" s="3">
        <v>6</v>
      </c>
      <c r="B146" s="3">
        <v>2</v>
      </c>
      <c r="C146" s="3">
        <v>33</v>
      </c>
      <c r="D146" s="3">
        <v>23</v>
      </c>
      <c r="E146" s="3">
        <v>-1782.614</v>
      </c>
      <c r="F146" s="4" t="str">
        <f>HYPERLINK("http://141.218.60.56/~jnz1568/getInfo.php?workbook=06_02.xlsx&amp;sheet=A0&amp;row=146&amp;col=6&amp;number=332900000&amp;sourceID=14","332900000")</f>
        <v>332900000</v>
      </c>
      <c r="G146" s="4" t="str">
        <f>HYPERLINK("http://141.218.60.56/~jnz1568/getInfo.php?workbook=06_02.xlsx&amp;sheet=A0&amp;row=146&amp;col=7&amp;number=0&amp;sourceID=14","0")</f>
        <v>0</v>
      </c>
    </row>
    <row r="147" spans="1:7">
      <c r="A147" s="3">
        <v>6</v>
      </c>
      <c r="B147" s="3">
        <v>2</v>
      </c>
      <c r="C147" s="3">
        <v>41</v>
      </c>
      <c r="D147" s="3">
        <v>23</v>
      </c>
      <c r="E147" s="3">
        <v>1640.8</v>
      </c>
      <c r="F147" s="4" t="str">
        <f>HYPERLINK("http://141.218.60.56/~jnz1568/getInfo.php?workbook=06_02.xlsx&amp;sheet=A0&amp;row=147&amp;col=6&amp;number=905300000&amp;sourceID=14","905300000")</f>
        <v>905300000</v>
      </c>
      <c r="G147" s="4" t="str">
        <f>HYPERLINK("http://141.218.60.56/~jnz1568/getInfo.php?workbook=06_02.xlsx&amp;sheet=A0&amp;row=147&amp;col=7&amp;number=0&amp;sourceID=14","0")</f>
        <v>0</v>
      </c>
    </row>
    <row r="148" spans="1:7">
      <c r="A148" s="3">
        <v>6</v>
      </c>
      <c r="B148" s="3">
        <v>2</v>
      </c>
      <c r="C148" s="3">
        <v>34</v>
      </c>
      <c r="D148" s="3">
        <v>24</v>
      </c>
      <c r="E148" s="3">
        <v>1651.367</v>
      </c>
      <c r="F148" s="4" t="str">
        <f>HYPERLINK("http://141.218.60.56/~jnz1568/getInfo.php?workbook=06_02.xlsx&amp;sheet=A0&amp;row=148&amp;col=6&amp;number=22650000&amp;sourceID=14","22650000")</f>
        <v>22650000</v>
      </c>
      <c r="G148" s="4" t="str">
        <f>HYPERLINK("http://141.218.60.56/~jnz1568/getInfo.php?workbook=06_02.xlsx&amp;sheet=A0&amp;row=148&amp;col=7&amp;number=0&amp;sourceID=14","0")</f>
        <v>0</v>
      </c>
    </row>
    <row r="149" spans="1:7">
      <c r="A149" s="3">
        <v>6</v>
      </c>
      <c r="B149" s="3">
        <v>2</v>
      </c>
      <c r="C149" s="3">
        <v>35</v>
      </c>
      <c r="D149" s="3">
        <v>24</v>
      </c>
      <c r="E149" s="3">
        <v>1651.367</v>
      </c>
      <c r="F149" s="4" t="str">
        <f>HYPERLINK("http://141.218.60.56/~jnz1568/getInfo.php?workbook=06_02.xlsx&amp;sheet=A0&amp;row=149&amp;col=6&amp;number=5665000&amp;sourceID=14","5665000")</f>
        <v>5665000</v>
      </c>
      <c r="G149" s="4" t="str">
        <f>HYPERLINK("http://141.218.60.56/~jnz1568/getInfo.php?workbook=06_02.xlsx&amp;sheet=A0&amp;row=149&amp;col=7&amp;number=0&amp;sourceID=14","0")</f>
        <v>0</v>
      </c>
    </row>
    <row r="150" spans="1:7">
      <c r="A150" s="3">
        <v>6</v>
      </c>
      <c r="B150" s="3">
        <v>2</v>
      </c>
      <c r="C150" s="3">
        <v>36</v>
      </c>
      <c r="D150" s="3">
        <v>24</v>
      </c>
      <c r="E150" s="3">
        <v>1651.367</v>
      </c>
      <c r="F150" s="4" t="str">
        <f>HYPERLINK("http://141.218.60.56/~jnz1568/getInfo.php?workbook=06_02.xlsx&amp;sheet=A0&amp;row=150&amp;col=6&amp;number=10200000&amp;sourceID=14","10200000")</f>
        <v>10200000</v>
      </c>
      <c r="G150" s="4" t="str">
        <f>HYPERLINK("http://141.218.60.56/~jnz1568/getInfo.php?workbook=06_02.xlsx&amp;sheet=A0&amp;row=150&amp;col=7&amp;number=0&amp;sourceID=14","0")</f>
        <v>0</v>
      </c>
    </row>
    <row r="151" spans="1:7">
      <c r="A151" s="3">
        <v>6</v>
      </c>
      <c r="B151" s="3">
        <v>2</v>
      </c>
      <c r="C151" s="3">
        <v>42</v>
      </c>
      <c r="D151" s="3">
        <v>24</v>
      </c>
      <c r="E151" s="3">
        <v>1616.106</v>
      </c>
      <c r="F151" s="4" t="str">
        <f>HYPERLINK("http://141.218.60.56/~jnz1568/getInfo.php?workbook=06_02.xlsx&amp;sheet=A0&amp;row=151&amp;col=6&amp;number=272700000&amp;sourceID=14","272700000")</f>
        <v>272700000</v>
      </c>
      <c r="G151" s="4" t="str">
        <f>HYPERLINK("http://141.218.60.56/~jnz1568/getInfo.php?workbook=06_02.xlsx&amp;sheet=A0&amp;row=151&amp;col=7&amp;number=0&amp;sourceID=14","0")</f>
        <v>0</v>
      </c>
    </row>
    <row r="152" spans="1:7">
      <c r="A152" s="3">
        <v>6</v>
      </c>
      <c r="B152" s="3">
        <v>2</v>
      </c>
      <c r="C152" s="3">
        <v>35</v>
      </c>
      <c r="D152" s="3">
        <v>25</v>
      </c>
      <c r="E152" s="3">
        <v>1651.367</v>
      </c>
      <c r="F152" s="4" t="str">
        <f>HYPERLINK("http://141.218.60.56/~jnz1568/getInfo.php?workbook=06_02.xlsx&amp;sheet=A0&amp;row=152&amp;col=6&amp;number=28340000&amp;sourceID=14","28340000")</f>
        <v>28340000</v>
      </c>
      <c r="G152" s="4" t="str">
        <f>HYPERLINK("http://141.218.60.56/~jnz1568/getInfo.php?workbook=06_02.xlsx&amp;sheet=A0&amp;row=152&amp;col=7&amp;number=0&amp;sourceID=14","0")</f>
        <v>0</v>
      </c>
    </row>
    <row r="153" spans="1:7">
      <c r="A153" s="3">
        <v>6</v>
      </c>
      <c r="B153" s="3">
        <v>2</v>
      </c>
      <c r="C153" s="3">
        <v>36</v>
      </c>
      <c r="D153" s="3">
        <v>25</v>
      </c>
      <c r="E153" s="3">
        <v>1651.367</v>
      </c>
      <c r="F153" s="4" t="str">
        <f>HYPERLINK("http://141.218.60.56/~jnz1568/getInfo.php?workbook=06_02.xlsx&amp;sheet=A0&amp;row=153&amp;col=6&amp;number=5667000&amp;sourceID=14","5667000")</f>
        <v>5667000</v>
      </c>
      <c r="G153" s="4" t="str">
        <f>HYPERLINK("http://141.218.60.56/~jnz1568/getInfo.php?workbook=06_02.xlsx&amp;sheet=A0&amp;row=153&amp;col=7&amp;number=0&amp;sourceID=14","0")</f>
        <v>0</v>
      </c>
    </row>
    <row r="154" spans="1:7">
      <c r="A154" s="3">
        <v>6</v>
      </c>
      <c r="B154" s="3">
        <v>2</v>
      </c>
      <c r="C154" s="3">
        <v>42</v>
      </c>
      <c r="D154" s="3">
        <v>25</v>
      </c>
      <c r="E154" s="3">
        <v>1616.106</v>
      </c>
      <c r="F154" s="4" t="str">
        <f>HYPERLINK("http://141.218.60.56/~jnz1568/getInfo.php?workbook=06_02.xlsx&amp;sheet=A0&amp;row=154&amp;col=6&amp;number=84080000&amp;sourceID=14","84080000")</f>
        <v>84080000</v>
      </c>
      <c r="G154" s="4" t="str">
        <f>HYPERLINK("http://141.218.60.56/~jnz1568/getInfo.php?workbook=06_02.xlsx&amp;sheet=A0&amp;row=154&amp;col=7&amp;number=0&amp;sourceID=14","0")</f>
        <v>0</v>
      </c>
    </row>
    <row r="155" spans="1:7">
      <c r="A155" s="3">
        <v>6</v>
      </c>
      <c r="B155" s="3">
        <v>2</v>
      </c>
      <c r="C155" s="3">
        <v>43</v>
      </c>
      <c r="D155" s="3">
        <v>25</v>
      </c>
      <c r="E155" s="3">
        <v>1616.106</v>
      </c>
      <c r="F155" s="4" t="str">
        <f>HYPERLINK("http://141.218.60.56/~jnz1568/getInfo.php?workbook=06_02.xlsx&amp;sheet=A0&amp;row=155&amp;col=6&amp;number=481000000&amp;sourceID=14","481000000")</f>
        <v>481000000</v>
      </c>
      <c r="G155" s="4" t="str">
        <f>HYPERLINK("http://141.218.60.56/~jnz1568/getInfo.php?workbook=06_02.xlsx&amp;sheet=A0&amp;row=155&amp;col=7&amp;number=0&amp;sourceID=14","0")</f>
        <v>0</v>
      </c>
    </row>
    <row r="156" spans="1:7">
      <c r="A156" s="3">
        <v>6</v>
      </c>
      <c r="B156" s="3">
        <v>2</v>
      </c>
      <c r="C156" s="3">
        <v>36</v>
      </c>
      <c r="D156" s="3">
        <v>26</v>
      </c>
      <c r="E156" s="3">
        <v>1651.367</v>
      </c>
      <c r="F156" s="4" t="str">
        <f>HYPERLINK("http://141.218.60.56/~jnz1568/getInfo.php?workbook=06_02.xlsx&amp;sheet=A0&amp;row=156&amp;col=6&amp;number=44460000&amp;sourceID=14","44460000")</f>
        <v>44460000</v>
      </c>
      <c r="G156" s="4" t="str">
        <f>HYPERLINK("http://141.218.60.56/~jnz1568/getInfo.php?workbook=06_02.xlsx&amp;sheet=A0&amp;row=156&amp;col=7&amp;number=0&amp;sourceID=14","0")</f>
        <v>0</v>
      </c>
    </row>
    <row r="157" spans="1:7">
      <c r="A157" s="3">
        <v>6</v>
      </c>
      <c r="B157" s="3">
        <v>2</v>
      </c>
      <c r="C157" s="3">
        <v>42</v>
      </c>
      <c r="D157" s="3">
        <v>26</v>
      </c>
      <c r="E157" s="3">
        <v>1616.106</v>
      </c>
      <c r="F157" s="4" t="str">
        <f>HYPERLINK("http://141.218.60.56/~jnz1568/getInfo.php?workbook=06_02.xlsx&amp;sheet=A0&amp;row=157&amp;col=6&amp;number=164800000&amp;sourceID=14","164800000")</f>
        <v>164800000</v>
      </c>
      <c r="G157" s="4" t="str">
        <f>HYPERLINK("http://141.218.60.56/~jnz1568/getInfo.php?workbook=06_02.xlsx&amp;sheet=A0&amp;row=157&amp;col=7&amp;number=0&amp;sourceID=14","0")</f>
        <v>0</v>
      </c>
    </row>
    <row r="158" spans="1:7">
      <c r="A158" s="3">
        <v>6</v>
      </c>
      <c r="B158" s="3">
        <v>2</v>
      </c>
      <c r="C158" s="3">
        <v>43</v>
      </c>
      <c r="D158" s="3">
        <v>26</v>
      </c>
      <c r="E158" s="3">
        <v>1616.106</v>
      </c>
      <c r="F158" s="4" t="str">
        <f>HYPERLINK("http://141.218.60.56/~jnz1568/getInfo.php?workbook=06_02.xlsx&amp;sheet=A0&amp;row=158&amp;col=6&amp;number=84090000&amp;sourceID=14","84090000")</f>
        <v>84090000</v>
      </c>
      <c r="G158" s="4" t="str">
        <f>HYPERLINK("http://141.218.60.56/~jnz1568/getInfo.php?workbook=06_02.xlsx&amp;sheet=A0&amp;row=158&amp;col=7&amp;number=0&amp;sourceID=14","0")</f>
        <v>0</v>
      </c>
    </row>
    <row r="159" spans="1:7">
      <c r="A159" s="3">
        <v>6</v>
      </c>
      <c r="B159" s="3">
        <v>2</v>
      </c>
      <c r="C159" s="3">
        <v>44</v>
      </c>
      <c r="D159" s="3">
        <v>26</v>
      </c>
      <c r="E159" s="3">
        <v>1616.106</v>
      </c>
      <c r="F159" s="4" t="str">
        <f>HYPERLINK("http://141.218.60.56/~jnz1568/getInfo.php?workbook=06_02.xlsx&amp;sheet=A0&amp;row=159&amp;col=6&amp;number=757500000&amp;sourceID=14","757500000")</f>
        <v>757500000</v>
      </c>
      <c r="G159" s="4" t="str">
        <f>HYPERLINK("http://141.218.60.56/~jnz1568/getInfo.php?workbook=06_02.xlsx&amp;sheet=A0&amp;row=159&amp;col=7&amp;number=0&amp;sourceID=14","0")</f>
        <v>0</v>
      </c>
    </row>
    <row r="160" spans="1:7">
      <c r="A160" s="3">
        <v>6</v>
      </c>
      <c r="B160" s="3">
        <v>2</v>
      </c>
      <c r="C160" s="3">
        <v>37</v>
      </c>
      <c r="D160" s="3">
        <v>27</v>
      </c>
      <c r="E160" s="3">
        <v>1609.764</v>
      </c>
      <c r="F160" s="4" t="str">
        <f>HYPERLINK("http://141.218.60.56/~jnz1568/getInfo.php?workbook=06_02.xlsx&amp;sheet=A0&amp;row=160&amp;col=6&amp;number=119300000&amp;sourceID=14","119300000")</f>
        <v>119300000</v>
      </c>
      <c r="G160" s="4" t="str">
        <f>HYPERLINK("http://141.218.60.56/~jnz1568/getInfo.php?workbook=06_02.xlsx&amp;sheet=A0&amp;row=160&amp;col=7&amp;number=0&amp;sourceID=14","0")</f>
        <v>0</v>
      </c>
    </row>
    <row r="161" spans="1:7">
      <c r="A161" s="3">
        <v>6</v>
      </c>
      <c r="B161" s="3">
        <v>2</v>
      </c>
      <c r="C161" s="3">
        <v>45</v>
      </c>
      <c r="D161" s="3">
        <v>27</v>
      </c>
      <c r="E161" s="3">
        <v>1619.954</v>
      </c>
      <c r="F161" s="4" t="str">
        <f>HYPERLINK("http://141.218.60.56/~jnz1568/getInfo.php?workbook=06_02.xlsx&amp;sheet=A0&amp;row=161&amp;col=6&amp;number=1615000000&amp;sourceID=14","1615000000")</f>
        <v>1615000000</v>
      </c>
      <c r="G161" s="4" t="str">
        <f>HYPERLINK("http://141.218.60.56/~jnz1568/getInfo.php?workbook=06_02.xlsx&amp;sheet=A0&amp;row=161&amp;col=7&amp;number=0&amp;sourceID=14","0")</f>
        <v>0</v>
      </c>
    </row>
    <row r="162" spans="1:7">
      <c r="A162" s="3">
        <v>6</v>
      </c>
      <c r="B162" s="3">
        <v>2</v>
      </c>
      <c r="C162" s="3">
        <v>38</v>
      </c>
      <c r="D162" s="3">
        <v>28</v>
      </c>
      <c r="E162" s="3">
        <v>1621.655</v>
      </c>
      <c r="F162" s="4" t="str">
        <f>HYPERLINK("http://141.218.60.56/~jnz1568/getInfo.php?workbook=06_02.xlsx&amp;sheet=A0&amp;row=162&amp;col=6&amp;number=7496000&amp;sourceID=14","7496000")</f>
        <v>7496000</v>
      </c>
      <c r="G162" s="4" t="str">
        <f>HYPERLINK("http://141.218.60.56/~jnz1568/getInfo.php?workbook=06_02.xlsx&amp;sheet=A0&amp;row=162&amp;col=7&amp;number=0&amp;sourceID=14","0")</f>
        <v>0</v>
      </c>
    </row>
    <row r="163" spans="1:7">
      <c r="A163" s="3">
        <v>6</v>
      </c>
      <c r="B163" s="3">
        <v>2</v>
      </c>
      <c r="C163" s="3">
        <v>39</v>
      </c>
      <c r="D163" s="3">
        <v>28</v>
      </c>
      <c r="E163" s="3">
        <v>1621.655</v>
      </c>
      <c r="F163" s="4" t="str">
        <f>HYPERLINK("http://141.218.60.56/~jnz1568/getInfo.php?workbook=06_02.xlsx&amp;sheet=A0&amp;row=163&amp;col=6&amp;number=832000&amp;sourceID=14","832000")</f>
        <v>832000</v>
      </c>
      <c r="G163" s="4" t="str">
        <f>HYPERLINK("http://141.218.60.56/~jnz1568/getInfo.php?workbook=06_02.xlsx&amp;sheet=A0&amp;row=163&amp;col=7&amp;number=0&amp;sourceID=14","0")</f>
        <v>0</v>
      </c>
    </row>
    <row r="164" spans="1:7">
      <c r="A164" s="3">
        <v>6</v>
      </c>
      <c r="B164" s="3">
        <v>2</v>
      </c>
      <c r="C164" s="3">
        <v>40</v>
      </c>
      <c r="D164" s="3">
        <v>28</v>
      </c>
      <c r="E164" s="3">
        <v>1621.655</v>
      </c>
      <c r="F164" s="4" t="str">
        <f>HYPERLINK("http://141.218.60.56/~jnz1568/getInfo.php?workbook=06_02.xlsx&amp;sheet=A0&amp;row=164&amp;col=6&amp;number=832200&amp;sourceID=14","832200")</f>
        <v>832200</v>
      </c>
      <c r="G164" s="4" t="str">
        <f>HYPERLINK("http://141.218.60.56/~jnz1568/getInfo.php?workbook=06_02.xlsx&amp;sheet=A0&amp;row=164&amp;col=7&amp;number=0&amp;sourceID=14","0")</f>
        <v>0</v>
      </c>
    </row>
    <row r="165" spans="1:7">
      <c r="A165" s="3">
        <v>6</v>
      </c>
      <c r="B165" s="3">
        <v>2</v>
      </c>
      <c r="C165" s="3">
        <v>46</v>
      </c>
      <c r="D165" s="3">
        <v>28</v>
      </c>
      <c r="E165" s="3">
        <v>1619.803</v>
      </c>
      <c r="F165" s="4" t="str">
        <f>HYPERLINK("http://141.218.60.56/~jnz1568/getInfo.php?workbook=06_02.xlsx&amp;sheet=A0&amp;row=165&amp;col=6&amp;number=581500000&amp;sourceID=14","581500000")</f>
        <v>581500000</v>
      </c>
      <c r="G165" s="4" t="str">
        <f>HYPERLINK("http://141.218.60.56/~jnz1568/getInfo.php?workbook=06_02.xlsx&amp;sheet=A0&amp;row=165&amp;col=7&amp;number=0&amp;sourceID=14","0")</f>
        <v>0</v>
      </c>
    </row>
    <row r="166" spans="1:7">
      <c r="A166" s="3">
        <v>6</v>
      </c>
      <c r="B166" s="3">
        <v>2</v>
      </c>
      <c r="C166" s="3">
        <v>39</v>
      </c>
      <c r="D166" s="3">
        <v>29</v>
      </c>
      <c r="E166" s="3">
        <v>1621.655</v>
      </c>
      <c r="F166" s="4" t="str">
        <f>HYPERLINK("http://141.218.60.56/~jnz1568/getInfo.php?workbook=06_02.xlsx&amp;sheet=A0&amp;row=166&amp;col=6&amp;number=9329000&amp;sourceID=14","9329000")</f>
        <v>9329000</v>
      </c>
      <c r="G166" s="4" t="str">
        <f>HYPERLINK("http://141.218.60.56/~jnz1568/getInfo.php?workbook=06_02.xlsx&amp;sheet=A0&amp;row=166&amp;col=7&amp;number=0&amp;sourceID=14","0")</f>
        <v>0</v>
      </c>
    </row>
    <row r="167" spans="1:7">
      <c r="A167" s="3">
        <v>6</v>
      </c>
      <c r="B167" s="3">
        <v>2</v>
      </c>
      <c r="C167" s="3">
        <v>40</v>
      </c>
      <c r="D167" s="3">
        <v>29</v>
      </c>
      <c r="E167" s="3">
        <v>1621.655</v>
      </c>
      <c r="F167" s="4" t="str">
        <f>HYPERLINK("http://141.218.60.56/~jnz1568/getInfo.php?workbook=06_02.xlsx&amp;sheet=A0&amp;row=167&amp;col=6&amp;number=832200&amp;sourceID=14","832200")</f>
        <v>832200</v>
      </c>
      <c r="G167" s="4" t="str">
        <f>HYPERLINK("http://141.218.60.56/~jnz1568/getInfo.php?workbook=06_02.xlsx&amp;sheet=A0&amp;row=167&amp;col=7&amp;number=0&amp;sourceID=14","0")</f>
        <v>0</v>
      </c>
    </row>
    <row r="168" spans="1:7">
      <c r="A168" s="3">
        <v>6</v>
      </c>
      <c r="B168" s="3">
        <v>2</v>
      </c>
      <c r="C168" s="3">
        <v>46</v>
      </c>
      <c r="D168" s="3">
        <v>29</v>
      </c>
      <c r="E168" s="3">
        <v>1619.803</v>
      </c>
      <c r="F168" s="4" t="str">
        <f>HYPERLINK("http://141.218.60.56/~jnz1568/getInfo.php?workbook=06_02.xlsx&amp;sheet=A0&amp;row=168&amp;col=6&amp;number=71140000&amp;sourceID=14","71140000")</f>
        <v>71140000</v>
      </c>
      <c r="G168" s="4" t="str">
        <f>HYPERLINK("http://141.218.60.56/~jnz1568/getInfo.php?workbook=06_02.xlsx&amp;sheet=A0&amp;row=168&amp;col=7&amp;number=0&amp;sourceID=14","0")</f>
        <v>0</v>
      </c>
    </row>
    <row r="169" spans="1:7">
      <c r="A169" s="3">
        <v>6</v>
      </c>
      <c r="B169" s="3">
        <v>2</v>
      </c>
      <c r="C169" s="3">
        <v>47</v>
      </c>
      <c r="D169" s="3">
        <v>29</v>
      </c>
      <c r="E169" s="3">
        <v>1619.803</v>
      </c>
      <c r="F169" s="4" t="str">
        <f>HYPERLINK("http://141.218.60.56/~jnz1568/getInfo.php?workbook=06_02.xlsx&amp;sheet=A0&amp;row=169&amp;col=6&amp;number=646500000&amp;sourceID=14","646500000")</f>
        <v>646500000</v>
      </c>
      <c r="G169" s="4" t="str">
        <f>HYPERLINK("http://141.218.60.56/~jnz1568/getInfo.php?workbook=06_02.xlsx&amp;sheet=A0&amp;row=169&amp;col=7&amp;number=0&amp;sourceID=14","0")</f>
        <v>0</v>
      </c>
    </row>
    <row r="170" spans="1:7">
      <c r="A170" s="3">
        <v>6</v>
      </c>
      <c r="B170" s="3">
        <v>2</v>
      </c>
      <c r="C170" s="3">
        <v>40</v>
      </c>
      <c r="D170" s="3">
        <v>30</v>
      </c>
      <c r="E170" s="3">
        <v>1621.655</v>
      </c>
      <c r="F170" s="4" t="str">
        <f>HYPERLINK("http://141.218.60.56/~jnz1568/getInfo.php?workbook=06_02.xlsx&amp;sheet=A0&amp;row=170&amp;col=6&amp;number=12390000&amp;sourceID=14","12390000")</f>
        <v>12390000</v>
      </c>
      <c r="G170" s="4" t="str">
        <f>HYPERLINK("http://141.218.60.56/~jnz1568/getInfo.php?workbook=06_02.xlsx&amp;sheet=A0&amp;row=170&amp;col=7&amp;number=0&amp;sourceID=14","0")</f>
        <v>0</v>
      </c>
    </row>
    <row r="171" spans="1:7">
      <c r="A171" s="3">
        <v>6</v>
      </c>
      <c r="B171" s="3">
        <v>2</v>
      </c>
      <c r="C171" s="3">
        <v>46</v>
      </c>
      <c r="D171" s="3">
        <v>30</v>
      </c>
      <c r="E171" s="3">
        <v>1619.803</v>
      </c>
      <c r="F171" s="4" t="str">
        <f>HYPERLINK("http://141.218.60.56/~jnz1568/getInfo.php?workbook=06_02.xlsx&amp;sheet=A0&amp;row=171&amp;col=6&amp;number=1451000&amp;sourceID=14","1451000")</f>
        <v>1451000</v>
      </c>
      <c r="G171" s="4" t="str">
        <f>HYPERLINK("http://141.218.60.56/~jnz1568/getInfo.php?workbook=06_02.xlsx&amp;sheet=A0&amp;row=171&amp;col=7&amp;number=0&amp;sourceID=14","0")</f>
        <v>0</v>
      </c>
    </row>
    <row r="172" spans="1:7">
      <c r="A172" s="3">
        <v>6</v>
      </c>
      <c r="B172" s="3">
        <v>2</v>
      </c>
      <c r="C172" s="3">
        <v>47</v>
      </c>
      <c r="D172" s="3">
        <v>30</v>
      </c>
      <c r="E172" s="3">
        <v>1619.803</v>
      </c>
      <c r="F172" s="4" t="str">
        <f>HYPERLINK("http://141.218.60.56/~jnz1568/getInfo.php?workbook=06_02.xlsx&amp;sheet=A0&amp;row=172&amp;col=6&amp;number=43080000&amp;sourceID=14","43080000")</f>
        <v>43080000</v>
      </c>
      <c r="G172" s="4" t="str">
        <f>HYPERLINK("http://141.218.60.56/~jnz1568/getInfo.php?workbook=06_02.xlsx&amp;sheet=A0&amp;row=172&amp;col=7&amp;number=0&amp;sourceID=14","0")</f>
        <v>0</v>
      </c>
    </row>
    <row r="173" spans="1:7">
      <c r="A173" s="3">
        <v>6</v>
      </c>
      <c r="B173" s="3">
        <v>2</v>
      </c>
      <c r="C173" s="3">
        <v>48</v>
      </c>
      <c r="D173" s="3">
        <v>30</v>
      </c>
      <c r="E173" s="3">
        <v>1619.803</v>
      </c>
      <c r="F173" s="4" t="str">
        <f>HYPERLINK("http://141.218.60.56/~jnz1568/getInfo.php?workbook=06_02.xlsx&amp;sheet=A0&amp;row=173&amp;col=6&amp;number=1140000000&amp;sourceID=14","1140000000")</f>
        <v>1140000000</v>
      </c>
      <c r="G173" s="4" t="str">
        <f>HYPERLINK("http://141.218.60.56/~jnz1568/getInfo.php?workbook=06_02.xlsx&amp;sheet=A0&amp;row=173&amp;col=7&amp;number=0&amp;sourceID=14","0")</f>
        <v>0</v>
      </c>
    </row>
    <row r="174" spans="1:7">
      <c r="A174" s="3">
        <v>6</v>
      </c>
      <c r="B174" s="3">
        <v>2</v>
      </c>
      <c r="C174" s="3">
        <v>41</v>
      </c>
      <c r="D174" s="3">
        <v>31</v>
      </c>
      <c r="E174" s="3">
        <v>1619.895</v>
      </c>
      <c r="F174" s="4" t="str">
        <f>HYPERLINK("http://141.218.60.56/~jnz1568/getInfo.php?workbook=06_02.xlsx&amp;sheet=A0&amp;row=174&amp;col=6&amp;number=31550000&amp;sourceID=14","31550000")</f>
        <v>31550000</v>
      </c>
      <c r="G174" s="4" t="str">
        <f>HYPERLINK("http://141.218.60.56/~jnz1568/getInfo.php?workbook=06_02.xlsx&amp;sheet=A0&amp;row=174&amp;col=7&amp;number=0&amp;sourceID=14","0")</f>
        <v>0</v>
      </c>
    </row>
    <row r="175" spans="1:7">
      <c r="A175" s="3">
        <v>6</v>
      </c>
      <c r="B175" s="3">
        <v>2</v>
      </c>
      <c r="C175" s="3">
        <v>49</v>
      </c>
      <c r="D175" s="3">
        <v>31</v>
      </c>
      <c r="E175" s="3">
        <v>1619.803</v>
      </c>
      <c r="F175" s="4" t="str">
        <f>HYPERLINK("http://141.218.60.56/~jnz1568/getInfo.php?workbook=06_02.xlsx&amp;sheet=A0&amp;row=175&amp;col=6&amp;number=2660000000&amp;sourceID=14","2660000000")</f>
        <v>2660000000</v>
      </c>
      <c r="G175" s="4" t="str">
        <f>HYPERLINK("http://141.218.60.56/~jnz1568/getInfo.php?workbook=06_02.xlsx&amp;sheet=A0&amp;row=175&amp;col=7&amp;number=0&amp;sourceID=14","0")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83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6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HYPERLINK("http://141.218.60.56/~jnz1568/getInfo.php?workbook=06_02.xlsx&amp;sheet=U0&amp;row=4&amp;col=6&amp;number=3&amp;sourceID=14","3")</f>
        <v>3</v>
      </c>
      <c r="G4" s="4" t="str">
        <f>HYPERLINK("http://141.218.60.56/~jnz1568/getInfo.php?workbook=06_02.xlsx&amp;sheet=U0&amp;row=4&amp;col=7&amp;number=0.0077&amp;sourceID=14","0.0077")</f>
        <v>0.0077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HYPERLINK("http://141.218.60.56/~jnz1568/getInfo.php?workbook=06_02.xlsx&amp;sheet=U0&amp;row=5&amp;col=6&amp;number=3.1&amp;sourceID=14","3.1")</f>
        <v>3.1</v>
      </c>
      <c r="G5" s="4" t="str">
        <f>HYPERLINK("http://141.218.60.56/~jnz1568/getInfo.php?workbook=06_02.xlsx&amp;sheet=U0&amp;row=5&amp;col=7&amp;number=0.0077&amp;sourceID=14","0.0077")</f>
        <v>0.0077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HYPERLINK("http://141.218.60.56/~jnz1568/getInfo.php?workbook=06_02.xlsx&amp;sheet=U0&amp;row=6&amp;col=6&amp;number=3.2&amp;sourceID=14","3.2")</f>
        <v>3.2</v>
      </c>
      <c r="G6" s="4" t="str">
        <f>HYPERLINK("http://141.218.60.56/~jnz1568/getInfo.php?workbook=06_02.xlsx&amp;sheet=U0&amp;row=6&amp;col=7&amp;number=0.0077&amp;sourceID=14","0.0077")</f>
        <v>0.0077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HYPERLINK("http://141.218.60.56/~jnz1568/getInfo.php?workbook=06_02.xlsx&amp;sheet=U0&amp;row=7&amp;col=6&amp;number=3.3&amp;sourceID=14","3.3")</f>
        <v>3.3</v>
      </c>
      <c r="G7" s="4" t="str">
        <f>HYPERLINK("http://141.218.60.56/~jnz1568/getInfo.php?workbook=06_02.xlsx&amp;sheet=U0&amp;row=7&amp;col=7&amp;number=0.0077&amp;sourceID=14","0.0077")</f>
        <v>0.0077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HYPERLINK("http://141.218.60.56/~jnz1568/getInfo.php?workbook=06_02.xlsx&amp;sheet=U0&amp;row=8&amp;col=6&amp;number=3.4&amp;sourceID=14","3.4")</f>
        <v>3.4</v>
      </c>
      <c r="G8" s="4" t="str">
        <f>HYPERLINK("http://141.218.60.56/~jnz1568/getInfo.php?workbook=06_02.xlsx&amp;sheet=U0&amp;row=8&amp;col=7&amp;number=0.0077&amp;sourceID=14","0.0077")</f>
        <v>0.0077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HYPERLINK("http://141.218.60.56/~jnz1568/getInfo.php?workbook=06_02.xlsx&amp;sheet=U0&amp;row=9&amp;col=6&amp;number=3.5&amp;sourceID=14","3.5")</f>
        <v>3.5</v>
      </c>
      <c r="G9" s="4" t="str">
        <f>HYPERLINK("http://141.218.60.56/~jnz1568/getInfo.php?workbook=06_02.xlsx&amp;sheet=U0&amp;row=9&amp;col=7&amp;number=0.0077&amp;sourceID=14","0.0077")</f>
        <v>0.0077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HYPERLINK("http://141.218.60.56/~jnz1568/getInfo.php?workbook=06_02.xlsx&amp;sheet=U0&amp;row=10&amp;col=6&amp;number=3.6&amp;sourceID=14","3.6")</f>
        <v>3.6</v>
      </c>
      <c r="G10" s="4" t="str">
        <f>HYPERLINK("http://141.218.60.56/~jnz1568/getInfo.php?workbook=06_02.xlsx&amp;sheet=U0&amp;row=10&amp;col=7&amp;number=0.0077&amp;sourceID=14","0.0077")</f>
        <v>0.0077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HYPERLINK("http://141.218.60.56/~jnz1568/getInfo.php?workbook=06_02.xlsx&amp;sheet=U0&amp;row=11&amp;col=6&amp;number=3.7&amp;sourceID=14","3.7")</f>
        <v>3.7</v>
      </c>
      <c r="G11" s="4" t="str">
        <f>HYPERLINK("http://141.218.60.56/~jnz1568/getInfo.php?workbook=06_02.xlsx&amp;sheet=U0&amp;row=11&amp;col=7&amp;number=0.00769&amp;sourceID=14","0.00769")</f>
        <v>0.00769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HYPERLINK("http://141.218.60.56/~jnz1568/getInfo.php?workbook=06_02.xlsx&amp;sheet=U0&amp;row=12&amp;col=6&amp;number=3.8&amp;sourceID=14","3.8")</f>
        <v>3.8</v>
      </c>
      <c r="G12" s="4" t="str">
        <f>HYPERLINK("http://141.218.60.56/~jnz1568/getInfo.php?workbook=06_02.xlsx&amp;sheet=U0&amp;row=12&amp;col=7&amp;number=0.00769&amp;sourceID=14","0.00769")</f>
        <v>0.00769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HYPERLINK("http://141.218.60.56/~jnz1568/getInfo.php?workbook=06_02.xlsx&amp;sheet=U0&amp;row=13&amp;col=6&amp;number=3.9&amp;sourceID=14","3.9")</f>
        <v>3.9</v>
      </c>
      <c r="G13" s="4" t="str">
        <f>HYPERLINK("http://141.218.60.56/~jnz1568/getInfo.php?workbook=06_02.xlsx&amp;sheet=U0&amp;row=13&amp;col=7&amp;number=0.00769&amp;sourceID=14","0.00769")</f>
        <v>0.00769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HYPERLINK("http://141.218.60.56/~jnz1568/getInfo.php?workbook=06_02.xlsx&amp;sheet=U0&amp;row=14&amp;col=6&amp;number=4&amp;sourceID=14","4")</f>
        <v>4</v>
      </c>
      <c r="G14" s="4" t="str">
        <f>HYPERLINK("http://141.218.60.56/~jnz1568/getInfo.php?workbook=06_02.xlsx&amp;sheet=U0&amp;row=14&amp;col=7&amp;number=0.00768&amp;sourceID=14","0.00768")</f>
        <v>0.00768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HYPERLINK("http://141.218.60.56/~jnz1568/getInfo.php?workbook=06_02.xlsx&amp;sheet=U0&amp;row=15&amp;col=6&amp;number=4.1&amp;sourceID=14","4.1")</f>
        <v>4.1</v>
      </c>
      <c r="G15" s="4" t="str">
        <f>HYPERLINK("http://141.218.60.56/~jnz1568/getInfo.php?workbook=06_02.xlsx&amp;sheet=U0&amp;row=15&amp;col=7&amp;number=0.00768&amp;sourceID=14","0.00768")</f>
        <v>0.00768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HYPERLINK("http://141.218.60.56/~jnz1568/getInfo.php?workbook=06_02.xlsx&amp;sheet=U0&amp;row=16&amp;col=6&amp;number=4.2&amp;sourceID=14","4.2")</f>
        <v>4.2</v>
      </c>
      <c r="G16" s="4" t="str">
        <f>HYPERLINK("http://141.218.60.56/~jnz1568/getInfo.php?workbook=06_02.xlsx&amp;sheet=U0&amp;row=16&amp;col=7&amp;number=0.00767&amp;sourceID=14","0.00767")</f>
        <v>0.00767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HYPERLINK("http://141.218.60.56/~jnz1568/getInfo.php?workbook=06_02.xlsx&amp;sheet=U0&amp;row=17&amp;col=6&amp;number=4.3&amp;sourceID=14","4.3")</f>
        <v>4.3</v>
      </c>
      <c r="G17" s="4" t="str">
        <f>HYPERLINK("http://141.218.60.56/~jnz1568/getInfo.php?workbook=06_02.xlsx&amp;sheet=U0&amp;row=17&amp;col=7&amp;number=0.00766&amp;sourceID=14","0.00766")</f>
        <v>0.00766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HYPERLINK("http://141.218.60.56/~jnz1568/getInfo.php?workbook=06_02.xlsx&amp;sheet=U0&amp;row=18&amp;col=6&amp;number=4.4&amp;sourceID=14","4.4")</f>
        <v>4.4</v>
      </c>
      <c r="G18" s="4" t="str">
        <f>HYPERLINK("http://141.218.60.56/~jnz1568/getInfo.php?workbook=06_02.xlsx&amp;sheet=U0&amp;row=18&amp;col=7&amp;number=0.00765&amp;sourceID=14","0.00765")</f>
        <v>0.00765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HYPERLINK("http://141.218.60.56/~jnz1568/getInfo.php?workbook=06_02.xlsx&amp;sheet=U0&amp;row=19&amp;col=6&amp;number=4.5&amp;sourceID=14","4.5")</f>
        <v>4.5</v>
      </c>
      <c r="G19" s="4" t="str">
        <f>HYPERLINK("http://141.218.60.56/~jnz1568/getInfo.php?workbook=06_02.xlsx&amp;sheet=U0&amp;row=19&amp;col=7&amp;number=0.00763&amp;sourceID=14","0.00763")</f>
        <v>0.00763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HYPERLINK("http://141.218.60.56/~jnz1568/getInfo.php?workbook=06_02.xlsx&amp;sheet=U0&amp;row=20&amp;col=6&amp;number=4.6&amp;sourceID=14","4.6")</f>
        <v>4.6</v>
      </c>
      <c r="G20" s="4" t="str">
        <f>HYPERLINK("http://141.218.60.56/~jnz1568/getInfo.php?workbook=06_02.xlsx&amp;sheet=U0&amp;row=20&amp;col=7&amp;number=0.00762&amp;sourceID=14","0.00762")</f>
        <v>0.00762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HYPERLINK("http://141.218.60.56/~jnz1568/getInfo.php?workbook=06_02.xlsx&amp;sheet=U0&amp;row=21&amp;col=6&amp;number=4.7&amp;sourceID=14","4.7")</f>
        <v>4.7</v>
      </c>
      <c r="G21" s="4" t="str">
        <f>HYPERLINK("http://141.218.60.56/~jnz1568/getInfo.php?workbook=06_02.xlsx&amp;sheet=U0&amp;row=21&amp;col=7&amp;number=0.00759&amp;sourceID=14","0.00759")</f>
        <v>0.00759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HYPERLINK("http://141.218.60.56/~jnz1568/getInfo.php?workbook=06_02.xlsx&amp;sheet=U0&amp;row=22&amp;col=6&amp;number=4.8&amp;sourceID=14","4.8")</f>
        <v>4.8</v>
      </c>
      <c r="G22" s="4" t="str">
        <f>HYPERLINK("http://141.218.60.56/~jnz1568/getInfo.php?workbook=06_02.xlsx&amp;sheet=U0&amp;row=22&amp;col=7&amp;number=0.00756&amp;sourceID=14","0.00756")</f>
        <v>0.00756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HYPERLINK("http://141.218.60.56/~jnz1568/getInfo.php?workbook=06_02.xlsx&amp;sheet=U0&amp;row=23&amp;col=6&amp;number=4.9&amp;sourceID=14","4.9")</f>
        <v>4.9</v>
      </c>
      <c r="G23" s="4" t="str">
        <f>HYPERLINK("http://141.218.60.56/~jnz1568/getInfo.php?workbook=06_02.xlsx&amp;sheet=U0&amp;row=23&amp;col=7&amp;number=0.00753&amp;sourceID=14","0.00753")</f>
        <v>0.00753</v>
      </c>
    </row>
    <row r="24" spans="1:7">
      <c r="A24" s="3">
        <v>6</v>
      </c>
      <c r="B24" s="3">
        <v>2</v>
      </c>
      <c r="C24" s="3">
        <v>1</v>
      </c>
      <c r="D24" s="3">
        <v>3</v>
      </c>
      <c r="E24" s="3">
        <v>1</v>
      </c>
      <c r="F24" s="4" t="str">
        <f>HYPERLINK("http://141.218.60.56/~jnz1568/getInfo.php?workbook=06_02.xlsx&amp;sheet=U0&amp;row=24&amp;col=6&amp;number=3&amp;sourceID=14","3")</f>
        <v>3</v>
      </c>
      <c r="G24" s="4" t="str">
        <f>HYPERLINK("http://141.218.60.56/~jnz1568/getInfo.php?workbook=06_02.xlsx&amp;sheet=U0&amp;row=24&amp;col=7&amp;number=0.0163&amp;sourceID=14","0.0163")</f>
        <v>0.0163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HYPERLINK("http://141.218.60.56/~jnz1568/getInfo.php?workbook=06_02.xlsx&amp;sheet=U0&amp;row=25&amp;col=6&amp;number=3.1&amp;sourceID=14","3.1")</f>
        <v>3.1</v>
      </c>
      <c r="G25" s="4" t="str">
        <f>HYPERLINK("http://141.218.60.56/~jnz1568/getInfo.php?workbook=06_02.xlsx&amp;sheet=U0&amp;row=25&amp;col=7&amp;number=0.0163&amp;sourceID=14","0.0163")</f>
        <v>0.0163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HYPERLINK("http://141.218.60.56/~jnz1568/getInfo.php?workbook=06_02.xlsx&amp;sheet=U0&amp;row=26&amp;col=6&amp;number=3.2&amp;sourceID=14","3.2")</f>
        <v>3.2</v>
      </c>
      <c r="G26" s="4" t="str">
        <f>HYPERLINK("http://141.218.60.56/~jnz1568/getInfo.php?workbook=06_02.xlsx&amp;sheet=U0&amp;row=26&amp;col=7&amp;number=0.0163&amp;sourceID=14","0.0163")</f>
        <v>0.0163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HYPERLINK("http://141.218.60.56/~jnz1568/getInfo.php?workbook=06_02.xlsx&amp;sheet=U0&amp;row=27&amp;col=6&amp;number=3.3&amp;sourceID=14","3.3")</f>
        <v>3.3</v>
      </c>
      <c r="G27" s="4" t="str">
        <f>HYPERLINK("http://141.218.60.56/~jnz1568/getInfo.php?workbook=06_02.xlsx&amp;sheet=U0&amp;row=27&amp;col=7&amp;number=0.0163&amp;sourceID=14","0.0163")</f>
        <v>0.0163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HYPERLINK("http://141.218.60.56/~jnz1568/getInfo.php?workbook=06_02.xlsx&amp;sheet=U0&amp;row=28&amp;col=6&amp;number=3.4&amp;sourceID=14","3.4")</f>
        <v>3.4</v>
      </c>
      <c r="G28" s="4" t="str">
        <f>HYPERLINK("http://141.218.60.56/~jnz1568/getInfo.php?workbook=06_02.xlsx&amp;sheet=U0&amp;row=28&amp;col=7&amp;number=0.0163&amp;sourceID=14","0.0163")</f>
        <v>0.0163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HYPERLINK("http://141.218.60.56/~jnz1568/getInfo.php?workbook=06_02.xlsx&amp;sheet=U0&amp;row=29&amp;col=6&amp;number=3.5&amp;sourceID=14","3.5")</f>
        <v>3.5</v>
      </c>
      <c r="G29" s="4" t="str">
        <f>HYPERLINK("http://141.218.60.56/~jnz1568/getInfo.php?workbook=06_02.xlsx&amp;sheet=U0&amp;row=29&amp;col=7&amp;number=0.0163&amp;sourceID=14","0.0163")</f>
        <v>0.0163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HYPERLINK("http://141.218.60.56/~jnz1568/getInfo.php?workbook=06_02.xlsx&amp;sheet=U0&amp;row=30&amp;col=6&amp;number=3.6&amp;sourceID=14","3.6")</f>
        <v>3.6</v>
      </c>
      <c r="G30" s="4" t="str">
        <f>HYPERLINK("http://141.218.60.56/~jnz1568/getInfo.php?workbook=06_02.xlsx&amp;sheet=U0&amp;row=30&amp;col=7&amp;number=0.0163&amp;sourceID=14","0.0163")</f>
        <v>0.0163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HYPERLINK("http://141.218.60.56/~jnz1568/getInfo.php?workbook=06_02.xlsx&amp;sheet=U0&amp;row=31&amp;col=6&amp;number=3.7&amp;sourceID=14","3.7")</f>
        <v>3.7</v>
      </c>
      <c r="G31" s="4" t="str">
        <f>HYPERLINK("http://141.218.60.56/~jnz1568/getInfo.php?workbook=06_02.xlsx&amp;sheet=U0&amp;row=31&amp;col=7&amp;number=0.0163&amp;sourceID=14","0.0163")</f>
        <v>0.0163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HYPERLINK("http://141.218.60.56/~jnz1568/getInfo.php?workbook=06_02.xlsx&amp;sheet=U0&amp;row=32&amp;col=6&amp;number=3.8&amp;sourceID=14","3.8")</f>
        <v>3.8</v>
      </c>
      <c r="G32" s="4" t="str">
        <f>HYPERLINK("http://141.218.60.56/~jnz1568/getInfo.php?workbook=06_02.xlsx&amp;sheet=U0&amp;row=32&amp;col=7&amp;number=0.0163&amp;sourceID=14","0.0163")</f>
        <v>0.0163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HYPERLINK("http://141.218.60.56/~jnz1568/getInfo.php?workbook=06_02.xlsx&amp;sheet=U0&amp;row=33&amp;col=6&amp;number=3.9&amp;sourceID=14","3.9")</f>
        <v>3.9</v>
      </c>
      <c r="G33" s="4" t="str">
        <f>HYPERLINK("http://141.218.60.56/~jnz1568/getInfo.php?workbook=06_02.xlsx&amp;sheet=U0&amp;row=33&amp;col=7&amp;number=0.0163&amp;sourceID=14","0.0163")</f>
        <v>0.0163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HYPERLINK("http://141.218.60.56/~jnz1568/getInfo.php?workbook=06_02.xlsx&amp;sheet=U0&amp;row=34&amp;col=6&amp;number=4&amp;sourceID=14","4")</f>
        <v>4</v>
      </c>
      <c r="G34" s="4" t="str">
        <f>HYPERLINK("http://141.218.60.56/~jnz1568/getInfo.php?workbook=06_02.xlsx&amp;sheet=U0&amp;row=34&amp;col=7&amp;number=0.0163&amp;sourceID=14","0.0163")</f>
        <v>0.0163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HYPERLINK("http://141.218.60.56/~jnz1568/getInfo.php?workbook=06_02.xlsx&amp;sheet=U0&amp;row=35&amp;col=6&amp;number=4.1&amp;sourceID=14","4.1")</f>
        <v>4.1</v>
      </c>
      <c r="G35" s="4" t="str">
        <f>HYPERLINK("http://141.218.60.56/~jnz1568/getInfo.php?workbook=06_02.xlsx&amp;sheet=U0&amp;row=35&amp;col=7&amp;number=0.0163&amp;sourceID=14","0.0163")</f>
        <v>0.0163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HYPERLINK("http://141.218.60.56/~jnz1568/getInfo.php?workbook=06_02.xlsx&amp;sheet=U0&amp;row=36&amp;col=6&amp;number=4.2&amp;sourceID=14","4.2")</f>
        <v>4.2</v>
      </c>
      <c r="G36" s="4" t="str">
        <f>HYPERLINK("http://141.218.60.56/~jnz1568/getInfo.php?workbook=06_02.xlsx&amp;sheet=U0&amp;row=36&amp;col=7&amp;number=0.0163&amp;sourceID=14","0.0163")</f>
        <v>0.0163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HYPERLINK("http://141.218.60.56/~jnz1568/getInfo.php?workbook=06_02.xlsx&amp;sheet=U0&amp;row=37&amp;col=6&amp;number=4.3&amp;sourceID=14","4.3")</f>
        <v>4.3</v>
      </c>
      <c r="G37" s="4" t="str">
        <f>HYPERLINK("http://141.218.60.56/~jnz1568/getInfo.php?workbook=06_02.xlsx&amp;sheet=U0&amp;row=37&amp;col=7&amp;number=0.0163&amp;sourceID=14","0.0163")</f>
        <v>0.0163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HYPERLINK("http://141.218.60.56/~jnz1568/getInfo.php?workbook=06_02.xlsx&amp;sheet=U0&amp;row=38&amp;col=6&amp;number=4.4&amp;sourceID=14","4.4")</f>
        <v>4.4</v>
      </c>
      <c r="G38" s="4" t="str">
        <f>HYPERLINK("http://141.218.60.56/~jnz1568/getInfo.php?workbook=06_02.xlsx&amp;sheet=U0&amp;row=38&amp;col=7&amp;number=0.0163&amp;sourceID=14","0.0163")</f>
        <v>0.0163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HYPERLINK("http://141.218.60.56/~jnz1568/getInfo.php?workbook=06_02.xlsx&amp;sheet=U0&amp;row=39&amp;col=6&amp;number=4.5&amp;sourceID=14","4.5")</f>
        <v>4.5</v>
      </c>
      <c r="G39" s="4" t="str">
        <f>HYPERLINK("http://141.218.60.56/~jnz1568/getInfo.php?workbook=06_02.xlsx&amp;sheet=U0&amp;row=39&amp;col=7&amp;number=0.0163&amp;sourceID=14","0.0163")</f>
        <v>0.0163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HYPERLINK("http://141.218.60.56/~jnz1568/getInfo.php?workbook=06_02.xlsx&amp;sheet=U0&amp;row=40&amp;col=6&amp;number=4.6&amp;sourceID=14","4.6")</f>
        <v>4.6</v>
      </c>
      <c r="G40" s="4" t="str">
        <f>HYPERLINK("http://141.218.60.56/~jnz1568/getInfo.php?workbook=06_02.xlsx&amp;sheet=U0&amp;row=40&amp;col=7&amp;number=0.0164&amp;sourceID=14","0.0164")</f>
        <v>0.0164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HYPERLINK("http://141.218.60.56/~jnz1568/getInfo.php?workbook=06_02.xlsx&amp;sheet=U0&amp;row=41&amp;col=6&amp;number=4.7&amp;sourceID=14","4.7")</f>
        <v>4.7</v>
      </c>
      <c r="G41" s="4" t="str">
        <f>HYPERLINK("http://141.218.60.56/~jnz1568/getInfo.php?workbook=06_02.xlsx&amp;sheet=U0&amp;row=41&amp;col=7&amp;number=0.0164&amp;sourceID=14","0.0164")</f>
        <v>0.0164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HYPERLINK("http://141.218.60.56/~jnz1568/getInfo.php?workbook=06_02.xlsx&amp;sheet=U0&amp;row=42&amp;col=6&amp;number=4.8&amp;sourceID=14","4.8")</f>
        <v>4.8</v>
      </c>
      <c r="G42" s="4" t="str">
        <f>HYPERLINK("http://141.218.60.56/~jnz1568/getInfo.php?workbook=06_02.xlsx&amp;sheet=U0&amp;row=42&amp;col=7&amp;number=0.0164&amp;sourceID=14","0.0164")</f>
        <v>0.0164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HYPERLINK("http://141.218.60.56/~jnz1568/getInfo.php?workbook=06_02.xlsx&amp;sheet=U0&amp;row=43&amp;col=6&amp;number=4.9&amp;sourceID=14","4.9")</f>
        <v>4.9</v>
      </c>
      <c r="G43" s="4" t="str">
        <f>HYPERLINK("http://141.218.60.56/~jnz1568/getInfo.php?workbook=06_02.xlsx&amp;sheet=U0&amp;row=43&amp;col=7&amp;number=0.0165&amp;sourceID=14","0.0165")</f>
        <v>0.0165</v>
      </c>
    </row>
    <row r="44" spans="1:7">
      <c r="A44" s="3">
        <v>6</v>
      </c>
      <c r="B44" s="3">
        <v>2</v>
      </c>
      <c r="C44" s="3">
        <v>1</v>
      </c>
      <c r="D44" s="3">
        <v>4</v>
      </c>
      <c r="E44" s="3">
        <v>1</v>
      </c>
      <c r="F44" s="4" t="str">
        <f>HYPERLINK("http://141.218.60.56/~jnz1568/getInfo.php?workbook=06_02.xlsx&amp;sheet=U0&amp;row=44&amp;col=6&amp;number=3&amp;sourceID=14","3")</f>
        <v>3</v>
      </c>
      <c r="G44" s="4" t="str">
        <f>HYPERLINK("http://141.218.60.56/~jnz1568/getInfo.php?workbook=06_02.xlsx&amp;sheet=U0&amp;row=44&amp;col=7&amp;number=0.00482&amp;sourceID=14","0.00482")</f>
        <v>0.00482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HYPERLINK("http://141.218.60.56/~jnz1568/getInfo.php?workbook=06_02.xlsx&amp;sheet=U0&amp;row=45&amp;col=6&amp;number=3.1&amp;sourceID=14","3.1")</f>
        <v>3.1</v>
      </c>
      <c r="G45" s="4" t="str">
        <f>HYPERLINK("http://141.218.60.56/~jnz1568/getInfo.php?workbook=06_02.xlsx&amp;sheet=U0&amp;row=45&amp;col=7&amp;number=0.00481&amp;sourceID=14","0.00481")</f>
        <v>0.00481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HYPERLINK("http://141.218.60.56/~jnz1568/getInfo.php?workbook=06_02.xlsx&amp;sheet=U0&amp;row=46&amp;col=6&amp;number=3.2&amp;sourceID=14","3.2")</f>
        <v>3.2</v>
      </c>
      <c r="G46" s="4" t="str">
        <f>HYPERLINK("http://141.218.60.56/~jnz1568/getInfo.php?workbook=06_02.xlsx&amp;sheet=U0&amp;row=46&amp;col=7&amp;number=0.00481&amp;sourceID=14","0.00481")</f>
        <v>0.00481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HYPERLINK("http://141.218.60.56/~jnz1568/getInfo.php?workbook=06_02.xlsx&amp;sheet=U0&amp;row=47&amp;col=6&amp;number=3.3&amp;sourceID=14","3.3")</f>
        <v>3.3</v>
      </c>
      <c r="G47" s="4" t="str">
        <f>HYPERLINK("http://141.218.60.56/~jnz1568/getInfo.php?workbook=06_02.xlsx&amp;sheet=U0&amp;row=47&amp;col=7&amp;number=0.00481&amp;sourceID=14","0.00481")</f>
        <v>0.00481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HYPERLINK("http://141.218.60.56/~jnz1568/getInfo.php?workbook=06_02.xlsx&amp;sheet=U0&amp;row=48&amp;col=6&amp;number=3.4&amp;sourceID=14","3.4")</f>
        <v>3.4</v>
      </c>
      <c r="G48" s="4" t="str">
        <f>HYPERLINK("http://141.218.60.56/~jnz1568/getInfo.php?workbook=06_02.xlsx&amp;sheet=U0&amp;row=48&amp;col=7&amp;number=0.00481&amp;sourceID=14","0.00481")</f>
        <v>0.00481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HYPERLINK("http://141.218.60.56/~jnz1568/getInfo.php?workbook=06_02.xlsx&amp;sheet=U0&amp;row=49&amp;col=6&amp;number=3.5&amp;sourceID=14","3.5")</f>
        <v>3.5</v>
      </c>
      <c r="G49" s="4" t="str">
        <f>HYPERLINK("http://141.218.60.56/~jnz1568/getInfo.php?workbook=06_02.xlsx&amp;sheet=U0&amp;row=49&amp;col=7&amp;number=0.00481&amp;sourceID=14","0.00481")</f>
        <v>0.00481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HYPERLINK("http://141.218.60.56/~jnz1568/getInfo.php?workbook=06_02.xlsx&amp;sheet=U0&amp;row=50&amp;col=6&amp;number=3.6&amp;sourceID=14","3.6")</f>
        <v>3.6</v>
      </c>
      <c r="G50" s="4" t="str">
        <f>HYPERLINK("http://141.218.60.56/~jnz1568/getInfo.php?workbook=06_02.xlsx&amp;sheet=U0&amp;row=50&amp;col=7&amp;number=0.00481&amp;sourceID=14","0.00481")</f>
        <v>0.00481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HYPERLINK("http://141.218.60.56/~jnz1568/getInfo.php?workbook=06_02.xlsx&amp;sheet=U0&amp;row=51&amp;col=6&amp;number=3.7&amp;sourceID=14","3.7")</f>
        <v>3.7</v>
      </c>
      <c r="G51" s="4" t="str">
        <f>HYPERLINK("http://141.218.60.56/~jnz1568/getInfo.php?workbook=06_02.xlsx&amp;sheet=U0&amp;row=51&amp;col=7&amp;number=0.00481&amp;sourceID=14","0.00481")</f>
        <v>0.00481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HYPERLINK("http://141.218.60.56/~jnz1568/getInfo.php?workbook=06_02.xlsx&amp;sheet=U0&amp;row=52&amp;col=6&amp;number=3.8&amp;sourceID=14","3.8")</f>
        <v>3.8</v>
      </c>
      <c r="G52" s="4" t="str">
        <f>HYPERLINK("http://141.218.60.56/~jnz1568/getInfo.php?workbook=06_02.xlsx&amp;sheet=U0&amp;row=52&amp;col=7&amp;number=0.00481&amp;sourceID=14","0.00481")</f>
        <v>0.00481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HYPERLINK("http://141.218.60.56/~jnz1568/getInfo.php?workbook=06_02.xlsx&amp;sheet=U0&amp;row=53&amp;col=6&amp;number=3.9&amp;sourceID=14","3.9")</f>
        <v>3.9</v>
      </c>
      <c r="G53" s="4" t="str">
        <f>HYPERLINK("http://141.218.60.56/~jnz1568/getInfo.php?workbook=06_02.xlsx&amp;sheet=U0&amp;row=53&amp;col=7&amp;number=0.0048&amp;sourceID=14","0.0048")</f>
        <v>0.0048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HYPERLINK("http://141.218.60.56/~jnz1568/getInfo.php?workbook=06_02.xlsx&amp;sheet=U0&amp;row=54&amp;col=6&amp;number=4&amp;sourceID=14","4")</f>
        <v>4</v>
      </c>
      <c r="G54" s="4" t="str">
        <f>HYPERLINK("http://141.218.60.56/~jnz1568/getInfo.php?workbook=06_02.xlsx&amp;sheet=U0&amp;row=54&amp;col=7&amp;number=0.0048&amp;sourceID=14","0.0048")</f>
        <v>0.0048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HYPERLINK("http://141.218.60.56/~jnz1568/getInfo.php?workbook=06_02.xlsx&amp;sheet=U0&amp;row=55&amp;col=6&amp;number=4.1&amp;sourceID=14","4.1")</f>
        <v>4.1</v>
      </c>
      <c r="G55" s="4" t="str">
        <f>HYPERLINK("http://141.218.60.56/~jnz1568/getInfo.php?workbook=06_02.xlsx&amp;sheet=U0&amp;row=55&amp;col=7&amp;number=0.00479&amp;sourceID=14","0.00479")</f>
        <v>0.00479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HYPERLINK("http://141.218.60.56/~jnz1568/getInfo.php?workbook=06_02.xlsx&amp;sheet=U0&amp;row=56&amp;col=6&amp;number=4.2&amp;sourceID=14","4.2")</f>
        <v>4.2</v>
      </c>
      <c r="G56" s="4" t="str">
        <f>HYPERLINK("http://141.218.60.56/~jnz1568/getInfo.php?workbook=06_02.xlsx&amp;sheet=U0&amp;row=56&amp;col=7&amp;number=0.00479&amp;sourceID=14","0.00479")</f>
        <v>0.00479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HYPERLINK("http://141.218.60.56/~jnz1568/getInfo.php?workbook=06_02.xlsx&amp;sheet=U0&amp;row=57&amp;col=6&amp;number=4.3&amp;sourceID=14","4.3")</f>
        <v>4.3</v>
      </c>
      <c r="G57" s="4" t="str">
        <f>HYPERLINK("http://141.218.60.56/~jnz1568/getInfo.php?workbook=06_02.xlsx&amp;sheet=U0&amp;row=57&amp;col=7&amp;number=0.00478&amp;sourceID=14","0.00478")</f>
        <v>0.00478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HYPERLINK("http://141.218.60.56/~jnz1568/getInfo.php?workbook=06_02.xlsx&amp;sheet=U0&amp;row=58&amp;col=6&amp;number=4.4&amp;sourceID=14","4.4")</f>
        <v>4.4</v>
      </c>
      <c r="G58" s="4" t="str">
        <f>HYPERLINK("http://141.218.60.56/~jnz1568/getInfo.php?workbook=06_02.xlsx&amp;sheet=U0&amp;row=58&amp;col=7&amp;number=0.00477&amp;sourceID=14","0.00477")</f>
        <v>0.00477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HYPERLINK("http://141.218.60.56/~jnz1568/getInfo.php?workbook=06_02.xlsx&amp;sheet=U0&amp;row=59&amp;col=6&amp;number=4.5&amp;sourceID=14","4.5")</f>
        <v>4.5</v>
      </c>
      <c r="G59" s="4" t="str">
        <f>HYPERLINK("http://141.218.60.56/~jnz1568/getInfo.php?workbook=06_02.xlsx&amp;sheet=U0&amp;row=59&amp;col=7&amp;number=0.00476&amp;sourceID=14","0.00476")</f>
        <v>0.00476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HYPERLINK("http://141.218.60.56/~jnz1568/getInfo.php?workbook=06_02.xlsx&amp;sheet=U0&amp;row=60&amp;col=6&amp;number=4.6&amp;sourceID=14","4.6")</f>
        <v>4.6</v>
      </c>
      <c r="G60" s="4" t="str">
        <f>HYPERLINK("http://141.218.60.56/~jnz1568/getInfo.php?workbook=06_02.xlsx&amp;sheet=U0&amp;row=60&amp;col=7&amp;number=0.00474&amp;sourceID=14","0.00474")</f>
        <v>0.00474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HYPERLINK("http://141.218.60.56/~jnz1568/getInfo.php?workbook=06_02.xlsx&amp;sheet=U0&amp;row=61&amp;col=6&amp;number=4.7&amp;sourceID=14","4.7")</f>
        <v>4.7</v>
      </c>
      <c r="G61" s="4" t="str">
        <f>HYPERLINK("http://141.218.60.56/~jnz1568/getInfo.php?workbook=06_02.xlsx&amp;sheet=U0&amp;row=61&amp;col=7&amp;number=0.00472&amp;sourceID=14","0.00472")</f>
        <v>0.00472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HYPERLINK("http://141.218.60.56/~jnz1568/getInfo.php?workbook=06_02.xlsx&amp;sheet=U0&amp;row=62&amp;col=6&amp;number=4.8&amp;sourceID=14","4.8")</f>
        <v>4.8</v>
      </c>
      <c r="G62" s="4" t="str">
        <f>HYPERLINK("http://141.218.60.56/~jnz1568/getInfo.php?workbook=06_02.xlsx&amp;sheet=U0&amp;row=62&amp;col=7&amp;number=0.0047&amp;sourceID=14","0.0047")</f>
        <v>0.0047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HYPERLINK("http://141.218.60.56/~jnz1568/getInfo.php?workbook=06_02.xlsx&amp;sheet=U0&amp;row=63&amp;col=6&amp;number=4.9&amp;sourceID=14","4.9")</f>
        <v>4.9</v>
      </c>
      <c r="G63" s="4" t="str">
        <f>HYPERLINK("http://141.218.60.56/~jnz1568/getInfo.php?workbook=06_02.xlsx&amp;sheet=U0&amp;row=63&amp;col=7&amp;number=0.00467&amp;sourceID=14","0.00467")</f>
        <v>0.00467</v>
      </c>
    </row>
    <row r="64" spans="1:7">
      <c r="A64" s="3">
        <v>6</v>
      </c>
      <c r="B64" s="3">
        <v>2</v>
      </c>
      <c r="C64" s="3">
        <v>1</v>
      </c>
      <c r="D64" s="3">
        <v>5</v>
      </c>
      <c r="E64" s="3">
        <v>1</v>
      </c>
      <c r="F64" s="4" t="str">
        <f>HYPERLINK("http://141.218.60.56/~jnz1568/getInfo.php?workbook=06_02.xlsx&amp;sheet=U0&amp;row=64&amp;col=6&amp;number=3&amp;sourceID=14","3")</f>
        <v>3</v>
      </c>
      <c r="G64" s="4" t="str">
        <f>HYPERLINK("http://141.218.60.56/~jnz1568/getInfo.php?workbook=06_02.xlsx&amp;sheet=U0&amp;row=64&amp;col=7&amp;number=0.0143&amp;sourceID=14","0.0143")</f>
        <v>0.0143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HYPERLINK("http://141.218.60.56/~jnz1568/getInfo.php?workbook=06_02.xlsx&amp;sheet=U0&amp;row=65&amp;col=6&amp;number=3.1&amp;sourceID=14","3.1")</f>
        <v>3.1</v>
      </c>
      <c r="G65" s="4" t="str">
        <f>HYPERLINK("http://141.218.60.56/~jnz1568/getInfo.php?workbook=06_02.xlsx&amp;sheet=U0&amp;row=65&amp;col=7&amp;number=0.0143&amp;sourceID=14","0.0143")</f>
        <v>0.0143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HYPERLINK("http://141.218.60.56/~jnz1568/getInfo.php?workbook=06_02.xlsx&amp;sheet=U0&amp;row=66&amp;col=6&amp;number=3.2&amp;sourceID=14","3.2")</f>
        <v>3.2</v>
      </c>
      <c r="G66" s="4" t="str">
        <f>HYPERLINK("http://141.218.60.56/~jnz1568/getInfo.php?workbook=06_02.xlsx&amp;sheet=U0&amp;row=66&amp;col=7&amp;number=0.0143&amp;sourceID=14","0.0143")</f>
        <v>0.0143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HYPERLINK("http://141.218.60.56/~jnz1568/getInfo.php?workbook=06_02.xlsx&amp;sheet=U0&amp;row=67&amp;col=6&amp;number=3.3&amp;sourceID=14","3.3")</f>
        <v>3.3</v>
      </c>
      <c r="G67" s="4" t="str">
        <f>HYPERLINK("http://141.218.60.56/~jnz1568/getInfo.php?workbook=06_02.xlsx&amp;sheet=U0&amp;row=67&amp;col=7&amp;number=0.0143&amp;sourceID=14","0.0143")</f>
        <v>0.0143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HYPERLINK("http://141.218.60.56/~jnz1568/getInfo.php?workbook=06_02.xlsx&amp;sheet=U0&amp;row=68&amp;col=6&amp;number=3.4&amp;sourceID=14","3.4")</f>
        <v>3.4</v>
      </c>
      <c r="G68" s="4" t="str">
        <f>HYPERLINK("http://141.218.60.56/~jnz1568/getInfo.php?workbook=06_02.xlsx&amp;sheet=U0&amp;row=68&amp;col=7&amp;number=0.0143&amp;sourceID=14","0.0143")</f>
        <v>0.0143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HYPERLINK("http://141.218.60.56/~jnz1568/getInfo.php?workbook=06_02.xlsx&amp;sheet=U0&amp;row=69&amp;col=6&amp;number=3.5&amp;sourceID=14","3.5")</f>
        <v>3.5</v>
      </c>
      <c r="G69" s="4" t="str">
        <f>HYPERLINK("http://141.218.60.56/~jnz1568/getInfo.php?workbook=06_02.xlsx&amp;sheet=U0&amp;row=69&amp;col=7&amp;number=0.0143&amp;sourceID=14","0.0143")</f>
        <v>0.0143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HYPERLINK("http://141.218.60.56/~jnz1568/getInfo.php?workbook=06_02.xlsx&amp;sheet=U0&amp;row=70&amp;col=6&amp;number=3.6&amp;sourceID=14","3.6")</f>
        <v>3.6</v>
      </c>
      <c r="G70" s="4" t="str">
        <f>HYPERLINK("http://141.218.60.56/~jnz1568/getInfo.php?workbook=06_02.xlsx&amp;sheet=U0&amp;row=70&amp;col=7&amp;number=0.0143&amp;sourceID=14","0.0143")</f>
        <v>0.0143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HYPERLINK("http://141.218.60.56/~jnz1568/getInfo.php?workbook=06_02.xlsx&amp;sheet=U0&amp;row=71&amp;col=6&amp;number=3.7&amp;sourceID=14","3.7")</f>
        <v>3.7</v>
      </c>
      <c r="G71" s="4" t="str">
        <f>HYPERLINK("http://141.218.60.56/~jnz1568/getInfo.php?workbook=06_02.xlsx&amp;sheet=U0&amp;row=71&amp;col=7&amp;number=0.0143&amp;sourceID=14","0.0143")</f>
        <v>0.0143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HYPERLINK("http://141.218.60.56/~jnz1568/getInfo.php?workbook=06_02.xlsx&amp;sheet=U0&amp;row=72&amp;col=6&amp;number=3.8&amp;sourceID=14","3.8")</f>
        <v>3.8</v>
      </c>
      <c r="G72" s="4" t="str">
        <f>HYPERLINK("http://141.218.60.56/~jnz1568/getInfo.php?workbook=06_02.xlsx&amp;sheet=U0&amp;row=72&amp;col=7&amp;number=0.0143&amp;sourceID=14","0.0143")</f>
        <v>0.0143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HYPERLINK("http://141.218.60.56/~jnz1568/getInfo.php?workbook=06_02.xlsx&amp;sheet=U0&amp;row=73&amp;col=6&amp;number=3.9&amp;sourceID=14","3.9")</f>
        <v>3.9</v>
      </c>
      <c r="G73" s="4" t="str">
        <f>HYPERLINK("http://141.218.60.56/~jnz1568/getInfo.php?workbook=06_02.xlsx&amp;sheet=U0&amp;row=73&amp;col=7&amp;number=0.0143&amp;sourceID=14","0.0143")</f>
        <v>0.0143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HYPERLINK("http://141.218.60.56/~jnz1568/getInfo.php?workbook=06_02.xlsx&amp;sheet=U0&amp;row=74&amp;col=6&amp;number=4&amp;sourceID=14","4")</f>
        <v>4</v>
      </c>
      <c r="G74" s="4" t="str">
        <f>HYPERLINK("http://141.218.60.56/~jnz1568/getInfo.php?workbook=06_02.xlsx&amp;sheet=U0&amp;row=74&amp;col=7&amp;number=0.0143&amp;sourceID=14","0.0143")</f>
        <v>0.0143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HYPERLINK("http://141.218.60.56/~jnz1568/getInfo.php?workbook=06_02.xlsx&amp;sheet=U0&amp;row=75&amp;col=6&amp;number=4.1&amp;sourceID=14","4.1")</f>
        <v>4.1</v>
      </c>
      <c r="G75" s="4" t="str">
        <f>HYPERLINK("http://141.218.60.56/~jnz1568/getInfo.php?workbook=06_02.xlsx&amp;sheet=U0&amp;row=75&amp;col=7&amp;number=0.0143&amp;sourceID=14","0.0143")</f>
        <v>0.0143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HYPERLINK("http://141.218.60.56/~jnz1568/getInfo.php?workbook=06_02.xlsx&amp;sheet=U0&amp;row=76&amp;col=6&amp;number=4.2&amp;sourceID=14","4.2")</f>
        <v>4.2</v>
      </c>
      <c r="G76" s="4" t="str">
        <f>HYPERLINK("http://141.218.60.56/~jnz1568/getInfo.php?workbook=06_02.xlsx&amp;sheet=U0&amp;row=76&amp;col=7&amp;number=0.0143&amp;sourceID=14","0.0143")</f>
        <v>0.0143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HYPERLINK("http://141.218.60.56/~jnz1568/getInfo.php?workbook=06_02.xlsx&amp;sheet=U0&amp;row=77&amp;col=6&amp;number=4.3&amp;sourceID=14","4.3")</f>
        <v>4.3</v>
      </c>
      <c r="G77" s="4" t="str">
        <f>HYPERLINK("http://141.218.60.56/~jnz1568/getInfo.php?workbook=06_02.xlsx&amp;sheet=U0&amp;row=77&amp;col=7&amp;number=0.0142&amp;sourceID=14","0.0142")</f>
        <v>0.0142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HYPERLINK("http://141.218.60.56/~jnz1568/getInfo.php?workbook=06_02.xlsx&amp;sheet=U0&amp;row=78&amp;col=6&amp;number=4.4&amp;sourceID=14","4.4")</f>
        <v>4.4</v>
      </c>
      <c r="G78" s="4" t="str">
        <f>HYPERLINK("http://141.218.60.56/~jnz1568/getInfo.php?workbook=06_02.xlsx&amp;sheet=U0&amp;row=78&amp;col=7&amp;number=0.0142&amp;sourceID=14","0.0142")</f>
        <v>0.0142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HYPERLINK("http://141.218.60.56/~jnz1568/getInfo.php?workbook=06_02.xlsx&amp;sheet=U0&amp;row=79&amp;col=6&amp;number=4.5&amp;sourceID=14","4.5")</f>
        <v>4.5</v>
      </c>
      <c r="G79" s="4" t="str">
        <f>HYPERLINK("http://141.218.60.56/~jnz1568/getInfo.php?workbook=06_02.xlsx&amp;sheet=U0&amp;row=79&amp;col=7&amp;number=0.0142&amp;sourceID=14","0.0142")</f>
        <v>0.0142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HYPERLINK("http://141.218.60.56/~jnz1568/getInfo.php?workbook=06_02.xlsx&amp;sheet=U0&amp;row=80&amp;col=6&amp;number=4.6&amp;sourceID=14","4.6")</f>
        <v>4.6</v>
      </c>
      <c r="G80" s="4" t="str">
        <f>HYPERLINK("http://141.218.60.56/~jnz1568/getInfo.php?workbook=06_02.xlsx&amp;sheet=U0&amp;row=80&amp;col=7&amp;number=0.0141&amp;sourceID=14","0.0141")</f>
        <v>0.0141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HYPERLINK("http://141.218.60.56/~jnz1568/getInfo.php?workbook=06_02.xlsx&amp;sheet=U0&amp;row=81&amp;col=6&amp;number=4.7&amp;sourceID=14","4.7")</f>
        <v>4.7</v>
      </c>
      <c r="G81" s="4" t="str">
        <f>HYPERLINK("http://141.218.60.56/~jnz1568/getInfo.php?workbook=06_02.xlsx&amp;sheet=U0&amp;row=81&amp;col=7&amp;number=0.0141&amp;sourceID=14","0.0141")</f>
        <v>0.0141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HYPERLINK("http://141.218.60.56/~jnz1568/getInfo.php?workbook=06_02.xlsx&amp;sheet=U0&amp;row=82&amp;col=6&amp;number=4.8&amp;sourceID=14","4.8")</f>
        <v>4.8</v>
      </c>
      <c r="G82" s="4" t="str">
        <f>HYPERLINK("http://141.218.60.56/~jnz1568/getInfo.php?workbook=06_02.xlsx&amp;sheet=U0&amp;row=82&amp;col=7&amp;number=0.014&amp;sourceID=14","0.014")</f>
        <v>0.014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HYPERLINK("http://141.218.60.56/~jnz1568/getInfo.php?workbook=06_02.xlsx&amp;sheet=U0&amp;row=83&amp;col=6&amp;number=4.9&amp;sourceID=14","4.9")</f>
        <v>4.9</v>
      </c>
      <c r="G83" s="4" t="str">
        <f>HYPERLINK("http://141.218.60.56/~jnz1568/getInfo.php?workbook=06_02.xlsx&amp;sheet=U0&amp;row=83&amp;col=7&amp;number=0.014&amp;sourceID=14","0.014")</f>
        <v>0.014</v>
      </c>
    </row>
    <row r="84" spans="1:7">
      <c r="A84" s="3">
        <v>6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HYPERLINK("http://141.218.60.56/~jnz1568/getInfo.php?workbook=06_02.xlsx&amp;sheet=U0&amp;row=84&amp;col=6&amp;number=3&amp;sourceID=14","3")</f>
        <v>3</v>
      </c>
      <c r="G84" s="4" t="str">
        <f>HYPERLINK("http://141.218.60.56/~jnz1568/getInfo.php?workbook=06_02.xlsx&amp;sheet=U0&amp;row=84&amp;col=7&amp;number=0.0334&amp;sourceID=14","0.0334")</f>
        <v>0.0334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HYPERLINK("http://141.218.60.56/~jnz1568/getInfo.php?workbook=06_02.xlsx&amp;sheet=U0&amp;row=85&amp;col=6&amp;number=3.1&amp;sourceID=14","3.1")</f>
        <v>3.1</v>
      </c>
      <c r="G85" s="4" t="str">
        <f>HYPERLINK("http://141.218.60.56/~jnz1568/getInfo.php?workbook=06_02.xlsx&amp;sheet=U0&amp;row=85&amp;col=7&amp;number=0.0334&amp;sourceID=14","0.0334")</f>
        <v>0.0334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HYPERLINK("http://141.218.60.56/~jnz1568/getInfo.php?workbook=06_02.xlsx&amp;sheet=U0&amp;row=86&amp;col=6&amp;number=3.2&amp;sourceID=14","3.2")</f>
        <v>3.2</v>
      </c>
      <c r="G86" s="4" t="str">
        <f>HYPERLINK("http://141.218.60.56/~jnz1568/getInfo.php?workbook=06_02.xlsx&amp;sheet=U0&amp;row=86&amp;col=7&amp;number=0.0334&amp;sourceID=14","0.0334")</f>
        <v>0.0334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HYPERLINK("http://141.218.60.56/~jnz1568/getInfo.php?workbook=06_02.xlsx&amp;sheet=U0&amp;row=87&amp;col=6&amp;number=3.3&amp;sourceID=14","3.3")</f>
        <v>3.3</v>
      </c>
      <c r="G87" s="4" t="str">
        <f>HYPERLINK("http://141.218.60.56/~jnz1568/getInfo.php?workbook=06_02.xlsx&amp;sheet=U0&amp;row=87&amp;col=7&amp;number=0.0334&amp;sourceID=14","0.0334")</f>
        <v>0.0334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HYPERLINK("http://141.218.60.56/~jnz1568/getInfo.php?workbook=06_02.xlsx&amp;sheet=U0&amp;row=88&amp;col=6&amp;number=3.4&amp;sourceID=14","3.4")</f>
        <v>3.4</v>
      </c>
      <c r="G88" s="4" t="str">
        <f>HYPERLINK("http://141.218.60.56/~jnz1568/getInfo.php?workbook=06_02.xlsx&amp;sheet=U0&amp;row=88&amp;col=7&amp;number=0.0334&amp;sourceID=14","0.0334")</f>
        <v>0.0334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HYPERLINK("http://141.218.60.56/~jnz1568/getInfo.php?workbook=06_02.xlsx&amp;sheet=U0&amp;row=89&amp;col=6&amp;number=3.5&amp;sourceID=14","3.5")</f>
        <v>3.5</v>
      </c>
      <c r="G89" s="4" t="str">
        <f>HYPERLINK("http://141.218.60.56/~jnz1568/getInfo.php?workbook=06_02.xlsx&amp;sheet=U0&amp;row=89&amp;col=7&amp;number=0.0334&amp;sourceID=14","0.0334")</f>
        <v>0.0334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HYPERLINK("http://141.218.60.56/~jnz1568/getInfo.php?workbook=06_02.xlsx&amp;sheet=U0&amp;row=90&amp;col=6&amp;number=3.6&amp;sourceID=14","3.6")</f>
        <v>3.6</v>
      </c>
      <c r="G90" s="4" t="str">
        <f>HYPERLINK("http://141.218.60.56/~jnz1568/getInfo.php?workbook=06_02.xlsx&amp;sheet=U0&amp;row=90&amp;col=7&amp;number=0.0334&amp;sourceID=14","0.0334")</f>
        <v>0.0334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HYPERLINK("http://141.218.60.56/~jnz1568/getInfo.php?workbook=06_02.xlsx&amp;sheet=U0&amp;row=91&amp;col=6&amp;number=3.7&amp;sourceID=14","3.7")</f>
        <v>3.7</v>
      </c>
      <c r="G91" s="4" t="str">
        <f>HYPERLINK("http://141.218.60.56/~jnz1568/getInfo.php?workbook=06_02.xlsx&amp;sheet=U0&amp;row=91&amp;col=7&amp;number=0.0334&amp;sourceID=14","0.0334")</f>
        <v>0.0334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HYPERLINK("http://141.218.60.56/~jnz1568/getInfo.php?workbook=06_02.xlsx&amp;sheet=U0&amp;row=92&amp;col=6&amp;number=3.8&amp;sourceID=14","3.8")</f>
        <v>3.8</v>
      </c>
      <c r="G92" s="4" t="str">
        <f>HYPERLINK("http://141.218.60.56/~jnz1568/getInfo.php?workbook=06_02.xlsx&amp;sheet=U0&amp;row=92&amp;col=7&amp;number=0.0334&amp;sourceID=14","0.0334")</f>
        <v>0.0334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HYPERLINK("http://141.218.60.56/~jnz1568/getInfo.php?workbook=06_02.xlsx&amp;sheet=U0&amp;row=93&amp;col=6&amp;number=3.9&amp;sourceID=14","3.9")</f>
        <v>3.9</v>
      </c>
      <c r="G93" s="4" t="str">
        <f>HYPERLINK("http://141.218.60.56/~jnz1568/getInfo.php?workbook=06_02.xlsx&amp;sheet=U0&amp;row=93&amp;col=7&amp;number=0.0334&amp;sourceID=14","0.0334")</f>
        <v>0.0334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HYPERLINK("http://141.218.60.56/~jnz1568/getInfo.php?workbook=06_02.xlsx&amp;sheet=U0&amp;row=94&amp;col=6&amp;number=4&amp;sourceID=14","4")</f>
        <v>4</v>
      </c>
      <c r="G94" s="4" t="str">
        <f>HYPERLINK("http://141.218.60.56/~jnz1568/getInfo.php?workbook=06_02.xlsx&amp;sheet=U0&amp;row=94&amp;col=7&amp;number=0.0333&amp;sourceID=14","0.0333")</f>
        <v>0.0333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HYPERLINK("http://141.218.60.56/~jnz1568/getInfo.php?workbook=06_02.xlsx&amp;sheet=U0&amp;row=95&amp;col=6&amp;number=4.1&amp;sourceID=14","4.1")</f>
        <v>4.1</v>
      </c>
      <c r="G95" s="4" t="str">
        <f>HYPERLINK("http://141.218.60.56/~jnz1568/getInfo.php?workbook=06_02.xlsx&amp;sheet=U0&amp;row=95&amp;col=7&amp;number=0.0333&amp;sourceID=14","0.0333")</f>
        <v>0.0333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HYPERLINK("http://141.218.60.56/~jnz1568/getInfo.php?workbook=06_02.xlsx&amp;sheet=U0&amp;row=96&amp;col=6&amp;number=4.2&amp;sourceID=14","4.2")</f>
        <v>4.2</v>
      </c>
      <c r="G96" s="4" t="str">
        <f>HYPERLINK("http://141.218.60.56/~jnz1568/getInfo.php?workbook=06_02.xlsx&amp;sheet=U0&amp;row=96&amp;col=7&amp;number=0.0333&amp;sourceID=14","0.0333")</f>
        <v>0.0333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HYPERLINK("http://141.218.60.56/~jnz1568/getInfo.php?workbook=06_02.xlsx&amp;sheet=U0&amp;row=97&amp;col=6&amp;number=4.3&amp;sourceID=14","4.3")</f>
        <v>4.3</v>
      </c>
      <c r="G97" s="4" t="str">
        <f>HYPERLINK("http://141.218.60.56/~jnz1568/getInfo.php?workbook=06_02.xlsx&amp;sheet=U0&amp;row=97&amp;col=7&amp;number=0.0332&amp;sourceID=14","0.0332")</f>
        <v>0.0332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HYPERLINK("http://141.218.60.56/~jnz1568/getInfo.php?workbook=06_02.xlsx&amp;sheet=U0&amp;row=98&amp;col=6&amp;number=4.4&amp;sourceID=14","4.4")</f>
        <v>4.4</v>
      </c>
      <c r="G98" s="4" t="str">
        <f>HYPERLINK("http://141.218.60.56/~jnz1568/getInfo.php?workbook=06_02.xlsx&amp;sheet=U0&amp;row=98&amp;col=7&amp;number=0.0332&amp;sourceID=14","0.0332")</f>
        <v>0.0332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HYPERLINK("http://141.218.60.56/~jnz1568/getInfo.php?workbook=06_02.xlsx&amp;sheet=U0&amp;row=99&amp;col=6&amp;number=4.5&amp;sourceID=14","4.5")</f>
        <v>4.5</v>
      </c>
      <c r="G99" s="4" t="str">
        <f>HYPERLINK("http://141.218.60.56/~jnz1568/getInfo.php?workbook=06_02.xlsx&amp;sheet=U0&amp;row=99&amp;col=7&amp;number=0.0331&amp;sourceID=14","0.0331")</f>
        <v>0.0331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HYPERLINK("http://141.218.60.56/~jnz1568/getInfo.php?workbook=06_02.xlsx&amp;sheet=U0&amp;row=100&amp;col=6&amp;number=4.6&amp;sourceID=14","4.6")</f>
        <v>4.6</v>
      </c>
      <c r="G100" s="4" t="str">
        <f>HYPERLINK("http://141.218.60.56/~jnz1568/getInfo.php?workbook=06_02.xlsx&amp;sheet=U0&amp;row=100&amp;col=7&amp;number=0.033&amp;sourceID=14","0.033")</f>
        <v>0.033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HYPERLINK("http://141.218.60.56/~jnz1568/getInfo.php?workbook=06_02.xlsx&amp;sheet=U0&amp;row=101&amp;col=6&amp;number=4.7&amp;sourceID=14","4.7")</f>
        <v>4.7</v>
      </c>
      <c r="G101" s="4" t="str">
        <f>HYPERLINK("http://141.218.60.56/~jnz1568/getInfo.php?workbook=06_02.xlsx&amp;sheet=U0&amp;row=101&amp;col=7&amp;number=0.0329&amp;sourceID=14","0.0329")</f>
        <v>0.0329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HYPERLINK("http://141.218.60.56/~jnz1568/getInfo.php?workbook=06_02.xlsx&amp;sheet=U0&amp;row=102&amp;col=6&amp;number=4.8&amp;sourceID=14","4.8")</f>
        <v>4.8</v>
      </c>
      <c r="G102" s="4" t="str">
        <f>HYPERLINK("http://141.218.60.56/~jnz1568/getInfo.php?workbook=06_02.xlsx&amp;sheet=U0&amp;row=102&amp;col=7&amp;number=0.0327&amp;sourceID=14","0.0327")</f>
        <v>0.0327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HYPERLINK("http://141.218.60.56/~jnz1568/getInfo.php?workbook=06_02.xlsx&amp;sheet=U0&amp;row=103&amp;col=6&amp;number=4.9&amp;sourceID=14","4.9")</f>
        <v>4.9</v>
      </c>
      <c r="G103" s="4" t="str">
        <f>HYPERLINK("http://141.218.60.56/~jnz1568/getInfo.php?workbook=06_02.xlsx&amp;sheet=U0&amp;row=103&amp;col=7&amp;number=0.0325&amp;sourceID=14","0.0325")</f>
        <v>0.0325</v>
      </c>
    </row>
    <row r="104" spans="1:7">
      <c r="A104" s="3">
        <v>6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HYPERLINK("http://141.218.60.56/~jnz1568/getInfo.php?workbook=06_02.xlsx&amp;sheet=U0&amp;row=104&amp;col=6&amp;number=3&amp;sourceID=14","3")</f>
        <v>3</v>
      </c>
      <c r="G104" s="4" t="str">
        <f>HYPERLINK("http://141.218.60.56/~jnz1568/getInfo.php?workbook=06_02.xlsx&amp;sheet=U0&amp;row=104&amp;col=7&amp;number=0.0316&amp;sourceID=14","0.0316")</f>
        <v>0.0316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HYPERLINK("http://141.218.60.56/~jnz1568/getInfo.php?workbook=06_02.xlsx&amp;sheet=U0&amp;row=105&amp;col=6&amp;number=3.1&amp;sourceID=14","3.1")</f>
        <v>3.1</v>
      </c>
      <c r="G105" s="4" t="str">
        <f>HYPERLINK("http://141.218.60.56/~jnz1568/getInfo.php?workbook=06_02.xlsx&amp;sheet=U0&amp;row=105&amp;col=7&amp;number=0.0316&amp;sourceID=14","0.0316")</f>
        <v>0.0316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HYPERLINK("http://141.218.60.56/~jnz1568/getInfo.php?workbook=06_02.xlsx&amp;sheet=U0&amp;row=106&amp;col=6&amp;number=3.2&amp;sourceID=14","3.2")</f>
        <v>3.2</v>
      </c>
      <c r="G106" s="4" t="str">
        <f>HYPERLINK("http://141.218.60.56/~jnz1568/getInfo.php?workbook=06_02.xlsx&amp;sheet=U0&amp;row=106&amp;col=7&amp;number=0.0316&amp;sourceID=14","0.0316")</f>
        <v>0.0316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HYPERLINK("http://141.218.60.56/~jnz1568/getInfo.php?workbook=06_02.xlsx&amp;sheet=U0&amp;row=107&amp;col=6&amp;number=3.3&amp;sourceID=14","3.3")</f>
        <v>3.3</v>
      </c>
      <c r="G107" s="4" t="str">
        <f>HYPERLINK("http://141.218.60.56/~jnz1568/getInfo.php?workbook=06_02.xlsx&amp;sheet=U0&amp;row=107&amp;col=7&amp;number=0.0317&amp;sourceID=14","0.0317")</f>
        <v>0.0317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HYPERLINK("http://141.218.60.56/~jnz1568/getInfo.php?workbook=06_02.xlsx&amp;sheet=U0&amp;row=108&amp;col=6&amp;number=3.4&amp;sourceID=14","3.4")</f>
        <v>3.4</v>
      </c>
      <c r="G108" s="4" t="str">
        <f>HYPERLINK("http://141.218.60.56/~jnz1568/getInfo.php?workbook=06_02.xlsx&amp;sheet=U0&amp;row=108&amp;col=7&amp;number=0.0317&amp;sourceID=14","0.0317")</f>
        <v>0.0317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HYPERLINK("http://141.218.60.56/~jnz1568/getInfo.php?workbook=06_02.xlsx&amp;sheet=U0&amp;row=109&amp;col=6&amp;number=3.5&amp;sourceID=14","3.5")</f>
        <v>3.5</v>
      </c>
      <c r="G109" s="4" t="str">
        <f>HYPERLINK("http://141.218.60.56/~jnz1568/getInfo.php?workbook=06_02.xlsx&amp;sheet=U0&amp;row=109&amp;col=7&amp;number=0.0317&amp;sourceID=14","0.0317")</f>
        <v>0.0317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HYPERLINK("http://141.218.60.56/~jnz1568/getInfo.php?workbook=06_02.xlsx&amp;sheet=U0&amp;row=110&amp;col=6&amp;number=3.6&amp;sourceID=14","3.6")</f>
        <v>3.6</v>
      </c>
      <c r="G110" s="4" t="str">
        <f>HYPERLINK("http://141.218.60.56/~jnz1568/getInfo.php?workbook=06_02.xlsx&amp;sheet=U0&amp;row=110&amp;col=7&amp;number=0.0317&amp;sourceID=14","0.0317")</f>
        <v>0.0317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HYPERLINK("http://141.218.60.56/~jnz1568/getInfo.php?workbook=06_02.xlsx&amp;sheet=U0&amp;row=111&amp;col=6&amp;number=3.7&amp;sourceID=14","3.7")</f>
        <v>3.7</v>
      </c>
      <c r="G111" s="4" t="str">
        <f>HYPERLINK("http://141.218.60.56/~jnz1568/getInfo.php?workbook=06_02.xlsx&amp;sheet=U0&amp;row=111&amp;col=7&amp;number=0.0317&amp;sourceID=14","0.0317")</f>
        <v>0.0317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HYPERLINK("http://141.218.60.56/~jnz1568/getInfo.php?workbook=06_02.xlsx&amp;sheet=U0&amp;row=112&amp;col=6&amp;number=3.8&amp;sourceID=14","3.8")</f>
        <v>3.8</v>
      </c>
      <c r="G112" s="4" t="str">
        <f>HYPERLINK("http://141.218.60.56/~jnz1568/getInfo.php?workbook=06_02.xlsx&amp;sheet=U0&amp;row=112&amp;col=7&amp;number=0.0317&amp;sourceID=14","0.0317")</f>
        <v>0.0317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HYPERLINK("http://141.218.60.56/~jnz1568/getInfo.php?workbook=06_02.xlsx&amp;sheet=U0&amp;row=113&amp;col=6&amp;number=3.9&amp;sourceID=14","3.9")</f>
        <v>3.9</v>
      </c>
      <c r="G113" s="4" t="str">
        <f>HYPERLINK("http://141.218.60.56/~jnz1568/getInfo.php?workbook=06_02.xlsx&amp;sheet=U0&amp;row=113&amp;col=7&amp;number=0.0318&amp;sourceID=14","0.0318")</f>
        <v>0.0318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HYPERLINK("http://141.218.60.56/~jnz1568/getInfo.php?workbook=06_02.xlsx&amp;sheet=U0&amp;row=114&amp;col=6&amp;number=4&amp;sourceID=14","4")</f>
        <v>4</v>
      </c>
      <c r="G114" s="4" t="str">
        <f>HYPERLINK("http://141.218.60.56/~jnz1568/getInfo.php?workbook=06_02.xlsx&amp;sheet=U0&amp;row=114&amp;col=7&amp;number=0.0318&amp;sourceID=14","0.0318")</f>
        <v>0.0318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HYPERLINK("http://141.218.60.56/~jnz1568/getInfo.php?workbook=06_02.xlsx&amp;sheet=U0&amp;row=115&amp;col=6&amp;number=4.1&amp;sourceID=14","4.1")</f>
        <v>4.1</v>
      </c>
      <c r="G115" s="4" t="str">
        <f>HYPERLINK("http://141.218.60.56/~jnz1568/getInfo.php?workbook=06_02.xlsx&amp;sheet=U0&amp;row=115&amp;col=7&amp;number=0.0319&amp;sourceID=14","0.0319")</f>
        <v>0.0319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HYPERLINK("http://141.218.60.56/~jnz1568/getInfo.php?workbook=06_02.xlsx&amp;sheet=U0&amp;row=116&amp;col=6&amp;number=4.2&amp;sourceID=14","4.2")</f>
        <v>4.2</v>
      </c>
      <c r="G116" s="4" t="str">
        <f>HYPERLINK("http://141.218.60.56/~jnz1568/getInfo.php?workbook=06_02.xlsx&amp;sheet=U0&amp;row=116&amp;col=7&amp;number=0.032&amp;sourceID=14","0.032")</f>
        <v>0.032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HYPERLINK("http://141.218.60.56/~jnz1568/getInfo.php?workbook=06_02.xlsx&amp;sheet=U0&amp;row=117&amp;col=6&amp;number=4.3&amp;sourceID=14","4.3")</f>
        <v>4.3</v>
      </c>
      <c r="G117" s="4" t="str">
        <f>HYPERLINK("http://141.218.60.56/~jnz1568/getInfo.php?workbook=06_02.xlsx&amp;sheet=U0&amp;row=117&amp;col=7&amp;number=0.032&amp;sourceID=14","0.032")</f>
        <v>0.032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HYPERLINK("http://141.218.60.56/~jnz1568/getInfo.php?workbook=06_02.xlsx&amp;sheet=U0&amp;row=118&amp;col=6&amp;number=4.4&amp;sourceID=14","4.4")</f>
        <v>4.4</v>
      </c>
      <c r="G118" s="4" t="str">
        <f>HYPERLINK("http://141.218.60.56/~jnz1568/getInfo.php?workbook=06_02.xlsx&amp;sheet=U0&amp;row=118&amp;col=7&amp;number=0.0322&amp;sourceID=14","0.0322")</f>
        <v>0.0322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HYPERLINK("http://141.218.60.56/~jnz1568/getInfo.php?workbook=06_02.xlsx&amp;sheet=U0&amp;row=119&amp;col=6&amp;number=4.5&amp;sourceID=14","4.5")</f>
        <v>4.5</v>
      </c>
      <c r="G119" s="4" t="str">
        <f>HYPERLINK("http://141.218.60.56/~jnz1568/getInfo.php?workbook=06_02.xlsx&amp;sheet=U0&amp;row=119&amp;col=7&amp;number=0.0323&amp;sourceID=14","0.0323")</f>
        <v>0.0323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HYPERLINK("http://141.218.60.56/~jnz1568/getInfo.php?workbook=06_02.xlsx&amp;sheet=U0&amp;row=120&amp;col=6&amp;number=4.6&amp;sourceID=14","4.6")</f>
        <v>4.6</v>
      </c>
      <c r="G120" s="4" t="str">
        <f>HYPERLINK("http://141.218.60.56/~jnz1568/getInfo.php?workbook=06_02.xlsx&amp;sheet=U0&amp;row=120&amp;col=7&amp;number=0.0325&amp;sourceID=14","0.0325")</f>
        <v>0.0325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HYPERLINK("http://141.218.60.56/~jnz1568/getInfo.php?workbook=06_02.xlsx&amp;sheet=U0&amp;row=121&amp;col=6&amp;number=4.7&amp;sourceID=14","4.7")</f>
        <v>4.7</v>
      </c>
      <c r="G121" s="4" t="str">
        <f>HYPERLINK("http://141.218.60.56/~jnz1568/getInfo.php?workbook=06_02.xlsx&amp;sheet=U0&amp;row=121&amp;col=7&amp;number=0.0327&amp;sourceID=14","0.0327")</f>
        <v>0.0327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HYPERLINK("http://141.218.60.56/~jnz1568/getInfo.php?workbook=06_02.xlsx&amp;sheet=U0&amp;row=122&amp;col=6&amp;number=4.8&amp;sourceID=14","4.8")</f>
        <v>4.8</v>
      </c>
      <c r="G122" s="4" t="str">
        <f>HYPERLINK("http://141.218.60.56/~jnz1568/getInfo.php?workbook=06_02.xlsx&amp;sheet=U0&amp;row=122&amp;col=7&amp;number=0.033&amp;sourceID=14","0.033")</f>
        <v>0.033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HYPERLINK("http://141.218.60.56/~jnz1568/getInfo.php?workbook=06_02.xlsx&amp;sheet=U0&amp;row=123&amp;col=6&amp;number=4.9&amp;sourceID=14","4.9")</f>
        <v>4.9</v>
      </c>
      <c r="G123" s="4" t="str">
        <f>HYPERLINK("http://141.218.60.56/~jnz1568/getInfo.php?workbook=06_02.xlsx&amp;sheet=U0&amp;row=123&amp;col=7&amp;number=0.0333&amp;sourceID=14","0.0333")</f>
        <v>0.0333</v>
      </c>
    </row>
    <row r="124" spans="1:7">
      <c r="A124" s="3">
        <v>6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HYPERLINK("http://141.218.60.56/~jnz1568/getInfo.php?workbook=06_02.xlsx&amp;sheet=U0&amp;row=124&amp;col=6&amp;number=3&amp;sourceID=14","3")</f>
        <v>3</v>
      </c>
      <c r="G124" s="4" t="str">
        <f>HYPERLINK("http://141.218.60.56/~jnz1568/getInfo.php?workbook=06_02.xlsx&amp;sheet=U0&amp;row=124&amp;col=7&amp;number=0.00197&amp;sourceID=14","0.00197")</f>
        <v>0.00197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HYPERLINK("http://141.218.60.56/~jnz1568/getInfo.php?workbook=06_02.xlsx&amp;sheet=U0&amp;row=125&amp;col=6&amp;number=3.1&amp;sourceID=14","3.1")</f>
        <v>3.1</v>
      </c>
      <c r="G125" s="4" t="str">
        <f>HYPERLINK("http://141.218.60.56/~jnz1568/getInfo.php?workbook=06_02.xlsx&amp;sheet=U0&amp;row=125&amp;col=7&amp;number=0.00197&amp;sourceID=14","0.00197")</f>
        <v>0.00197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HYPERLINK("http://141.218.60.56/~jnz1568/getInfo.php?workbook=06_02.xlsx&amp;sheet=U0&amp;row=126&amp;col=6&amp;number=3.2&amp;sourceID=14","3.2")</f>
        <v>3.2</v>
      </c>
      <c r="G126" s="4" t="str">
        <f>HYPERLINK("http://141.218.60.56/~jnz1568/getInfo.php?workbook=06_02.xlsx&amp;sheet=U0&amp;row=126&amp;col=7&amp;number=0.00197&amp;sourceID=14","0.00197")</f>
        <v>0.00197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HYPERLINK("http://141.218.60.56/~jnz1568/getInfo.php?workbook=06_02.xlsx&amp;sheet=U0&amp;row=127&amp;col=6&amp;number=3.3&amp;sourceID=14","3.3")</f>
        <v>3.3</v>
      </c>
      <c r="G127" s="4" t="str">
        <f>HYPERLINK("http://141.218.60.56/~jnz1568/getInfo.php?workbook=06_02.xlsx&amp;sheet=U0&amp;row=127&amp;col=7&amp;number=0.00197&amp;sourceID=14","0.00197")</f>
        <v>0.00197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HYPERLINK("http://141.218.60.56/~jnz1568/getInfo.php?workbook=06_02.xlsx&amp;sheet=U0&amp;row=128&amp;col=6&amp;number=3.4&amp;sourceID=14","3.4")</f>
        <v>3.4</v>
      </c>
      <c r="G128" s="4" t="str">
        <f>HYPERLINK("http://141.218.60.56/~jnz1568/getInfo.php?workbook=06_02.xlsx&amp;sheet=U0&amp;row=128&amp;col=7&amp;number=0.00197&amp;sourceID=14","0.00197")</f>
        <v>0.00197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HYPERLINK("http://141.218.60.56/~jnz1568/getInfo.php?workbook=06_02.xlsx&amp;sheet=U0&amp;row=129&amp;col=6&amp;number=3.5&amp;sourceID=14","3.5")</f>
        <v>3.5</v>
      </c>
      <c r="G129" s="4" t="str">
        <f>HYPERLINK("http://141.218.60.56/~jnz1568/getInfo.php?workbook=06_02.xlsx&amp;sheet=U0&amp;row=129&amp;col=7&amp;number=0.00197&amp;sourceID=14","0.00197")</f>
        <v>0.00197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HYPERLINK("http://141.218.60.56/~jnz1568/getInfo.php?workbook=06_02.xlsx&amp;sheet=U0&amp;row=130&amp;col=6&amp;number=3.6&amp;sourceID=14","3.6")</f>
        <v>3.6</v>
      </c>
      <c r="G130" s="4" t="str">
        <f>HYPERLINK("http://141.218.60.56/~jnz1568/getInfo.php?workbook=06_02.xlsx&amp;sheet=U0&amp;row=130&amp;col=7&amp;number=0.00197&amp;sourceID=14","0.00197")</f>
        <v>0.00197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HYPERLINK("http://141.218.60.56/~jnz1568/getInfo.php?workbook=06_02.xlsx&amp;sheet=U0&amp;row=131&amp;col=6&amp;number=3.7&amp;sourceID=14","3.7")</f>
        <v>3.7</v>
      </c>
      <c r="G131" s="4" t="str">
        <f>HYPERLINK("http://141.218.60.56/~jnz1568/getInfo.php?workbook=06_02.xlsx&amp;sheet=U0&amp;row=131&amp;col=7&amp;number=0.00197&amp;sourceID=14","0.00197")</f>
        <v>0.00197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HYPERLINK("http://141.218.60.56/~jnz1568/getInfo.php?workbook=06_02.xlsx&amp;sheet=U0&amp;row=132&amp;col=6&amp;number=3.8&amp;sourceID=14","3.8")</f>
        <v>3.8</v>
      </c>
      <c r="G132" s="4" t="str">
        <f>HYPERLINK("http://141.218.60.56/~jnz1568/getInfo.php?workbook=06_02.xlsx&amp;sheet=U0&amp;row=132&amp;col=7&amp;number=0.00197&amp;sourceID=14","0.00197")</f>
        <v>0.00197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HYPERLINK("http://141.218.60.56/~jnz1568/getInfo.php?workbook=06_02.xlsx&amp;sheet=U0&amp;row=133&amp;col=6&amp;number=3.9&amp;sourceID=14","3.9")</f>
        <v>3.9</v>
      </c>
      <c r="G133" s="4" t="str">
        <f>HYPERLINK("http://141.218.60.56/~jnz1568/getInfo.php?workbook=06_02.xlsx&amp;sheet=U0&amp;row=133&amp;col=7&amp;number=0.00197&amp;sourceID=14","0.00197")</f>
        <v>0.00197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HYPERLINK("http://141.218.60.56/~jnz1568/getInfo.php?workbook=06_02.xlsx&amp;sheet=U0&amp;row=134&amp;col=6&amp;number=4&amp;sourceID=14","4")</f>
        <v>4</v>
      </c>
      <c r="G134" s="4" t="str">
        <f>HYPERLINK("http://141.218.60.56/~jnz1568/getInfo.php?workbook=06_02.xlsx&amp;sheet=U0&amp;row=134&amp;col=7&amp;number=0.00197&amp;sourceID=14","0.00197")</f>
        <v>0.00197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HYPERLINK("http://141.218.60.56/~jnz1568/getInfo.php?workbook=06_02.xlsx&amp;sheet=U0&amp;row=135&amp;col=6&amp;number=4.1&amp;sourceID=14","4.1")</f>
        <v>4.1</v>
      </c>
      <c r="G135" s="4" t="str">
        <f>HYPERLINK("http://141.218.60.56/~jnz1568/getInfo.php?workbook=06_02.xlsx&amp;sheet=U0&amp;row=135&amp;col=7&amp;number=0.00197&amp;sourceID=14","0.00197")</f>
        <v>0.00197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HYPERLINK("http://141.218.60.56/~jnz1568/getInfo.php?workbook=06_02.xlsx&amp;sheet=U0&amp;row=136&amp;col=6&amp;number=4.2&amp;sourceID=14","4.2")</f>
        <v>4.2</v>
      </c>
      <c r="G136" s="4" t="str">
        <f>HYPERLINK("http://141.218.60.56/~jnz1568/getInfo.php?workbook=06_02.xlsx&amp;sheet=U0&amp;row=136&amp;col=7&amp;number=0.00197&amp;sourceID=14","0.00197")</f>
        <v>0.00197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HYPERLINK("http://141.218.60.56/~jnz1568/getInfo.php?workbook=06_02.xlsx&amp;sheet=U0&amp;row=137&amp;col=6&amp;number=4.3&amp;sourceID=14","4.3")</f>
        <v>4.3</v>
      </c>
      <c r="G137" s="4" t="str">
        <f>HYPERLINK("http://141.218.60.56/~jnz1568/getInfo.php?workbook=06_02.xlsx&amp;sheet=U0&amp;row=137&amp;col=7&amp;number=0.00196&amp;sourceID=14","0.00196")</f>
        <v>0.00196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HYPERLINK("http://141.218.60.56/~jnz1568/getInfo.php?workbook=06_02.xlsx&amp;sheet=U0&amp;row=138&amp;col=6&amp;number=4.4&amp;sourceID=14","4.4")</f>
        <v>4.4</v>
      </c>
      <c r="G138" s="4" t="str">
        <f>HYPERLINK("http://141.218.60.56/~jnz1568/getInfo.php?workbook=06_02.xlsx&amp;sheet=U0&amp;row=138&amp;col=7&amp;number=0.00196&amp;sourceID=14","0.00196")</f>
        <v>0.00196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HYPERLINK("http://141.218.60.56/~jnz1568/getInfo.php?workbook=06_02.xlsx&amp;sheet=U0&amp;row=139&amp;col=6&amp;number=4.5&amp;sourceID=14","4.5")</f>
        <v>4.5</v>
      </c>
      <c r="G139" s="4" t="str">
        <f>HYPERLINK("http://141.218.60.56/~jnz1568/getInfo.php?workbook=06_02.xlsx&amp;sheet=U0&amp;row=139&amp;col=7&amp;number=0.00196&amp;sourceID=14","0.00196")</f>
        <v>0.00196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HYPERLINK("http://141.218.60.56/~jnz1568/getInfo.php?workbook=06_02.xlsx&amp;sheet=U0&amp;row=140&amp;col=6&amp;number=4.6&amp;sourceID=14","4.6")</f>
        <v>4.6</v>
      </c>
      <c r="G140" s="4" t="str">
        <f>HYPERLINK("http://141.218.60.56/~jnz1568/getInfo.php?workbook=06_02.xlsx&amp;sheet=U0&amp;row=140&amp;col=7&amp;number=0.00195&amp;sourceID=14","0.00195")</f>
        <v>0.00195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HYPERLINK("http://141.218.60.56/~jnz1568/getInfo.php?workbook=06_02.xlsx&amp;sheet=U0&amp;row=141&amp;col=6&amp;number=4.7&amp;sourceID=14","4.7")</f>
        <v>4.7</v>
      </c>
      <c r="G141" s="4" t="str">
        <f>HYPERLINK("http://141.218.60.56/~jnz1568/getInfo.php?workbook=06_02.xlsx&amp;sheet=U0&amp;row=141&amp;col=7&amp;number=0.00195&amp;sourceID=14","0.00195")</f>
        <v>0.00195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HYPERLINK("http://141.218.60.56/~jnz1568/getInfo.php?workbook=06_02.xlsx&amp;sheet=U0&amp;row=142&amp;col=6&amp;number=4.8&amp;sourceID=14","4.8")</f>
        <v>4.8</v>
      </c>
      <c r="G142" s="4" t="str">
        <f>HYPERLINK("http://141.218.60.56/~jnz1568/getInfo.php?workbook=06_02.xlsx&amp;sheet=U0&amp;row=142&amp;col=7&amp;number=0.00194&amp;sourceID=14","0.00194")</f>
        <v>0.00194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HYPERLINK("http://141.218.60.56/~jnz1568/getInfo.php?workbook=06_02.xlsx&amp;sheet=U0&amp;row=143&amp;col=6&amp;number=4.9&amp;sourceID=14","4.9")</f>
        <v>4.9</v>
      </c>
      <c r="G143" s="4" t="str">
        <f>HYPERLINK("http://141.218.60.56/~jnz1568/getInfo.php?workbook=06_02.xlsx&amp;sheet=U0&amp;row=143&amp;col=7&amp;number=0.00194&amp;sourceID=14","0.00194")</f>
        <v>0.00194</v>
      </c>
    </row>
    <row r="144" spans="1:7">
      <c r="A144" s="3">
        <v>6</v>
      </c>
      <c r="B144" s="3">
        <v>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HYPERLINK("http://141.218.60.56/~jnz1568/getInfo.php?workbook=06_02.xlsx&amp;sheet=U0&amp;row=144&amp;col=6&amp;number=3&amp;sourceID=14","3")</f>
        <v>3</v>
      </c>
      <c r="G144" s="4" t="str">
        <f>HYPERLINK("http://141.218.60.56/~jnz1568/getInfo.php?workbook=06_02.xlsx&amp;sheet=U0&amp;row=144&amp;col=7&amp;number=0.00283&amp;sourceID=14","0.00283")</f>
        <v>0.00283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HYPERLINK("http://141.218.60.56/~jnz1568/getInfo.php?workbook=06_02.xlsx&amp;sheet=U0&amp;row=145&amp;col=6&amp;number=3.1&amp;sourceID=14","3.1")</f>
        <v>3.1</v>
      </c>
      <c r="G145" s="4" t="str">
        <f>HYPERLINK("http://141.218.60.56/~jnz1568/getInfo.php?workbook=06_02.xlsx&amp;sheet=U0&amp;row=145&amp;col=7&amp;number=0.00283&amp;sourceID=14","0.00283")</f>
        <v>0.00283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HYPERLINK("http://141.218.60.56/~jnz1568/getInfo.php?workbook=06_02.xlsx&amp;sheet=U0&amp;row=146&amp;col=6&amp;number=3.2&amp;sourceID=14","3.2")</f>
        <v>3.2</v>
      </c>
      <c r="G146" s="4" t="str">
        <f>HYPERLINK("http://141.218.60.56/~jnz1568/getInfo.php?workbook=06_02.xlsx&amp;sheet=U0&amp;row=146&amp;col=7&amp;number=0.00283&amp;sourceID=14","0.00283")</f>
        <v>0.00283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HYPERLINK("http://141.218.60.56/~jnz1568/getInfo.php?workbook=06_02.xlsx&amp;sheet=U0&amp;row=147&amp;col=6&amp;number=3.3&amp;sourceID=14","3.3")</f>
        <v>3.3</v>
      </c>
      <c r="G147" s="4" t="str">
        <f>HYPERLINK("http://141.218.60.56/~jnz1568/getInfo.php?workbook=06_02.xlsx&amp;sheet=U0&amp;row=147&amp;col=7&amp;number=0.00283&amp;sourceID=14","0.00283")</f>
        <v>0.00283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HYPERLINK("http://141.218.60.56/~jnz1568/getInfo.php?workbook=06_02.xlsx&amp;sheet=U0&amp;row=148&amp;col=6&amp;number=3.4&amp;sourceID=14","3.4")</f>
        <v>3.4</v>
      </c>
      <c r="G148" s="4" t="str">
        <f>HYPERLINK("http://141.218.60.56/~jnz1568/getInfo.php?workbook=06_02.xlsx&amp;sheet=U0&amp;row=148&amp;col=7&amp;number=0.00283&amp;sourceID=14","0.00283")</f>
        <v>0.00283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HYPERLINK("http://141.218.60.56/~jnz1568/getInfo.php?workbook=06_02.xlsx&amp;sheet=U0&amp;row=149&amp;col=6&amp;number=3.5&amp;sourceID=14","3.5")</f>
        <v>3.5</v>
      </c>
      <c r="G149" s="4" t="str">
        <f>HYPERLINK("http://141.218.60.56/~jnz1568/getInfo.php?workbook=06_02.xlsx&amp;sheet=U0&amp;row=149&amp;col=7&amp;number=0.00283&amp;sourceID=14","0.00283")</f>
        <v>0.00283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HYPERLINK("http://141.218.60.56/~jnz1568/getInfo.php?workbook=06_02.xlsx&amp;sheet=U0&amp;row=150&amp;col=6&amp;number=3.6&amp;sourceID=14","3.6")</f>
        <v>3.6</v>
      </c>
      <c r="G150" s="4" t="str">
        <f>HYPERLINK("http://141.218.60.56/~jnz1568/getInfo.php?workbook=06_02.xlsx&amp;sheet=U0&amp;row=150&amp;col=7&amp;number=0.00283&amp;sourceID=14","0.00283")</f>
        <v>0.00283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HYPERLINK("http://141.218.60.56/~jnz1568/getInfo.php?workbook=06_02.xlsx&amp;sheet=U0&amp;row=151&amp;col=6&amp;number=3.7&amp;sourceID=14","3.7")</f>
        <v>3.7</v>
      </c>
      <c r="G151" s="4" t="str">
        <f>HYPERLINK("http://141.218.60.56/~jnz1568/getInfo.php?workbook=06_02.xlsx&amp;sheet=U0&amp;row=151&amp;col=7&amp;number=0.00283&amp;sourceID=14","0.00283")</f>
        <v>0.00283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HYPERLINK("http://141.218.60.56/~jnz1568/getInfo.php?workbook=06_02.xlsx&amp;sheet=U0&amp;row=152&amp;col=6&amp;number=3.8&amp;sourceID=14","3.8")</f>
        <v>3.8</v>
      </c>
      <c r="G152" s="4" t="str">
        <f>HYPERLINK("http://141.218.60.56/~jnz1568/getInfo.php?workbook=06_02.xlsx&amp;sheet=U0&amp;row=152&amp;col=7&amp;number=0.00283&amp;sourceID=14","0.00283")</f>
        <v>0.00283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HYPERLINK("http://141.218.60.56/~jnz1568/getInfo.php?workbook=06_02.xlsx&amp;sheet=U0&amp;row=153&amp;col=6&amp;number=3.9&amp;sourceID=14","3.9")</f>
        <v>3.9</v>
      </c>
      <c r="G153" s="4" t="str">
        <f>HYPERLINK("http://141.218.60.56/~jnz1568/getInfo.php?workbook=06_02.xlsx&amp;sheet=U0&amp;row=153&amp;col=7&amp;number=0.00283&amp;sourceID=14","0.00283")</f>
        <v>0.00283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HYPERLINK("http://141.218.60.56/~jnz1568/getInfo.php?workbook=06_02.xlsx&amp;sheet=U0&amp;row=154&amp;col=6&amp;number=4&amp;sourceID=14","4")</f>
        <v>4</v>
      </c>
      <c r="G154" s="4" t="str">
        <f>HYPERLINK("http://141.218.60.56/~jnz1568/getInfo.php?workbook=06_02.xlsx&amp;sheet=U0&amp;row=154&amp;col=7&amp;number=0.00283&amp;sourceID=14","0.00283")</f>
        <v>0.00283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HYPERLINK("http://141.218.60.56/~jnz1568/getInfo.php?workbook=06_02.xlsx&amp;sheet=U0&amp;row=155&amp;col=6&amp;number=4.1&amp;sourceID=14","4.1")</f>
        <v>4.1</v>
      </c>
      <c r="G155" s="4" t="str">
        <f>HYPERLINK("http://141.218.60.56/~jnz1568/getInfo.php?workbook=06_02.xlsx&amp;sheet=U0&amp;row=155&amp;col=7&amp;number=0.00283&amp;sourceID=14","0.00283")</f>
        <v>0.00283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HYPERLINK("http://141.218.60.56/~jnz1568/getInfo.php?workbook=06_02.xlsx&amp;sheet=U0&amp;row=156&amp;col=6&amp;number=4.2&amp;sourceID=14","4.2")</f>
        <v>4.2</v>
      </c>
      <c r="G156" s="4" t="str">
        <f>HYPERLINK("http://141.218.60.56/~jnz1568/getInfo.php?workbook=06_02.xlsx&amp;sheet=U0&amp;row=156&amp;col=7&amp;number=0.00283&amp;sourceID=14","0.00283")</f>
        <v>0.00283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HYPERLINK("http://141.218.60.56/~jnz1568/getInfo.php?workbook=06_02.xlsx&amp;sheet=U0&amp;row=157&amp;col=6&amp;number=4.3&amp;sourceID=14","4.3")</f>
        <v>4.3</v>
      </c>
      <c r="G157" s="4" t="str">
        <f>HYPERLINK("http://141.218.60.56/~jnz1568/getInfo.php?workbook=06_02.xlsx&amp;sheet=U0&amp;row=157&amp;col=7&amp;number=0.00283&amp;sourceID=14","0.00283")</f>
        <v>0.00283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HYPERLINK("http://141.218.60.56/~jnz1568/getInfo.php?workbook=06_02.xlsx&amp;sheet=U0&amp;row=158&amp;col=6&amp;number=4.4&amp;sourceID=14","4.4")</f>
        <v>4.4</v>
      </c>
      <c r="G158" s="4" t="str">
        <f>HYPERLINK("http://141.218.60.56/~jnz1568/getInfo.php?workbook=06_02.xlsx&amp;sheet=U0&amp;row=158&amp;col=7&amp;number=0.00284&amp;sourceID=14","0.00284")</f>
        <v>0.00284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HYPERLINK("http://141.218.60.56/~jnz1568/getInfo.php?workbook=06_02.xlsx&amp;sheet=U0&amp;row=159&amp;col=6&amp;number=4.5&amp;sourceID=14","4.5")</f>
        <v>4.5</v>
      </c>
      <c r="G159" s="4" t="str">
        <f>HYPERLINK("http://141.218.60.56/~jnz1568/getInfo.php?workbook=06_02.xlsx&amp;sheet=U0&amp;row=159&amp;col=7&amp;number=0.00284&amp;sourceID=14","0.00284")</f>
        <v>0.00284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HYPERLINK("http://141.218.60.56/~jnz1568/getInfo.php?workbook=06_02.xlsx&amp;sheet=U0&amp;row=160&amp;col=6&amp;number=4.6&amp;sourceID=14","4.6")</f>
        <v>4.6</v>
      </c>
      <c r="G160" s="4" t="str">
        <f>HYPERLINK("http://141.218.60.56/~jnz1568/getInfo.php?workbook=06_02.xlsx&amp;sheet=U0&amp;row=160&amp;col=7&amp;number=0.00284&amp;sourceID=14","0.00284")</f>
        <v>0.00284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HYPERLINK("http://141.218.60.56/~jnz1568/getInfo.php?workbook=06_02.xlsx&amp;sheet=U0&amp;row=161&amp;col=6&amp;number=4.7&amp;sourceID=14","4.7")</f>
        <v>4.7</v>
      </c>
      <c r="G161" s="4" t="str">
        <f>HYPERLINK("http://141.218.60.56/~jnz1568/getInfo.php?workbook=06_02.xlsx&amp;sheet=U0&amp;row=161&amp;col=7&amp;number=0.00285&amp;sourceID=14","0.00285")</f>
        <v>0.00285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HYPERLINK("http://141.218.60.56/~jnz1568/getInfo.php?workbook=06_02.xlsx&amp;sheet=U0&amp;row=162&amp;col=6&amp;number=4.8&amp;sourceID=14","4.8")</f>
        <v>4.8</v>
      </c>
      <c r="G162" s="4" t="str">
        <f>HYPERLINK("http://141.218.60.56/~jnz1568/getInfo.php?workbook=06_02.xlsx&amp;sheet=U0&amp;row=162&amp;col=7&amp;number=0.00285&amp;sourceID=14","0.00285")</f>
        <v>0.00285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HYPERLINK("http://141.218.60.56/~jnz1568/getInfo.php?workbook=06_02.xlsx&amp;sheet=U0&amp;row=163&amp;col=6&amp;number=4.9&amp;sourceID=14","4.9")</f>
        <v>4.9</v>
      </c>
      <c r="G163" s="4" t="str">
        <f>HYPERLINK("http://141.218.60.56/~jnz1568/getInfo.php?workbook=06_02.xlsx&amp;sheet=U0&amp;row=163&amp;col=7&amp;number=0.00286&amp;sourceID=14","0.00286")</f>
        <v>0.00286</v>
      </c>
    </row>
    <row r="164" spans="1:7">
      <c r="A164" s="3">
        <v>6</v>
      </c>
      <c r="B164" s="3">
        <v>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HYPERLINK("http://141.218.60.56/~jnz1568/getInfo.php?workbook=06_02.xlsx&amp;sheet=U0&amp;row=164&amp;col=6&amp;number=3&amp;sourceID=14","3")</f>
        <v>3</v>
      </c>
      <c r="G164" s="4" t="str">
        <f>HYPERLINK("http://141.218.60.56/~jnz1568/getInfo.php?workbook=06_02.xlsx&amp;sheet=U0&amp;row=164&amp;col=7&amp;number=0.00123&amp;sourceID=14","0.00123")</f>
        <v>0.00123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HYPERLINK("http://141.218.60.56/~jnz1568/getInfo.php?workbook=06_02.xlsx&amp;sheet=U0&amp;row=165&amp;col=6&amp;number=3.1&amp;sourceID=14","3.1")</f>
        <v>3.1</v>
      </c>
      <c r="G165" s="4" t="str">
        <f>HYPERLINK("http://141.218.60.56/~jnz1568/getInfo.php?workbook=06_02.xlsx&amp;sheet=U0&amp;row=165&amp;col=7&amp;number=0.00123&amp;sourceID=14","0.00123")</f>
        <v>0.00123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HYPERLINK("http://141.218.60.56/~jnz1568/getInfo.php?workbook=06_02.xlsx&amp;sheet=U0&amp;row=166&amp;col=6&amp;number=3.2&amp;sourceID=14","3.2")</f>
        <v>3.2</v>
      </c>
      <c r="G166" s="4" t="str">
        <f>HYPERLINK("http://141.218.60.56/~jnz1568/getInfo.php?workbook=06_02.xlsx&amp;sheet=U0&amp;row=166&amp;col=7&amp;number=0.00123&amp;sourceID=14","0.00123")</f>
        <v>0.00123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HYPERLINK("http://141.218.60.56/~jnz1568/getInfo.php?workbook=06_02.xlsx&amp;sheet=U0&amp;row=167&amp;col=6&amp;number=3.3&amp;sourceID=14","3.3")</f>
        <v>3.3</v>
      </c>
      <c r="G167" s="4" t="str">
        <f>HYPERLINK("http://141.218.60.56/~jnz1568/getInfo.php?workbook=06_02.xlsx&amp;sheet=U0&amp;row=167&amp;col=7&amp;number=0.00123&amp;sourceID=14","0.00123")</f>
        <v>0.00123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HYPERLINK("http://141.218.60.56/~jnz1568/getInfo.php?workbook=06_02.xlsx&amp;sheet=U0&amp;row=168&amp;col=6&amp;number=3.4&amp;sourceID=14","3.4")</f>
        <v>3.4</v>
      </c>
      <c r="G168" s="4" t="str">
        <f>HYPERLINK("http://141.218.60.56/~jnz1568/getInfo.php?workbook=06_02.xlsx&amp;sheet=U0&amp;row=168&amp;col=7&amp;number=0.00123&amp;sourceID=14","0.00123")</f>
        <v>0.00123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HYPERLINK("http://141.218.60.56/~jnz1568/getInfo.php?workbook=06_02.xlsx&amp;sheet=U0&amp;row=169&amp;col=6&amp;number=3.5&amp;sourceID=14","3.5")</f>
        <v>3.5</v>
      </c>
      <c r="G169" s="4" t="str">
        <f>HYPERLINK("http://141.218.60.56/~jnz1568/getInfo.php?workbook=06_02.xlsx&amp;sheet=U0&amp;row=169&amp;col=7&amp;number=0.00123&amp;sourceID=14","0.00123")</f>
        <v>0.00123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HYPERLINK("http://141.218.60.56/~jnz1568/getInfo.php?workbook=06_02.xlsx&amp;sheet=U0&amp;row=170&amp;col=6&amp;number=3.6&amp;sourceID=14","3.6")</f>
        <v>3.6</v>
      </c>
      <c r="G170" s="4" t="str">
        <f>HYPERLINK("http://141.218.60.56/~jnz1568/getInfo.php?workbook=06_02.xlsx&amp;sheet=U0&amp;row=170&amp;col=7&amp;number=0.00123&amp;sourceID=14","0.00123")</f>
        <v>0.00123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HYPERLINK("http://141.218.60.56/~jnz1568/getInfo.php?workbook=06_02.xlsx&amp;sheet=U0&amp;row=171&amp;col=6&amp;number=3.7&amp;sourceID=14","3.7")</f>
        <v>3.7</v>
      </c>
      <c r="G171" s="4" t="str">
        <f>HYPERLINK("http://141.218.60.56/~jnz1568/getInfo.php?workbook=06_02.xlsx&amp;sheet=U0&amp;row=171&amp;col=7&amp;number=0.00123&amp;sourceID=14","0.00123")</f>
        <v>0.00123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HYPERLINK("http://141.218.60.56/~jnz1568/getInfo.php?workbook=06_02.xlsx&amp;sheet=U0&amp;row=172&amp;col=6&amp;number=3.8&amp;sourceID=14","3.8")</f>
        <v>3.8</v>
      </c>
      <c r="G172" s="4" t="str">
        <f>HYPERLINK("http://141.218.60.56/~jnz1568/getInfo.php?workbook=06_02.xlsx&amp;sheet=U0&amp;row=172&amp;col=7&amp;number=0.00123&amp;sourceID=14","0.00123")</f>
        <v>0.00123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HYPERLINK("http://141.218.60.56/~jnz1568/getInfo.php?workbook=06_02.xlsx&amp;sheet=U0&amp;row=173&amp;col=6&amp;number=3.9&amp;sourceID=14","3.9")</f>
        <v>3.9</v>
      </c>
      <c r="G173" s="4" t="str">
        <f>HYPERLINK("http://141.218.60.56/~jnz1568/getInfo.php?workbook=06_02.xlsx&amp;sheet=U0&amp;row=173&amp;col=7&amp;number=0.00123&amp;sourceID=14","0.00123")</f>
        <v>0.00123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HYPERLINK("http://141.218.60.56/~jnz1568/getInfo.php?workbook=06_02.xlsx&amp;sheet=U0&amp;row=174&amp;col=6&amp;number=4&amp;sourceID=14","4")</f>
        <v>4</v>
      </c>
      <c r="G174" s="4" t="str">
        <f>HYPERLINK("http://141.218.60.56/~jnz1568/getInfo.php?workbook=06_02.xlsx&amp;sheet=U0&amp;row=174&amp;col=7&amp;number=0.00122&amp;sourceID=14","0.00122")</f>
        <v>0.00122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HYPERLINK("http://141.218.60.56/~jnz1568/getInfo.php?workbook=06_02.xlsx&amp;sheet=U0&amp;row=175&amp;col=6&amp;number=4.1&amp;sourceID=14","4.1")</f>
        <v>4.1</v>
      </c>
      <c r="G175" s="4" t="str">
        <f>HYPERLINK("http://141.218.60.56/~jnz1568/getInfo.php?workbook=06_02.xlsx&amp;sheet=U0&amp;row=175&amp;col=7&amp;number=0.00122&amp;sourceID=14","0.00122")</f>
        <v>0.00122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HYPERLINK("http://141.218.60.56/~jnz1568/getInfo.php?workbook=06_02.xlsx&amp;sheet=U0&amp;row=176&amp;col=6&amp;number=4.2&amp;sourceID=14","4.2")</f>
        <v>4.2</v>
      </c>
      <c r="G176" s="4" t="str">
        <f>HYPERLINK("http://141.218.60.56/~jnz1568/getInfo.php?workbook=06_02.xlsx&amp;sheet=U0&amp;row=176&amp;col=7&amp;number=0.00122&amp;sourceID=14","0.00122")</f>
        <v>0.00122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HYPERLINK("http://141.218.60.56/~jnz1568/getInfo.php?workbook=06_02.xlsx&amp;sheet=U0&amp;row=177&amp;col=6&amp;number=4.3&amp;sourceID=14","4.3")</f>
        <v>4.3</v>
      </c>
      <c r="G177" s="4" t="str">
        <f>HYPERLINK("http://141.218.60.56/~jnz1568/getInfo.php?workbook=06_02.xlsx&amp;sheet=U0&amp;row=177&amp;col=7&amp;number=0.00122&amp;sourceID=14","0.00122")</f>
        <v>0.00122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HYPERLINK("http://141.218.60.56/~jnz1568/getInfo.php?workbook=06_02.xlsx&amp;sheet=U0&amp;row=178&amp;col=6&amp;number=4.4&amp;sourceID=14","4.4")</f>
        <v>4.4</v>
      </c>
      <c r="G178" s="4" t="str">
        <f>HYPERLINK("http://141.218.60.56/~jnz1568/getInfo.php?workbook=06_02.xlsx&amp;sheet=U0&amp;row=178&amp;col=7&amp;number=0.00122&amp;sourceID=14","0.00122")</f>
        <v>0.00122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HYPERLINK("http://141.218.60.56/~jnz1568/getInfo.php?workbook=06_02.xlsx&amp;sheet=U0&amp;row=179&amp;col=6&amp;number=4.5&amp;sourceID=14","4.5")</f>
        <v>4.5</v>
      </c>
      <c r="G179" s="4" t="str">
        <f>HYPERLINK("http://141.218.60.56/~jnz1568/getInfo.php?workbook=06_02.xlsx&amp;sheet=U0&amp;row=179&amp;col=7&amp;number=0.00122&amp;sourceID=14","0.00122")</f>
        <v>0.00122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HYPERLINK("http://141.218.60.56/~jnz1568/getInfo.php?workbook=06_02.xlsx&amp;sheet=U0&amp;row=180&amp;col=6&amp;number=4.6&amp;sourceID=14","4.6")</f>
        <v>4.6</v>
      </c>
      <c r="G180" s="4" t="str">
        <f>HYPERLINK("http://141.218.60.56/~jnz1568/getInfo.php?workbook=06_02.xlsx&amp;sheet=U0&amp;row=180&amp;col=7&amp;number=0.00121&amp;sourceID=14","0.00121")</f>
        <v>0.00121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HYPERLINK("http://141.218.60.56/~jnz1568/getInfo.php?workbook=06_02.xlsx&amp;sheet=U0&amp;row=181&amp;col=6&amp;number=4.7&amp;sourceID=14","4.7")</f>
        <v>4.7</v>
      </c>
      <c r="G181" s="4" t="str">
        <f>HYPERLINK("http://141.218.60.56/~jnz1568/getInfo.php?workbook=06_02.xlsx&amp;sheet=U0&amp;row=181&amp;col=7&amp;number=0.00121&amp;sourceID=14","0.00121")</f>
        <v>0.00121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HYPERLINK("http://141.218.60.56/~jnz1568/getInfo.php?workbook=06_02.xlsx&amp;sheet=U0&amp;row=182&amp;col=6&amp;number=4.8&amp;sourceID=14","4.8")</f>
        <v>4.8</v>
      </c>
      <c r="G182" s="4" t="str">
        <f>HYPERLINK("http://141.218.60.56/~jnz1568/getInfo.php?workbook=06_02.xlsx&amp;sheet=U0&amp;row=182&amp;col=7&amp;number=0.0012&amp;sourceID=14","0.0012")</f>
        <v>0.0012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HYPERLINK("http://141.218.60.56/~jnz1568/getInfo.php?workbook=06_02.xlsx&amp;sheet=U0&amp;row=183&amp;col=6&amp;number=4.9&amp;sourceID=14","4.9")</f>
        <v>4.9</v>
      </c>
      <c r="G183" s="4" t="str">
        <f>HYPERLINK("http://141.218.60.56/~jnz1568/getInfo.php?workbook=06_02.xlsx&amp;sheet=U0&amp;row=183&amp;col=7&amp;number=0.0012&amp;sourceID=14","0.0012")</f>
        <v>0.0012</v>
      </c>
    </row>
    <row r="184" spans="1:7">
      <c r="A184" s="3">
        <v>6</v>
      </c>
      <c r="B184" s="3">
        <v>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HYPERLINK("http://141.218.60.56/~jnz1568/getInfo.php?workbook=06_02.xlsx&amp;sheet=U0&amp;row=184&amp;col=6&amp;number=3&amp;sourceID=14","3")</f>
        <v>3</v>
      </c>
      <c r="G184" s="4" t="str">
        <f>HYPERLINK("http://141.218.60.56/~jnz1568/getInfo.php?workbook=06_02.xlsx&amp;sheet=U0&amp;row=184&amp;col=7&amp;number=0.00367&amp;sourceID=14","0.00367")</f>
        <v>0.00367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HYPERLINK("http://141.218.60.56/~jnz1568/getInfo.php?workbook=06_02.xlsx&amp;sheet=U0&amp;row=185&amp;col=6&amp;number=3.1&amp;sourceID=14","3.1")</f>
        <v>3.1</v>
      </c>
      <c r="G185" s="4" t="str">
        <f>HYPERLINK("http://141.218.60.56/~jnz1568/getInfo.php?workbook=06_02.xlsx&amp;sheet=U0&amp;row=185&amp;col=7&amp;number=0.00367&amp;sourceID=14","0.00367")</f>
        <v>0.00367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HYPERLINK("http://141.218.60.56/~jnz1568/getInfo.php?workbook=06_02.xlsx&amp;sheet=U0&amp;row=186&amp;col=6&amp;number=3.2&amp;sourceID=14","3.2")</f>
        <v>3.2</v>
      </c>
      <c r="G186" s="4" t="str">
        <f>HYPERLINK("http://141.218.60.56/~jnz1568/getInfo.php?workbook=06_02.xlsx&amp;sheet=U0&amp;row=186&amp;col=7&amp;number=0.00367&amp;sourceID=14","0.00367")</f>
        <v>0.00367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HYPERLINK("http://141.218.60.56/~jnz1568/getInfo.php?workbook=06_02.xlsx&amp;sheet=U0&amp;row=187&amp;col=6&amp;number=3.3&amp;sourceID=14","3.3")</f>
        <v>3.3</v>
      </c>
      <c r="G187" s="4" t="str">
        <f>HYPERLINK("http://141.218.60.56/~jnz1568/getInfo.php?workbook=06_02.xlsx&amp;sheet=U0&amp;row=187&amp;col=7&amp;number=0.00367&amp;sourceID=14","0.00367")</f>
        <v>0.00367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HYPERLINK("http://141.218.60.56/~jnz1568/getInfo.php?workbook=06_02.xlsx&amp;sheet=U0&amp;row=188&amp;col=6&amp;number=3.4&amp;sourceID=14","3.4")</f>
        <v>3.4</v>
      </c>
      <c r="G188" s="4" t="str">
        <f>HYPERLINK("http://141.218.60.56/~jnz1568/getInfo.php?workbook=06_02.xlsx&amp;sheet=U0&amp;row=188&amp;col=7&amp;number=0.00367&amp;sourceID=14","0.00367")</f>
        <v>0.00367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HYPERLINK("http://141.218.60.56/~jnz1568/getInfo.php?workbook=06_02.xlsx&amp;sheet=U0&amp;row=189&amp;col=6&amp;number=3.5&amp;sourceID=14","3.5")</f>
        <v>3.5</v>
      </c>
      <c r="G189" s="4" t="str">
        <f>HYPERLINK("http://141.218.60.56/~jnz1568/getInfo.php?workbook=06_02.xlsx&amp;sheet=U0&amp;row=189&amp;col=7&amp;number=0.00367&amp;sourceID=14","0.00367")</f>
        <v>0.00367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HYPERLINK("http://141.218.60.56/~jnz1568/getInfo.php?workbook=06_02.xlsx&amp;sheet=U0&amp;row=190&amp;col=6&amp;number=3.6&amp;sourceID=14","3.6")</f>
        <v>3.6</v>
      </c>
      <c r="G190" s="4" t="str">
        <f>HYPERLINK("http://141.218.60.56/~jnz1568/getInfo.php?workbook=06_02.xlsx&amp;sheet=U0&amp;row=190&amp;col=7&amp;number=0.00367&amp;sourceID=14","0.00367")</f>
        <v>0.00367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HYPERLINK("http://141.218.60.56/~jnz1568/getInfo.php?workbook=06_02.xlsx&amp;sheet=U0&amp;row=191&amp;col=6&amp;number=3.7&amp;sourceID=14","3.7")</f>
        <v>3.7</v>
      </c>
      <c r="G191" s="4" t="str">
        <f>HYPERLINK("http://141.218.60.56/~jnz1568/getInfo.php?workbook=06_02.xlsx&amp;sheet=U0&amp;row=191&amp;col=7&amp;number=0.00366&amp;sourceID=14","0.00366")</f>
        <v>0.00366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HYPERLINK("http://141.218.60.56/~jnz1568/getInfo.php?workbook=06_02.xlsx&amp;sheet=U0&amp;row=192&amp;col=6&amp;number=3.8&amp;sourceID=14","3.8")</f>
        <v>3.8</v>
      </c>
      <c r="G192" s="4" t="str">
        <f>HYPERLINK("http://141.218.60.56/~jnz1568/getInfo.php?workbook=06_02.xlsx&amp;sheet=U0&amp;row=192&amp;col=7&amp;number=0.00366&amp;sourceID=14","0.00366")</f>
        <v>0.00366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HYPERLINK("http://141.218.60.56/~jnz1568/getInfo.php?workbook=06_02.xlsx&amp;sheet=U0&amp;row=193&amp;col=6&amp;number=3.9&amp;sourceID=14","3.9")</f>
        <v>3.9</v>
      </c>
      <c r="G193" s="4" t="str">
        <f>HYPERLINK("http://141.218.60.56/~jnz1568/getInfo.php?workbook=06_02.xlsx&amp;sheet=U0&amp;row=193&amp;col=7&amp;number=0.00366&amp;sourceID=14","0.00366")</f>
        <v>0.00366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HYPERLINK("http://141.218.60.56/~jnz1568/getInfo.php?workbook=06_02.xlsx&amp;sheet=U0&amp;row=194&amp;col=6&amp;number=4&amp;sourceID=14","4")</f>
        <v>4</v>
      </c>
      <c r="G194" s="4" t="str">
        <f>HYPERLINK("http://141.218.60.56/~jnz1568/getInfo.php?workbook=06_02.xlsx&amp;sheet=U0&amp;row=194&amp;col=7&amp;number=0.00366&amp;sourceID=14","0.00366")</f>
        <v>0.00366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HYPERLINK("http://141.218.60.56/~jnz1568/getInfo.php?workbook=06_02.xlsx&amp;sheet=U0&amp;row=195&amp;col=6&amp;number=4.1&amp;sourceID=14","4.1")</f>
        <v>4.1</v>
      </c>
      <c r="G195" s="4" t="str">
        <f>HYPERLINK("http://141.218.60.56/~jnz1568/getInfo.php?workbook=06_02.xlsx&amp;sheet=U0&amp;row=195&amp;col=7&amp;number=0.00366&amp;sourceID=14","0.00366")</f>
        <v>0.00366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HYPERLINK("http://141.218.60.56/~jnz1568/getInfo.php?workbook=06_02.xlsx&amp;sheet=U0&amp;row=196&amp;col=6&amp;number=4.2&amp;sourceID=14","4.2")</f>
        <v>4.2</v>
      </c>
      <c r="G196" s="4" t="str">
        <f>HYPERLINK("http://141.218.60.56/~jnz1568/getInfo.php?workbook=06_02.xlsx&amp;sheet=U0&amp;row=196&amp;col=7&amp;number=0.00365&amp;sourceID=14","0.00365")</f>
        <v>0.00365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HYPERLINK("http://141.218.60.56/~jnz1568/getInfo.php?workbook=06_02.xlsx&amp;sheet=U0&amp;row=197&amp;col=6&amp;number=4.3&amp;sourceID=14","4.3")</f>
        <v>4.3</v>
      </c>
      <c r="G197" s="4" t="str">
        <f>HYPERLINK("http://141.218.60.56/~jnz1568/getInfo.php?workbook=06_02.xlsx&amp;sheet=U0&amp;row=197&amp;col=7&amp;number=0.00365&amp;sourceID=14","0.00365")</f>
        <v>0.00365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HYPERLINK("http://141.218.60.56/~jnz1568/getInfo.php?workbook=06_02.xlsx&amp;sheet=U0&amp;row=198&amp;col=6&amp;number=4.4&amp;sourceID=14","4.4")</f>
        <v>4.4</v>
      </c>
      <c r="G198" s="4" t="str">
        <f>HYPERLINK("http://141.218.60.56/~jnz1568/getInfo.php?workbook=06_02.xlsx&amp;sheet=U0&amp;row=198&amp;col=7&amp;number=0.00364&amp;sourceID=14","0.00364")</f>
        <v>0.00364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HYPERLINK("http://141.218.60.56/~jnz1568/getInfo.php?workbook=06_02.xlsx&amp;sheet=U0&amp;row=199&amp;col=6&amp;number=4.5&amp;sourceID=14","4.5")</f>
        <v>4.5</v>
      </c>
      <c r="G199" s="4" t="str">
        <f>HYPERLINK("http://141.218.60.56/~jnz1568/getInfo.php?workbook=06_02.xlsx&amp;sheet=U0&amp;row=199&amp;col=7&amp;number=0.00363&amp;sourceID=14","0.00363")</f>
        <v>0.00363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HYPERLINK("http://141.218.60.56/~jnz1568/getInfo.php?workbook=06_02.xlsx&amp;sheet=U0&amp;row=200&amp;col=6&amp;number=4.6&amp;sourceID=14","4.6")</f>
        <v>4.6</v>
      </c>
      <c r="G200" s="4" t="str">
        <f>HYPERLINK("http://141.218.60.56/~jnz1568/getInfo.php?workbook=06_02.xlsx&amp;sheet=U0&amp;row=200&amp;col=7&amp;number=0.00362&amp;sourceID=14","0.00362")</f>
        <v>0.00362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HYPERLINK("http://141.218.60.56/~jnz1568/getInfo.php?workbook=06_02.xlsx&amp;sheet=U0&amp;row=201&amp;col=6&amp;number=4.7&amp;sourceID=14","4.7")</f>
        <v>4.7</v>
      </c>
      <c r="G201" s="4" t="str">
        <f>HYPERLINK("http://141.218.60.56/~jnz1568/getInfo.php?workbook=06_02.xlsx&amp;sheet=U0&amp;row=201&amp;col=7&amp;number=0.00361&amp;sourceID=14","0.00361")</f>
        <v>0.00361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HYPERLINK("http://141.218.60.56/~jnz1568/getInfo.php?workbook=06_02.xlsx&amp;sheet=U0&amp;row=202&amp;col=6&amp;number=4.8&amp;sourceID=14","4.8")</f>
        <v>4.8</v>
      </c>
      <c r="G202" s="4" t="str">
        <f>HYPERLINK("http://141.218.60.56/~jnz1568/getInfo.php?workbook=06_02.xlsx&amp;sheet=U0&amp;row=202&amp;col=7&amp;number=0.0036&amp;sourceID=14","0.0036")</f>
        <v>0.0036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HYPERLINK("http://141.218.60.56/~jnz1568/getInfo.php?workbook=06_02.xlsx&amp;sheet=U0&amp;row=203&amp;col=6&amp;number=4.9&amp;sourceID=14","4.9")</f>
        <v>4.9</v>
      </c>
      <c r="G203" s="4" t="str">
        <f>HYPERLINK("http://141.218.60.56/~jnz1568/getInfo.php?workbook=06_02.xlsx&amp;sheet=U0&amp;row=203&amp;col=7&amp;number=0.00358&amp;sourceID=14","0.00358")</f>
        <v>0.00358</v>
      </c>
    </row>
    <row r="204" spans="1:7">
      <c r="A204" s="3">
        <v>6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HYPERLINK("http://141.218.60.56/~jnz1568/getInfo.php?workbook=06_02.xlsx&amp;sheet=U0&amp;row=204&amp;col=6&amp;number=3&amp;sourceID=14","3")</f>
        <v>3</v>
      </c>
      <c r="G204" s="4" t="str">
        <f>HYPERLINK("http://141.218.60.56/~jnz1568/getInfo.php?workbook=06_02.xlsx&amp;sheet=U0&amp;row=204&amp;col=7&amp;number=0.00857&amp;sourceID=14","0.00857")</f>
        <v>0.00857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HYPERLINK("http://141.218.60.56/~jnz1568/getInfo.php?workbook=06_02.xlsx&amp;sheet=U0&amp;row=205&amp;col=6&amp;number=3.1&amp;sourceID=14","3.1")</f>
        <v>3.1</v>
      </c>
      <c r="G205" s="4" t="str">
        <f>HYPERLINK("http://141.218.60.56/~jnz1568/getInfo.php?workbook=06_02.xlsx&amp;sheet=U0&amp;row=205&amp;col=7&amp;number=0.00856&amp;sourceID=14","0.00856")</f>
        <v>0.00856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HYPERLINK("http://141.218.60.56/~jnz1568/getInfo.php?workbook=06_02.xlsx&amp;sheet=U0&amp;row=206&amp;col=6&amp;number=3.2&amp;sourceID=14","3.2")</f>
        <v>3.2</v>
      </c>
      <c r="G206" s="4" t="str">
        <f>HYPERLINK("http://141.218.60.56/~jnz1568/getInfo.php?workbook=06_02.xlsx&amp;sheet=U0&amp;row=206&amp;col=7&amp;number=0.00856&amp;sourceID=14","0.00856")</f>
        <v>0.00856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HYPERLINK("http://141.218.60.56/~jnz1568/getInfo.php?workbook=06_02.xlsx&amp;sheet=U0&amp;row=207&amp;col=6&amp;number=3.3&amp;sourceID=14","3.3")</f>
        <v>3.3</v>
      </c>
      <c r="G207" s="4" t="str">
        <f>HYPERLINK("http://141.218.60.56/~jnz1568/getInfo.php?workbook=06_02.xlsx&amp;sheet=U0&amp;row=207&amp;col=7&amp;number=0.00856&amp;sourceID=14","0.00856")</f>
        <v>0.00856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HYPERLINK("http://141.218.60.56/~jnz1568/getInfo.php?workbook=06_02.xlsx&amp;sheet=U0&amp;row=208&amp;col=6&amp;number=3.4&amp;sourceID=14","3.4")</f>
        <v>3.4</v>
      </c>
      <c r="G208" s="4" t="str">
        <f>HYPERLINK("http://141.218.60.56/~jnz1568/getInfo.php?workbook=06_02.xlsx&amp;sheet=U0&amp;row=208&amp;col=7&amp;number=0.00856&amp;sourceID=14","0.00856")</f>
        <v>0.00856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HYPERLINK("http://141.218.60.56/~jnz1568/getInfo.php?workbook=06_02.xlsx&amp;sheet=U0&amp;row=209&amp;col=6&amp;number=3.5&amp;sourceID=14","3.5")</f>
        <v>3.5</v>
      </c>
      <c r="G209" s="4" t="str">
        <f>HYPERLINK("http://141.218.60.56/~jnz1568/getInfo.php?workbook=06_02.xlsx&amp;sheet=U0&amp;row=209&amp;col=7&amp;number=0.00856&amp;sourceID=14","0.00856")</f>
        <v>0.00856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HYPERLINK("http://141.218.60.56/~jnz1568/getInfo.php?workbook=06_02.xlsx&amp;sheet=U0&amp;row=210&amp;col=6&amp;number=3.6&amp;sourceID=14","3.6")</f>
        <v>3.6</v>
      </c>
      <c r="G210" s="4" t="str">
        <f>HYPERLINK("http://141.218.60.56/~jnz1568/getInfo.php?workbook=06_02.xlsx&amp;sheet=U0&amp;row=210&amp;col=7&amp;number=0.00856&amp;sourceID=14","0.00856")</f>
        <v>0.00856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HYPERLINK("http://141.218.60.56/~jnz1568/getInfo.php?workbook=06_02.xlsx&amp;sheet=U0&amp;row=211&amp;col=6&amp;number=3.7&amp;sourceID=14","3.7")</f>
        <v>3.7</v>
      </c>
      <c r="G211" s="4" t="str">
        <f>HYPERLINK("http://141.218.60.56/~jnz1568/getInfo.php?workbook=06_02.xlsx&amp;sheet=U0&amp;row=211&amp;col=7&amp;number=0.00855&amp;sourceID=14","0.00855")</f>
        <v>0.00855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HYPERLINK("http://141.218.60.56/~jnz1568/getInfo.php?workbook=06_02.xlsx&amp;sheet=U0&amp;row=212&amp;col=6&amp;number=3.8&amp;sourceID=14","3.8")</f>
        <v>3.8</v>
      </c>
      <c r="G212" s="4" t="str">
        <f>HYPERLINK("http://141.218.60.56/~jnz1568/getInfo.php?workbook=06_02.xlsx&amp;sheet=U0&amp;row=212&amp;col=7&amp;number=0.00855&amp;sourceID=14","0.00855")</f>
        <v>0.00855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HYPERLINK("http://141.218.60.56/~jnz1568/getInfo.php?workbook=06_02.xlsx&amp;sheet=U0&amp;row=213&amp;col=6&amp;number=3.9&amp;sourceID=14","3.9")</f>
        <v>3.9</v>
      </c>
      <c r="G213" s="4" t="str">
        <f>HYPERLINK("http://141.218.60.56/~jnz1568/getInfo.php?workbook=06_02.xlsx&amp;sheet=U0&amp;row=213&amp;col=7&amp;number=0.00855&amp;sourceID=14","0.00855")</f>
        <v>0.00855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HYPERLINK("http://141.218.60.56/~jnz1568/getInfo.php?workbook=06_02.xlsx&amp;sheet=U0&amp;row=214&amp;col=6&amp;number=4&amp;sourceID=14","4")</f>
        <v>4</v>
      </c>
      <c r="G214" s="4" t="str">
        <f>HYPERLINK("http://141.218.60.56/~jnz1568/getInfo.php?workbook=06_02.xlsx&amp;sheet=U0&amp;row=214&amp;col=7&amp;number=0.00854&amp;sourceID=14","0.00854")</f>
        <v>0.00854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HYPERLINK("http://141.218.60.56/~jnz1568/getInfo.php?workbook=06_02.xlsx&amp;sheet=U0&amp;row=215&amp;col=6&amp;number=4.1&amp;sourceID=14","4.1")</f>
        <v>4.1</v>
      </c>
      <c r="G215" s="4" t="str">
        <f>HYPERLINK("http://141.218.60.56/~jnz1568/getInfo.php?workbook=06_02.xlsx&amp;sheet=U0&amp;row=215&amp;col=7&amp;number=0.00853&amp;sourceID=14","0.00853")</f>
        <v>0.00853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HYPERLINK("http://141.218.60.56/~jnz1568/getInfo.php?workbook=06_02.xlsx&amp;sheet=U0&amp;row=216&amp;col=6&amp;number=4.2&amp;sourceID=14","4.2")</f>
        <v>4.2</v>
      </c>
      <c r="G216" s="4" t="str">
        <f>HYPERLINK("http://141.218.60.56/~jnz1568/getInfo.php?workbook=06_02.xlsx&amp;sheet=U0&amp;row=216&amp;col=7&amp;number=0.00852&amp;sourceID=14","0.00852")</f>
        <v>0.00852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HYPERLINK("http://141.218.60.56/~jnz1568/getInfo.php?workbook=06_02.xlsx&amp;sheet=U0&amp;row=217&amp;col=6&amp;number=4.3&amp;sourceID=14","4.3")</f>
        <v>4.3</v>
      </c>
      <c r="G217" s="4" t="str">
        <f>HYPERLINK("http://141.218.60.56/~jnz1568/getInfo.php?workbook=06_02.xlsx&amp;sheet=U0&amp;row=217&amp;col=7&amp;number=0.00851&amp;sourceID=14","0.00851")</f>
        <v>0.00851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HYPERLINK("http://141.218.60.56/~jnz1568/getInfo.php?workbook=06_02.xlsx&amp;sheet=U0&amp;row=218&amp;col=6&amp;number=4.4&amp;sourceID=14","4.4")</f>
        <v>4.4</v>
      </c>
      <c r="G218" s="4" t="str">
        <f>HYPERLINK("http://141.218.60.56/~jnz1568/getInfo.php?workbook=06_02.xlsx&amp;sheet=U0&amp;row=218&amp;col=7&amp;number=0.0085&amp;sourceID=14","0.0085")</f>
        <v>0.0085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HYPERLINK("http://141.218.60.56/~jnz1568/getInfo.php?workbook=06_02.xlsx&amp;sheet=U0&amp;row=219&amp;col=6&amp;number=4.5&amp;sourceID=14","4.5")</f>
        <v>4.5</v>
      </c>
      <c r="G219" s="4" t="str">
        <f>HYPERLINK("http://141.218.60.56/~jnz1568/getInfo.php?workbook=06_02.xlsx&amp;sheet=U0&amp;row=219&amp;col=7&amp;number=0.00848&amp;sourceID=14","0.00848")</f>
        <v>0.00848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HYPERLINK("http://141.218.60.56/~jnz1568/getInfo.php?workbook=06_02.xlsx&amp;sheet=U0&amp;row=220&amp;col=6&amp;number=4.6&amp;sourceID=14","4.6")</f>
        <v>4.6</v>
      </c>
      <c r="G220" s="4" t="str">
        <f>HYPERLINK("http://141.218.60.56/~jnz1568/getInfo.php?workbook=06_02.xlsx&amp;sheet=U0&amp;row=220&amp;col=7&amp;number=0.00846&amp;sourceID=14","0.00846")</f>
        <v>0.00846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HYPERLINK("http://141.218.60.56/~jnz1568/getInfo.php?workbook=06_02.xlsx&amp;sheet=U0&amp;row=221&amp;col=6&amp;number=4.7&amp;sourceID=14","4.7")</f>
        <v>4.7</v>
      </c>
      <c r="G221" s="4" t="str">
        <f>HYPERLINK("http://141.218.60.56/~jnz1568/getInfo.php?workbook=06_02.xlsx&amp;sheet=U0&amp;row=221&amp;col=7&amp;number=0.00843&amp;sourceID=14","0.00843")</f>
        <v>0.00843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HYPERLINK("http://141.218.60.56/~jnz1568/getInfo.php?workbook=06_02.xlsx&amp;sheet=U0&amp;row=222&amp;col=6&amp;number=4.8&amp;sourceID=14","4.8")</f>
        <v>4.8</v>
      </c>
      <c r="G222" s="4" t="str">
        <f>HYPERLINK("http://141.218.60.56/~jnz1568/getInfo.php?workbook=06_02.xlsx&amp;sheet=U0&amp;row=222&amp;col=7&amp;number=0.00839&amp;sourceID=14","0.00839")</f>
        <v>0.00839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HYPERLINK("http://141.218.60.56/~jnz1568/getInfo.php?workbook=06_02.xlsx&amp;sheet=U0&amp;row=223&amp;col=6&amp;number=4.9&amp;sourceID=14","4.9")</f>
        <v>4.9</v>
      </c>
      <c r="G223" s="4" t="str">
        <f>HYPERLINK("http://141.218.60.56/~jnz1568/getInfo.php?workbook=06_02.xlsx&amp;sheet=U0&amp;row=223&amp;col=7&amp;number=0.00835&amp;sourceID=14","0.00835")</f>
        <v>0.00835</v>
      </c>
    </row>
    <row r="224" spans="1:7">
      <c r="A224" s="3">
        <v>6</v>
      </c>
      <c r="B224" s="3">
        <v>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HYPERLINK("http://141.218.60.56/~jnz1568/getInfo.php?workbook=06_02.xlsx&amp;sheet=U0&amp;row=224&amp;col=6&amp;number=3&amp;sourceID=14","3")</f>
        <v>3</v>
      </c>
      <c r="G224" s="4" t="str">
        <f>HYPERLINK("http://141.218.60.56/~jnz1568/getInfo.php?workbook=06_02.xlsx&amp;sheet=U0&amp;row=224&amp;col=7&amp;number=0.00593&amp;sourceID=14","0.00593")</f>
        <v>0.00593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HYPERLINK("http://141.218.60.56/~jnz1568/getInfo.php?workbook=06_02.xlsx&amp;sheet=U0&amp;row=225&amp;col=6&amp;number=3.1&amp;sourceID=14","3.1")</f>
        <v>3.1</v>
      </c>
      <c r="G225" s="4" t="str">
        <f>HYPERLINK("http://141.218.60.56/~jnz1568/getInfo.php?workbook=06_02.xlsx&amp;sheet=U0&amp;row=225&amp;col=7&amp;number=0.00593&amp;sourceID=14","0.00593")</f>
        <v>0.00593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HYPERLINK("http://141.218.60.56/~jnz1568/getInfo.php?workbook=06_02.xlsx&amp;sheet=U0&amp;row=226&amp;col=6&amp;number=3.2&amp;sourceID=14","3.2")</f>
        <v>3.2</v>
      </c>
      <c r="G226" s="4" t="str">
        <f>HYPERLINK("http://141.218.60.56/~jnz1568/getInfo.php?workbook=06_02.xlsx&amp;sheet=U0&amp;row=226&amp;col=7&amp;number=0.00593&amp;sourceID=14","0.00593")</f>
        <v>0.00593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HYPERLINK("http://141.218.60.56/~jnz1568/getInfo.php?workbook=06_02.xlsx&amp;sheet=U0&amp;row=227&amp;col=6&amp;number=3.3&amp;sourceID=14","3.3")</f>
        <v>3.3</v>
      </c>
      <c r="G227" s="4" t="str">
        <f>HYPERLINK("http://141.218.60.56/~jnz1568/getInfo.php?workbook=06_02.xlsx&amp;sheet=U0&amp;row=227&amp;col=7&amp;number=0.00593&amp;sourceID=14","0.00593")</f>
        <v>0.00593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HYPERLINK("http://141.218.60.56/~jnz1568/getInfo.php?workbook=06_02.xlsx&amp;sheet=U0&amp;row=228&amp;col=6&amp;number=3.4&amp;sourceID=14","3.4")</f>
        <v>3.4</v>
      </c>
      <c r="G228" s="4" t="str">
        <f>HYPERLINK("http://141.218.60.56/~jnz1568/getInfo.php?workbook=06_02.xlsx&amp;sheet=U0&amp;row=228&amp;col=7&amp;number=0.00594&amp;sourceID=14","0.00594")</f>
        <v>0.00594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HYPERLINK("http://141.218.60.56/~jnz1568/getInfo.php?workbook=06_02.xlsx&amp;sheet=U0&amp;row=229&amp;col=6&amp;number=3.5&amp;sourceID=14","3.5")</f>
        <v>3.5</v>
      </c>
      <c r="G229" s="4" t="str">
        <f>HYPERLINK("http://141.218.60.56/~jnz1568/getInfo.php?workbook=06_02.xlsx&amp;sheet=U0&amp;row=229&amp;col=7&amp;number=0.00594&amp;sourceID=14","0.00594")</f>
        <v>0.00594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HYPERLINK("http://141.218.60.56/~jnz1568/getInfo.php?workbook=06_02.xlsx&amp;sheet=U0&amp;row=230&amp;col=6&amp;number=3.6&amp;sourceID=14","3.6")</f>
        <v>3.6</v>
      </c>
      <c r="G230" s="4" t="str">
        <f>HYPERLINK("http://141.218.60.56/~jnz1568/getInfo.php?workbook=06_02.xlsx&amp;sheet=U0&amp;row=230&amp;col=7&amp;number=0.00594&amp;sourceID=14","0.00594")</f>
        <v>0.00594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HYPERLINK("http://141.218.60.56/~jnz1568/getInfo.php?workbook=06_02.xlsx&amp;sheet=U0&amp;row=231&amp;col=6&amp;number=3.7&amp;sourceID=14","3.7")</f>
        <v>3.7</v>
      </c>
      <c r="G231" s="4" t="str">
        <f>HYPERLINK("http://141.218.60.56/~jnz1568/getInfo.php?workbook=06_02.xlsx&amp;sheet=U0&amp;row=231&amp;col=7&amp;number=0.00595&amp;sourceID=14","0.00595")</f>
        <v>0.00595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HYPERLINK("http://141.218.60.56/~jnz1568/getInfo.php?workbook=06_02.xlsx&amp;sheet=U0&amp;row=232&amp;col=6&amp;number=3.8&amp;sourceID=14","3.8")</f>
        <v>3.8</v>
      </c>
      <c r="G232" s="4" t="str">
        <f>HYPERLINK("http://141.218.60.56/~jnz1568/getInfo.php?workbook=06_02.xlsx&amp;sheet=U0&amp;row=232&amp;col=7&amp;number=0.00595&amp;sourceID=14","0.00595")</f>
        <v>0.00595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HYPERLINK("http://141.218.60.56/~jnz1568/getInfo.php?workbook=06_02.xlsx&amp;sheet=U0&amp;row=233&amp;col=6&amp;number=3.9&amp;sourceID=14","3.9")</f>
        <v>3.9</v>
      </c>
      <c r="G233" s="4" t="str">
        <f>HYPERLINK("http://141.218.60.56/~jnz1568/getInfo.php?workbook=06_02.xlsx&amp;sheet=U0&amp;row=233&amp;col=7&amp;number=0.00596&amp;sourceID=14","0.00596")</f>
        <v>0.00596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HYPERLINK("http://141.218.60.56/~jnz1568/getInfo.php?workbook=06_02.xlsx&amp;sheet=U0&amp;row=234&amp;col=6&amp;number=4&amp;sourceID=14","4")</f>
        <v>4</v>
      </c>
      <c r="G234" s="4" t="str">
        <f>HYPERLINK("http://141.218.60.56/~jnz1568/getInfo.php?workbook=06_02.xlsx&amp;sheet=U0&amp;row=234&amp;col=7&amp;number=0.00597&amp;sourceID=14","0.00597")</f>
        <v>0.00597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HYPERLINK("http://141.218.60.56/~jnz1568/getInfo.php?workbook=06_02.xlsx&amp;sheet=U0&amp;row=235&amp;col=6&amp;number=4.1&amp;sourceID=14","4.1")</f>
        <v>4.1</v>
      </c>
      <c r="G235" s="4" t="str">
        <f>HYPERLINK("http://141.218.60.56/~jnz1568/getInfo.php?workbook=06_02.xlsx&amp;sheet=U0&amp;row=235&amp;col=7&amp;number=0.00598&amp;sourceID=14","0.00598")</f>
        <v>0.00598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HYPERLINK("http://141.218.60.56/~jnz1568/getInfo.php?workbook=06_02.xlsx&amp;sheet=U0&amp;row=236&amp;col=6&amp;number=4.2&amp;sourceID=14","4.2")</f>
        <v>4.2</v>
      </c>
      <c r="G236" s="4" t="str">
        <f>HYPERLINK("http://141.218.60.56/~jnz1568/getInfo.php?workbook=06_02.xlsx&amp;sheet=U0&amp;row=236&amp;col=7&amp;number=0.00599&amp;sourceID=14","0.00599")</f>
        <v>0.00599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HYPERLINK("http://141.218.60.56/~jnz1568/getInfo.php?workbook=06_02.xlsx&amp;sheet=U0&amp;row=237&amp;col=6&amp;number=4.3&amp;sourceID=14","4.3")</f>
        <v>4.3</v>
      </c>
      <c r="G237" s="4" t="str">
        <f>HYPERLINK("http://141.218.60.56/~jnz1568/getInfo.php?workbook=06_02.xlsx&amp;sheet=U0&amp;row=237&amp;col=7&amp;number=0.00601&amp;sourceID=14","0.00601")</f>
        <v>0.00601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HYPERLINK("http://141.218.60.56/~jnz1568/getInfo.php?workbook=06_02.xlsx&amp;sheet=U0&amp;row=238&amp;col=6&amp;number=4.4&amp;sourceID=14","4.4")</f>
        <v>4.4</v>
      </c>
      <c r="G238" s="4" t="str">
        <f>HYPERLINK("http://141.218.60.56/~jnz1568/getInfo.php?workbook=06_02.xlsx&amp;sheet=U0&amp;row=238&amp;col=7&amp;number=0.00603&amp;sourceID=14","0.00603")</f>
        <v>0.00603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HYPERLINK("http://141.218.60.56/~jnz1568/getInfo.php?workbook=06_02.xlsx&amp;sheet=U0&amp;row=239&amp;col=6&amp;number=4.5&amp;sourceID=14","4.5")</f>
        <v>4.5</v>
      </c>
      <c r="G239" s="4" t="str">
        <f>HYPERLINK("http://141.218.60.56/~jnz1568/getInfo.php?workbook=06_02.xlsx&amp;sheet=U0&amp;row=239&amp;col=7&amp;number=0.00605&amp;sourceID=14","0.00605")</f>
        <v>0.00605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HYPERLINK("http://141.218.60.56/~jnz1568/getInfo.php?workbook=06_02.xlsx&amp;sheet=U0&amp;row=240&amp;col=6&amp;number=4.6&amp;sourceID=14","4.6")</f>
        <v>4.6</v>
      </c>
      <c r="G240" s="4" t="str">
        <f>HYPERLINK("http://141.218.60.56/~jnz1568/getInfo.php?workbook=06_02.xlsx&amp;sheet=U0&amp;row=240&amp;col=7&amp;number=0.00609&amp;sourceID=14","0.00609")</f>
        <v>0.00609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HYPERLINK("http://141.218.60.56/~jnz1568/getInfo.php?workbook=06_02.xlsx&amp;sheet=U0&amp;row=241&amp;col=6&amp;number=4.7&amp;sourceID=14","4.7")</f>
        <v>4.7</v>
      </c>
      <c r="G241" s="4" t="str">
        <f>HYPERLINK("http://141.218.60.56/~jnz1568/getInfo.php?workbook=06_02.xlsx&amp;sheet=U0&amp;row=241&amp;col=7&amp;number=0.00613&amp;sourceID=14","0.00613")</f>
        <v>0.00613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HYPERLINK("http://141.218.60.56/~jnz1568/getInfo.php?workbook=06_02.xlsx&amp;sheet=U0&amp;row=242&amp;col=6&amp;number=4.8&amp;sourceID=14","4.8")</f>
        <v>4.8</v>
      </c>
      <c r="G242" s="4" t="str">
        <f>HYPERLINK("http://141.218.60.56/~jnz1568/getInfo.php?workbook=06_02.xlsx&amp;sheet=U0&amp;row=242&amp;col=7&amp;number=0.00618&amp;sourceID=14","0.00618")</f>
        <v>0.00618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HYPERLINK("http://141.218.60.56/~jnz1568/getInfo.php?workbook=06_02.xlsx&amp;sheet=U0&amp;row=243&amp;col=6&amp;number=4.9&amp;sourceID=14","4.9")</f>
        <v>4.9</v>
      </c>
      <c r="G243" s="4" t="str">
        <f>HYPERLINK("http://141.218.60.56/~jnz1568/getInfo.php?workbook=06_02.xlsx&amp;sheet=U0&amp;row=243&amp;col=7&amp;number=0.00624&amp;sourceID=14","0.00624")</f>
        <v>0.00624</v>
      </c>
    </row>
    <row r="244" spans="1:7">
      <c r="A244" s="3">
        <v>6</v>
      </c>
      <c r="B244" s="3">
        <v>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HYPERLINK("http://141.218.60.56/~jnz1568/getInfo.php?workbook=06_02.xlsx&amp;sheet=U0&amp;row=244&amp;col=6&amp;number=3&amp;sourceID=14","3")</f>
        <v>3</v>
      </c>
      <c r="G244" s="4" t="str">
        <f>HYPERLINK("http://141.218.60.56/~jnz1568/getInfo.php?workbook=06_02.xlsx&amp;sheet=U0&amp;row=244&amp;col=7&amp;number=0.000417&amp;sourceID=14","0.000417")</f>
        <v>0.000417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HYPERLINK("http://141.218.60.56/~jnz1568/getInfo.php?workbook=06_02.xlsx&amp;sheet=U0&amp;row=245&amp;col=6&amp;number=3.1&amp;sourceID=14","3.1")</f>
        <v>3.1</v>
      </c>
      <c r="G245" s="4" t="str">
        <f>HYPERLINK("http://141.218.60.56/~jnz1568/getInfo.php?workbook=06_02.xlsx&amp;sheet=U0&amp;row=245&amp;col=7&amp;number=0.000417&amp;sourceID=14","0.000417")</f>
        <v>0.000417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HYPERLINK("http://141.218.60.56/~jnz1568/getInfo.php?workbook=06_02.xlsx&amp;sheet=U0&amp;row=246&amp;col=6&amp;number=3.2&amp;sourceID=14","3.2")</f>
        <v>3.2</v>
      </c>
      <c r="G246" s="4" t="str">
        <f>HYPERLINK("http://141.218.60.56/~jnz1568/getInfo.php?workbook=06_02.xlsx&amp;sheet=U0&amp;row=246&amp;col=7&amp;number=0.000417&amp;sourceID=14","0.000417")</f>
        <v>0.000417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HYPERLINK("http://141.218.60.56/~jnz1568/getInfo.php?workbook=06_02.xlsx&amp;sheet=U0&amp;row=247&amp;col=6&amp;number=3.3&amp;sourceID=14","3.3")</f>
        <v>3.3</v>
      </c>
      <c r="G247" s="4" t="str">
        <f>HYPERLINK("http://141.218.60.56/~jnz1568/getInfo.php?workbook=06_02.xlsx&amp;sheet=U0&amp;row=247&amp;col=7&amp;number=0.000417&amp;sourceID=14","0.000417")</f>
        <v>0.000417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HYPERLINK("http://141.218.60.56/~jnz1568/getInfo.php?workbook=06_02.xlsx&amp;sheet=U0&amp;row=248&amp;col=6&amp;number=3.4&amp;sourceID=14","3.4")</f>
        <v>3.4</v>
      </c>
      <c r="G248" s="4" t="str">
        <f>HYPERLINK("http://141.218.60.56/~jnz1568/getInfo.php?workbook=06_02.xlsx&amp;sheet=U0&amp;row=248&amp;col=7&amp;number=0.000417&amp;sourceID=14","0.000417")</f>
        <v>0.000417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HYPERLINK("http://141.218.60.56/~jnz1568/getInfo.php?workbook=06_02.xlsx&amp;sheet=U0&amp;row=249&amp;col=6&amp;number=3.5&amp;sourceID=14","3.5")</f>
        <v>3.5</v>
      </c>
      <c r="G249" s="4" t="str">
        <f>HYPERLINK("http://141.218.60.56/~jnz1568/getInfo.php?workbook=06_02.xlsx&amp;sheet=U0&amp;row=249&amp;col=7&amp;number=0.000416&amp;sourceID=14","0.000416")</f>
        <v>0.000416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HYPERLINK("http://141.218.60.56/~jnz1568/getInfo.php?workbook=06_02.xlsx&amp;sheet=U0&amp;row=250&amp;col=6&amp;number=3.6&amp;sourceID=14","3.6")</f>
        <v>3.6</v>
      </c>
      <c r="G250" s="4" t="str">
        <f>HYPERLINK("http://141.218.60.56/~jnz1568/getInfo.php?workbook=06_02.xlsx&amp;sheet=U0&amp;row=250&amp;col=7&amp;number=0.000416&amp;sourceID=14","0.000416")</f>
        <v>0.000416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HYPERLINK("http://141.218.60.56/~jnz1568/getInfo.php?workbook=06_02.xlsx&amp;sheet=U0&amp;row=251&amp;col=6&amp;number=3.7&amp;sourceID=14","3.7")</f>
        <v>3.7</v>
      </c>
      <c r="G251" s="4" t="str">
        <f>HYPERLINK("http://141.218.60.56/~jnz1568/getInfo.php?workbook=06_02.xlsx&amp;sheet=U0&amp;row=251&amp;col=7&amp;number=0.000416&amp;sourceID=14","0.000416")</f>
        <v>0.000416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HYPERLINK("http://141.218.60.56/~jnz1568/getInfo.php?workbook=06_02.xlsx&amp;sheet=U0&amp;row=252&amp;col=6&amp;number=3.8&amp;sourceID=14","3.8")</f>
        <v>3.8</v>
      </c>
      <c r="G252" s="4" t="str">
        <f>HYPERLINK("http://141.218.60.56/~jnz1568/getInfo.php?workbook=06_02.xlsx&amp;sheet=U0&amp;row=252&amp;col=7&amp;number=0.000416&amp;sourceID=14","0.000416")</f>
        <v>0.000416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HYPERLINK("http://141.218.60.56/~jnz1568/getInfo.php?workbook=06_02.xlsx&amp;sheet=U0&amp;row=253&amp;col=6&amp;number=3.9&amp;sourceID=14","3.9")</f>
        <v>3.9</v>
      </c>
      <c r="G253" s="4" t="str">
        <f>HYPERLINK("http://141.218.60.56/~jnz1568/getInfo.php?workbook=06_02.xlsx&amp;sheet=U0&amp;row=253&amp;col=7&amp;number=0.000416&amp;sourceID=14","0.000416")</f>
        <v>0.000416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HYPERLINK("http://141.218.60.56/~jnz1568/getInfo.php?workbook=06_02.xlsx&amp;sheet=U0&amp;row=254&amp;col=6&amp;number=4&amp;sourceID=14","4")</f>
        <v>4</v>
      </c>
      <c r="G254" s="4" t="str">
        <f>HYPERLINK("http://141.218.60.56/~jnz1568/getInfo.php?workbook=06_02.xlsx&amp;sheet=U0&amp;row=254&amp;col=7&amp;number=0.000415&amp;sourceID=14","0.000415")</f>
        <v>0.000415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HYPERLINK("http://141.218.60.56/~jnz1568/getInfo.php?workbook=06_02.xlsx&amp;sheet=U0&amp;row=255&amp;col=6&amp;number=4.1&amp;sourceID=14","4.1")</f>
        <v>4.1</v>
      </c>
      <c r="G255" s="4" t="str">
        <f>HYPERLINK("http://141.218.60.56/~jnz1568/getInfo.php?workbook=06_02.xlsx&amp;sheet=U0&amp;row=255&amp;col=7&amp;number=0.000415&amp;sourceID=14","0.000415")</f>
        <v>0.000415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HYPERLINK("http://141.218.60.56/~jnz1568/getInfo.php?workbook=06_02.xlsx&amp;sheet=U0&amp;row=256&amp;col=6&amp;number=4.2&amp;sourceID=14","4.2")</f>
        <v>4.2</v>
      </c>
      <c r="G256" s="4" t="str">
        <f>HYPERLINK("http://141.218.60.56/~jnz1568/getInfo.php?workbook=06_02.xlsx&amp;sheet=U0&amp;row=256&amp;col=7&amp;number=0.000414&amp;sourceID=14","0.000414")</f>
        <v>0.000414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HYPERLINK("http://141.218.60.56/~jnz1568/getInfo.php?workbook=06_02.xlsx&amp;sheet=U0&amp;row=257&amp;col=6&amp;number=4.3&amp;sourceID=14","4.3")</f>
        <v>4.3</v>
      </c>
      <c r="G257" s="4" t="str">
        <f>HYPERLINK("http://141.218.60.56/~jnz1568/getInfo.php?workbook=06_02.xlsx&amp;sheet=U0&amp;row=257&amp;col=7&amp;number=0.000413&amp;sourceID=14","0.000413")</f>
        <v>0.000413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HYPERLINK("http://141.218.60.56/~jnz1568/getInfo.php?workbook=06_02.xlsx&amp;sheet=U0&amp;row=258&amp;col=6&amp;number=4.4&amp;sourceID=14","4.4")</f>
        <v>4.4</v>
      </c>
      <c r="G258" s="4" t="str">
        <f>HYPERLINK("http://141.218.60.56/~jnz1568/getInfo.php?workbook=06_02.xlsx&amp;sheet=U0&amp;row=258&amp;col=7&amp;number=0.000412&amp;sourceID=14","0.000412")</f>
        <v>0.000412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HYPERLINK("http://141.218.60.56/~jnz1568/getInfo.php?workbook=06_02.xlsx&amp;sheet=U0&amp;row=259&amp;col=6&amp;number=4.5&amp;sourceID=14","4.5")</f>
        <v>4.5</v>
      </c>
      <c r="G259" s="4" t="str">
        <f>HYPERLINK("http://141.218.60.56/~jnz1568/getInfo.php?workbook=06_02.xlsx&amp;sheet=U0&amp;row=259&amp;col=7&amp;number=0.000411&amp;sourceID=14","0.000411")</f>
        <v>0.000411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HYPERLINK("http://141.218.60.56/~jnz1568/getInfo.php?workbook=06_02.xlsx&amp;sheet=U0&amp;row=260&amp;col=6&amp;number=4.6&amp;sourceID=14","4.6")</f>
        <v>4.6</v>
      </c>
      <c r="G260" s="4" t="str">
        <f>HYPERLINK("http://141.218.60.56/~jnz1568/getInfo.php?workbook=06_02.xlsx&amp;sheet=U0&amp;row=260&amp;col=7&amp;number=0.00041&amp;sourceID=14","0.00041")</f>
        <v>0.00041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HYPERLINK("http://141.218.60.56/~jnz1568/getInfo.php?workbook=06_02.xlsx&amp;sheet=U0&amp;row=261&amp;col=6&amp;number=4.7&amp;sourceID=14","4.7")</f>
        <v>4.7</v>
      </c>
      <c r="G261" s="4" t="str">
        <f>HYPERLINK("http://141.218.60.56/~jnz1568/getInfo.php?workbook=06_02.xlsx&amp;sheet=U0&amp;row=261&amp;col=7&amp;number=0.000408&amp;sourceID=14","0.000408")</f>
        <v>0.000408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HYPERLINK("http://141.218.60.56/~jnz1568/getInfo.php?workbook=06_02.xlsx&amp;sheet=U0&amp;row=262&amp;col=6&amp;number=4.8&amp;sourceID=14","4.8")</f>
        <v>4.8</v>
      </c>
      <c r="G262" s="4" t="str">
        <f>HYPERLINK("http://141.218.60.56/~jnz1568/getInfo.php?workbook=06_02.xlsx&amp;sheet=U0&amp;row=262&amp;col=7&amp;number=0.000405&amp;sourceID=14","0.000405")</f>
        <v>0.000405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HYPERLINK("http://141.218.60.56/~jnz1568/getInfo.php?workbook=06_02.xlsx&amp;sheet=U0&amp;row=263&amp;col=6&amp;number=4.9&amp;sourceID=14","4.9")</f>
        <v>4.9</v>
      </c>
      <c r="G263" s="4" t="str">
        <f>HYPERLINK("http://141.218.60.56/~jnz1568/getInfo.php?workbook=06_02.xlsx&amp;sheet=U0&amp;row=263&amp;col=7&amp;number=0.000403&amp;sourceID=14","0.000403")</f>
        <v>0.000403</v>
      </c>
    </row>
    <row r="264" spans="1:7">
      <c r="A264" s="3">
        <v>6</v>
      </c>
      <c r="B264" s="3">
        <v>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HYPERLINK("http://141.218.60.56/~jnz1568/getInfo.php?workbook=06_02.xlsx&amp;sheet=U0&amp;row=264&amp;col=6&amp;number=3&amp;sourceID=14","3")</f>
        <v>3</v>
      </c>
      <c r="G264" s="4" t="str">
        <f>HYPERLINK("http://141.218.60.56/~jnz1568/getInfo.php?workbook=06_02.xlsx&amp;sheet=U0&amp;row=264&amp;col=7&amp;number=0.000703&amp;sourceID=14","0.000703")</f>
        <v>0.000703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HYPERLINK("http://141.218.60.56/~jnz1568/getInfo.php?workbook=06_02.xlsx&amp;sheet=U0&amp;row=265&amp;col=6&amp;number=3.1&amp;sourceID=14","3.1")</f>
        <v>3.1</v>
      </c>
      <c r="G265" s="4" t="str">
        <f>HYPERLINK("http://141.218.60.56/~jnz1568/getInfo.php?workbook=06_02.xlsx&amp;sheet=U0&amp;row=265&amp;col=7&amp;number=0.000703&amp;sourceID=14","0.000703")</f>
        <v>0.000703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HYPERLINK("http://141.218.60.56/~jnz1568/getInfo.php?workbook=06_02.xlsx&amp;sheet=U0&amp;row=266&amp;col=6&amp;number=3.2&amp;sourceID=14","3.2")</f>
        <v>3.2</v>
      </c>
      <c r="G266" s="4" t="str">
        <f>HYPERLINK("http://141.218.60.56/~jnz1568/getInfo.php?workbook=06_02.xlsx&amp;sheet=U0&amp;row=266&amp;col=7&amp;number=0.000703&amp;sourceID=14","0.000703")</f>
        <v>0.000703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HYPERLINK("http://141.218.60.56/~jnz1568/getInfo.php?workbook=06_02.xlsx&amp;sheet=U0&amp;row=267&amp;col=6&amp;number=3.3&amp;sourceID=14","3.3")</f>
        <v>3.3</v>
      </c>
      <c r="G267" s="4" t="str">
        <f>HYPERLINK("http://141.218.60.56/~jnz1568/getInfo.php?workbook=06_02.xlsx&amp;sheet=U0&amp;row=267&amp;col=7&amp;number=0.000703&amp;sourceID=14","0.000703")</f>
        <v>0.000703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HYPERLINK("http://141.218.60.56/~jnz1568/getInfo.php?workbook=06_02.xlsx&amp;sheet=U0&amp;row=268&amp;col=6&amp;number=3.4&amp;sourceID=14","3.4")</f>
        <v>3.4</v>
      </c>
      <c r="G268" s="4" t="str">
        <f>HYPERLINK("http://141.218.60.56/~jnz1568/getInfo.php?workbook=06_02.xlsx&amp;sheet=U0&amp;row=268&amp;col=7&amp;number=0.000703&amp;sourceID=14","0.000703")</f>
        <v>0.000703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HYPERLINK("http://141.218.60.56/~jnz1568/getInfo.php?workbook=06_02.xlsx&amp;sheet=U0&amp;row=269&amp;col=6&amp;number=3.5&amp;sourceID=14","3.5")</f>
        <v>3.5</v>
      </c>
      <c r="G269" s="4" t="str">
        <f>HYPERLINK("http://141.218.60.56/~jnz1568/getInfo.php?workbook=06_02.xlsx&amp;sheet=U0&amp;row=269&amp;col=7&amp;number=0.000703&amp;sourceID=14","0.000703")</f>
        <v>0.000703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HYPERLINK("http://141.218.60.56/~jnz1568/getInfo.php?workbook=06_02.xlsx&amp;sheet=U0&amp;row=270&amp;col=6&amp;number=3.6&amp;sourceID=14","3.6")</f>
        <v>3.6</v>
      </c>
      <c r="G270" s="4" t="str">
        <f>HYPERLINK("http://141.218.60.56/~jnz1568/getInfo.php?workbook=06_02.xlsx&amp;sheet=U0&amp;row=270&amp;col=7&amp;number=0.000702&amp;sourceID=14","0.000702")</f>
        <v>0.000702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HYPERLINK("http://141.218.60.56/~jnz1568/getInfo.php?workbook=06_02.xlsx&amp;sheet=U0&amp;row=271&amp;col=6&amp;number=3.7&amp;sourceID=14","3.7")</f>
        <v>3.7</v>
      </c>
      <c r="G271" s="4" t="str">
        <f>HYPERLINK("http://141.218.60.56/~jnz1568/getInfo.php?workbook=06_02.xlsx&amp;sheet=U0&amp;row=271&amp;col=7&amp;number=0.000702&amp;sourceID=14","0.000702")</f>
        <v>0.000702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HYPERLINK("http://141.218.60.56/~jnz1568/getInfo.php?workbook=06_02.xlsx&amp;sheet=U0&amp;row=272&amp;col=6&amp;number=3.8&amp;sourceID=14","3.8")</f>
        <v>3.8</v>
      </c>
      <c r="G272" s="4" t="str">
        <f>HYPERLINK("http://141.218.60.56/~jnz1568/getInfo.php?workbook=06_02.xlsx&amp;sheet=U0&amp;row=272&amp;col=7&amp;number=0.000702&amp;sourceID=14","0.000702")</f>
        <v>0.000702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HYPERLINK("http://141.218.60.56/~jnz1568/getInfo.php?workbook=06_02.xlsx&amp;sheet=U0&amp;row=273&amp;col=6&amp;number=3.9&amp;sourceID=14","3.9")</f>
        <v>3.9</v>
      </c>
      <c r="G273" s="4" t="str">
        <f>HYPERLINK("http://141.218.60.56/~jnz1568/getInfo.php?workbook=06_02.xlsx&amp;sheet=U0&amp;row=273&amp;col=7&amp;number=0.000701&amp;sourceID=14","0.000701")</f>
        <v>0.000701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HYPERLINK("http://141.218.60.56/~jnz1568/getInfo.php?workbook=06_02.xlsx&amp;sheet=U0&amp;row=274&amp;col=6&amp;number=4&amp;sourceID=14","4")</f>
        <v>4</v>
      </c>
      <c r="G274" s="4" t="str">
        <f>HYPERLINK("http://141.218.60.56/~jnz1568/getInfo.php?workbook=06_02.xlsx&amp;sheet=U0&amp;row=274&amp;col=7&amp;number=0.0007&amp;sourceID=14","0.0007")</f>
        <v>0.0007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HYPERLINK("http://141.218.60.56/~jnz1568/getInfo.php?workbook=06_02.xlsx&amp;sheet=U0&amp;row=275&amp;col=6&amp;number=4.1&amp;sourceID=14","4.1")</f>
        <v>4.1</v>
      </c>
      <c r="G275" s="4" t="str">
        <f>HYPERLINK("http://141.218.60.56/~jnz1568/getInfo.php?workbook=06_02.xlsx&amp;sheet=U0&amp;row=275&amp;col=7&amp;number=0.0007&amp;sourceID=14","0.0007")</f>
        <v>0.0007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HYPERLINK("http://141.218.60.56/~jnz1568/getInfo.php?workbook=06_02.xlsx&amp;sheet=U0&amp;row=276&amp;col=6&amp;number=4.2&amp;sourceID=14","4.2")</f>
        <v>4.2</v>
      </c>
      <c r="G276" s="4" t="str">
        <f>HYPERLINK("http://141.218.60.56/~jnz1568/getInfo.php?workbook=06_02.xlsx&amp;sheet=U0&amp;row=276&amp;col=7&amp;number=0.000698&amp;sourceID=14","0.000698")</f>
        <v>0.000698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HYPERLINK("http://141.218.60.56/~jnz1568/getInfo.php?workbook=06_02.xlsx&amp;sheet=U0&amp;row=277&amp;col=6&amp;number=4.3&amp;sourceID=14","4.3")</f>
        <v>4.3</v>
      </c>
      <c r="G277" s="4" t="str">
        <f>HYPERLINK("http://141.218.60.56/~jnz1568/getInfo.php?workbook=06_02.xlsx&amp;sheet=U0&amp;row=277&amp;col=7&amp;number=0.000697&amp;sourceID=14","0.000697")</f>
        <v>0.000697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HYPERLINK("http://141.218.60.56/~jnz1568/getInfo.php?workbook=06_02.xlsx&amp;sheet=U0&amp;row=278&amp;col=6&amp;number=4.4&amp;sourceID=14","4.4")</f>
        <v>4.4</v>
      </c>
      <c r="G278" s="4" t="str">
        <f>HYPERLINK("http://141.218.60.56/~jnz1568/getInfo.php?workbook=06_02.xlsx&amp;sheet=U0&amp;row=278&amp;col=7&amp;number=0.000695&amp;sourceID=14","0.000695")</f>
        <v>0.000695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HYPERLINK("http://141.218.60.56/~jnz1568/getInfo.php?workbook=06_02.xlsx&amp;sheet=U0&amp;row=279&amp;col=6&amp;number=4.5&amp;sourceID=14","4.5")</f>
        <v>4.5</v>
      </c>
      <c r="G279" s="4" t="str">
        <f>HYPERLINK("http://141.218.60.56/~jnz1568/getInfo.php?workbook=06_02.xlsx&amp;sheet=U0&amp;row=279&amp;col=7&amp;number=0.000693&amp;sourceID=14","0.000693")</f>
        <v>0.000693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HYPERLINK("http://141.218.60.56/~jnz1568/getInfo.php?workbook=06_02.xlsx&amp;sheet=U0&amp;row=280&amp;col=6&amp;number=4.6&amp;sourceID=14","4.6")</f>
        <v>4.6</v>
      </c>
      <c r="G280" s="4" t="str">
        <f>HYPERLINK("http://141.218.60.56/~jnz1568/getInfo.php?workbook=06_02.xlsx&amp;sheet=U0&amp;row=280&amp;col=7&amp;number=0.000691&amp;sourceID=14","0.000691")</f>
        <v>0.000691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HYPERLINK("http://141.218.60.56/~jnz1568/getInfo.php?workbook=06_02.xlsx&amp;sheet=U0&amp;row=281&amp;col=6&amp;number=4.7&amp;sourceID=14","4.7")</f>
        <v>4.7</v>
      </c>
      <c r="G281" s="4" t="str">
        <f>HYPERLINK("http://141.218.60.56/~jnz1568/getInfo.php?workbook=06_02.xlsx&amp;sheet=U0&amp;row=281&amp;col=7&amp;number=0.000687&amp;sourceID=14","0.000687")</f>
        <v>0.000687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HYPERLINK("http://141.218.60.56/~jnz1568/getInfo.php?workbook=06_02.xlsx&amp;sheet=U0&amp;row=282&amp;col=6&amp;number=4.8&amp;sourceID=14","4.8")</f>
        <v>4.8</v>
      </c>
      <c r="G282" s="4" t="str">
        <f>HYPERLINK("http://141.218.60.56/~jnz1568/getInfo.php?workbook=06_02.xlsx&amp;sheet=U0&amp;row=282&amp;col=7&amp;number=0.000683&amp;sourceID=14","0.000683")</f>
        <v>0.000683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HYPERLINK("http://141.218.60.56/~jnz1568/getInfo.php?workbook=06_02.xlsx&amp;sheet=U0&amp;row=283&amp;col=6&amp;number=4.9&amp;sourceID=14","4.9")</f>
        <v>4.9</v>
      </c>
      <c r="G283" s="4" t="str">
        <f>HYPERLINK("http://141.218.60.56/~jnz1568/getInfo.php?workbook=06_02.xlsx&amp;sheet=U0&amp;row=283&amp;col=7&amp;number=0.000678&amp;sourceID=14","0.000678")</f>
        <v>0.000678</v>
      </c>
    </row>
    <row r="284" spans="1:7">
      <c r="A284" s="3">
        <v>6</v>
      </c>
      <c r="B284" s="3">
        <v>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HYPERLINK("http://141.218.60.56/~jnz1568/getInfo.php?workbook=06_02.xlsx&amp;sheet=U0&amp;row=284&amp;col=6&amp;number=3&amp;sourceID=14","3")</f>
        <v>3</v>
      </c>
      <c r="G284" s="4" t="str">
        <f>HYPERLINK("http://141.218.60.56/~jnz1568/getInfo.php?workbook=06_02.xlsx&amp;sheet=U0&amp;row=284&amp;col=7&amp;number=0.000984&amp;sourceID=14","0.000984")</f>
        <v>0.000984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HYPERLINK("http://141.218.60.56/~jnz1568/getInfo.php?workbook=06_02.xlsx&amp;sheet=U0&amp;row=285&amp;col=6&amp;number=3.1&amp;sourceID=14","3.1")</f>
        <v>3.1</v>
      </c>
      <c r="G285" s="4" t="str">
        <f>HYPERLINK("http://141.218.60.56/~jnz1568/getInfo.php?workbook=06_02.xlsx&amp;sheet=U0&amp;row=285&amp;col=7&amp;number=0.000984&amp;sourceID=14","0.000984")</f>
        <v>0.000984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HYPERLINK("http://141.218.60.56/~jnz1568/getInfo.php?workbook=06_02.xlsx&amp;sheet=U0&amp;row=286&amp;col=6&amp;number=3.2&amp;sourceID=14","3.2")</f>
        <v>3.2</v>
      </c>
      <c r="G286" s="4" t="str">
        <f>HYPERLINK("http://141.218.60.56/~jnz1568/getInfo.php?workbook=06_02.xlsx&amp;sheet=U0&amp;row=286&amp;col=7&amp;number=0.000984&amp;sourceID=14","0.000984")</f>
        <v>0.000984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HYPERLINK("http://141.218.60.56/~jnz1568/getInfo.php?workbook=06_02.xlsx&amp;sheet=U0&amp;row=287&amp;col=6&amp;number=3.3&amp;sourceID=14","3.3")</f>
        <v>3.3</v>
      </c>
      <c r="G287" s="4" t="str">
        <f>HYPERLINK("http://141.218.60.56/~jnz1568/getInfo.php?workbook=06_02.xlsx&amp;sheet=U0&amp;row=287&amp;col=7&amp;number=0.000983&amp;sourceID=14","0.000983")</f>
        <v>0.000983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HYPERLINK("http://141.218.60.56/~jnz1568/getInfo.php?workbook=06_02.xlsx&amp;sheet=U0&amp;row=288&amp;col=6&amp;number=3.4&amp;sourceID=14","3.4")</f>
        <v>3.4</v>
      </c>
      <c r="G288" s="4" t="str">
        <f>HYPERLINK("http://141.218.60.56/~jnz1568/getInfo.php?workbook=06_02.xlsx&amp;sheet=U0&amp;row=288&amp;col=7&amp;number=0.000983&amp;sourceID=14","0.000983")</f>
        <v>0.000983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HYPERLINK("http://141.218.60.56/~jnz1568/getInfo.php?workbook=06_02.xlsx&amp;sheet=U0&amp;row=289&amp;col=6&amp;number=3.5&amp;sourceID=14","3.5")</f>
        <v>3.5</v>
      </c>
      <c r="G289" s="4" t="str">
        <f>HYPERLINK("http://141.218.60.56/~jnz1568/getInfo.php?workbook=06_02.xlsx&amp;sheet=U0&amp;row=289&amp;col=7&amp;number=0.000983&amp;sourceID=14","0.000983")</f>
        <v>0.000983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HYPERLINK("http://141.218.60.56/~jnz1568/getInfo.php?workbook=06_02.xlsx&amp;sheet=U0&amp;row=290&amp;col=6&amp;number=3.6&amp;sourceID=14","3.6")</f>
        <v>3.6</v>
      </c>
      <c r="G290" s="4" t="str">
        <f>HYPERLINK("http://141.218.60.56/~jnz1568/getInfo.php?workbook=06_02.xlsx&amp;sheet=U0&amp;row=290&amp;col=7&amp;number=0.000982&amp;sourceID=14","0.000982")</f>
        <v>0.000982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HYPERLINK("http://141.218.60.56/~jnz1568/getInfo.php?workbook=06_02.xlsx&amp;sheet=U0&amp;row=291&amp;col=6&amp;number=3.7&amp;sourceID=14","3.7")</f>
        <v>3.7</v>
      </c>
      <c r="G291" s="4" t="str">
        <f>HYPERLINK("http://141.218.60.56/~jnz1568/getInfo.php?workbook=06_02.xlsx&amp;sheet=U0&amp;row=291&amp;col=7&amp;number=0.000982&amp;sourceID=14","0.000982")</f>
        <v>0.000982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HYPERLINK("http://141.218.60.56/~jnz1568/getInfo.php?workbook=06_02.xlsx&amp;sheet=U0&amp;row=292&amp;col=6&amp;number=3.8&amp;sourceID=14","3.8")</f>
        <v>3.8</v>
      </c>
      <c r="G292" s="4" t="str">
        <f>HYPERLINK("http://141.218.60.56/~jnz1568/getInfo.php?workbook=06_02.xlsx&amp;sheet=U0&amp;row=292&amp;col=7&amp;number=0.000981&amp;sourceID=14","0.000981")</f>
        <v>0.000981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HYPERLINK("http://141.218.60.56/~jnz1568/getInfo.php?workbook=06_02.xlsx&amp;sheet=U0&amp;row=293&amp;col=6&amp;number=3.9&amp;sourceID=14","3.9")</f>
        <v>3.9</v>
      </c>
      <c r="G293" s="4" t="str">
        <f>HYPERLINK("http://141.218.60.56/~jnz1568/getInfo.php?workbook=06_02.xlsx&amp;sheet=U0&amp;row=293&amp;col=7&amp;number=0.00098&amp;sourceID=14","0.00098")</f>
        <v>0.00098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HYPERLINK("http://141.218.60.56/~jnz1568/getInfo.php?workbook=06_02.xlsx&amp;sheet=U0&amp;row=294&amp;col=6&amp;number=4&amp;sourceID=14","4")</f>
        <v>4</v>
      </c>
      <c r="G294" s="4" t="str">
        <f>HYPERLINK("http://141.218.60.56/~jnz1568/getInfo.php?workbook=06_02.xlsx&amp;sheet=U0&amp;row=294&amp;col=7&amp;number=0.000979&amp;sourceID=14","0.000979")</f>
        <v>0.000979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HYPERLINK("http://141.218.60.56/~jnz1568/getInfo.php?workbook=06_02.xlsx&amp;sheet=U0&amp;row=295&amp;col=6&amp;number=4.1&amp;sourceID=14","4.1")</f>
        <v>4.1</v>
      </c>
      <c r="G295" s="4" t="str">
        <f>HYPERLINK("http://141.218.60.56/~jnz1568/getInfo.php?workbook=06_02.xlsx&amp;sheet=U0&amp;row=295&amp;col=7&amp;number=0.000978&amp;sourceID=14","0.000978")</f>
        <v>0.000978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HYPERLINK("http://141.218.60.56/~jnz1568/getInfo.php?workbook=06_02.xlsx&amp;sheet=U0&amp;row=296&amp;col=6&amp;number=4.2&amp;sourceID=14","4.2")</f>
        <v>4.2</v>
      </c>
      <c r="G296" s="4" t="str">
        <f>HYPERLINK("http://141.218.60.56/~jnz1568/getInfo.php?workbook=06_02.xlsx&amp;sheet=U0&amp;row=296&amp;col=7&amp;number=0.000976&amp;sourceID=14","0.000976")</f>
        <v>0.000976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HYPERLINK("http://141.218.60.56/~jnz1568/getInfo.php?workbook=06_02.xlsx&amp;sheet=U0&amp;row=297&amp;col=6&amp;number=4.3&amp;sourceID=14","4.3")</f>
        <v>4.3</v>
      </c>
      <c r="G297" s="4" t="str">
        <f>HYPERLINK("http://141.218.60.56/~jnz1568/getInfo.php?workbook=06_02.xlsx&amp;sheet=U0&amp;row=297&amp;col=7&amp;number=0.000974&amp;sourceID=14","0.000974")</f>
        <v>0.000974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HYPERLINK("http://141.218.60.56/~jnz1568/getInfo.php?workbook=06_02.xlsx&amp;sheet=U0&amp;row=298&amp;col=6&amp;number=4.4&amp;sourceID=14","4.4")</f>
        <v>4.4</v>
      </c>
      <c r="G298" s="4" t="str">
        <f>HYPERLINK("http://141.218.60.56/~jnz1568/getInfo.php?workbook=06_02.xlsx&amp;sheet=U0&amp;row=298&amp;col=7&amp;number=0.000972&amp;sourceID=14","0.000972")</f>
        <v>0.000972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HYPERLINK("http://141.218.60.56/~jnz1568/getInfo.php?workbook=06_02.xlsx&amp;sheet=U0&amp;row=299&amp;col=6&amp;number=4.5&amp;sourceID=14","4.5")</f>
        <v>4.5</v>
      </c>
      <c r="G299" s="4" t="str">
        <f>HYPERLINK("http://141.218.60.56/~jnz1568/getInfo.php?workbook=06_02.xlsx&amp;sheet=U0&amp;row=299&amp;col=7&amp;number=0.000969&amp;sourceID=14","0.000969")</f>
        <v>0.000969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HYPERLINK("http://141.218.60.56/~jnz1568/getInfo.php?workbook=06_02.xlsx&amp;sheet=U0&amp;row=300&amp;col=6&amp;number=4.6&amp;sourceID=14","4.6")</f>
        <v>4.6</v>
      </c>
      <c r="G300" s="4" t="str">
        <f>HYPERLINK("http://141.218.60.56/~jnz1568/getInfo.php?workbook=06_02.xlsx&amp;sheet=U0&amp;row=300&amp;col=7&amp;number=0.000965&amp;sourceID=14","0.000965")</f>
        <v>0.000965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HYPERLINK("http://141.218.60.56/~jnz1568/getInfo.php?workbook=06_02.xlsx&amp;sheet=U0&amp;row=301&amp;col=6&amp;number=4.7&amp;sourceID=14","4.7")</f>
        <v>4.7</v>
      </c>
      <c r="G301" s="4" t="str">
        <f>HYPERLINK("http://141.218.60.56/~jnz1568/getInfo.php?workbook=06_02.xlsx&amp;sheet=U0&amp;row=301&amp;col=7&amp;number=0.00096&amp;sourceID=14","0.00096")</f>
        <v>0.00096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HYPERLINK("http://141.218.60.56/~jnz1568/getInfo.php?workbook=06_02.xlsx&amp;sheet=U0&amp;row=302&amp;col=6&amp;number=4.8&amp;sourceID=14","4.8")</f>
        <v>4.8</v>
      </c>
      <c r="G302" s="4" t="str">
        <f>HYPERLINK("http://141.218.60.56/~jnz1568/getInfo.php?workbook=06_02.xlsx&amp;sheet=U0&amp;row=302&amp;col=7&amp;number=0.000954&amp;sourceID=14","0.000954")</f>
        <v>0.000954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HYPERLINK("http://141.218.60.56/~jnz1568/getInfo.php?workbook=06_02.xlsx&amp;sheet=U0&amp;row=303&amp;col=6&amp;number=4.9&amp;sourceID=14","4.9")</f>
        <v>4.9</v>
      </c>
      <c r="G303" s="4" t="str">
        <f>HYPERLINK("http://141.218.60.56/~jnz1568/getInfo.php?workbook=06_02.xlsx&amp;sheet=U0&amp;row=303&amp;col=7&amp;number=0.000946&amp;sourceID=14","0.000946")</f>
        <v>0.000946</v>
      </c>
    </row>
    <row r="304" spans="1:7">
      <c r="A304" s="3">
        <v>6</v>
      </c>
      <c r="B304" s="3">
        <v>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HYPERLINK("http://141.218.60.56/~jnz1568/getInfo.php?workbook=06_02.xlsx&amp;sheet=U0&amp;row=304&amp;col=6&amp;number=3&amp;sourceID=14","3")</f>
        <v>3</v>
      </c>
      <c r="G304" s="4" t="str">
        <f>HYPERLINK("http://141.218.60.56/~jnz1568/getInfo.php?workbook=06_02.xlsx&amp;sheet=U0&amp;row=304&amp;col=7&amp;number=0.000131&amp;sourceID=14","0.000131")</f>
        <v>0.000131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HYPERLINK("http://141.218.60.56/~jnz1568/getInfo.php?workbook=06_02.xlsx&amp;sheet=U0&amp;row=305&amp;col=6&amp;number=3.1&amp;sourceID=14","3.1")</f>
        <v>3.1</v>
      </c>
      <c r="G305" s="4" t="str">
        <f>HYPERLINK("http://141.218.60.56/~jnz1568/getInfo.php?workbook=06_02.xlsx&amp;sheet=U0&amp;row=305&amp;col=7&amp;number=0.000131&amp;sourceID=14","0.000131")</f>
        <v>0.000131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HYPERLINK("http://141.218.60.56/~jnz1568/getInfo.php?workbook=06_02.xlsx&amp;sheet=U0&amp;row=306&amp;col=6&amp;number=3.2&amp;sourceID=14","3.2")</f>
        <v>3.2</v>
      </c>
      <c r="G306" s="4" t="str">
        <f>HYPERLINK("http://141.218.60.56/~jnz1568/getInfo.php?workbook=06_02.xlsx&amp;sheet=U0&amp;row=306&amp;col=7&amp;number=0.000131&amp;sourceID=14","0.000131")</f>
        <v>0.000131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HYPERLINK("http://141.218.60.56/~jnz1568/getInfo.php?workbook=06_02.xlsx&amp;sheet=U0&amp;row=307&amp;col=6&amp;number=3.3&amp;sourceID=14","3.3")</f>
        <v>3.3</v>
      </c>
      <c r="G307" s="4" t="str">
        <f>HYPERLINK("http://141.218.60.56/~jnz1568/getInfo.php?workbook=06_02.xlsx&amp;sheet=U0&amp;row=307&amp;col=7&amp;number=0.000131&amp;sourceID=14","0.000131")</f>
        <v>0.000131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HYPERLINK("http://141.218.60.56/~jnz1568/getInfo.php?workbook=06_02.xlsx&amp;sheet=U0&amp;row=308&amp;col=6&amp;number=3.4&amp;sourceID=14","3.4")</f>
        <v>3.4</v>
      </c>
      <c r="G308" s="4" t="str">
        <f>HYPERLINK("http://141.218.60.56/~jnz1568/getInfo.php?workbook=06_02.xlsx&amp;sheet=U0&amp;row=308&amp;col=7&amp;number=0.000131&amp;sourceID=14","0.000131")</f>
        <v>0.000131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HYPERLINK("http://141.218.60.56/~jnz1568/getInfo.php?workbook=06_02.xlsx&amp;sheet=U0&amp;row=309&amp;col=6&amp;number=3.5&amp;sourceID=14","3.5")</f>
        <v>3.5</v>
      </c>
      <c r="G309" s="4" t="str">
        <f>HYPERLINK("http://141.218.60.56/~jnz1568/getInfo.php?workbook=06_02.xlsx&amp;sheet=U0&amp;row=309&amp;col=7&amp;number=0.000131&amp;sourceID=14","0.000131")</f>
        <v>0.000131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HYPERLINK("http://141.218.60.56/~jnz1568/getInfo.php?workbook=06_02.xlsx&amp;sheet=U0&amp;row=310&amp;col=6&amp;number=3.6&amp;sourceID=14","3.6")</f>
        <v>3.6</v>
      </c>
      <c r="G310" s="4" t="str">
        <f>HYPERLINK("http://141.218.60.56/~jnz1568/getInfo.php?workbook=06_02.xlsx&amp;sheet=U0&amp;row=310&amp;col=7&amp;number=0.000131&amp;sourceID=14","0.000131")</f>
        <v>0.000131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HYPERLINK("http://141.218.60.56/~jnz1568/getInfo.php?workbook=06_02.xlsx&amp;sheet=U0&amp;row=311&amp;col=6&amp;number=3.7&amp;sourceID=14","3.7")</f>
        <v>3.7</v>
      </c>
      <c r="G311" s="4" t="str">
        <f>HYPERLINK("http://141.218.60.56/~jnz1568/getInfo.php?workbook=06_02.xlsx&amp;sheet=U0&amp;row=311&amp;col=7&amp;number=0.000132&amp;sourceID=14","0.000132")</f>
        <v>0.000132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HYPERLINK("http://141.218.60.56/~jnz1568/getInfo.php?workbook=06_02.xlsx&amp;sheet=U0&amp;row=312&amp;col=6&amp;number=3.8&amp;sourceID=14","3.8")</f>
        <v>3.8</v>
      </c>
      <c r="G312" s="4" t="str">
        <f>HYPERLINK("http://141.218.60.56/~jnz1568/getInfo.php?workbook=06_02.xlsx&amp;sheet=U0&amp;row=312&amp;col=7&amp;number=0.000132&amp;sourceID=14","0.000132")</f>
        <v>0.000132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HYPERLINK("http://141.218.60.56/~jnz1568/getInfo.php?workbook=06_02.xlsx&amp;sheet=U0&amp;row=313&amp;col=6&amp;number=3.9&amp;sourceID=14","3.9")</f>
        <v>3.9</v>
      </c>
      <c r="G313" s="4" t="str">
        <f>HYPERLINK("http://141.218.60.56/~jnz1568/getInfo.php?workbook=06_02.xlsx&amp;sheet=U0&amp;row=313&amp;col=7&amp;number=0.000133&amp;sourceID=14","0.000133")</f>
        <v>0.000133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HYPERLINK("http://141.218.60.56/~jnz1568/getInfo.php?workbook=06_02.xlsx&amp;sheet=U0&amp;row=314&amp;col=6&amp;number=4&amp;sourceID=14","4")</f>
        <v>4</v>
      </c>
      <c r="G314" s="4" t="str">
        <f>HYPERLINK("http://141.218.60.56/~jnz1568/getInfo.php?workbook=06_02.xlsx&amp;sheet=U0&amp;row=314&amp;col=7&amp;number=0.000133&amp;sourceID=14","0.000133")</f>
        <v>0.000133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HYPERLINK("http://141.218.60.56/~jnz1568/getInfo.php?workbook=06_02.xlsx&amp;sheet=U0&amp;row=315&amp;col=6&amp;number=4.1&amp;sourceID=14","4.1")</f>
        <v>4.1</v>
      </c>
      <c r="G315" s="4" t="str">
        <f>HYPERLINK("http://141.218.60.56/~jnz1568/getInfo.php?workbook=06_02.xlsx&amp;sheet=U0&amp;row=315&amp;col=7&amp;number=0.000134&amp;sourceID=14","0.000134")</f>
        <v>0.000134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HYPERLINK("http://141.218.60.56/~jnz1568/getInfo.php?workbook=06_02.xlsx&amp;sheet=U0&amp;row=316&amp;col=6&amp;number=4.2&amp;sourceID=14","4.2")</f>
        <v>4.2</v>
      </c>
      <c r="G316" s="4" t="str">
        <f>HYPERLINK("http://141.218.60.56/~jnz1568/getInfo.php?workbook=06_02.xlsx&amp;sheet=U0&amp;row=316&amp;col=7&amp;number=0.000135&amp;sourceID=14","0.000135")</f>
        <v>0.000135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HYPERLINK("http://141.218.60.56/~jnz1568/getInfo.php?workbook=06_02.xlsx&amp;sheet=U0&amp;row=317&amp;col=6&amp;number=4.3&amp;sourceID=14","4.3")</f>
        <v>4.3</v>
      </c>
      <c r="G317" s="4" t="str">
        <f>HYPERLINK("http://141.218.60.56/~jnz1568/getInfo.php?workbook=06_02.xlsx&amp;sheet=U0&amp;row=317&amp;col=7&amp;number=0.000137&amp;sourceID=14","0.000137")</f>
        <v>0.000137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HYPERLINK("http://141.218.60.56/~jnz1568/getInfo.php?workbook=06_02.xlsx&amp;sheet=U0&amp;row=318&amp;col=6&amp;number=4.4&amp;sourceID=14","4.4")</f>
        <v>4.4</v>
      </c>
      <c r="G318" s="4" t="str">
        <f>HYPERLINK("http://141.218.60.56/~jnz1568/getInfo.php?workbook=06_02.xlsx&amp;sheet=U0&amp;row=318&amp;col=7&amp;number=0.000138&amp;sourceID=14","0.000138")</f>
        <v>0.000138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HYPERLINK("http://141.218.60.56/~jnz1568/getInfo.php?workbook=06_02.xlsx&amp;sheet=U0&amp;row=319&amp;col=6&amp;number=4.5&amp;sourceID=14","4.5")</f>
        <v>4.5</v>
      </c>
      <c r="G319" s="4" t="str">
        <f>HYPERLINK("http://141.218.60.56/~jnz1568/getInfo.php?workbook=06_02.xlsx&amp;sheet=U0&amp;row=319&amp;col=7&amp;number=0.00014&amp;sourceID=14","0.00014")</f>
        <v>0.00014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HYPERLINK("http://141.218.60.56/~jnz1568/getInfo.php?workbook=06_02.xlsx&amp;sheet=U0&amp;row=320&amp;col=6&amp;number=4.6&amp;sourceID=14","4.6")</f>
        <v>4.6</v>
      </c>
      <c r="G320" s="4" t="str">
        <f>HYPERLINK("http://141.218.60.56/~jnz1568/getInfo.php?workbook=06_02.xlsx&amp;sheet=U0&amp;row=320&amp;col=7&amp;number=0.000143&amp;sourceID=14","0.000143")</f>
        <v>0.000143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HYPERLINK("http://141.218.60.56/~jnz1568/getInfo.php?workbook=06_02.xlsx&amp;sheet=U0&amp;row=321&amp;col=6&amp;number=4.7&amp;sourceID=14","4.7")</f>
        <v>4.7</v>
      </c>
      <c r="G321" s="4" t="str">
        <f>HYPERLINK("http://141.218.60.56/~jnz1568/getInfo.php?workbook=06_02.xlsx&amp;sheet=U0&amp;row=321&amp;col=7&amp;number=0.000146&amp;sourceID=14","0.000146")</f>
        <v>0.000146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HYPERLINK("http://141.218.60.56/~jnz1568/getInfo.php?workbook=06_02.xlsx&amp;sheet=U0&amp;row=322&amp;col=6&amp;number=4.8&amp;sourceID=14","4.8")</f>
        <v>4.8</v>
      </c>
      <c r="G322" s="4" t="str">
        <f>HYPERLINK("http://141.218.60.56/~jnz1568/getInfo.php?workbook=06_02.xlsx&amp;sheet=U0&amp;row=322&amp;col=7&amp;number=0.000151&amp;sourceID=14","0.000151")</f>
        <v>0.000151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HYPERLINK("http://141.218.60.56/~jnz1568/getInfo.php?workbook=06_02.xlsx&amp;sheet=U0&amp;row=323&amp;col=6&amp;number=4.9&amp;sourceID=14","4.9")</f>
        <v>4.9</v>
      </c>
      <c r="G323" s="4" t="str">
        <f>HYPERLINK("http://141.218.60.56/~jnz1568/getInfo.php?workbook=06_02.xlsx&amp;sheet=U0&amp;row=323&amp;col=7&amp;number=0.000156&amp;sourceID=14","0.000156")</f>
        <v>0.000156</v>
      </c>
    </row>
    <row r="324" spans="1:7">
      <c r="A324" s="3">
        <v>6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HYPERLINK("http://141.218.60.56/~jnz1568/getInfo.php?workbook=06_02.xlsx&amp;sheet=U0&amp;row=324&amp;col=6&amp;number=3&amp;sourceID=14","3")</f>
        <v>3</v>
      </c>
      <c r="G324" s="4" t="str">
        <f>HYPERLINK("http://141.218.60.56/~jnz1568/getInfo.php?workbook=06_02.xlsx&amp;sheet=U0&amp;row=324&amp;col=7&amp;number=0.000807&amp;sourceID=14","0.000807")</f>
        <v>0.000807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HYPERLINK("http://141.218.60.56/~jnz1568/getInfo.php?workbook=06_02.xlsx&amp;sheet=U0&amp;row=325&amp;col=6&amp;number=3.1&amp;sourceID=14","3.1")</f>
        <v>3.1</v>
      </c>
      <c r="G325" s="4" t="str">
        <f>HYPERLINK("http://141.218.60.56/~jnz1568/getInfo.php?workbook=06_02.xlsx&amp;sheet=U0&amp;row=325&amp;col=7&amp;number=0.000807&amp;sourceID=14","0.000807")</f>
        <v>0.000807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HYPERLINK("http://141.218.60.56/~jnz1568/getInfo.php?workbook=06_02.xlsx&amp;sheet=U0&amp;row=326&amp;col=6&amp;number=3.2&amp;sourceID=14","3.2")</f>
        <v>3.2</v>
      </c>
      <c r="G326" s="4" t="str">
        <f>HYPERLINK("http://141.218.60.56/~jnz1568/getInfo.php?workbook=06_02.xlsx&amp;sheet=U0&amp;row=326&amp;col=7&amp;number=0.000807&amp;sourceID=14","0.000807")</f>
        <v>0.000807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HYPERLINK("http://141.218.60.56/~jnz1568/getInfo.php?workbook=06_02.xlsx&amp;sheet=U0&amp;row=327&amp;col=6&amp;number=3.3&amp;sourceID=14","3.3")</f>
        <v>3.3</v>
      </c>
      <c r="G327" s="4" t="str">
        <f>HYPERLINK("http://141.218.60.56/~jnz1568/getInfo.php?workbook=06_02.xlsx&amp;sheet=U0&amp;row=327&amp;col=7&amp;number=0.000807&amp;sourceID=14","0.000807")</f>
        <v>0.000807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HYPERLINK("http://141.218.60.56/~jnz1568/getInfo.php?workbook=06_02.xlsx&amp;sheet=U0&amp;row=328&amp;col=6&amp;number=3.4&amp;sourceID=14","3.4")</f>
        <v>3.4</v>
      </c>
      <c r="G328" s="4" t="str">
        <f>HYPERLINK("http://141.218.60.56/~jnz1568/getInfo.php?workbook=06_02.xlsx&amp;sheet=U0&amp;row=328&amp;col=7&amp;number=0.000807&amp;sourceID=14","0.000807")</f>
        <v>0.000807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HYPERLINK("http://141.218.60.56/~jnz1568/getInfo.php?workbook=06_02.xlsx&amp;sheet=U0&amp;row=329&amp;col=6&amp;number=3.5&amp;sourceID=14","3.5")</f>
        <v>3.5</v>
      </c>
      <c r="G329" s="4" t="str">
        <f>HYPERLINK("http://141.218.60.56/~jnz1568/getInfo.php?workbook=06_02.xlsx&amp;sheet=U0&amp;row=329&amp;col=7&amp;number=0.000807&amp;sourceID=14","0.000807")</f>
        <v>0.000807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HYPERLINK("http://141.218.60.56/~jnz1568/getInfo.php?workbook=06_02.xlsx&amp;sheet=U0&amp;row=330&amp;col=6&amp;number=3.6&amp;sourceID=14","3.6")</f>
        <v>3.6</v>
      </c>
      <c r="G330" s="4" t="str">
        <f>HYPERLINK("http://141.218.60.56/~jnz1568/getInfo.php?workbook=06_02.xlsx&amp;sheet=U0&amp;row=330&amp;col=7&amp;number=0.000807&amp;sourceID=14","0.000807")</f>
        <v>0.000807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HYPERLINK("http://141.218.60.56/~jnz1568/getInfo.php?workbook=06_02.xlsx&amp;sheet=U0&amp;row=331&amp;col=6&amp;number=3.7&amp;sourceID=14","3.7")</f>
        <v>3.7</v>
      </c>
      <c r="G331" s="4" t="str">
        <f>HYPERLINK("http://141.218.60.56/~jnz1568/getInfo.php?workbook=06_02.xlsx&amp;sheet=U0&amp;row=331&amp;col=7&amp;number=0.000807&amp;sourceID=14","0.000807")</f>
        <v>0.000807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HYPERLINK("http://141.218.60.56/~jnz1568/getInfo.php?workbook=06_02.xlsx&amp;sheet=U0&amp;row=332&amp;col=6&amp;number=3.8&amp;sourceID=14","3.8")</f>
        <v>3.8</v>
      </c>
      <c r="G332" s="4" t="str">
        <f>HYPERLINK("http://141.218.60.56/~jnz1568/getInfo.php?workbook=06_02.xlsx&amp;sheet=U0&amp;row=332&amp;col=7&amp;number=0.000806&amp;sourceID=14","0.000806")</f>
        <v>0.000806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HYPERLINK("http://141.218.60.56/~jnz1568/getInfo.php?workbook=06_02.xlsx&amp;sheet=U0&amp;row=333&amp;col=6&amp;number=3.9&amp;sourceID=14","3.9")</f>
        <v>3.9</v>
      </c>
      <c r="G333" s="4" t="str">
        <f>HYPERLINK("http://141.218.60.56/~jnz1568/getInfo.php?workbook=06_02.xlsx&amp;sheet=U0&amp;row=333&amp;col=7&amp;number=0.000806&amp;sourceID=14","0.000806")</f>
        <v>0.000806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HYPERLINK("http://141.218.60.56/~jnz1568/getInfo.php?workbook=06_02.xlsx&amp;sheet=U0&amp;row=334&amp;col=6&amp;number=4&amp;sourceID=14","4")</f>
        <v>4</v>
      </c>
      <c r="G334" s="4" t="str">
        <f>HYPERLINK("http://141.218.60.56/~jnz1568/getInfo.php?workbook=06_02.xlsx&amp;sheet=U0&amp;row=334&amp;col=7&amp;number=0.000806&amp;sourceID=14","0.000806")</f>
        <v>0.000806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HYPERLINK("http://141.218.60.56/~jnz1568/getInfo.php?workbook=06_02.xlsx&amp;sheet=U0&amp;row=335&amp;col=6&amp;number=4.1&amp;sourceID=14","4.1")</f>
        <v>4.1</v>
      </c>
      <c r="G335" s="4" t="str">
        <f>HYPERLINK("http://141.218.60.56/~jnz1568/getInfo.php?workbook=06_02.xlsx&amp;sheet=U0&amp;row=335&amp;col=7&amp;number=0.000805&amp;sourceID=14","0.000805")</f>
        <v>0.000805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HYPERLINK("http://141.218.60.56/~jnz1568/getInfo.php?workbook=06_02.xlsx&amp;sheet=U0&amp;row=336&amp;col=6&amp;number=4.2&amp;sourceID=14","4.2")</f>
        <v>4.2</v>
      </c>
      <c r="G336" s="4" t="str">
        <f>HYPERLINK("http://141.218.60.56/~jnz1568/getInfo.php?workbook=06_02.xlsx&amp;sheet=U0&amp;row=336&amp;col=7&amp;number=0.000804&amp;sourceID=14","0.000804")</f>
        <v>0.000804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HYPERLINK("http://141.218.60.56/~jnz1568/getInfo.php?workbook=06_02.xlsx&amp;sheet=U0&amp;row=337&amp;col=6&amp;number=4.3&amp;sourceID=14","4.3")</f>
        <v>4.3</v>
      </c>
      <c r="G337" s="4" t="str">
        <f>HYPERLINK("http://141.218.60.56/~jnz1568/getInfo.php?workbook=06_02.xlsx&amp;sheet=U0&amp;row=337&amp;col=7&amp;number=0.000804&amp;sourceID=14","0.000804")</f>
        <v>0.000804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HYPERLINK("http://141.218.60.56/~jnz1568/getInfo.php?workbook=06_02.xlsx&amp;sheet=U0&amp;row=338&amp;col=6&amp;number=4.4&amp;sourceID=14","4.4")</f>
        <v>4.4</v>
      </c>
      <c r="G338" s="4" t="str">
        <f>HYPERLINK("http://141.218.60.56/~jnz1568/getInfo.php?workbook=06_02.xlsx&amp;sheet=U0&amp;row=338&amp;col=7&amp;number=0.000803&amp;sourceID=14","0.000803")</f>
        <v>0.000803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HYPERLINK("http://141.218.60.56/~jnz1568/getInfo.php?workbook=06_02.xlsx&amp;sheet=U0&amp;row=339&amp;col=6&amp;number=4.5&amp;sourceID=14","4.5")</f>
        <v>4.5</v>
      </c>
      <c r="G339" s="4" t="str">
        <f>HYPERLINK("http://141.218.60.56/~jnz1568/getInfo.php?workbook=06_02.xlsx&amp;sheet=U0&amp;row=339&amp;col=7&amp;number=0.000801&amp;sourceID=14","0.000801")</f>
        <v>0.000801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HYPERLINK("http://141.218.60.56/~jnz1568/getInfo.php?workbook=06_02.xlsx&amp;sheet=U0&amp;row=340&amp;col=6&amp;number=4.6&amp;sourceID=14","4.6")</f>
        <v>4.6</v>
      </c>
      <c r="G340" s="4" t="str">
        <f>HYPERLINK("http://141.218.60.56/~jnz1568/getInfo.php?workbook=06_02.xlsx&amp;sheet=U0&amp;row=340&amp;col=7&amp;number=0.0008&amp;sourceID=14","0.0008")</f>
        <v>0.0008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HYPERLINK("http://141.218.60.56/~jnz1568/getInfo.php?workbook=06_02.xlsx&amp;sheet=U0&amp;row=341&amp;col=6&amp;number=4.7&amp;sourceID=14","4.7")</f>
        <v>4.7</v>
      </c>
      <c r="G341" s="4" t="str">
        <f>HYPERLINK("http://141.218.60.56/~jnz1568/getInfo.php?workbook=06_02.xlsx&amp;sheet=U0&amp;row=341&amp;col=7&amp;number=0.000798&amp;sourceID=14","0.000798")</f>
        <v>0.000798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HYPERLINK("http://141.218.60.56/~jnz1568/getInfo.php?workbook=06_02.xlsx&amp;sheet=U0&amp;row=342&amp;col=6&amp;number=4.8&amp;sourceID=14","4.8")</f>
        <v>4.8</v>
      </c>
      <c r="G342" s="4" t="str">
        <f>HYPERLINK("http://141.218.60.56/~jnz1568/getInfo.php?workbook=06_02.xlsx&amp;sheet=U0&amp;row=342&amp;col=7&amp;number=0.000795&amp;sourceID=14","0.000795")</f>
        <v>0.000795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HYPERLINK("http://141.218.60.56/~jnz1568/getInfo.php?workbook=06_02.xlsx&amp;sheet=U0&amp;row=343&amp;col=6&amp;number=4.9&amp;sourceID=14","4.9")</f>
        <v>4.9</v>
      </c>
      <c r="G343" s="4" t="str">
        <f>HYPERLINK("http://141.218.60.56/~jnz1568/getInfo.php?workbook=06_02.xlsx&amp;sheet=U0&amp;row=343&amp;col=7&amp;number=0.000792&amp;sourceID=14","0.000792")</f>
        <v>0.000792</v>
      </c>
    </row>
    <row r="344" spans="1:7">
      <c r="A344" s="3">
        <v>6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HYPERLINK("http://141.218.60.56/~jnz1568/getInfo.php?workbook=06_02.xlsx&amp;sheet=U0&amp;row=344&amp;col=6&amp;number=3&amp;sourceID=14","3")</f>
        <v>3</v>
      </c>
      <c r="G344" s="4" t="str">
        <f>HYPERLINK("http://141.218.60.56/~jnz1568/getInfo.php?workbook=06_02.xlsx&amp;sheet=U0&amp;row=344&amp;col=7&amp;number=0.00102&amp;sourceID=14","0.00102")</f>
        <v>0.00102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HYPERLINK("http://141.218.60.56/~jnz1568/getInfo.php?workbook=06_02.xlsx&amp;sheet=U0&amp;row=345&amp;col=6&amp;number=3.1&amp;sourceID=14","3.1")</f>
        <v>3.1</v>
      </c>
      <c r="G345" s="4" t="str">
        <f>HYPERLINK("http://141.218.60.56/~jnz1568/getInfo.php?workbook=06_02.xlsx&amp;sheet=U0&amp;row=345&amp;col=7&amp;number=0.00102&amp;sourceID=14","0.00102")</f>
        <v>0.00102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HYPERLINK("http://141.218.60.56/~jnz1568/getInfo.php?workbook=06_02.xlsx&amp;sheet=U0&amp;row=346&amp;col=6&amp;number=3.2&amp;sourceID=14","3.2")</f>
        <v>3.2</v>
      </c>
      <c r="G346" s="4" t="str">
        <f>HYPERLINK("http://141.218.60.56/~jnz1568/getInfo.php?workbook=06_02.xlsx&amp;sheet=U0&amp;row=346&amp;col=7&amp;number=0.00102&amp;sourceID=14","0.00102")</f>
        <v>0.00102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HYPERLINK("http://141.218.60.56/~jnz1568/getInfo.php?workbook=06_02.xlsx&amp;sheet=U0&amp;row=347&amp;col=6&amp;number=3.3&amp;sourceID=14","3.3")</f>
        <v>3.3</v>
      </c>
      <c r="G347" s="4" t="str">
        <f>HYPERLINK("http://141.218.60.56/~jnz1568/getInfo.php?workbook=06_02.xlsx&amp;sheet=U0&amp;row=347&amp;col=7&amp;number=0.00102&amp;sourceID=14","0.00102")</f>
        <v>0.00102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HYPERLINK("http://141.218.60.56/~jnz1568/getInfo.php?workbook=06_02.xlsx&amp;sheet=U0&amp;row=348&amp;col=6&amp;number=3.4&amp;sourceID=14","3.4")</f>
        <v>3.4</v>
      </c>
      <c r="G348" s="4" t="str">
        <f>HYPERLINK("http://141.218.60.56/~jnz1568/getInfo.php?workbook=06_02.xlsx&amp;sheet=U0&amp;row=348&amp;col=7&amp;number=0.00102&amp;sourceID=14","0.00102")</f>
        <v>0.00102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HYPERLINK("http://141.218.60.56/~jnz1568/getInfo.php?workbook=06_02.xlsx&amp;sheet=U0&amp;row=349&amp;col=6&amp;number=3.5&amp;sourceID=14","3.5")</f>
        <v>3.5</v>
      </c>
      <c r="G349" s="4" t="str">
        <f>HYPERLINK("http://141.218.60.56/~jnz1568/getInfo.php?workbook=06_02.xlsx&amp;sheet=U0&amp;row=349&amp;col=7&amp;number=0.00102&amp;sourceID=14","0.00102")</f>
        <v>0.00102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HYPERLINK("http://141.218.60.56/~jnz1568/getInfo.php?workbook=06_02.xlsx&amp;sheet=U0&amp;row=350&amp;col=6&amp;number=3.6&amp;sourceID=14","3.6")</f>
        <v>3.6</v>
      </c>
      <c r="G350" s="4" t="str">
        <f>HYPERLINK("http://141.218.60.56/~jnz1568/getInfo.php?workbook=06_02.xlsx&amp;sheet=U0&amp;row=350&amp;col=7&amp;number=0.00102&amp;sourceID=14","0.00102")</f>
        <v>0.00102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HYPERLINK("http://141.218.60.56/~jnz1568/getInfo.php?workbook=06_02.xlsx&amp;sheet=U0&amp;row=351&amp;col=6&amp;number=3.7&amp;sourceID=14","3.7")</f>
        <v>3.7</v>
      </c>
      <c r="G351" s="4" t="str">
        <f>HYPERLINK("http://141.218.60.56/~jnz1568/getInfo.php?workbook=06_02.xlsx&amp;sheet=U0&amp;row=351&amp;col=7&amp;number=0.00102&amp;sourceID=14","0.00102")</f>
        <v>0.00102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HYPERLINK("http://141.218.60.56/~jnz1568/getInfo.php?workbook=06_02.xlsx&amp;sheet=U0&amp;row=352&amp;col=6&amp;number=3.8&amp;sourceID=14","3.8")</f>
        <v>3.8</v>
      </c>
      <c r="G352" s="4" t="str">
        <f>HYPERLINK("http://141.218.60.56/~jnz1568/getInfo.php?workbook=06_02.xlsx&amp;sheet=U0&amp;row=352&amp;col=7&amp;number=0.00102&amp;sourceID=14","0.00102")</f>
        <v>0.00102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HYPERLINK("http://141.218.60.56/~jnz1568/getInfo.php?workbook=06_02.xlsx&amp;sheet=U0&amp;row=353&amp;col=6&amp;number=3.9&amp;sourceID=14","3.9")</f>
        <v>3.9</v>
      </c>
      <c r="G353" s="4" t="str">
        <f>HYPERLINK("http://141.218.60.56/~jnz1568/getInfo.php?workbook=06_02.xlsx&amp;sheet=U0&amp;row=353&amp;col=7&amp;number=0.00102&amp;sourceID=14","0.00102")</f>
        <v>0.00102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HYPERLINK("http://141.218.60.56/~jnz1568/getInfo.php?workbook=06_02.xlsx&amp;sheet=U0&amp;row=354&amp;col=6&amp;number=4&amp;sourceID=14","4")</f>
        <v>4</v>
      </c>
      <c r="G354" s="4" t="str">
        <f>HYPERLINK("http://141.218.60.56/~jnz1568/getInfo.php?workbook=06_02.xlsx&amp;sheet=U0&amp;row=354&amp;col=7&amp;number=0.00102&amp;sourceID=14","0.00102")</f>
        <v>0.00102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HYPERLINK("http://141.218.60.56/~jnz1568/getInfo.php?workbook=06_02.xlsx&amp;sheet=U0&amp;row=355&amp;col=6&amp;number=4.1&amp;sourceID=14","4.1")</f>
        <v>4.1</v>
      </c>
      <c r="G355" s="4" t="str">
        <f>HYPERLINK("http://141.218.60.56/~jnz1568/getInfo.php?workbook=06_02.xlsx&amp;sheet=U0&amp;row=355&amp;col=7&amp;number=0.00102&amp;sourceID=14","0.00102")</f>
        <v>0.00102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HYPERLINK("http://141.218.60.56/~jnz1568/getInfo.php?workbook=06_02.xlsx&amp;sheet=U0&amp;row=356&amp;col=6&amp;number=4.2&amp;sourceID=14","4.2")</f>
        <v>4.2</v>
      </c>
      <c r="G356" s="4" t="str">
        <f>HYPERLINK("http://141.218.60.56/~jnz1568/getInfo.php?workbook=06_02.xlsx&amp;sheet=U0&amp;row=356&amp;col=7&amp;number=0.00102&amp;sourceID=14","0.00102")</f>
        <v>0.00102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HYPERLINK("http://141.218.60.56/~jnz1568/getInfo.php?workbook=06_02.xlsx&amp;sheet=U0&amp;row=357&amp;col=6&amp;number=4.3&amp;sourceID=14","4.3")</f>
        <v>4.3</v>
      </c>
      <c r="G357" s="4" t="str">
        <f>HYPERLINK("http://141.218.60.56/~jnz1568/getInfo.php?workbook=06_02.xlsx&amp;sheet=U0&amp;row=357&amp;col=7&amp;number=0.00102&amp;sourceID=14","0.00102")</f>
        <v>0.00102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HYPERLINK("http://141.218.60.56/~jnz1568/getInfo.php?workbook=06_02.xlsx&amp;sheet=U0&amp;row=358&amp;col=6&amp;number=4.4&amp;sourceID=14","4.4")</f>
        <v>4.4</v>
      </c>
      <c r="G358" s="4" t="str">
        <f>HYPERLINK("http://141.218.60.56/~jnz1568/getInfo.php?workbook=06_02.xlsx&amp;sheet=U0&amp;row=358&amp;col=7&amp;number=0.00102&amp;sourceID=14","0.00102")</f>
        <v>0.00102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HYPERLINK("http://141.218.60.56/~jnz1568/getInfo.php?workbook=06_02.xlsx&amp;sheet=U0&amp;row=359&amp;col=6&amp;number=4.5&amp;sourceID=14","4.5")</f>
        <v>4.5</v>
      </c>
      <c r="G359" s="4" t="str">
        <f>HYPERLINK("http://141.218.60.56/~jnz1568/getInfo.php?workbook=06_02.xlsx&amp;sheet=U0&amp;row=359&amp;col=7&amp;number=0.00102&amp;sourceID=14","0.00102")</f>
        <v>0.00102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HYPERLINK("http://141.218.60.56/~jnz1568/getInfo.php?workbook=06_02.xlsx&amp;sheet=U0&amp;row=360&amp;col=6&amp;number=4.6&amp;sourceID=14","4.6")</f>
        <v>4.6</v>
      </c>
      <c r="G360" s="4" t="str">
        <f>HYPERLINK("http://141.218.60.56/~jnz1568/getInfo.php?workbook=06_02.xlsx&amp;sheet=U0&amp;row=360&amp;col=7&amp;number=0.00103&amp;sourceID=14","0.00103")</f>
        <v>0.00103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HYPERLINK("http://141.218.60.56/~jnz1568/getInfo.php?workbook=06_02.xlsx&amp;sheet=U0&amp;row=361&amp;col=6&amp;number=4.7&amp;sourceID=14","4.7")</f>
        <v>4.7</v>
      </c>
      <c r="G361" s="4" t="str">
        <f>HYPERLINK("http://141.218.60.56/~jnz1568/getInfo.php?workbook=06_02.xlsx&amp;sheet=U0&amp;row=361&amp;col=7&amp;number=0.00103&amp;sourceID=14","0.00103")</f>
        <v>0.00103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HYPERLINK("http://141.218.60.56/~jnz1568/getInfo.php?workbook=06_02.xlsx&amp;sheet=U0&amp;row=362&amp;col=6&amp;number=4.8&amp;sourceID=14","4.8")</f>
        <v>4.8</v>
      </c>
      <c r="G362" s="4" t="str">
        <f>HYPERLINK("http://141.218.60.56/~jnz1568/getInfo.php?workbook=06_02.xlsx&amp;sheet=U0&amp;row=362&amp;col=7&amp;number=0.00103&amp;sourceID=14","0.00103")</f>
        <v>0.00103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HYPERLINK("http://141.218.60.56/~jnz1568/getInfo.php?workbook=06_02.xlsx&amp;sheet=U0&amp;row=363&amp;col=6&amp;number=4.9&amp;sourceID=14","4.9")</f>
        <v>4.9</v>
      </c>
      <c r="G363" s="4" t="str">
        <f>HYPERLINK("http://141.218.60.56/~jnz1568/getInfo.php?workbook=06_02.xlsx&amp;sheet=U0&amp;row=363&amp;col=7&amp;number=0.00103&amp;sourceID=14","0.00103")</f>
        <v>0.00103</v>
      </c>
    </row>
    <row r="364" spans="1:7">
      <c r="A364" s="3">
        <v>6</v>
      </c>
      <c r="B364" s="3">
        <v>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HYPERLINK("http://141.218.60.56/~jnz1568/getInfo.php?workbook=06_02.xlsx&amp;sheet=U0&amp;row=364&amp;col=6&amp;number=3&amp;sourceID=14","3")</f>
        <v>3</v>
      </c>
      <c r="G364" s="4" t="str">
        <f>HYPERLINK("http://141.218.60.56/~jnz1568/getInfo.php?workbook=06_02.xlsx&amp;sheet=U0&amp;row=364&amp;col=7&amp;number=0.000498&amp;sourceID=14","0.000498")</f>
        <v>0.000498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HYPERLINK("http://141.218.60.56/~jnz1568/getInfo.php?workbook=06_02.xlsx&amp;sheet=U0&amp;row=365&amp;col=6&amp;number=3.1&amp;sourceID=14","3.1")</f>
        <v>3.1</v>
      </c>
      <c r="G365" s="4" t="str">
        <f>HYPERLINK("http://141.218.60.56/~jnz1568/getInfo.php?workbook=06_02.xlsx&amp;sheet=U0&amp;row=365&amp;col=7&amp;number=0.000498&amp;sourceID=14","0.000498")</f>
        <v>0.000498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HYPERLINK("http://141.218.60.56/~jnz1568/getInfo.php?workbook=06_02.xlsx&amp;sheet=U0&amp;row=366&amp;col=6&amp;number=3.2&amp;sourceID=14","3.2")</f>
        <v>3.2</v>
      </c>
      <c r="G366" s="4" t="str">
        <f>HYPERLINK("http://141.218.60.56/~jnz1568/getInfo.php?workbook=06_02.xlsx&amp;sheet=U0&amp;row=366&amp;col=7&amp;number=0.000498&amp;sourceID=14","0.000498")</f>
        <v>0.000498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HYPERLINK("http://141.218.60.56/~jnz1568/getInfo.php?workbook=06_02.xlsx&amp;sheet=U0&amp;row=367&amp;col=6&amp;number=3.3&amp;sourceID=14","3.3")</f>
        <v>3.3</v>
      </c>
      <c r="G367" s="4" t="str">
        <f>HYPERLINK("http://141.218.60.56/~jnz1568/getInfo.php?workbook=06_02.xlsx&amp;sheet=U0&amp;row=367&amp;col=7&amp;number=0.000498&amp;sourceID=14","0.000498")</f>
        <v>0.000498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HYPERLINK("http://141.218.60.56/~jnz1568/getInfo.php?workbook=06_02.xlsx&amp;sheet=U0&amp;row=368&amp;col=6&amp;number=3.4&amp;sourceID=14","3.4")</f>
        <v>3.4</v>
      </c>
      <c r="G368" s="4" t="str">
        <f>HYPERLINK("http://141.218.60.56/~jnz1568/getInfo.php?workbook=06_02.xlsx&amp;sheet=U0&amp;row=368&amp;col=7&amp;number=0.000498&amp;sourceID=14","0.000498")</f>
        <v>0.000498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HYPERLINK("http://141.218.60.56/~jnz1568/getInfo.php?workbook=06_02.xlsx&amp;sheet=U0&amp;row=369&amp;col=6&amp;number=3.5&amp;sourceID=14","3.5")</f>
        <v>3.5</v>
      </c>
      <c r="G369" s="4" t="str">
        <f>HYPERLINK("http://141.218.60.56/~jnz1568/getInfo.php?workbook=06_02.xlsx&amp;sheet=U0&amp;row=369&amp;col=7&amp;number=0.000498&amp;sourceID=14","0.000498")</f>
        <v>0.000498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HYPERLINK("http://141.218.60.56/~jnz1568/getInfo.php?workbook=06_02.xlsx&amp;sheet=U0&amp;row=370&amp;col=6&amp;number=3.6&amp;sourceID=14","3.6")</f>
        <v>3.6</v>
      </c>
      <c r="G370" s="4" t="str">
        <f>HYPERLINK("http://141.218.60.56/~jnz1568/getInfo.php?workbook=06_02.xlsx&amp;sheet=U0&amp;row=370&amp;col=7&amp;number=0.000497&amp;sourceID=14","0.000497")</f>
        <v>0.000497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HYPERLINK("http://141.218.60.56/~jnz1568/getInfo.php?workbook=06_02.xlsx&amp;sheet=U0&amp;row=371&amp;col=6&amp;number=3.7&amp;sourceID=14","3.7")</f>
        <v>3.7</v>
      </c>
      <c r="G371" s="4" t="str">
        <f>HYPERLINK("http://141.218.60.56/~jnz1568/getInfo.php?workbook=06_02.xlsx&amp;sheet=U0&amp;row=371&amp;col=7&amp;number=0.000497&amp;sourceID=14","0.000497")</f>
        <v>0.000497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HYPERLINK("http://141.218.60.56/~jnz1568/getInfo.php?workbook=06_02.xlsx&amp;sheet=U0&amp;row=372&amp;col=6&amp;number=3.8&amp;sourceID=14","3.8")</f>
        <v>3.8</v>
      </c>
      <c r="G372" s="4" t="str">
        <f>HYPERLINK("http://141.218.60.56/~jnz1568/getInfo.php?workbook=06_02.xlsx&amp;sheet=U0&amp;row=372&amp;col=7&amp;number=0.000497&amp;sourceID=14","0.000497")</f>
        <v>0.000497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HYPERLINK("http://141.218.60.56/~jnz1568/getInfo.php?workbook=06_02.xlsx&amp;sheet=U0&amp;row=373&amp;col=6&amp;number=3.9&amp;sourceID=14","3.9")</f>
        <v>3.9</v>
      </c>
      <c r="G373" s="4" t="str">
        <f>HYPERLINK("http://141.218.60.56/~jnz1568/getInfo.php?workbook=06_02.xlsx&amp;sheet=U0&amp;row=373&amp;col=7&amp;number=0.000497&amp;sourceID=14","0.000497")</f>
        <v>0.000497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HYPERLINK("http://141.218.60.56/~jnz1568/getInfo.php?workbook=06_02.xlsx&amp;sheet=U0&amp;row=374&amp;col=6&amp;number=4&amp;sourceID=14","4")</f>
        <v>4</v>
      </c>
      <c r="G374" s="4" t="str">
        <f>HYPERLINK("http://141.218.60.56/~jnz1568/getInfo.php?workbook=06_02.xlsx&amp;sheet=U0&amp;row=374&amp;col=7&amp;number=0.000496&amp;sourceID=14","0.000496")</f>
        <v>0.000496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HYPERLINK("http://141.218.60.56/~jnz1568/getInfo.php?workbook=06_02.xlsx&amp;sheet=U0&amp;row=375&amp;col=6&amp;number=4.1&amp;sourceID=14","4.1")</f>
        <v>4.1</v>
      </c>
      <c r="G375" s="4" t="str">
        <f>HYPERLINK("http://141.218.60.56/~jnz1568/getInfo.php?workbook=06_02.xlsx&amp;sheet=U0&amp;row=375&amp;col=7&amp;number=0.000496&amp;sourceID=14","0.000496")</f>
        <v>0.000496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HYPERLINK("http://141.218.60.56/~jnz1568/getInfo.php?workbook=06_02.xlsx&amp;sheet=U0&amp;row=376&amp;col=6&amp;number=4.2&amp;sourceID=14","4.2")</f>
        <v>4.2</v>
      </c>
      <c r="G376" s="4" t="str">
        <f>HYPERLINK("http://141.218.60.56/~jnz1568/getInfo.php?workbook=06_02.xlsx&amp;sheet=U0&amp;row=376&amp;col=7&amp;number=0.000496&amp;sourceID=14","0.000496")</f>
        <v>0.000496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HYPERLINK("http://141.218.60.56/~jnz1568/getInfo.php?workbook=06_02.xlsx&amp;sheet=U0&amp;row=377&amp;col=6&amp;number=4.3&amp;sourceID=14","4.3")</f>
        <v>4.3</v>
      </c>
      <c r="G377" s="4" t="str">
        <f>HYPERLINK("http://141.218.60.56/~jnz1568/getInfo.php?workbook=06_02.xlsx&amp;sheet=U0&amp;row=377&amp;col=7&amp;number=0.000495&amp;sourceID=14","0.000495")</f>
        <v>0.000495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HYPERLINK("http://141.218.60.56/~jnz1568/getInfo.php?workbook=06_02.xlsx&amp;sheet=U0&amp;row=378&amp;col=6&amp;number=4.4&amp;sourceID=14","4.4")</f>
        <v>4.4</v>
      </c>
      <c r="G378" s="4" t="str">
        <f>HYPERLINK("http://141.218.60.56/~jnz1568/getInfo.php?workbook=06_02.xlsx&amp;sheet=U0&amp;row=378&amp;col=7&amp;number=0.000494&amp;sourceID=14","0.000494")</f>
        <v>0.000494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HYPERLINK("http://141.218.60.56/~jnz1568/getInfo.php?workbook=06_02.xlsx&amp;sheet=U0&amp;row=379&amp;col=6&amp;number=4.5&amp;sourceID=14","4.5")</f>
        <v>4.5</v>
      </c>
      <c r="G379" s="4" t="str">
        <f>HYPERLINK("http://141.218.60.56/~jnz1568/getInfo.php?workbook=06_02.xlsx&amp;sheet=U0&amp;row=379&amp;col=7&amp;number=0.000493&amp;sourceID=14","0.000493")</f>
        <v>0.000493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HYPERLINK("http://141.218.60.56/~jnz1568/getInfo.php?workbook=06_02.xlsx&amp;sheet=U0&amp;row=380&amp;col=6&amp;number=4.6&amp;sourceID=14","4.6")</f>
        <v>4.6</v>
      </c>
      <c r="G380" s="4" t="str">
        <f>HYPERLINK("http://141.218.60.56/~jnz1568/getInfo.php?workbook=06_02.xlsx&amp;sheet=U0&amp;row=380&amp;col=7&amp;number=0.000492&amp;sourceID=14","0.000492")</f>
        <v>0.000492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HYPERLINK("http://141.218.60.56/~jnz1568/getInfo.php?workbook=06_02.xlsx&amp;sheet=U0&amp;row=381&amp;col=6&amp;number=4.7&amp;sourceID=14","4.7")</f>
        <v>4.7</v>
      </c>
      <c r="G381" s="4" t="str">
        <f>HYPERLINK("http://141.218.60.56/~jnz1568/getInfo.php?workbook=06_02.xlsx&amp;sheet=U0&amp;row=381&amp;col=7&amp;number=0.00049&amp;sourceID=14","0.00049")</f>
        <v>0.00049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HYPERLINK("http://141.218.60.56/~jnz1568/getInfo.php?workbook=06_02.xlsx&amp;sheet=U0&amp;row=382&amp;col=6&amp;number=4.8&amp;sourceID=14","4.8")</f>
        <v>4.8</v>
      </c>
      <c r="G382" s="4" t="str">
        <f>HYPERLINK("http://141.218.60.56/~jnz1568/getInfo.php?workbook=06_02.xlsx&amp;sheet=U0&amp;row=382&amp;col=7&amp;number=0.000488&amp;sourceID=14","0.000488")</f>
        <v>0.000488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HYPERLINK("http://141.218.60.56/~jnz1568/getInfo.php?workbook=06_02.xlsx&amp;sheet=U0&amp;row=383&amp;col=6&amp;number=4.9&amp;sourceID=14","4.9")</f>
        <v>4.9</v>
      </c>
      <c r="G383" s="4" t="str">
        <f>HYPERLINK("http://141.218.60.56/~jnz1568/getInfo.php?workbook=06_02.xlsx&amp;sheet=U0&amp;row=383&amp;col=7&amp;number=0.000485&amp;sourceID=14","0.000485")</f>
        <v>0.000485</v>
      </c>
    </row>
    <row r="384" spans="1:7">
      <c r="A384" s="3">
        <v>6</v>
      </c>
      <c r="B384" s="3">
        <v>2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HYPERLINK("http://141.218.60.56/~jnz1568/getInfo.php?workbook=06_02.xlsx&amp;sheet=U0&amp;row=384&amp;col=6&amp;number=3&amp;sourceID=14","3")</f>
        <v>3</v>
      </c>
      <c r="G384" s="4" t="str">
        <f>HYPERLINK("http://141.218.60.56/~jnz1568/getInfo.php?workbook=06_02.xlsx&amp;sheet=U0&amp;row=384&amp;col=7&amp;number=0.00149&amp;sourceID=14","0.00149")</f>
        <v>0.00149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HYPERLINK("http://141.218.60.56/~jnz1568/getInfo.php?workbook=06_02.xlsx&amp;sheet=U0&amp;row=385&amp;col=6&amp;number=3.1&amp;sourceID=14","3.1")</f>
        <v>3.1</v>
      </c>
      <c r="G385" s="4" t="str">
        <f>HYPERLINK("http://141.218.60.56/~jnz1568/getInfo.php?workbook=06_02.xlsx&amp;sheet=U0&amp;row=385&amp;col=7&amp;number=0.00149&amp;sourceID=14","0.00149")</f>
        <v>0.00149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HYPERLINK("http://141.218.60.56/~jnz1568/getInfo.php?workbook=06_02.xlsx&amp;sheet=U0&amp;row=386&amp;col=6&amp;number=3.2&amp;sourceID=14","3.2")</f>
        <v>3.2</v>
      </c>
      <c r="G386" s="4" t="str">
        <f>HYPERLINK("http://141.218.60.56/~jnz1568/getInfo.php?workbook=06_02.xlsx&amp;sheet=U0&amp;row=386&amp;col=7&amp;number=0.00149&amp;sourceID=14","0.00149")</f>
        <v>0.00149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HYPERLINK("http://141.218.60.56/~jnz1568/getInfo.php?workbook=06_02.xlsx&amp;sheet=U0&amp;row=387&amp;col=6&amp;number=3.3&amp;sourceID=14","3.3")</f>
        <v>3.3</v>
      </c>
      <c r="G387" s="4" t="str">
        <f>HYPERLINK("http://141.218.60.56/~jnz1568/getInfo.php?workbook=06_02.xlsx&amp;sheet=U0&amp;row=387&amp;col=7&amp;number=0.00149&amp;sourceID=14","0.00149")</f>
        <v>0.00149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HYPERLINK("http://141.218.60.56/~jnz1568/getInfo.php?workbook=06_02.xlsx&amp;sheet=U0&amp;row=388&amp;col=6&amp;number=3.4&amp;sourceID=14","3.4")</f>
        <v>3.4</v>
      </c>
      <c r="G388" s="4" t="str">
        <f>HYPERLINK("http://141.218.60.56/~jnz1568/getInfo.php?workbook=06_02.xlsx&amp;sheet=U0&amp;row=388&amp;col=7&amp;number=0.00149&amp;sourceID=14","0.00149")</f>
        <v>0.00149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HYPERLINK("http://141.218.60.56/~jnz1568/getInfo.php?workbook=06_02.xlsx&amp;sheet=U0&amp;row=389&amp;col=6&amp;number=3.5&amp;sourceID=14","3.5")</f>
        <v>3.5</v>
      </c>
      <c r="G389" s="4" t="str">
        <f>HYPERLINK("http://141.218.60.56/~jnz1568/getInfo.php?workbook=06_02.xlsx&amp;sheet=U0&amp;row=389&amp;col=7&amp;number=0.00149&amp;sourceID=14","0.00149")</f>
        <v>0.00149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HYPERLINK("http://141.218.60.56/~jnz1568/getInfo.php?workbook=06_02.xlsx&amp;sheet=U0&amp;row=390&amp;col=6&amp;number=3.6&amp;sourceID=14","3.6")</f>
        <v>3.6</v>
      </c>
      <c r="G390" s="4" t="str">
        <f>HYPERLINK("http://141.218.60.56/~jnz1568/getInfo.php?workbook=06_02.xlsx&amp;sheet=U0&amp;row=390&amp;col=7&amp;number=0.00149&amp;sourceID=14","0.00149")</f>
        <v>0.00149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HYPERLINK("http://141.218.60.56/~jnz1568/getInfo.php?workbook=06_02.xlsx&amp;sheet=U0&amp;row=391&amp;col=6&amp;number=3.7&amp;sourceID=14","3.7")</f>
        <v>3.7</v>
      </c>
      <c r="G391" s="4" t="str">
        <f>HYPERLINK("http://141.218.60.56/~jnz1568/getInfo.php?workbook=06_02.xlsx&amp;sheet=U0&amp;row=391&amp;col=7&amp;number=0.00149&amp;sourceID=14","0.00149")</f>
        <v>0.00149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HYPERLINK("http://141.218.60.56/~jnz1568/getInfo.php?workbook=06_02.xlsx&amp;sheet=U0&amp;row=392&amp;col=6&amp;number=3.8&amp;sourceID=14","3.8")</f>
        <v>3.8</v>
      </c>
      <c r="G392" s="4" t="str">
        <f>HYPERLINK("http://141.218.60.56/~jnz1568/getInfo.php?workbook=06_02.xlsx&amp;sheet=U0&amp;row=392&amp;col=7&amp;number=0.00149&amp;sourceID=14","0.00149")</f>
        <v>0.00149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HYPERLINK("http://141.218.60.56/~jnz1568/getInfo.php?workbook=06_02.xlsx&amp;sheet=U0&amp;row=393&amp;col=6&amp;number=3.9&amp;sourceID=14","3.9")</f>
        <v>3.9</v>
      </c>
      <c r="G393" s="4" t="str">
        <f>HYPERLINK("http://141.218.60.56/~jnz1568/getInfo.php?workbook=06_02.xlsx&amp;sheet=U0&amp;row=393&amp;col=7&amp;number=0.00149&amp;sourceID=14","0.00149")</f>
        <v>0.00149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HYPERLINK("http://141.218.60.56/~jnz1568/getInfo.php?workbook=06_02.xlsx&amp;sheet=U0&amp;row=394&amp;col=6&amp;number=4&amp;sourceID=14","4")</f>
        <v>4</v>
      </c>
      <c r="G394" s="4" t="str">
        <f>HYPERLINK("http://141.218.60.56/~jnz1568/getInfo.php?workbook=06_02.xlsx&amp;sheet=U0&amp;row=394&amp;col=7&amp;number=0.00149&amp;sourceID=14","0.00149")</f>
        <v>0.00149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HYPERLINK("http://141.218.60.56/~jnz1568/getInfo.php?workbook=06_02.xlsx&amp;sheet=U0&amp;row=395&amp;col=6&amp;number=4.1&amp;sourceID=14","4.1")</f>
        <v>4.1</v>
      </c>
      <c r="G395" s="4" t="str">
        <f>HYPERLINK("http://141.218.60.56/~jnz1568/getInfo.php?workbook=06_02.xlsx&amp;sheet=U0&amp;row=395&amp;col=7&amp;number=0.00149&amp;sourceID=14","0.00149")</f>
        <v>0.00149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HYPERLINK("http://141.218.60.56/~jnz1568/getInfo.php?workbook=06_02.xlsx&amp;sheet=U0&amp;row=396&amp;col=6&amp;number=4.2&amp;sourceID=14","4.2")</f>
        <v>4.2</v>
      </c>
      <c r="G396" s="4" t="str">
        <f>HYPERLINK("http://141.218.60.56/~jnz1568/getInfo.php?workbook=06_02.xlsx&amp;sheet=U0&amp;row=396&amp;col=7&amp;number=0.00149&amp;sourceID=14","0.00149")</f>
        <v>0.00149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HYPERLINK("http://141.218.60.56/~jnz1568/getInfo.php?workbook=06_02.xlsx&amp;sheet=U0&amp;row=397&amp;col=6&amp;number=4.3&amp;sourceID=14","4.3")</f>
        <v>4.3</v>
      </c>
      <c r="G397" s="4" t="str">
        <f>HYPERLINK("http://141.218.60.56/~jnz1568/getInfo.php?workbook=06_02.xlsx&amp;sheet=U0&amp;row=397&amp;col=7&amp;number=0.00148&amp;sourceID=14","0.00148")</f>
        <v>0.00148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HYPERLINK("http://141.218.60.56/~jnz1568/getInfo.php?workbook=06_02.xlsx&amp;sheet=U0&amp;row=398&amp;col=6&amp;number=4.4&amp;sourceID=14","4.4")</f>
        <v>4.4</v>
      </c>
      <c r="G398" s="4" t="str">
        <f>HYPERLINK("http://141.218.60.56/~jnz1568/getInfo.php?workbook=06_02.xlsx&amp;sheet=U0&amp;row=398&amp;col=7&amp;number=0.00148&amp;sourceID=14","0.00148")</f>
        <v>0.00148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HYPERLINK("http://141.218.60.56/~jnz1568/getInfo.php?workbook=06_02.xlsx&amp;sheet=U0&amp;row=399&amp;col=6&amp;number=4.5&amp;sourceID=14","4.5")</f>
        <v>4.5</v>
      </c>
      <c r="G399" s="4" t="str">
        <f>HYPERLINK("http://141.218.60.56/~jnz1568/getInfo.php?workbook=06_02.xlsx&amp;sheet=U0&amp;row=399&amp;col=7&amp;number=0.00148&amp;sourceID=14","0.00148")</f>
        <v>0.00148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HYPERLINK("http://141.218.60.56/~jnz1568/getInfo.php?workbook=06_02.xlsx&amp;sheet=U0&amp;row=400&amp;col=6&amp;number=4.6&amp;sourceID=14","4.6")</f>
        <v>4.6</v>
      </c>
      <c r="G400" s="4" t="str">
        <f>HYPERLINK("http://141.218.60.56/~jnz1568/getInfo.php?workbook=06_02.xlsx&amp;sheet=U0&amp;row=400&amp;col=7&amp;number=0.00147&amp;sourceID=14","0.00147")</f>
        <v>0.00147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HYPERLINK("http://141.218.60.56/~jnz1568/getInfo.php?workbook=06_02.xlsx&amp;sheet=U0&amp;row=401&amp;col=6&amp;number=4.7&amp;sourceID=14","4.7")</f>
        <v>4.7</v>
      </c>
      <c r="G401" s="4" t="str">
        <f>HYPERLINK("http://141.218.60.56/~jnz1568/getInfo.php?workbook=06_02.xlsx&amp;sheet=U0&amp;row=401&amp;col=7&amp;number=0.00147&amp;sourceID=14","0.00147")</f>
        <v>0.00147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HYPERLINK("http://141.218.60.56/~jnz1568/getInfo.php?workbook=06_02.xlsx&amp;sheet=U0&amp;row=402&amp;col=6&amp;number=4.8&amp;sourceID=14","4.8")</f>
        <v>4.8</v>
      </c>
      <c r="G402" s="4" t="str">
        <f>HYPERLINK("http://141.218.60.56/~jnz1568/getInfo.php?workbook=06_02.xlsx&amp;sheet=U0&amp;row=402&amp;col=7&amp;number=0.00146&amp;sourceID=14","0.00146")</f>
        <v>0.00146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HYPERLINK("http://141.218.60.56/~jnz1568/getInfo.php?workbook=06_02.xlsx&amp;sheet=U0&amp;row=403&amp;col=6&amp;number=4.9&amp;sourceID=14","4.9")</f>
        <v>4.9</v>
      </c>
      <c r="G403" s="4" t="str">
        <f>HYPERLINK("http://141.218.60.56/~jnz1568/getInfo.php?workbook=06_02.xlsx&amp;sheet=U0&amp;row=403&amp;col=7&amp;number=0.00146&amp;sourceID=14","0.00146")</f>
        <v>0.00146</v>
      </c>
    </row>
    <row r="404" spans="1:7">
      <c r="A404" s="3">
        <v>6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HYPERLINK("http://141.218.60.56/~jnz1568/getInfo.php?workbook=06_02.xlsx&amp;sheet=U0&amp;row=404&amp;col=6&amp;number=3&amp;sourceID=14","3")</f>
        <v>3</v>
      </c>
      <c r="G404" s="4" t="str">
        <f>HYPERLINK("http://141.218.60.56/~jnz1568/getInfo.php?workbook=06_02.xlsx&amp;sheet=U0&amp;row=404&amp;col=7&amp;number=0.00349&amp;sourceID=14","0.00349")</f>
        <v>0.00349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HYPERLINK("http://141.218.60.56/~jnz1568/getInfo.php?workbook=06_02.xlsx&amp;sheet=U0&amp;row=405&amp;col=6&amp;number=3.1&amp;sourceID=14","3.1")</f>
        <v>3.1</v>
      </c>
      <c r="G405" s="4" t="str">
        <f>HYPERLINK("http://141.218.60.56/~jnz1568/getInfo.php?workbook=06_02.xlsx&amp;sheet=U0&amp;row=405&amp;col=7&amp;number=0.00349&amp;sourceID=14","0.00349")</f>
        <v>0.00349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HYPERLINK("http://141.218.60.56/~jnz1568/getInfo.php?workbook=06_02.xlsx&amp;sheet=U0&amp;row=406&amp;col=6&amp;number=3.2&amp;sourceID=14","3.2")</f>
        <v>3.2</v>
      </c>
      <c r="G406" s="4" t="str">
        <f>HYPERLINK("http://141.218.60.56/~jnz1568/getInfo.php?workbook=06_02.xlsx&amp;sheet=U0&amp;row=406&amp;col=7&amp;number=0.00349&amp;sourceID=14","0.00349")</f>
        <v>0.00349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HYPERLINK("http://141.218.60.56/~jnz1568/getInfo.php?workbook=06_02.xlsx&amp;sheet=U0&amp;row=407&amp;col=6&amp;number=3.3&amp;sourceID=14","3.3")</f>
        <v>3.3</v>
      </c>
      <c r="G407" s="4" t="str">
        <f>HYPERLINK("http://141.218.60.56/~jnz1568/getInfo.php?workbook=06_02.xlsx&amp;sheet=U0&amp;row=407&amp;col=7&amp;number=0.00348&amp;sourceID=14","0.00348")</f>
        <v>0.00348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HYPERLINK("http://141.218.60.56/~jnz1568/getInfo.php?workbook=06_02.xlsx&amp;sheet=U0&amp;row=408&amp;col=6&amp;number=3.4&amp;sourceID=14","3.4")</f>
        <v>3.4</v>
      </c>
      <c r="G408" s="4" t="str">
        <f>HYPERLINK("http://141.218.60.56/~jnz1568/getInfo.php?workbook=06_02.xlsx&amp;sheet=U0&amp;row=408&amp;col=7&amp;number=0.00348&amp;sourceID=14","0.00348")</f>
        <v>0.00348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HYPERLINK("http://141.218.60.56/~jnz1568/getInfo.php?workbook=06_02.xlsx&amp;sheet=U0&amp;row=409&amp;col=6&amp;number=3.5&amp;sourceID=14","3.5")</f>
        <v>3.5</v>
      </c>
      <c r="G409" s="4" t="str">
        <f>HYPERLINK("http://141.218.60.56/~jnz1568/getInfo.php?workbook=06_02.xlsx&amp;sheet=U0&amp;row=409&amp;col=7&amp;number=0.00348&amp;sourceID=14","0.00348")</f>
        <v>0.00348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HYPERLINK("http://141.218.60.56/~jnz1568/getInfo.php?workbook=06_02.xlsx&amp;sheet=U0&amp;row=410&amp;col=6&amp;number=3.6&amp;sourceID=14","3.6")</f>
        <v>3.6</v>
      </c>
      <c r="G410" s="4" t="str">
        <f>HYPERLINK("http://141.218.60.56/~jnz1568/getInfo.php?workbook=06_02.xlsx&amp;sheet=U0&amp;row=410&amp;col=7&amp;number=0.00348&amp;sourceID=14","0.00348")</f>
        <v>0.00348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HYPERLINK("http://141.218.60.56/~jnz1568/getInfo.php?workbook=06_02.xlsx&amp;sheet=U0&amp;row=411&amp;col=6&amp;number=3.7&amp;sourceID=14","3.7")</f>
        <v>3.7</v>
      </c>
      <c r="G411" s="4" t="str">
        <f>HYPERLINK("http://141.218.60.56/~jnz1568/getInfo.php?workbook=06_02.xlsx&amp;sheet=U0&amp;row=411&amp;col=7&amp;number=0.00348&amp;sourceID=14","0.00348")</f>
        <v>0.00348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HYPERLINK("http://141.218.60.56/~jnz1568/getInfo.php?workbook=06_02.xlsx&amp;sheet=U0&amp;row=412&amp;col=6&amp;number=3.8&amp;sourceID=14","3.8")</f>
        <v>3.8</v>
      </c>
      <c r="G412" s="4" t="str">
        <f>HYPERLINK("http://141.218.60.56/~jnz1568/getInfo.php?workbook=06_02.xlsx&amp;sheet=U0&amp;row=412&amp;col=7&amp;number=0.00348&amp;sourceID=14","0.00348")</f>
        <v>0.00348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HYPERLINK("http://141.218.60.56/~jnz1568/getInfo.php?workbook=06_02.xlsx&amp;sheet=U0&amp;row=413&amp;col=6&amp;number=3.9&amp;sourceID=14","3.9")</f>
        <v>3.9</v>
      </c>
      <c r="G413" s="4" t="str">
        <f>HYPERLINK("http://141.218.60.56/~jnz1568/getInfo.php?workbook=06_02.xlsx&amp;sheet=U0&amp;row=413&amp;col=7&amp;number=0.00348&amp;sourceID=14","0.00348")</f>
        <v>0.00348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HYPERLINK("http://141.218.60.56/~jnz1568/getInfo.php?workbook=06_02.xlsx&amp;sheet=U0&amp;row=414&amp;col=6&amp;number=4&amp;sourceID=14","4")</f>
        <v>4</v>
      </c>
      <c r="G414" s="4" t="str">
        <f>HYPERLINK("http://141.218.60.56/~jnz1568/getInfo.php?workbook=06_02.xlsx&amp;sheet=U0&amp;row=414&amp;col=7&amp;number=0.00348&amp;sourceID=14","0.00348")</f>
        <v>0.00348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HYPERLINK("http://141.218.60.56/~jnz1568/getInfo.php?workbook=06_02.xlsx&amp;sheet=U0&amp;row=415&amp;col=6&amp;number=4.1&amp;sourceID=14","4.1")</f>
        <v>4.1</v>
      </c>
      <c r="G415" s="4" t="str">
        <f>HYPERLINK("http://141.218.60.56/~jnz1568/getInfo.php?workbook=06_02.xlsx&amp;sheet=U0&amp;row=415&amp;col=7&amp;number=0.00347&amp;sourceID=14","0.00347")</f>
        <v>0.00347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HYPERLINK("http://141.218.60.56/~jnz1568/getInfo.php?workbook=06_02.xlsx&amp;sheet=U0&amp;row=416&amp;col=6&amp;number=4.2&amp;sourceID=14","4.2")</f>
        <v>4.2</v>
      </c>
      <c r="G416" s="4" t="str">
        <f>HYPERLINK("http://141.218.60.56/~jnz1568/getInfo.php?workbook=06_02.xlsx&amp;sheet=U0&amp;row=416&amp;col=7&amp;number=0.00347&amp;sourceID=14","0.00347")</f>
        <v>0.00347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HYPERLINK("http://141.218.60.56/~jnz1568/getInfo.php?workbook=06_02.xlsx&amp;sheet=U0&amp;row=417&amp;col=6&amp;number=4.3&amp;sourceID=14","4.3")</f>
        <v>4.3</v>
      </c>
      <c r="G417" s="4" t="str">
        <f>HYPERLINK("http://141.218.60.56/~jnz1568/getInfo.php?workbook=06_02.xlsx&amp;sheet=U0&amp;row=417&amp;col=7&amp;number=0.00346&amp;sourceID=14","0.00346")</f>
        <v>0.00346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HYPERLINK("http://141.218.60.56/~jnz1568/getInfo.php?workbook=06_02.xlsx&amp;sheet=U0&amp;row=418&amp;col=6&amp;number=4.4&amp;sourceID=14","4.4")</f>
        <v>4.4</v>
      </c>
      <c r="G418" s="4" t="str">
        <f>HYPERLINK("http://141.218.60.56/~jnz1568/getInfo.php?workbook=06_02.xlsx&amp;sheet=U0&amp;row=418&amp;col=7&amp;number=0.00346&amp;sourceID=14","0.00346")</f>
        <v>0.00346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HYPERLINK("http://141.218.60.56/~jnz1568/getInfo.php?workbook=06_02.xlsx&amp;sheet=U0&amp;row=419&amp;col=6&amp;number=4.5&amp;sourceID=14","4.5")</f>
        <v>4.5</v>
      </c>
      <c r="G419" s="4" t="str">
        <f>HYPERLINK("http://141.218.60.56/~jnz1568/getInfo.php?workbook=06_02.xlsx&amp;sheet=U0&amp;row=419&amp;col=7&amp;number=0.00345&amp;sourceID=14","0.00345")</f>
        <v>0.00345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HYPERLINK("http://141.218.60.56/~jnz1568/getInfo.php?workbook=06_02.xlsx&amp;sheet=U0&amp;row=420&amp;col=6&amp;number=4.6&amp;sourceID=14","4.6")</f>
        <v>4.6</v>
      </c>
      <c r="G420" s="4" t="str">
        <f>HYPERLINK("http://141.218.60.56/~jnz1568/getInfo.php?workbook=06_02.xlsx&amp;sheet=U0&amp;row=420&amp;col=7&amp;number=0.00344&amp;sourceID=14","0.00344")</f>
        <v>0.00344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HYPERLINK("http://141.218.60.56/~jnz1568/getInfo.php?workbook=06_02.xlsx&amp;sheet=U0&amp;row=421&amp;col=6&amp;number=4.7&amp;sourceID=14","4.7")</f>
        <v>4.7</v>
      </c>
      <c r="G421" s="4" t="str">
        <f>HYPERLINK("http://141.218.60.56/~jnz1568/getInfo.php?workbook=06_02.xlsx&amp;sheet=U0&amp;row=421&amp;col=7&amp;number=0.00343&amp;sourceID=14","0.00343")</f>
        <v>0.00343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HYPERLINK("http://141.218.60.56/~jnz1568/getInfo.php?workbook=06_02.xlsx&amp;sheet=U0&amp;row=422&amp;col=6&amp;number=4.8&amp;sourceID=14","4.8")</f>
        <v>4.8</v>
      </c>
      <c r="G422" s="4" t="str">
        <f>HYPERLINK("http://141.218.60.56/~jnz1568/getInfo.php?workbook=06_02.xlsx&amp;sheet=U0&amp;row=422&amp;col=7&amp;number=0.00342&amp;sourceID=14","0.00342")</f>
        <v>0.00342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HYPERLINK("http://141.218.60.56/~jnz1568/getInfo.php?workbook=06_02.xlsx&amp;sheet=U0&amp;row=423&amp;col=6&amp;number=4.9&amp;sourceID=14","4.9")</f>
        <v>4.9</v>
      </c>
      <c r="G423" s="4" t="str">
        <f>HYPERLINK("http://141.218.60.56/~jnz1568/getInfo.php?workbook=06_02.xlsx&amp;sheet=U0&amp;row=423&amp;col=7&amp;number=0.0034&amp;sourceID=14","0.0034")</f>
        <v>0.0034</v>
      </c>
    </row>
    <row r="424" spans="1:7">
      <c r="A424" s="3">
        <v>6</v>
      </c>
      <c r="B424" s="3">
        <v>2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HYPERLINK("http://141.218.60.56/~jnz1568/getInfo.php?workbook=06_02.xlsx&amp;sheet=U0&amp;row=424&amp;col=6&amp;number=3&amp;sourceID=14","3")</f>
        <v>3</v>
      </c>
      <c r="G424" s="4" t="str">
        <f>HYPERLINK("http://141.218.60.56/~jnz1568/getInfo.php?workbook=06_02.xlsx&amp;sheet=U0&amp;row=424&amp;col=7&amp;number=0.00196&amp;sourceID=14","0.00196")</f>
        <v>0.00196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HYPERLINK("http://141.218.60.56/~jnz1568/getInfo.php?workbook=06_02.xlsx&amp;sheet=U0&amp;row=425&amp;col=6&amp;number=3.1&amp;sourceID=14","3.1")</f>
        <v>3.1</v>
      </c>
      <c r="G425" s="4" t="str">
        <f>HYPERLINK("http://141.218.60.56/~jnz1568/getInfo.php?workbook=06_02.xlsx&amp;sheet=U0&amp;row=425&amp;col=7&amp;number=0.00196&amp;sourceID=14","0.00196")</f>
        <v>0.00196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HYPERLINK("http://141.218.60.56/~jnz1568/getInfo.php?workbook=06_02.xlsx&amp;sheet=U0&amp;row=426&amp;col=6&amp;number=3.2&amp;sourceID=14","3.2")</f>
        <v>3.2</v>
      </c>
      <c r="G426" s="4" t="str">
        <f>HYPERLINK("http://141.218.60.56/~jnz1568/getInfo.php?workbook=06_02.xlsx&amp;sheet=U0&amp;row=426&amp;col=7&amp;number=0.00196&amp;sourceID=14","0.00196")</f>
        <v>0.00196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HYPERLINK("http://141.218.60.56/~jnz1568/getInfo.php?workbook=06_02.xlsx&amp;sheet=U0&amp;row=427&amp;col=6&amp;number=3.3&amp;sourceID=14","3.3")</f>
        <v>3.3</v>
      </c>
      <c r="G427" s="4" t="str">
        <f>HYPERLINK("http://141.218.60.56/~jnz1568/getInfo.php?workbook=06_02.xlsx&amp;sheet=U0&amp;row=427&amp;col=7&amp;number=0.00196&amp;sourceID=14","0.00196")</f>
        <v>0.00196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HYPERLINK("http://141.218.60.56/~jnz1568/getInfo.php?workbook=06_02.xlsx&amp;sheet=U0&amp;row=428&amp;col=6&amp;number=3.4&amp;sourceID=14","3.4")</f>
        <v>3.4</v>
      </c>
      <c r="G428" s="4" t="str">
        <f>HYPERLINK("http://141.218.60.56/~jnz1568/getInfo.php?workbook=06_02.xlsx&amp;sheet=U0&amp;row=428&amp;col=7&amp;number=0.00196&amp;sourceID=14","0.00196")</f>
        <v>0.00196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HYPERLINK("http://141.218.60.56/~jnz1568/getInfo.php?workbook=06_02.xlsx&amp;sheet=U0&amp;row=429&amp;col=6&amp;number=3.5&amp;sourceID=14","3.5")</f>
        <v>3.5</v>
      </c>
      <c r="G429" s="4" t="str">
        <f>HYPERLINK("http://141.218.60.56/~jnz1568/getInfo.php?workbook=06_02.xlsx&amp;sheet=U0&amp;row=429&amp;col=7&amp;number=0.00196&amp;sourceID=14","0.00196")</f>
        <v>0.00196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HYPERLINK("http://141.218.60.56/~jnz1568/getInfo.php?workbook=06_02.xlsx&amp;sheet=U0&amp;row=430&amp;col=6&amp;number=3.6&amp;sourceID=14","3.6")</f>
        <v>3.6</v>
      </c>
      <c r="G430" s="4" t="str">
        <f>HYPERLINK("http://141.218.60.56/~jnz1568/getInfo.php?workbook=06_02.xlsx&amp;sheet=U0&amp;row=430&amp;col=7&amp;number=0.00196&amp;sourceID=14","0.00196")</f>
        <v>0.00196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HYPERLINK("http://141.218.60.56/~jnz1568/getInfo.php?workbook=06_02.xlsx&amp;sheet=U0&amp;row=431&amp;col=6&amp;number=3.7&amp;sourceID=14","3.7")</f>
        <v>3.7</v>
      </c>
      <c r="G431" s="4" t="str">
        <f>HYPERLINK("http://141.218.60.56/~jnz1568/getInfo.php?workbook=06_02.xlsx&amp;sheet=U0&amp;row=431&amp;col=7&amp;number=0.00196&amp;sourceID=14","0.00196")</f>
        <v>0.00196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HYPERLINK("http://141.218.60.56/~jnz1568/getInfo.php?workbook=06_02.xlsx&amp;sheet=U0&amp;row=432&amp;col=6&amp;number=3.8&amp;sourceID=14","3.8")</f>
        <v>3.8</v>
      </c>
      <c r="G432" s="4" t="str">
        <f>HYPERLINK("http://141.218.60.56/~jnz1568/getInfo.php?workbook=06_02.xlsx&amp;sheet=U0&amp;row=432&amp;col=7&amp;number=0.00197&amp;sourceID=14","0.00197")</f>
        <v>0.00197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HYPERLINK("http://141.218.60.56/~jnz1568/getInfo.php?workbook=06_02.xlsx&amp;sheet=U0&amp;row=433&amp;col=6&amp;number=3.9&amp;sourceID=14","3.9")</f>
        <v>3.9</v>
      </c>
      <c r="G433" s="4" t="str">
        <f>HYPERLINK("http://141.218.60.56/~jnz1568/getInfo.php?workbook=06_02.xlsx&amp;sheet=U0&amp;row=433&amp;col=7&amp;number=0.00197&amp;sourceID=14","0.00197")</f>
        <v>0.00197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HYPERLINK("http://141.218.60.56/~jnz1568/getInfo.php?workbook=06_02.xlsx&amp;sheet=U0&amp;row=434&amp;col=6&amp;number=4&amp;sourceID=14","4")</f>
        <v>4</v>
      </c>
      <c r="G434" s="4" t="str">
        <f>HYPERLINK("http://141.218.60.56/~jnz1568/getInfo.php?workbook=06_02.xlsx&amp;sheet=U0&amp;row=434&amp;col=7&amp;number=0.00197&amp;sourceID=14","0.00197")</f>
        <v>0.00197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HYPERLINK("http://141.218.60.56/~jnz1568/getInfo.php?workbook=06_02.xlsx&amp;sheet=U0&amp;row=435&amp;col=6&amp;number=4.1&amp;sourceID=14","4.1")</f>
        <v>4.1</v>
      </c>
      <c r="G435" s="4" t="str">
        <f>HYPERLINK("http://141.218.60.56/~jnz1568/getInfo.php?workbook=06_02.xlsx&amp;sheet=U0&amp;row=435&amp;col=7&amp;number=0.00198&amp;sourceID=14","0.00198")</f>
        <v>0.00198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HYPERLINK("http://141.218.60.56/~jnz1568/getInfo.php?workbook=06_02.xlsx&amp;sheet=U0&amp;row=436&amp;col=6&amp;number=4.2&amp;sourceID=14","4.2")</f>
        <v>4.2</v>
      </c>
      <c r="G436" s="4" t="str">
        <f>HYPERLINK("http://141.218.60.56/~jnz1568/getInfo.php?workbook=06_02.xlsx&amp;sheet=U0&amp;row=436&amp;col=7&amp;number=0.00198&amp;sourceID=14","0.00198")</f>
        <v>0.00198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HYPERLINK("http://141.218.60.56/~jnz1568/getInfo.php?workbook=06_02.xlsx&amp;sheet=U0&amp;row=437&amp;col=6&amp;number=4.3&amp;sourceID=14","4.3")</f>
        <v>4.3</v>
      </c>
      <c r="G437" s="4" t="str">
        <f>HYPERLINK("http://141.218.60.56/~jnz1568/getInfo.php?workbook=06_02.xlsx&amp;sheet=U0&amp;row=437&amp;col=7&amp;number=0.00199&amp;sourceID=14","0.00199")</f>
        <v>0.00199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HYPERLINK("http://141.218.60.56/~jnz1568/getInfo.php?workbook=06_02.xlsx&amp;sheet=U0&amp;row=438&amp;col=6&amp;number=4.4&amp;sourceID=14","4.4")</f>
        <v>4.4</v>
      </c>
      <c r="G438" s="4" t="str">
        <f>HYPERLINK("http://141.218.60.56/~jnz1568/getInfo.php?workbook=06_02.xlsx&amp;sheet=U0&amp;row=438&amp;col=7&amp;number=0.002&amp;sourceID=14","0.002")</f>
        <v>0.002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HYPERLINK("http://141.218.60.56/~jnz1568/getInfo.php?workbook=06_02.xlsx&amp;sheet=U0&amp;row=439&amp;col=6&amp;number=4.5&amp;sourceID=14","4.5")</f>
        <v>4.5</v>
      </c>
      <c r="G439" s="4" t="str">
        <f>HYPERLINK("http://141.218.60.56/~jnz1568/getInfo.php?workbook=06_02.xlsx&amp;sheet=U0&amp;row=439&amp;col=7&amp;number=0.00201&amp;sourceID=14","0.00201")</f>
        <v>0.00201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HYPERLINK("http://141.218.60.56/~jnz1568/getInfo.php?workbook=06_02.xlsx&amp;sheet=U0&amp;row=440&amp;col=6&amp;number=4.6&amp;sourceID=14","4.6")</f>
        <v>4.6</v>
      </c>
      <c r="G440" s="4" t="str">
        <f>HYPERLINK("http://141.218.60.56/~jnz1568/getInfo.php?workbook=06_02.xlsx&amp;sheet=U0&amp;row=440&amp;col=7&amp;number=0.00202&amp;sourceID=14","0.00202")</f>
        <v>0.00202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HYPERLINK("http://141.218.60.56/~jnz1568/getInfo.php?workbook=06_02.xlsx&amp;sheet=U0&amp;row=441&amp;col=6&amp;number=4.7&amp;sourceID=14","4.7")</f>
        <v>4.7</v>
      </c>
      <c r="G441" s="4" t="str">
        <f>HYPERLINK("http://141.218.60.56/~jnz1568/getInfo.php?workbook=06_02.xlsx&amp;sheet=U0&amp;row=441&amp;col=7&amp;number=0.00204&amp;sourceID=14","0.00204")</f>
        <v>0.00204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HYPERLINK("http://141.218.60.56/~jnz1568/getInfo.php?workbook=06_02.xlsx&amp;sheet=U0&amp;row=442&amp;col=6&amp;number=4.8&amp;sourceID=14","4.8")</f>
        <v>4.8</v>
      </c>
      <c r="G442" s="4" t="str">
        <f>HYPERLINK("http://141.218.60.56/~jnz1568/getInfo.php?workbook=06_02.xlsx&amp;sheet=U0&amp;row=442&amp;col=7&amp;number=0.00206&amp;sourceID=14","0.00206")</f>
        <v>0.00206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HYPERLINK("http://141.218.60.56/~jnz1568/getInfo.php?workbook=06_02.xlsx&amp;sheet=U0&amp;row=443&amp;col=6&amp;number=4.9&amp;sourceID=14","4.9")</f>
        <v>4.9</v>
      </c>
      <c r="G443" s="4" t="str">
        <f>HYPERLINK("http://141.218.60.56/~jnz1568/getInfo.php?workbook=06_02.xlsx&amp;sheet=U0&amp;row=443&amp;col=7&amp;number=0.00208&amp;sourceID=14","0.00208")</f>
        <v>0.00208</v>
      </c>
    </row>
    <row r="444" spans="1:7">
      <c r="A444" s="3">
        <v>6</v>
      </c>
      <c r="B444" s="3">
        <v>2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HYPERLINK("http://141.218.60.56/~jnz1568/getInfo.php?workbook=06_02.xlsx&amp;sheet=U0&amp;row=444&amp;col=6&amp;number=3&amp;sourceID=14","3")</f>
        <v>3</v>
      </c>
      <c r="G444" s="4" t="str">
        <f>HYPERLINK("http://141.218.60.56/~jnz1568/getInfo.php?workbook=06_02.xlsx&amp;sheet=U0&amp;row=444&amp;col=7&amp;number=0.000231&amp;sourceID=14","0.000231")</f>
        <v>0.000231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HYPERLINK("http://141.218.60.56/~jnz1568/getInfo.php?workbook=06_02.xlsx&amp;sheet=U0&amp;row=445&amp;col=6&amp;number=3.1&amp;sourceID=14","3.1")</f>
        <v>3.1</v>
      </c>
      <c r="G445" s="4" t="str">
        <f>HYPERLINK("http://141.218.60.56/~jnz1568/getInfo.php?workbook=06_02.xlsx&amp;sheet=U0&amp;row=445&amp;col=7&amp;number=0.000231&amp;sourceID=14","0.000231")</f>
        <v>0.000231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HYPERLINK("http://141.218.60.56/~jnz1568/getInfo.php?workbook=06_02.xlsx&amp;sheet=U0&amp;row=446&amp;col=6&amp;number=3.2&amp;sourceID=14","3.2")</f>
        <v>3.2</v>
      </c>
      <c r="G446" s="4" t="str">
        <f>HYPERLINK("http://141.218.60.56/~jnz1568/getInfo.php?workbook=06_02.xlsx&amp;sheet=U0&amp;row=446&amp;col=7&amp;number=0.000231&amp;sourceID=14","0.000231")</f>
        <v>0.000231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HYPERLINK("http://141.218.60.56/~jnz1568/getInfo.php?workbook=06_02.xlsx&amp;sheet=U0&amp;row=447&amp;col=6&amp;number=3.3&amp;sourceID=14","3.3")</f>
        <v>3.3</v>
      </c>
      <c r="G447" s="4" t="str">
        <f>HYPERLINK("http://141.218.60.56/~jnz1568/getInfo.php?workbook=06_02.xlsx&amp;sheet=U0&amp;row=447&amp;col=7&amp;number=0.000231&amp;sourceID=14","0.000231")</f>
        <v>0.000231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HYPERLINK("http://141.218.60.56/~jnz1568/getInfo.php?workbook=06_02.xlsx&amp;sheet=U0&amp;row=448&amp;col=6&amp;number=3.4&amp;sourceID=14","3.4")</f>
        <v>3.4</v>
      </c>
      <c r="G448" s="4" t="str">
        <f>HYPERLINK("http://141.218.60.56/~jnz1568/getInfo.php?workbook=06_02.xlsx&amp;sheet=U0&amp;row=448&amp;col=7&amp;number=0.000231&amp;sourceID=14","0.000231")</f>
        <v>0.000231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HYPERLINK("http://141.218.60.56/~jnz1568/getInfo.php?workbook=06_02.xlsx&amp;sheet=U0&amp;row=449&amp;col=6&amp;number=3.5&amp;sourceID=14","3.5")</f>
        <v>3.5</v>
      </c>
      <c r="G449" s="4" t="str">
        <f>HYPERLINK("http://141.218.60.56/~jnz1568/getInfo.php?workbook=06_02.xlsx&amp;sheet=U0&amp;row=449&amp;col=7&amp;number=0.000231&amp;sourceID=14","0.000231")</f>
        <v>0.000231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HYPERLINK("http://141.218.60.56/~jnz1568/getInfo.php?workbook=06_02.xlsx&amp;sheet=U0&amp;row=450&amp;col=6&amp;number=3.6&amp;sourceID=14","3.6")</f>
        <v>3.6</v>
      </c>
      <c r="G450" s="4" t="str">
        <f>HYPERLINK("http://141.218.60.56/~jnz1568/getInfo.php?workbook=06_02.xlsx&amp;sheet=U0&amp;row=450&amp;col=7&amp;number=0.000231&amp;sourceID=14","0.000231")</f>
        <v>0.000231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HYPERLINK("http://141.218.60.56/~jnz1568/getInfo.php?workbook=06_02.xlsx&amp;sheet=U0&amp;row=451&amp;col=6&amp;number=3.7&amp;sourceID=14","3.7")</f>
        <v>3.7</v>
      </c>
      <c r="G451" s="4" t="str">
        <f>HYPERLINK("http://141.218.60.56/~jnz1568/getInfo.php?workbook=06_02.xlsx&amp;sheet=U0&amp;row=451&amp;col=7&amp;number=0.000231&amp;sourceID=14","0.000231")</f>
        <v>0.000231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HYPERLINK("http://141.218.60.56/~jnz1568/getInfo.php?workbook=06_02.xlsx&amp;sheet=U0&amp;row=452&amp;col=6&amp;number=3.8&amp;sourceID=14","3.8")</f>
        <v>3.8</v>
      </c>
      <c r="G452" s="4" t="str">
        <f>HYPERLINK("http://141.218.60.56/~jnz1568/getInfo.php?workbook=06_02.xlsx&amp;sheet=U0&amp;row=452&amp;col=7&amp;number=0.000231&amp;sourceID=14","0.000231")</f>
        <v>0.000231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HYPERLINK("http://141.218.60.56/~jnz1568/getInfo.php?workbook=06_02.xlsx&amp;sheet=U0&amp;row=453&amp;col=6&amp;number=3.9&amp;sourceID=14","3.9")</f>
        <v>3.9</v>
      </c>
      <c r="G453" s="4" t="str">
        <f>HYPERLINK("http://141.218.60.56/~jnz1568/getInfo.php?workbook=06_02.xlsx&amp;sheet=U0&amp;row=453&amp;col=7&amp;number=0.000231&amp;sourceID=14","0.000231")</f>
        <v>0.000231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HYPERLINK("http://141.218.60.56/~jnz1568/getInfo.php?workbook=06_02.xlsx&amp;sheet=U0&amp;row=454&amp;col=6&amp;number=4&amp;sourceID=14","4")</f>
        <v>4</v>
      </c>
      <c r="G454" s="4" t="str">
        <f>HYPERLINK("http://141.218.60.56/~jnz1568/getInfo.php?workbook=06_02.xlsx&amp;sheet=U0&amp;row=454&amp;col=7&amp;number=0.00023&amp;sourceID=14","0.00023")</f>
        <v>0.00023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HYPERLINK("http://141.218.60.56/~jnz1568/getInfo.php?workbook=06_02.xlsx&amp;sheet=U0&amp;row=455&amp;col=6&amp;number=4.1&amp;sourceID=14","4.1")</f>
        <v>4.1</v>
      </c>
      <c r="G455" s="4" t="str">
        <f>HYPERLINK("http://141.218.60.56/~jnz1568/getInfo.php?workbook=06_02.xlsx&amp;sheet=U0&amp;row=455&amp;col=7&amp;number=0.00023&amp;sourceID=14","0.00023")</f>
        <v>0.00023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HYPERLINK("http://141.218.60.56/~jnz1568/getInfo.php?workbook=06_02.xlsx&amp;sheet=U0&amp;row=456&amp;col=6&amp;number=4.2&amp;sourceID=14","4.2")</f>
        <v>4.2</v>
      </c>
      <c r="G456" s="4" t="str">
        <f>HYPERLINK("http://141.218.60.56/~jnz1568/getInfo.php?workbook=06_02.xlsx&amp;sheet=U0&amp;row=456&amp;col=7&amp;number=0.00023&amp;sourceID=14","0.00023")</f>
        <v>0.00023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HYPERLINK("http://141.218.60.56/~jnz1568/getInfo.php?workbook=06_02.xlsx&amp;sheet=U0&amp;row=457&amp;col=6&amp;number=4.3&amp;sourceID=14","4.3")</f>
        <v>4.3</v>
      </c>
      <c r="G457" s="4" t="str">
        <f>HYPERLINK("http://141.218.60.56/~jnz1568/getInfo.php?workbook=06_02.xlsx&amp;sheet=U0&amp;row=457&amp;col=7&amp;number=0.000229&amp;sourceID=14","0.000229")</f>
        <v>0.000229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HYPERLINK("http://141.218.60.56/~jnz1568/getInfo.php?workbook=06_02.xlsx&amp;sheet=U0&amp;row=458&amp;col=6&amp;number=4.4&amp;sourceID=14","4.4")</f>
        <v>4.4</v>
      </c>
      <c r="G458" s="4" t="str">
        <f>HYPERLINK("http://141.218.60.56/~jnz1568/getInfo.php?workbook=06_02.xlsx&amp;sheet=U0&amp;row=458&amp;col=7&amp;number=0.000229&amp;sourceID=14","0.000229")</f>
        <v>0.000229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HYPERLINK("http://141.218.60.56/~jnz1568/getInfo.php?workbook=06_02.xlsx&amp;sheet=U0&amp;row=459&amp;col=6&amp;number=4.5&amp;sourceID=14","4.5")</f>
        <v>4.5</v>
      </c>
      <c r="G459" s="4" t="str">
        <f>HYPERLINK("http://141.218.60.56/~jnz1568/getInfo.php?workbook=06_02.xlsx&amp;sheet=U0&amp;row=459&amp;col=7&amp;number=0.000228&amp;sourceID=14","0.000228")</f>
        <v>0.000228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HYPERLINK("http://141.218.60.56/~jnz1568/getInfo.php?workbook=06_02.xlsx&amp;sheet=U0&amp;row=460&amp;col=6&amp;number=4.6&amp;sourceID=14","4.6")</f>
        <v>4.6</v>
      </c>
      <c r="G460" s="4" t="str">
        <f>HYPERLINK("http://141.218.60.56/~jnz1568/getInfo.php?workbook=06_02.xlsx&amp;sheet=U0&amp;row=460&amp;col=7&amp;number=0.000227&amp;sourceID=14","0.000227")</f>
        <v>0.000227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HYPERLINK("http://141.218.60.56/~jnz1568/getInfo.php?workbook=06_02.xlsx&amp;sheet=U0&amp;row=461&amp;col=6&amp;number=4.7&amp;sourceID=14","4.7")</f>
        <v>4.7</v>
      </c>
      <c r="G461" s="4" t="str">
        <f>HYPERLINK("http://141.218.60.56/~jnz1568/getInfo.php?workbook=06_02.xlsx&amp;sheet=U0&amp;row=461&amp;col=7&amp;number=0.000226&amp;sourceID=14","0.000226")</f>
        <v>0.000226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HYPERLINK("http://141.218.60.56/~jnz1568/getInfo.php?workbook=06_02.xlsx&amp;sheet=U0&amp;row=462&amp;col=6&amp;number=4.8&amp;sourceID=14","4.8")</f>
        <v>4.8</v>
      </c>
      <c r="G462" s="4" t="str">
        <f>HYPERLINK("http://141.218.60.56/~jnz1568/getInfo.php?workbook=06_02.xlsx&amp;sheet=U0&amp;row=462&amp;col=7&amp;number=0.000225&amp;sourceID=14","0.000225")</f>
        <v>0.000225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HYPERLINK("http://141.218.60.56/~jnz1568/getInfo.php?workbook=06_02.xlsx&amp;sheet=U0&amp;row=463&amp;col=6&amp;number=4.9&amp;sourceID=14","4.9")</f>
        <v>4.9</v>
      </c>
      <c r="G463" s="4" t="str">
        <f>HYPERLINK("http://141.218.60.56/~jnz1568/getInfo.php?workbook=06_02.xlsx&amp;sheet=U0&amp;row=463&amp;col=7&amp;number=0.000224&amp;sourceID=14","0.000224")</f>
        <v>0.000224</v>
      </c>
    </row>
    <row r="464" spans="1:7">
      <c r="A464" s="3">
        <v>6</v>
      </c>
      <c r="B464" s="3">
        <v>2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HYPERLINK("http://141.218.60.56/~jnz1568/getInfo.php?workbook=06_02.xlsx&amp;sheet=U0&amp;row=464&amp;col=6&amp;number=3&amp;sourceID=14","3")</f>
        <v>3</v>
      </c>
      <c r="G464" s="4" t="str">
        <f>HYPERLINK("http://141.218.60.56/~jnz1568/getInfo.php?workbook=06_02.xlsx&amp;sheet=U0&amp;row=464&amp;col=7&amp;number=0.000391&amp;sourceID=14","0.000391")</f>
        <v>0.000391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HYPERLINK("http://141.218.60.56/~jnz1568/getInfo.php?workbook=06_02.xlsx&amp;sheet=U0&amp;row=465&amp;col=6&amp;number=3.1&amp;sourceID=14","3.1")</f>
        <v>3.1</v>
      </c>
      <c r="G465" s="4" t="str">
        <f>HYPERLINK("http://141.218.60.56/~jnz1568/getInfo.php?workbook=06_02.xlsx&amp;sheet=U0&amp;row=465&amp;col=7&amp;number=0.000391&amp;sourceID=14","0.000391")</f>
        <v>0.000391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HYPERLINK("http://141.218.60.56/~jnz1568/getInfo.php?workbook=06_02.xlsx&amp;sheet=U0&amp;row=466&amp;col=6&amp;number=3.2&amp;sourceID=14","3.2")</f>
        <v>3.2</v>
      </c>
      <c r="G466" s="4" t="str">
        <f>HYPERLINK("http://141.218.60.56/~jnz1568/getInfo.php?workbook=06_02.xlsx&amp;sheet=U0&amp;row=466&amp;col=7&amp;number=0.000391&amp;sourceID=14","0.000391")</f>
        <v>0.000391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HYPERLINK("http://141.218.60.56/~jnz1568/getInfo.php?workbook=06_02.xlsx&amp;sheet=U0&amp;row=467&amp;col=6&amp;number=3.3&amp;sourceID=14","3.3")</f>
        <v>3.3</v>
      </c>
      <c r="G467" s="4" t="str">
        <f>HYPERLINK("http://141.218.60.56/~jnz1568/getInfo.php?workbook=06_02.xlsx&amp;sheet=U0&amp;row=467&amp;col=7&amp;number=0.000391&amp;sourceID=14","0.000391")</f>
        <v>0.000391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HYPERLINK("http://141.218.60.56/~jnz1568/getInfo.php?workbook=06_02.xlsx&amp;sheet=U0&amp;row=468&amp;col=6&amp;number=3.4&amp;sourceID=14","3.4")</f>
        <v>3.4</v>
      </c>
      <c r="G468" s="4" t="str">
        <f>HYPERLINK("http://141.218.60.56/~jnz1568/getInfo.php?workbook=06_02.xlsx&amp;sheet=U0&amp;row=468&amp;col=7&amp;number=0.00039&amp;sourceID=14","0.00039")</f>
        <v>0.00039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HYPERLINK("http://141.218.60.56/~jnz1568/getInfo.php?workbook=06_02.xlsx&amp;sheet=U0&amp;row=469&amp;col=6&amp;number=3.5&amp;sourceID=14","3.5")</f>
        <v>3.5</v>
      </c>
      <c r="G469" s="4" t="str">
        <f>HYPERLINK("http://141.218.60.56/~jnz1568/getInfo.php?workbook=06_02.xlsx&amp;sheet=U0&amp;row=469&amp;col=7&amp;number=0.00039&amp;sourceID=14","0.00039")</f>
        <v>0.00039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HYPERLINK("http://141.218.60.56/~jnz1568/getInfo.php?workbook=06_02.xlsx&amp;sheet=U0&amp;row=470&amp;col=6&amp;number=3.6&amp;sourceID=14","3.6")</f>
        <v>3.6</v>
      </c>
      <c r="G470" s="4" t="str">
        <f>HYPERLINK("http://141.218.60.56/~jnz1568/getInfo.php?workbook=06_02.xlsx&amp;sheet=U0&amp;row=470&amp;col=7&amp;number=0.00039&amp;sourceID=14","0.00039")</f>
        <v>0.00039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HYPERLINK("http://141.218.60.56/~jnz1568/getInfo.php?workbook=06_02.xlsx&amp;sheet=U0&amp;row=471&amp;col=6&amp;number=3.7&amp;sourceID=14","3.7")</f>
        <v>3.7</v>
      </c>
      <c r="G471" s="4" t="str">
        <f>HYPERLINK("http://141.218.60.56/~jnz1568/getInfo.php?workbook=06_02.xlsx&amp;sheet=U0&amp;row=471&amp;col=7&amp;number=0.00039&amp;sourceID=14","0.00039")</f>
        <v>0.00039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HYPERLINK("http://141.218.60.56/~jnz1568/getInfo.php?workbook=06_02.xlsx&amp;sheet=U0&amp;row=472&amp;col=6&amp;number=3.8&amp;sourceID=14","3.8")</f>
        <v>3.8</v>
      </c>
      <c r="G472" s="4" t="str">
        <f>HYPERLINK("http://141.218.60.56/~jnz1568/getInfo.php?workbook=06_02.xlsx&amp;sheet=U0&amp;row=472&amp;col=7&amp;number=0.00039&amp;sourceID=14","0.00039")</f>
        <v>0.00039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HYPERLINK("http://141.218.60.56/~jnz1568/getInfo.php?workbook=06_02.xlsx&amp;sheet=U0&amp;row=473&amp;col=6&amp;number=3.9&amp;sourceID=14","3.9")</f>
        <v>3.9</v>
      </c>
      <c r="G473" s="4" t="str">
        <f>HYPERLINK("http://141.218.60.56/~jnz1568/getInfo.php?workbook=06_02.xlsx&amp;sheet=U0&amp;row=473&amp;col=7&amp;number=0.000389&amp;sourceID=14","0.000389")</f>
        <v>0.000389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HYPERLINK("http://141.218.60.56/~jnz1568/getInfo.php?workbook=06_02.xlsx&amp;sheet=U0&amp;row=474&amp;col=6&amp;number=4&amp;sourceID=14","4")</f>
        <v>4</v>
      </c>
      <c r="G474" s="4" t="str">
        <f>HYPERLINK("http://141.218.60.56/~jnz1568/getInfo.php?workbook=06_02.xlsx&amp;sheet=U0&amp;row=474&amp;col=7&amp;number=0.000389&amp;sourceID=14","0.000389")</f>
        <v>0.000389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HYPERLINK("http://141.218.60.56/~jnz1568/getInfo.php?workbook=06_02.xlsx&amp;sheet=U0&amp;row=475&amp;col=6&amp;number=4.1&amp;sourceID=14","4.1")</f>
        <v>4.1</v>
      </c>
      <c r="G475" s="4" t="str">
        <f>HYPERLINK("http://141.218.60.56/~jnz1568/getInfo.php?workbook=06_02.xlsx&amp;sheet=U0&amp;row=475&amp;col=7&amp;number=0.000389&amp;sourceID=14","0.000389")</f>
        <v>0.000389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HYPERLINK("http://141.218.60.56/~jnz1568/getInfo.php?workbook=06_02.xlsx&amp;sheet=U0&amp;row=476&amp;col=6&amp;number=4.2&amp;sourceID=14","4.2")</f>
        <v>4.2</v>
      </c>
      <c r="G476" s="4" t="str">
        <f>HYPERLINK("http://141.218.60.56/~jnz1568/getInfo.php?workbook=06_02.xlsx&amp;sheet=U0&amp;row=476&amp;col=7&amp;number=0.000388&amp;sourceID=14","0.000388")</f>
        <v>0.000388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HYPERLINK("http://141.218.60.56/~jnz1568/getInfo.php?workbook=06_02.xlsx&amp;sheet=U0&amp;row=477&amp;col=6&amp;number=4.3&amp;sourceID=14","4.3")</f>
        <v>4.3</v>
      </c>
      <c r="G477" s="4" t="str">
        <f>HYPERLINK("http://141.218.60.56/~jnz1568/getInfo.php?workbook=06_02.xlsx&amp;sheet=U0&amp;row=477&amp;col=7&amp;number=0.000387&amp;sourceID=14","0.000387")</f>
        <v>0.000387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HYPERLINK("http://141.218.60.56/~jnz1568/getInfo.php?workbook=06_02.xlsx&amp;sheet=U0&amp;row=478&amp;col=6&amp;number=4.4&amp;sourceID=14","4.4")</f>
        <v>4.4</v>
      </c>
      <c r="G478" s="4" t="str">
        <f>HYPERLINK("http://141.218.60.56/~jnz1568/getInfo.php?workbook=06_02.xlsx&amp;sheet=U0&amp;row=478&amp;col=7&amp;number=0.000386&amp;sourceID=14","0.000386")</f>
        <v>0.000386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HYPERLINK("http://141.218.60.56/~jnz1568/getInfo.php?workbook=06_02.xlsx&amp;sheet=U0&amp;row=479&amp;col=6&amp;number=4.5&amp;sourceID=14","4.5")</f>
        <v>4.5</v>
      </c>
      <c r="G479" s="4" t="str">
        <f>HYPERLINK("http://141.218.60.56/~jnz1568/getInfo.php?workbook=06_02.xlsx&amp;sheet=U0&amp;row=479&amp;col=7&amp;number=0.000385&amp;sourceID=14","0.000385")</f>
        <v>0.000385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HYPERLINK("http://141.218.60.56/~jnz1568/getInfo.php?workbook=06_02.xlsx&amp;sheet=U0&amp;row=480&amp;col=6&amp;number=4.6&amp;sourceID=14","4.6")</f>
        <v>4.6</v>
      </c>
      <c r="G480" s="4" t="str">
        <f>HYPERLINK("http://141.218.60.56/~jnz1568/getInfo.php?workbook=06_02.xlsx&amp;sheet=U0&amp;row=480&amp;col=7&amp;number=0.000384&amp;sourceID=14","0.000384")</f>
        <v>0.000384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HYPERLINK("http://141.218.60.56/~jnz1568/getInfo.php?workbook=06_02.xlsx&amp;sheet=U0&amp;row=481&amp;col=6&amp;number=4.7&amp;sourceID=14","4.7")</f>
        <v>4.7</v>
      </c>
      <c r="G481" s="4" t="str">
        <f>HYPERLINK("http://141.218.60.56/~jnz1568/getInfo.php?workbook=06_02.xlsx&amp;sheet=U0&amp;row=481&amp;col=7&amp;number=0.000382&amp;sourceID=14","0.000382")</f>
        <v>0.000382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HYPERLINK("http://141.218.60.56/~jnz1568/getInfo.php?workbook=06_02.xlsx&amp;sheet=U0&amp;row=482&amp;col=6&amp;number=4.8&amp;sourceID=14","4.8")</f>
        <v>4.8</v>
      </c>
      <c r="G482" s="4" t="str">
        <f>HYPERLINK("http://141.218.60.56/~jnz1568/getInfo.php?workbook=06_02.xlsx&amp;sheet=U0&amp;row=482&amp;col=7&amp;number=0.00038&amp;sourceID=14","0.00038")</f>
        <v>0.00038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HYPERLINK("http://141.218.60.56/~jnz1568/getInfo.php?workbook=06_02.xlsx&amp;sheet=U0&amp;row=483&amp;col=6&amp;number=4.9&amp;sourceID=14","4.9")</f>
        <v>4.9</v>
      </c>
      <c r="G483" s="4" t="str">
        <f>HYPERLINK("http://141.218.60.56/~jnz1568/getInfo.php?workbook=06_02.xlsx&amp;sheet=U0&amp;row=483&amp;col=7&amp;number=0.000377&amp;sourceID=14","0.000377")</f>
        <v>0.000377</v>
      </c>
    </row>
    <row r="484" spans="1:7">
      <c r="A484" s="3">
        <v>6</v>
      </c>
      <c r="B484" s="3">
        <v>2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HYPERLINK("http://141.218.60.56/~jnz1568/getInfo.php?workbook=06_02.xlsx&amp;sheet=U0&amp;row=484&amp;col=6&amp;number=3&amp;sourceID=14","3")</f>
        <v>3</v>
      </c>
      <c r="G484" s="4" t="str">
        <f>HYPERLINK("http://141.218.60.56/~jnz1568/getInfo.php?workbook=06_02.xlsx&amp;sheet=U0&amp;row=484&amp;col=7&amp;number=0.000543&amp;sourceID=14","0.000543")</f>
        <v>0.000543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HYPERLINK("http://141.218.60.56/~jnz1568/getInfo.php?workbook=06_02.xlsx&amp;sheet=U0&amp;row=485&amp;col=6&amp;number=3.1&amp;sourceID=14","3.1")</f>
        <v>3.1</v>
      </c>
      <c r="G485" s="4" t="str">
        <f>HYPERLINK("http://141.218.60.56/~jnz1568/getInfo.php?workbook=06_02.xlsx&amp;sheet=U0&amp;row=485&amp;col=7&amp;number=0.000543&amp;sourceID=14","0.000543")</f>
        <v>0.000543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HYPERLINK("http://141.218.60.56/~jnz1568/getInfo.php?workbook=06_02.xlsx&amp;sheet=U0&amp;row=486&amp;col=6&amp;number=3.2&amp;sourceID=14","3.2")</f>
        <v>3.2</v>
      </c>
      <c r="G486" s="4" t="str">
        <f>HYPERLINK("http://141.218.60.56/~jnz1568/getInfo.php?workbook=06_02.xlsx&amp;sheet=U0&amp;row=486&amp;col=7&amp;number=0.000543&amp;sourceID=14","0.000543")</f>
        <v>0.000543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HYPERLINK("http://141.218.60.56/~jnz1568/getInfo.php?workbook=06_02.xlsx&amp;sheet=U0&amp;row=487&amp;col=6&amp;number=3.3&amp;sourceID=14","3.3")</f>
        <v>3.3</v>
      </c>
      <c r="G487" s="4" t="str">
        <f>HYPERLINK("http://141.218.60.56/~jnz1568/getInfo.php?workbook=06_02.xlsx&amp;sheet=U0&amp;row=487&amp;col=7&amp;number=0.000543&amp;sourceID=14","0.000543")</f>
        <v>0.000543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HYPERLINK("http://141.218.60.56/~jnz1568/getInfo.php?workbook=06_02.xlsx&amp;sheet=U0&amp;row=488&amp;col=6&amp;number=3.4&amp;sourceID=14","3.4")</f>
        <v>3.4</v>
      </c>
      <c r="G488" s="4" t="str">
        <f>HYPERLINK("http://141.218.60.56/~jnz1568/getInfo.php?workbook=06_02.xlsx&amp;sheet=U0&amp;row=488&amp;col=7&amp;number=0.000543&amp;sourceID=14","0.000543")</f>
        <v>0.000543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HYPERLINK("http://141.218.60.56/~jnz1568/getInfo.php?workbook=06_02.xlsx&amp;sheet=U0&amp;row=489&amp;col=6&amp;number=3.5&amp;sourceID=14","3.5")</f>
        <v>3.5</v>
      </c>
      <c r="G489" s="4" t="str">
        <f>HYPERLINK("http://141.218.60.56/~jnz1568/getInfo.php?workbook=06_02.xlsx&amp;sheet=U0&amp;row=489&amp;col=7&amp;number=0.000543&amp;sourceID=14","0.000543")</f>
        <v>0.000543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HYPERLINK("http://141.218.60.56/~jnz1568/getInfo.php?workbook=06_02.xlsx&amp;sheet=U0&amp;row=490&amp;col=6&amp;number=3.6&amp;sourceID=14","3.6")</f>
        <v>3.6</v>
      </c>
      <c r="G490" s="4" t="str">
        <f>HYPERLINK("http://141.218.60.56/~jnz1568/getInfo.php?workbook=06_02.xlsx&amp;sheet=U0&amp;row=490&amp;col=7&amp;number=0.000543&amp;sourceID=14","0.000543")</f>
        <v>0.000543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HYPERLINK("http://141.218.60.56/~jnz1568/getInfo.php?workbook=06_02.xlsx&amp;sheet=U0&amp;row=491&amp;col=6&amp;number=3.7&amp;sourceID=14","3.7")</f>
        <v>3.7</v>
      </c>
      <c r="G491" s="4" t="str">
        <f>HYPERLINK("http://141.218.60.56/~jnz1568/getInfo.php?workbook=06_02.xlsx&amp;sheet=U0&amp;row=491&amp;col=7&amp;number=0.000542&amp;sourceID=14","0.000542")</f>
        <v>0.000542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HYPERLINK("http://141.218.60.56/~jnz1568/getInfo.php?workbook=06_02.xlsx&amp;sheet=U0&amp;row=492&amp;col=6&amp;number=3.8&amp;sourceID=14","3.8")</f>
        <v>3.8</v>
      </c>
      <c r="G492" s="4" t="str">
        <f>HYPERLINK("http://141.218.60.56/~jnz1568/getInfo.php?workbook=06_02.xlsx&amp;sheet=U0&amp;row=492&amp;col=7&amp;number=0.000542&amp;sourceID=14","0.000542")</f>
        <v>0.000542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HYPERLINK("http://141.218.60.56/~jnz1568/getInfo.php?workbook=06_02.xlsx&amp;sheet=U0&amp;row=493&amp;col=6&amp;number=3.9&amp;sourceID=14","3.9")</f>
        <v>3.9</v>
      </c>
      <c r="G493" s="4" t="str">
        <f>HYPERLINK("http://141.218.60.56/~jnz1568/getInfo.php?workbook=06_02.xlsx&amp;sheet=U0&amp;row=493&amp;col=7&amp;number=0.000542&amp;sourceID=14","0.000542")</f>
        <v>0.000542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HYPERLINK("http://141.218.60.56/~jnz1568/getInfo.php?workbook=06_02.xlsx&amp;sheet=U0&amp;row=494&amp;col=6&amp;number=4&amp;sourceID=14","4")</f>
        <v>4</v>
      </c>
      <c r="G494" s="4" t="str">
        <f>HYPERLINK("http://141.218.60.56/~jnz1568/getInfo.php?workbook=06_02.xlsx&amp;sheet=U0&amp;row=494&amp;col=7&amp;number=0.000541&amp;sourceID=14","0.000541")</f>
        <v>0.000541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HYPERLINK("http://141.218.60.56/~jnz1568/getInfo.php?workbook=06_02.xlsx&amp;sheet=U0&amp;row=495&amp;col=6&amp;number=4.1&amp;sourceID=14","4.1")</f>
        <v>4.1</v>
      </c>
      <c r="G495" s="4" t="str">
        <f>HYPERLINK("http://141.218.60.56/~jnz1568/getInfo.php?workbook=06_02.xlsx&amp;sheet=U0&amp;row=495&amp;col=7&amp;number=0.000541&amp;sourceID=14","0.000541")</f>
        <v>0.000541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HYPERLINK("http://141.218.60.56/~jnz1568/getInfo.php?workbook=06_02.xlsx&amp;sheet=U0&amp;row=496&amp;col=6&amp;number=4.2&amp;sourceID=14","4.2")</f>
        <v>4.2</v>
      </c>
      <c r="G496" s="4" t="str">
        <f>HYPERLINK("http://141.218.60.56/~jnz1568/getInfo.php?workbook=06_02.xlsx&amp;sheet=U0&amp;row=496&amp;col=7&amp;number=0.00054&amp;sourceID=14","0.00054")</f>
        <v>0.00054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HYPERLINK("http://141.218.60.56/~jnz1568/getInfo.php?workbook=06_02.xlsx&amp;sheet=U0&amp;row=497&amp;col=6&amp;number=4.3&amp;sourceID=14","4.3")</f>
        <v>4.3</v>
      </c>
      <c r="G497" s="4" t="str">
        <f>HYPERLINK("http://141.218.60.56/~jnz1568/getInfo.php?workbook=06_02.xlsx&amp;sheet=U0&amp;row=497&amp;col=7&amp;number=0.000539&amp;sourceID=14","0.000539")</f>
        <v>0.000539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HYPERLINK("http://141.218.60.56/~jnz1568/getInfo.php?workbook=06_02.xlsx&amp;sheet=U0&amp;row=498&amp;col=6&amp;number=4.4&amp;sourceID=14","4.4")</f>
        <v>4.4</v>
      </c>
      <c r="G498" s="4" t="str">
        <f>HYPERLINK("http://141.218.60.56/~jnz1568/getInfo.php?workbook=06_02.xlsx&amp;sheet=U0&amp;row=498&amp;col=7&amp;number=0.000537&amp;sourceID=14","0.000537")</f>
        <v>0.000537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HYPERLINK("http://141.218.60.56/~jnz1568/getInfo.php?workbook=06_02.xlsx&amp;sheet=U0&amp;row=499&amp;col=6&amp;number=4.5&amp;sourceID=14","4.5")</f>
        <v>4.5</v>
      </c>
      <c r="G499" s="4" t="str">
        <f>HYPERLINK("http://141.218.60.56/~jnz1568/getInfo.php?workbook=06_02.xlsx&amp;sheet=U0&amp;row=499&amp;col=7&amp;number=0.000536&amp;sourceID=14","0.000536")</f>
        <v>0.000536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HYPERLINK("http://141.218.60.56/~jnz1568/getInfo.php?workbook=06_02.xlsx&amp;sheet=U0&amp;row=500&amp;col=6&amp;number=4.6&amp;sourceID=14","4.6")</f>
        <v>4.6</v>
      </c>
      <c r="G500" s="4" t="str">
        <f>HYPERLINK("http://141.218.60.56/~jnz1568/getInfo.php?workbook=06_02.xlsx&amp;sheet=U0&amp;row=500&amp;col=7&amp;number=0.000534&amp;sourceID=14","0.000534")</f>
        <v>0.000534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HYPERLINK("http://141.218.60.56/~jnz1568/getInfo.php?workbook=06_02.xlsx&amp;sheet=U0&amp;row=501&amp;col=6&amp;number=4.7&amp;sourceID=14","4.7")</f>
        <v>4.7</v>
      </c>
      <c r="G501" s="4" t="str">
        <f>HYPERLINK("http://141.218.60.56/~jnz1568/getInfo.php?workbook=06_02.xlsx&amp;sheet=U0&amp;row=501&amp;col=7&amp;number=0.000531&amp;sourceID=14","0.000531")</f>
        <v>0.000531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HYPERLINK("http://141.218.60.56/~jnz1568/getInfo.php?workbook=06_02.xlsx&amp;sheet=U0&amp;row=502&amp;col=6&amp;number=4.8&amp;sourceID=14","4.8")</f>
        <v>4.8</v>
      </c>
      <c r="G502" s="4" t="str">
        <f>HYPERLINK("http://141.218.60.56/~jnz1568/getInfo.php?workbook=06_02.xlsx&amp;sheet=U0&amp;row=502&amp;col=7&amp;number=0.000528&amp;sourceID=14","0.000528")</f>
        <v>0.000528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HYPERLINK("http://141.218.60.56/~jnz1568/getInfo.php?workbook=06_02.xlsx&amp;sheet=U0&amp;row=503&amp;col=6&amp;number=4.9&amp;sourceID=14","4.9")</f>
        <v>4.9</v>
      </c>
      <c r="G503" s="4" t="str">
        <f>HYPERLINK("http://141.218.60.56/~jnz1568/getInfo.php?workbook=06_02.xlsx&amp;sheet=U0&amp;row=503&amp;col=7&amp;number=0.000524&amp;sourceID=14","0.000524")</f>
        <v>0.000524</v>
      </c>
    </row>
    <row r="504" spans="1:7">
      <c r="A504" s="3">
        <v>6</v>
      </c>
      <c r="B504" s="3">
        <v>2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HYPERLINK("http://141.218.60.56/~jnz1568/getInfo.php?workbook=06_02.xlsx&amp;sheet=U0&amp;row=504&amp;col=6&amp;number=3&amp;sourceID=14","3")</f>
        <v>3</v>
      </c>
      <c r="G504" s="4" t="str">
        <f>HYPERLINK("http://141.218.60.56/~jnz1568/getInfo.php?workbook=06_02.xlsx&amp;sheet=U0&amp;row=504&amp;col=7&amp;number=0.000124&amp;sourceID=14","0.000124")</f>
        <v>0.000124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HYPERLINK("http://141.218.60.56/~jnz1568/getInfo.php?workbook=06_02.xlsx&amp;sheet=U0&amp;row=505&amp;col=6&amp;number=3.1&amp;sourceID=14","3.1")</f>
        <v>3.1</v>
      </c>
      <c r="G505" s="4" t="str">
        <f>HYPERLINK("http://141.218.60.56/~jnz1568/getInfo.php?workbook=06_02.xlsx&amp;sheet=U0&amp;row=505&amp;col=7&amp;number=0.000124&amp;sourceID=14","0.000124")</f>
        <v>0.000124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HYPERLINK("http://141.218.60.56/~jnz1568/getInfo.php?workbook=06_02.xlsx&amp;sheet=U0&amp;row=506&amp;col=6&amp;number=3.2&amp;sourceID=14","3.2")</f>
        <v>3.2</v>
      </c>
      <c r="G506" s="4" t="str">
        <f>HYPERLINK("http://141.218.60.56/~jnz1568/getInfo.php?workbook=06_02.xlsx&amp;sheet=U0&amp;row=506&amp;col=7&amp;number=0.000124&amp;sourceID=14","0.000124")</f>
        <v>0.000124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HYPERLINK("http://141.218.60.56/~jnz1568/getInfo.php?workbook=06_02.xlsx&amp;sheet=U0&amp;row=507&amp;col=6&amp;number=3.3&amp;sourceID=14","3.3")</f>
        <v>3.3</v>
      </c>
      <c r="G507" s="4" t="str">
        <f>HYPERLINK("http://141.218.60.56/~jnz1568/getInfo.php?workbook=06_02.xlsx&amp;sheet=U0&amp;row=507&amp;col=7&amp;number=0.000124&amp;sourceID=14","0.000124")</f>
        <v>0.000124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HYPERLINK("http://141.218.60.56/~jnz1568/getInfo.php?workbook=06_02.xlsx&amp;sheet=U0&amp;row=508&amp;col=6&amp;number=3.4&amp;sourceID=14","3.4")</f>
        <v>3.4</v>
      </c>
      <c r="G508" s="4" t="str">
        <f>HYPERLINK("http://141.218.60.56/~jnz1568/getInfo.php?workbook=06_02.xlsx&amp;sheet=U0&amp;row=508&amp;col=7&amp;number=0.000124&amp;sourceID=14","0.000124")</f>
        <v>0.000124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HYPERLINK("http://141.218.60.56/~jnz1568/getInfo.php?workbook=06_02.xlsx&amp;sheet=U0&amp;row=509&amp;col=6&amp;number=3.5&amp;sourceID=14","3.5")</f>
        <v>3.5</v>
      </c>
      <c r="G509" s="4" t="str">
        <f>HYPERLINK("http://141.218.60.56/~jnz1568/getInfo.php?workbook=06_02.xlsx&amp;sheet=U0&amp;row=509&amp;col=7&amp;number=0.000124&amp;sourceID=14","0.000124")</f>
        <v>0.000124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HYPERLINK("http://141.218.60.56/~jnz1568/getInfo.php?workbook=06_02.xlsx&amp;sheet=U0&amp;row=510&amp;col=6&amp;number=3.6&amp;sourceID=14","3.6")</f>
        <v>3.6</v>
      </c>
      <c r="G510" s="4" t="str">
        <f>HYPERLINK("http://141.218.60.56/~jnz1568/getInfo.php?workbook=06_02.xlsx&amp;sheet=U0&amp;row=510&amp;col=7&amp;number=0.000124&amp;sourceID=14","0.000124")</f>
        <v>0.000124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HYPERLINK("http://141.218.60.56/~jnz1568/getInfo.php?workbook=06_02.xlsx&amp;sheet=U0&amp;row=511&amp;col=6&amp;number=3.7&amp;sourceID=14","3.7")</f>
        <v>3.7</v>
      </c>
      <c r="G511" s="4" t="str">
        <f>HYPERLINK("http://141.218.60.56/~jnz1568/getInfo.php?workbook=06_02.xlsx&amp;sheet=U0&amp;row=511&amp;col=7&amp;number=0.000125&amp;sourceID=14","0.000125")</f>
        <v>0.000125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HYPERLINK("http://141.218.60.56/~jnz1568/getInfo.php?workbook=06_02.xlsx&amp;sheet=U0&amp;row=512&amp;col=6&amp;number=3.8&amp;sourceID=14","3.8")</f>
        <v>3.8</v>
      </c>
      <c r="G512" s="4" t="str">
        <f>HYPERLINK("http://141.218.60.56/~jnz1568/getInfo.php?workbook=06_02.xlsx&amp;sheet=U0&amp;row=512&amp;col=7&amp;number=0.000125&amp;sourceID=14","0.000125")</f>
        <v>0.000125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HYPERLINK("http://141.218.60.56/~jnz1568/getInfo.php?workbook=06_02.xlsx&amp;sheet=U0&amp;row=513&amp;col=6&amp;number=3.9&amp;sourceID=14","3.9")</f>
        <v>3.9</v>
      </c>
      <c r="G513" s="4" t="str">
        <f>HYPERLINK("http://141.218.60.56/~jnz1568/getInfo.php?workbook=06_02.xlsx&amp;sheet=U0&amp;row=513&amp;col=7&amp;number=0.000125&amp;sourceID=14","0.000125")</f>
        <v>0.000125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HYPERLINK("http://141.218.60.56/~jnz1568/getInfo.php?workbook=06_02.xlsx&amp;sheet=U0&amp;row=514&amp;col=6&amp;number=4&amp;sourceID=14","4")</f>
        <v>4</v>
      </c>
      <c r="G514" s="4" t="str">
        <f>HYPERLINK("http://141.218.60.56/~jnz1568/getInfo.php?workbook=06_02.xlsx&amp;sheet=U0&amp;row=514&amp;col=7&amp;number=0.000125&amp;sourceID=14","0.000125")</f>
        <v>0.000125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HYPERLINK("http://141.218.60.56/~jnz1568/getInfo.php?workbook=06_02.xlsx&amp;sheet=U0&amp;row=515&amp;col=6&amp;number=4.1&amp;sourceID=14","4.1")</f>
        <v>4.1</v>
      </c>
      <c r="G515" s="4" t="str">
        <f>HYPERLINK("http://141.218.60.56/~jnz1568/getInfo.php?workbook=06_02.xlsx&amp;sheet=U0&amp;row=515&amp;col=7&amp;number=0.000126&amp;sourceID=14","0.000126")</f>
        <v>0.000126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HYPERLINK("http://141.218.60.56/~jnz1568/getInfo.php?workbook=06_02.xlsx&amp;sheet=U0&amp;row=516&amp;col=6&amp;number=4.2&amp;sourceID=14","4.2")</f>
        <v>4.2</v>
      </c>
      <c r="G516" s="4" t="str">
        <f>HYPERLINK("http://141.218.60.56/~jnz1568/getInfo.php?workbook=06_02.xlsx&amp;sheet=U0&amp;row=516&amp;col=7&amp;number=0.000126&amp;sourceID=14","0.000126")</f>
        <v>0.000126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HYPERLINK("http://141.218.60.56/~jnz1568/getInfo.php?workbook=06_02.xlsx&amp;sheet=U0&amp;row=517&amp;col=6&amp;number=4.3&amp;sourceID=14","4.3")</f>
        <v>4.3</v>
      </c>
      <c r="G517" s="4" t="str">
        <f>HYPERLINK("http://141.218.60.56/~jnz1568/getInfo.php?workbook=06_02.xlsx&amp;sheet=U0&amp;row=517&amp;col=7&amp;number=0.000127&amp;sourceID=14","0.000127")</f>
        <v>0.000127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HYPERLINK("http://141.218.60.56/~jnz1568/getInfo.php?workbook=06_02.xlsx&amp;sheet=U0&amp;row=518&amp;col=6&amp;number=4.4&amp;sourceID=14","4.4")</f>
        <v>4.4</v>
      </c>
      <c r="G518" s="4" t="str">
        <f>HYPERLINK("http://141.218.60.56/~jnz1568/getInfo.php?workbook=06_02.xlsx&amp;sheet=U0&amp;row=518&amp;col=7&amp;number=0.000128&amp;sourceID=14","0.000128")</f>
        <v>0.000128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HYPERLINK("http://141.218.60.56/~jnz1568/getInfo.php?workbook=06_02.xlsx&amp;sheet=U0&amp;row=519&amp;col=6&amp;number=4.5&amp;sourceID=14","4.5")</f>
        <v>4.5</v>
      </c>
      <c r="G519" s="4" t="str">
        <f>HYPERLINK("http://141.218.60.56/~jnz1568/getInfo.php?workbook=06_02.xlsx&amp;sheet=U0&amp;row=519&amp;col=7&amp;number=0.000129&amp;sourceID=14","0.000129")</f>
        <v>0.000129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HYPERLINK("http://141.218.60.56/~jnz1568/getInfo.php?workbook=06_02.xlsx&amp;sheet=U0&amp;row=520&amp;col=6&amp;number=4.6&amp;sourceID=14","4.6")</f>
        <v>4.6</v>
      </c>
      <c r="G520" s="4" t="str">
        <f>HYPERLINK("http://141.218.60.56/~jnz1568/getInfo.php?workbook=06_02.xlsx&amp;sheet=U0&amp;row=520&amp;col=7&amp;number=0.00013&amp;sourceID=14","0.00013")</f>
        <v>0.00013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HYPERLINK("http://141.218.60.56/~jnz1568/getInfo.php?workbook=06_02.xlsx&amp;sheet=U0&amp;row=521&amp;col=6&amp;number=4.7&amp;sourceID=14","4.7")</f>
        <v>4.7</v>
      </c>
      <c r="G521" s="4" t="str">
        <f>HYPERLINK("http://141.218.60.56/~jnz1568/getInfo.php?workbook=06_02.xlsx&amp;sheet=U0&amp;row=521&amp;col=7&amp;number=0.000131&amp;sourceID=14","0.000131")</f>
        <v>0.000131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HYPERLINK("http://141.218.60.56/~jnz1568/getInfo.php?workbook=06_02.xlsx&amp;sheet=U0&amp;row=522&amp;col=6&amp;number=4.8&amp;sourceID=14","4.8")</f>
        <v>4.8</v>
      </c>
      <c r="G522" s="4" t="str">
        <f>HYPERLINK("http://141.218.60.56/~jnz1568/getInfo.php?workbook=06_02.xlsx&amp;sheet=U0&amp;row=522&amp;col=7&amp;number=0.000133&amp;sourceID=14","0.000133")</f>
        <v>0.000133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HYPERLINK("http://141.218.60.56/~jnz1568/getInfo.php?workbook=06_02.xlsx&amp;sheet=U0&amp;row=523&amp;col=6&amp;number=4.9&amp;sourceID=14","4.9")</f>
        <v>4.9</v>
      </c>
      <c r="G523" s="4" t="str">
        <f>HYPERLINK("http://141.218.60.56/~jnz1568/getInfo.php?workbook=06_02.xlsx&amp;sheet=U0&amp;row=523&amp;col=7&amp;number=0.000136&amp;sourceID=14","0.000136")</f>
        <v>0.000136</v>
      </c>
    </row>
    <row r="524" spans="1:7">
      <c r="A524" s="3">
        <v>6</v>
      </c>
      <c r="B524" s="3">
        <v>2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HYPERLINK("http://141.218.60.56/~jnz1568/getInfo.php?workbook=06_02.xlsx&amp;sheet=U0&amp;row=524&amp;col=6&amp;number=3&amp;sourceID=14","3")</f>
        <v>3</v>
      </c>
      <c r="G524" s="4" t="str">
        <f>HYPERLINK("http://141.218.60.56/~jnz1568/getInfo.php?workbook=06_02.xlsx&amp;sheet=U0&amp;row=524&amp;col=7&amp;number=1.96e-05&amp;sourceID=14","1.96e-05")</f>
        <v>1.96e-05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HYPERLINK("http://141.218.60.56/~jnz1568/getInfo.php?workbook=06_02.xlsx&amp;sheet=U0&amp;row=525&amp;col=6&amp;number=3.1&amp;sourceID=14","3.1")</f>
        <v>3.1</v>
      </c>
      <c r="G525" s="4" t="str">
        <f>HYPERLINK("http://141.218.60.56/~jnz1568/getInfo.php?workbook=06_02.xlsx&amp;sheet=U0&amp;row=525&amp;col=7&amp;number=1.96e-05&amp;sourceID=14","1.96e-05")</f>
        <v>1.96e-05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HYPERLINK("http://141.218.60.56/~jnz1568/getInfo.php?workbook=06_02.xlsx&amp;sheet=U0&amp;row=526&amp;col=6&amp;number=3.2&amp;sourceID=14","3.2")</f>
        <v>3.2</v>
      </c>
      <c r="G526" s="4" t="str">
        <f>HYPERLINK("http://141.218.60.56/~jnz1568/getInfo.php?workbook=06_02.xlsx&amp;sheet=U0&amp;row=526&amp;col=7&amp;number=1.96e-05&amp;sourceID=14","1.96e-05")</f>
        <v>1.96e-05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HYPERLINK("http://141.218.60.56/~jnz1568/getInfo.php?workbook=06_02.xlsx&amp;sheet=U0&amp;row=527&amp;col=6&amp;number=3.3&amp;sourceID=14","3.3")</f>
        <v>3.3</v>
      </c>
      <c r="G527" s="4" t="str">
        <f>HYPERLINK("http://141.218.60.56/~jnz1568/getInfo.php?workbook=06_02.xlsx&amp;sheet=U0&amp;row=527&amp;col=7&amp;number=1.96e-05&amp;sourceID=14","1.96e-05")</f>
        <v>1.96e-05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HYPERLINK("http://141.218.60.56/~jnz1568/getInfo.php?workbook=06_02.xlsx&amp;sheet=U0&amp;row=528&amp;col=6&amp;number=3.4&amp;sourceID=14","3.4")</f>
        <v>3.4</v>
      </c>
      <c r="G528" s="4" t="str">
        <f>HYPERLINK("http://141.218.60.56/~jnz1568/getInfo.php?workbook=06_02.xlsx&amp;sheet=U0&amp;row=528&amp;col=7&amp;number=1.96e-05&amp;sourceID=14","1.96e-05")</f>
        <v>1.96e-05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HYPERLINK("http://141.218.60.56/~jnz1568/getInfo.php?workbook=06_02.xlsx&amp;sheet=U0&amp;row=529&amp;col=6&amp;number=3.5&amp;sourceID=14","3.5")</f>
        <v>3.5</v>
      </c>
      <c r="G529" s="4" t="str">
        <f>HYPERLINK("http://141.218.60.56/~jnz1568/getInfo.php?workbook=06_02.xlsx&amp;sheet=U0&amp;row=529&amp;col=7&amp;number=1.96e-05&amp;sourceID=14","1.96e-05")</f>
        <v>1.96e-05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HYPERLINK("http://141.218.60.56/~jnz1568/getInfo.php?workbook=06_02.xlsx&amp;sheet=U0&amp;row=530&amp;col=6&amp;number=3.6&amp;sourceID=14","3.6")</f>
        <v>3.6</v>
      </c>
      <c r="G530" s="4" t="str">
        <f>HYPERLINK("http://141.218.60.56/~jnz1568/getInfo.php?workbook=06_02.xlsx&amp;sheet=U0&amp;row=530&amp;col=7&amp;number=1.96e-05&amp;sourceID=14","1.96e-05")</f>
        <v>1.96e-05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HYPERLINK("http://141.218.60.56/~jnz1568/getInfo.php?workbook=06_02.xlsx&amp;sheet=U0&amp;row=531&amp;col=6&amp;number=3.7&amp;sourceID=14","3.7")</f>
        <v>3.7</v>
      </c>
      <c r="G531" s="4" t="str">
        <f>HYPERLINK("http://141.218.60.56/~jnz1568/getInfo.php?workbook=06_02.xlsx&amp;sheet=U0&amp;row=531&amp;col=7&amp;number=1.96e-05&amp;sourceID=14","1.96e-05")</f>
        <v>1.96e-05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HYPERLINK("http://141.218.60.56/~jnz1568/getInfo.php?workbook=06_02.xlsx&amp;sheet=U0&amp;row=532&amp;col=6&amp;number=3.8&amp;sourceID=14","3.8")</f>
        <v>3.8</v>
      </c>
      <c r="G532" s="4" t="str">
        <f>HYPERLINK("http://141.218.60.56/~jnz1568/getInfo.php?workbook=06_02.xlsx&amp;sheet=U0&amp;row=532&amp;col=7&amp;number=1.96e-05&amp;sourceID=14","1.96e-05")</f>
        <v>1.96e-05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HYPERLINK("http://141.218.60.56/~jnz1568/getInfo.php?workbook=06_02.xlsx&amp;sheet=U0&amp;row=533&amp;col=6&amp;number=3.9&amp;sourceID=14","3.9")</f>
        <v>3.9</v>
      </c>
      <c r="G533" s="4" t="str">
        <f>HYPERLINK("http://141.218.60.56/~jnz1568/getInfo.php?workbook=06_02.xlsx&amp;sheet=U0&amp;row=533&amp;col=7&amp;number=1.95e-05&amp;sourceID=14","1.95e-05")</f>
        <v>1.95e-05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HYPERLINK("http://141.218.60.56/~jnz1568/getInfo.php?workbook=06_02.xlsx&amp;sheet=U0&amp;row=534&amp;col=6&amp;number=4&amp;sourceID=14","4")</f>
        <v>4</v>
      </c>
      <c r="G534" s="4" t="str">
        <f>HYPERLINK("http://141.218.60.56/~jnz1568/getInfo.php?workbook=06_02.xlsx&amp;sheet=U0&amp;row=534&amp;col=7&amp;number=1.95e-05&amp;sourceID=14","1.95e-05")</f>
        <v>1.95e-05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HYPERLINK("http://141.218.60.56/~jnz1568/getInfo.php?workbook=06_02.xlsx&amp;sheet=U0&amp;row=535&amp;col=6&amp;number=4.1&amp;sourceID=14","4.1")</f>
        <v>4.1</v>
      </c>
      <c r="G535" s="4" t="str">
        <f>HYPERLINK("http://141.218.60.56/~jnz1568/getInfo.php?workbook=06_02.xlsx&amp;sheet=U0&amp;row=535&amp;col=7&amp;number=1.95e-05&amp;sourceID=14","1.95e-05")</f>
        <v>1.95e-05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HYPERLINK("http://141.218.60.56/~jnz1568/getInfo.php?workbook=06_02.xlsx&amp;sheet=U0&amp;row=536&amp;col=6&amp;number=4.2&amp;sourceID=14","4.2")</f>
        <v>4.2</v>
      </c>
      <c r="G536" s="4" t="str">
        <f>HYPERLINK("http://141.218.60.56/~jnz1568/getInfo.php?workbook=06_02.xlsx&amp;sheet=U0&amp;row=536&amp;col=7&amp;number=1.94e-05&amp;sourceID=14","1.94e-05")</f>
        <v>1.94e-05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HYPERLINK("http://141.218.60.56/~jnz1568/getInfo.php?workbook=06_02.xlsx&amp;sheet=U0&amp;row=537&amp;col=6&amp;number=4.3&amp;sourceID=14","4.3")</f>
        <v>4.3</v>
      </c>
      <c r="G537" s="4" t="str">
        <f>HYPERLINK("http://141.218.60.56/~jnz1568/getInfo.php?workbook=06_02.xlsx&amp;sheet=U0&amp;row=537&amp;col=7&amp;number=1.94e-05&amp;sourceID=14","1.94e-05")</f>
        <v>1.94e-05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HYPERLINK("http://141.218.60.56/~jnz1568/getInfo.php?workbook=06_02.xlsx&amp;sheet=U0&amp;row=538&amp;col=6&amp;number=4.4&amp;sourceID=14","4.4")</f>
        <v>4.4</v>
      </c>
      <c r="G538" s="4" t="str">
        <f>HYPERLINK("http://141.218.60.56/~jnz1568/getInfo.php?workbook=06_02.xlsx&amp;sheet=U0&amp;row=538&amp;col=7&amp;number=1.93e-05&amp;sourceID=14","1.93e-05")</f>
        <v>1.93e-05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HYPERLINK("http://141.218.60.56/~jnz1568/getInfo.php?workbook=06_02.xlsx&amp;sheet=U0&amp;row=539&amp;col=6&amp;number=4.5&amp;sourceID=14","4.5")</f>
        <v>4.5</v>
      </c>
      <c r="G539" s="4" t="str">
        <f>HYPERLINK("http://141.218.60.56/~jnz1568/getInfo.php?workbook=06_02.xlsx&amp;sheet=U0&amp;row=539&amp;col=7&amp;number=1.93e-05&amp;sourceID=14","1.93e-05")</f>
        <v>1.93e-05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HYPERLINK("http://141.218.60.56/~jnz1568/getInfo.php?workbook=06_02.xlsx&amp;sheet=U0&amp;row=540&amp;col=6&amp;number=4.6&amp;sourceID=14","4.6")</f>
        <v>4.6</v>
      </c>
      <c r="G540" s="4" t="str">
        <f>HYPERLINK("http://141.218.60.56/~jnz1568/getInfo.php?workbook=06_02.xlsx&amp;sheet=U0&amp;row=540&amp;col=7&amp;number=1.92e-05&amp;sourceID=14","1.92e-05")</f>
        <v>1.92e-05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HYPERLINK("http://141.218.60.56/~jnz1568/getInfo.php?workbook=06_02.xlsx&amp;sheet=U0&amp;row=541&amp;col=6&amp;number=4.7&amp;sourceID=14","4.7")</f>
        <v>4.7</v>
      </c>
      <c r="G541" s="4" t="str">
        <f>HYPERLINK("http://141.218.60.56/~jnz1568/getInfo.php?workbook=06_02.xlsx&amp;sheet=U0&amp;row=541&amp;col=7&amp;number=1.91e-05&amp;sourceID=14","1.91e-05")</f>
        <v>1.91e-05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HYPERLINK("http://141.218.60.56/~jnz1568/getInfo.php?workbook=06_02.xlsx&amp;sheet=U0&amp;row=542&amp;col=6&amp;number=4.8&amp;sourceID=14","4.8")</f>
        <v>4.8</v>
      </c>
      <c r="G542" s="4" t="str">
        <f>HYPERLINK("http://141.218.60.56/~jnz1568/getInfo.php?workbook=06_02.xlsx&amp;sheet=U0&amp;row=542&amp;col=7&amp;number=1.89e-05&amp;sourceID=14","1.89e-05")</f>
        <v>1.89e-05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HYPERLINK("http://141.218.60.56/~jnz1568/getInfo.php?workbook=06_02.xlsx&amp;sheet=U0&amp;row=543&amp;col=6&amp;number=4.9&amp;sourceID=14","4.9")</f>
        <v>4.9</v>
      </c>
      <c r="G543" s="4" t="str">
        <f>HYPERLINK("http://141.218.60.56/~jnz1568/getInfo.php?workbook=06_02.xlsx&amp;sheet=U0&amp;row=543&amp;col=7&amp;number=1.87e-05&amp;sourceID=14","1.87e-05")</f>
        <v>1.87e-05</v>
      </c>
    </row>
    <row r="544" spans="1:7">
      <c r="A544" s="3">
        <v>6</v>
      </c>
      <c r="B544" s="3">
        <v>2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HYPERLINK("http://141.218.60.56/~jnz1568/getInfo.php?workbook=06_02.xlsx&amp;sheet=U0&amp;row=544&amp;col=6&amp;number=3&amp;sourceID=14","3")</f>
        <v>3</v>
      </c>
      <c r="G544" s="4" t="str">
        <f>HYPERLINK("http://141.218.60.56/~jnz1568/getInfo.php?workbook=06_02.xlsx&amp;sheet=U0&amp;row=544&amp;col=7&amp;number=2.53e-05&amp;sourceID=14","2.53e-05")</f>
        <v>2.53e-05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HYPERLINK("http://141.218.60.56/~jnz1568/getInfo.php?workbook=06_02.xlsx&amp;sheet=U0&amp;row=545&amp;col=6&amp;number=3.1&amp;sourceID=14","3.1")</f>
        <v>3.1</v>
      </c>
      <c r="G545" s="4" t="str">
        <f>HYPERLINK("http://141.218.60.56/~jnz1568/getInfo.php?workbook=06_02.xlsx&amp;sheet=U0&amp;row=545&amp;col=7&amp;number=2.53e-05&amp;sourceID=14","2.53e-05")</f>
        <v>2.53e-05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HYPERLINK("http://141.218.60.56/~jnz1568/getInfo.php?workbook=06_02.xlsx&amp;sheet=U0&amp;row=546&amp;col=6&amp;number=3.2&amp;sourceID=14","3.2")</f>
        <v>3.2</v>
      </c>
      <c r="G546" s="4" t="str">
        <f>HYPERLINK("http://141.218.60.56/~jnz1568/getInfo.php?workbook=06_02.xlsx&amp;sheet=U0&amp;row=546&amp;col=7&amp;number=2.53e-05&amp;sourceID=14","2.53e-05")</f>
        <v>2.53e-05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HYPERLINK("http://141.218.60.56/~jnz1568/getInfo.php?workbook=06_02.xlsx&amp;sheet=U0&amp;row=547&amp;col=6&amp;number=3.3&amp;sourceID=14","3.3")</f>
        <v>3.3</v>
      </c>
      <c r="G547" s="4" t="str">
        <f>HYPERLINK("http://141.218.60.56/~jnz1568/getInfo.php?workbook=06_02.xlsx&amp;sheet=U0&amp;row=547&amp;col=7&amp;number=2.53e-05&amp;sourceID=14","2.53e-05")</f>
        <v>2.53e-05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HYPERLINK("http://141.218.60.56/~jnz1568/getInfo.php?workbook=06_02.xlsx&amp;sheet=U0&amp;row=548&amp;col=6&amp;number=3.4&amp;sourceID=14","3.4")</f>
        <v>3.4</v>
      </c>
      <c r="G548" s="4" t="str">
        <f>HYPERLINK("http://141.218.60.56/~jnz1568/getInfo.php?workbook=06_02.xlsx&amp;sheet=U0&amp;row=548&amp;col=7&amp;number=2.53e-05&amp;sourceID=14","2.53e-05")</f>
        <v>2.53e-05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HYPERLINK("http://141.218.60.56/~jnz1568/getInfo.php?workbook=06_02.xlsx&amp;sheet=U0&amp;row=549&amp;col=6&amp;number=3.5&amp;sourceID=14","3.5")</f>
        <v>3.5</v>
      </c>
      <c r="G549" s="4" t="str">
        <f>HYPERLINK("http://141.218.60.56/~jnz1568/getInfo.php?workbook=06_02.xlsx&amp;sheet=U0&amp;row=549&amp;col=7&amp;number=2.53e-05&amp;sourceID=14","2.53e-05")</f>
        <v>2.53e-05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HYPERLINK("http://141.218.60.56/~jnz1568/getInfo.php?workbook=06_02.xlsx&amp;sheet=U0&amp;row=550&amp;col=6&amp;number=3.6&amp;sourceID=14","3.6")</f>
        <v>3.6</v>
      </c>
      <c r="G550" s="4" t="str">
        <f>HYPERLINK("http://141.218.60.56/~jnz1568/getInfo.php?workbook=06_02.xlsx&amp;sheet=U0&amp;row=550&amp;col=7&amp;number=2.53e-05&amp;sourceID=14","2.53e-05")</f>
        <v>2.53e-05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HYPERLINK("http://141.218.60.56/~jnz1568/getInfo.php?workbook=06_02.xlsx&amp;sheet=U0&amp;row=551&amp;col=6&amp;number=3.7&amp;sourceID=14","3.7")</f>
        <v>3.7</v>
      </c>
      <c r="G551" s="4" t="str">
        <f>HYPERLINK("http://141.218.60.56/~jnz1568/getInfo.php?workbook=06_02.xlsx&amp;sheet=U0&amp;row=551&amp;col=7&amp;number=2.53e-05&amp;sourceID=14","2.53e-05")</f>
        <v>2.53e-05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HYPERLINK("http://141.218.60.56/~jnz1568/getInfo.php?workbook=06_02.xlsx&amp;sheet=U0&amp;row=552&amp;col=6&amp;number=3.8&amp;sourceID=14","3.8")</f>
        <v>3.8</v>
      </c>
      <c r="G552" s="4" t="str">
        <f>HYPERLINK("http://141.218.60.56/~jnz1568/getInfo.php?workbook=06_02.xlsx&amp;sheet=U0&amp;row=552&amp;col=7&amp;number=2.53e-05&amp;sourceID=14","2.53e-05")</f>
        <v>2.53e-05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HYPERLINK("http://141.218.60.56/~jnz1568/getInfo.php?workbook=06_02.xlsx&amp;sheet=U0&amp;row=553&amp;col=6&amp;number=3.9&amp;sourceID=14","3.9")</f>
        <v>3.9</v>
      </c>
      <c r="G553" s="4" t="str">
        <f>HYPERLINK("http://141.218.60.56/~jnz1568/getInfo.php?workbook=06_02.xlsx&amp;sheet=U0&amp;row=553&amp;col=7&amp;number=2.52e-05&amp;sourceID=14","2.52e-05")</f>
        <v>2.52e-05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HYPERLINK("http://141.218.60.56/~jnz1568/getInfo.php?workbook=06_02.xlsx&amp;sheet=U0&amp;row=554&amp;col=6&amp;number=4&amp;sourceID=14","4")</f>
        <v>4</v>
      </c>
      <c r="G554" s="4" t="str">
        <f>HYPERLINK("http://141.218.60.56/~jnz1568/getInfo.php?workbook=06_02.xlsx&amp;sheet=U0&amp;row=554&amp;col=7&amp;number=2.52e-05&amp;sourceID=14","2.52e-05")</f>
        <v>2.52e-05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HYPERLINK("http://141.218.60.56/~jnz1568/getInfo.php?workbook=06_02.xlsx&amp;sheet=U0&amp;row=555&amp;col=6&amp;number=4.1&amp;sourceID=14","4.1")</f>
        <v>4.1</v>
      </c>
      <c r="G555" s="4" t="str">
        <f>HYPERLINK("http://141.218.60.56/~jnz1568/getInfo.php?workbook=06_02.xlsx&amp;sheet=U0&amp;row=555&amp;col=7&amp;number=2.52e-05&amp;sourceID=14","2.52e-05")</f>
        <v>2.52e-05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HYPERLINK("http://141.218.60.56/~jnz1568/getInfo.php?workbook=06_02.xlsx&amp;sheet=U0&amp;row=556&amp;col=6&amp;number=4.2&amp;sourceID=14","4.2")</f>
        <v>4.2</v>
      </c>
      <c r="G556" s="4" t="str">
        <f>HYPERLINK("http://141.218.60.56/~jnz1568/getInfo.php?workbook=06_02.xlsx&amp;sheet=U0&amp;row=556&amp;col=7&amp;number=2.51e-05&amp;sourceID=14","2.51e-05")</f>
        <v>2.51e-05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HYPERLINK("http://141.218.60.56/~jnz1568/getInfo.php?workbook=06_02.xlsx&amp;sheet=U0&amp;row=557&amp;col=6&amp;number=4.3&amp;sourceID=14","4.3")</f>
        <v>4.3</v>
      </c>
      <c r="G557" s="4" t="str">
        <f>HYPERLINK("http://141.218.60.56/~jnz1568/getInfo.php?workbook=06_02.xlsx&amp;sheet=U0&amp;row=557&amp;col=7&amp;number=2.51e-05&amp;sourceID=14","2.51e-05")</f>
        <v>2.51e-05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HYPERLINK("http://141.218.60.56/~jnz1568/getInfo.php?workbook=06_02.xlsx&amp;sheet=U0&amp;row=558&amp;col=6&amp;number=4.4&amp;sourceID=14","4.4")</f>
        <v>4.4</v>
      </c>
      <c r="G558" s="4" t="str">
        <f>HYPERLINK("http://141.218.60.56/~jnz1568/getInfo.php?workbook=06_02.xlsx&amp;sheet=U0&amp;row=558&amp;col=7&amp;number=2.5e-05&amp;sourceID=14","2.5e-05")</f>
        <v>2.5e-05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HYPERLINK("http://141.218.60.56/~jnz1568/getInfo.php?workbook=06_02.xlsx&amp;sheet=U0&amp;row=559&amp;col=6&amp;number=4.5&amp;sourceID=14","4.5")</f>
        <v>4.5</v>
      </c>
      <c r="G559" s="4" t="str">
        <f>HYPERLINK("http://141.218.60.56/~jnz1568/getInfo.php?workbook=06_02.xlsx&amp;sheet=U0&amp;row=559&amp;col=7&amp;number=2.49e-05&amp;sourceID=14","2.49e-05")</f>
        <v>2.49e-05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HYPERLINK("http://141.218.60.56/~jnz1568/getInfo.php?workbook=06_02.xlsx&amp;sheet=U0&amp;row=560&amp;col=6&amp;number=4.6&amp;sourceID=14","4.6")</f>
        <v>4.6</v>
      </c>
      <c r="G560" s="4" t="str">
        <f>HYPERLINK("http://141.218.60.56/~jnz1568/getInfo.php?workbook=06_02.xlsx&amp;sheet=U0&amp;row=560&amp;col=7&amp;number=2.48e-05&amp;sourceID=14","2.48e-05")</f>
        <v>2.48e-05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HYPERLINK("http://141.218.60.56/~jnz1568/getInfo.php?workbook=06_02.xlsx&amp;sheet=U0&amp;row=561&amp;col=6&amp;number=4.7&amp;sourceID=14","4.7")</f>
        <v>4.7</v>
      </c>
      <c r="G561" s="4" t="str">
        <f>HYPERLINK("http://141.218.60.56/~jnz1568/getInfo.php?workbook=06_02.xlsx&amp;sheet=U0&amp;row=561&amp;col=7&amp;number=2.47e-05&amp;sourceID=14","2.47e-05")</f>
        <v>2.47e-05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HYPERLINK("http://141.218.60.56/~jnz1568/getInfo.php?workbook=06_02.xlsx&amp;sheet=U0&amp;row=562&amp;col=6&amp;number=4.8&amp;sourceID=14","4.8")</f>
        <v>4.8</v>
      </c>
      <c r="G562" s="4" t="str">
        <f>HYPERLINK("http://141.218.60.56/~jnz1568/getInfo.php?workbook=06_02.xlsx&amp;sheet=U0&amp;row=562&amp;col=7&amp;number=2.45e-05&amp;sourceID=14","2.45e-05")</f>
        <v>2.45e-05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HYPERLINK("http://141.218.60.56/~jnz1568/getInfo.php?workbook=06_02.xlsx&amp;sheet=U0&amp;row=563&amp;col=6&amp;number=4.9&amp;sourceID=14","4.9")</f>
        <v>4.9</v>
      </c>
      <c r="G563" s="4" t="str">
        <f>HYPERLINK("http://141.218.60.56/~jnz1568/getInfo.php?workbook=06_02.xlsx&amp;sheet=U0&amp;row=563&amp;col=7&amp;number=2.43e-05&amp;sourceID=14","2.43e-05")</f>
        <v>2.43e-05</v>
      </c>
    </row>
    <row r="564" spans="1:7">
      <c r="A564" s="3">
        <v>6</v>
      </c>
      <c r="B564" s="3">
        <v>2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HYPERLINK("http://141.218.60.56/~jnz1568/getInfo.php?workbook=06_02.xlsx&amp;sheet=U0&amp;row=564&amp;col=6&amp;number=3&amp;sourceID=14","3")</f>
        <v>3</v>
      </c>
      <c r="G564" s="4" t="str">
        <f>HYPERLINK("http://141.218.60.56/~jnz1568/getInfo.php?workbook=06_02.xlsx&amp;sheet=U0&amp;row=564&amp;col=7&amp;number=3.53e-05&amp;sourceID=14","3.53e-05")</f>
        <v>3.53e-05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HYPERLINK("http://141.218.60.56/~jnz1568/getInfo.php?workbook=06_02.xlsx&amp;sheet=U0&amp;row=565&amp;col=6&amp;number=3.1&amp;sourceID=14","3.1")</f>
        <v>3.1</v>
      </c>
      <c r="G565" s="4" t="str">
        <f>HYPERLINK("http://141.218.60.56/~jnz1568/getInfo.php?workbook=06_02.xlsx&amp;sheet=U0&amp;row=565&amp;col=7&amp;number=3.53e-05&amp;sourceID=14","3.53e-05")</f>
        <v>3.53e-05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HYPERLINK("http://141.218.60.56/~jnz1568/getInfo.php?workbook=06_02.xlsx&amp;sheet=U0&amp;row=566&amp;col=6&amp;number=3.2&amp;sourceID=14","3.2")</f>
        <v>3.2</v>
      </c>
      <c r="G566" s="4" t="str">
        <f>HYPERLINK("http://141.218.60.56/~jnz1568/getInfo.php?workbook=06_02.xlsx&amp;sheet=U0&amp;row=566&amp;col=7&amp;number=3.53e-05&amp;sourceID=14","3.53e-05")</f>
        <v>3.53e-05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HYPERLINK("http://141.218.60.56/~jnz1568/getInfo.php?workbook=06_02.xlsx&amp;sheet=U0&amp;row=567&amp;col=6&amp;number=3.3&amp;sourceID=14","3.3")</f>
        <v>3.3</v>
      </c>
      <c r="G567" s="4" t="str">
        <f>HYPERLINK("http://141.218.60.56/~jnz1568/getInfo.php?workbook=06_02.xlsx&amp;sheet=U0&amp;row=567&amp;col=7&amp;number=3.53e-05&amp;sourceID=14","3.53e-05")</f>
        <v>3.53e-05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HYPERLINK("http://141.218.60.56/~jnz1568/getInfo.php?workbook=06_02.xlsx&amp;sheet=U0&amp;row=568&amp;col=6&amp;number=3.4&amp;sourceID=14","3.4")</f>
        <v>3.4</v>
      </c>
      <c r="G568" s="4" t="str">
        <f>HYPERLINK("http://141.218.60.56/~jnz1568/getInfo.php?workbook=06_02.xlsx&amp;sheet=U0&amp;row=568&amp;col=7&amp;number=3.53e-05&amp;sourceID=14","3.53e-05")</f>
        <v>3.53e-05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HYPERLINK("http://141.218.60.56/~jnz1568/getInfo.php?workbook=06_02.xlsx&amp;sheet=U0&amp;row=569&amp;col=6&amp;number=3.5&amp;sourceID=14","3.5")</f>
        <v>3.5</v>
      </c>
      <c r="G569" s="4" t="str">
        <f>HYPERLINK("http://141.218.60.56/~jnz1568/getInfo.php?workbook=06_02.xlsx&amp;sheet=U0&amp;row=569&amp;col=7&amp;number=3.53e-05&amp;sourceID=14","3.53e-05")</f>
        <v>3.53e-05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HYPERLINK("http://141.218.60.56/~jnz1568/getInfo.php?workbook=06_02.xlsx&amp;sheet=U0&amp;row=570&amp;col=6&amp;number=3.6&amp;sourceID=14","3.6")</f>
        <v>3.6</v>
      </c>
      <c r="G570" s="4" t="str">
        <f>HYPERLINK("http://141.218.60.56/~jnz1568/getInfo.php?workbook=06_02.xlsx&amp;sheet=U0&amp;row=570&amp;col=7&amp;number=3.53e-05&amp;sourceID=14","3.53e-05")</f>
        <v>3.53e-05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HYPERLINK("http://141.218.60.56/~jnz1568/getInfo.php?workbook=06_02.xlsx&amp;sheet=U0&amp;row=571&amp;col=6&amp;number=3.7&amp;sourceID=14","3.7")</f>
        <v>3.7</v>
      </c>
      <c r="G571" s="4" t="str">
        <f>HYPERLINK("http://141.218.60.56/~jnz1568/getInfo.php?workbook=06_02.xlsx&amp;sheet=U0&amp;row=571&amp;col=7&amp;number=3.53e-05&amp;sourceID=14","3.53e-05")</f>
        <v>3.53e-05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HYPERLINK("http://141.218.60.56/~jnz1568/getInfo.php?workbook=06_02.xlsx&amp;sheet=U0&amp;row=572&amp;col=6&amp;number=3.8&amp;sourceID=14","3.8")</f>
        <v>3.8</v>
      </c>
      <c r="G572" s="4" t="str">
        <f>HYPERLINK("http://141.218.60.56/~jnz1568/getInfo.php?workbook=06_02.xlsx&amp;sheet=U0&amp;row=572&amp;col=7&amp;number=3.52e-05&amp;sourceID=14","3.52e-05")</f>
        <v>3.52e-05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HYPERLINK("http://141.218.60.56/~jnz1568/getInfo.php?workbook=06_02.xlsx&amp;sheet=U0&amp;row=573&amp;col=6&amp;number=3.9&amp;sourceID=14","3.9")</f>
        <v>3.9</v>
      </c>
      <c r="G573" s="4" t="str">
        <f>HYPERLINK("http://141.218.60.56/~jnz1568/getInfo.php?workbook=06_02.xlsx&amp;sheet=U0&amp;row=573&amp;col=7&amp;number=3.52e-05&amp;sourceID=14","3.52e-05")</f>
        <v>3.52e-05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HYPERLINK("http://141.218.60.56/~jnz1568/getInfo.php?workbook=06_02.xlsx&amp;sheet=U0&amp;row=574&amp;col=6&amp;number=4&amp;sourceID=14","4")</f>
        <v>4</v>
      </c>
      <c r="G574" s="4" t="str">
        <f>HYPERLINK("http://141.218.60.56/~jnz1568/getInfo.php?workbook=06_02.xlsx&amp;sheet=U0&amp;row=574&amp;col=7&amp;number=3.51e-05&amp;sourceID=14","3.51e-05")</f>
        <v>3.51e-05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HYPERLINK("http://141.218.60.56/~jnz1568/getInfo.php?workbook=06_02.xlsx&amp;sheet=U0&amp;row=575&amp;col=6&amp;number=4.1&amp;sourceID=14","4.1")</f>
        <v>4.1</v>
      </c>
      <c r="G575" s="4" t="str">
        <f>HYPERLINK("http://141.218.60.56/~jnz1568/getInfo.php?workbook=06_02.xlsx&amp;sheet=U0&amp;row=575&amp;col=7&amp;number=3.51e-05&amp;sourceID=14","3.51e-05")</f>
        <v>3.51e-05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HYPERLINK("http://141.218.60.56/~jnz1568/getInfo.php?workbook=06_02.xlsx&amp;sheet=U0&amp;row=576&amp;col=6&amp;number=4.2&amp;sourceID=14","4.2")</f>
        <v>4.2</v>
      </c>
      <c r="G576" s="4" t="str">
        <f>HYPERLINK("http://141.218.60.56/~jnz1568/getInfo.php?workbook=06_02.xlsx&amp;sheet=U0&amp;row=576&amp;col=7&amp;number=3.5e-05&amp;sourceID=14","3.5e-05")</f>
        <v>3.5e-05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HYPERLINK("http://141.218.60.56/~jnz1568/getInfo.php?workbook=06_02.xlsx&amp;sheet=U0&amp;row=577&amp;col=6&amp;number=4.3&amp;sourceID=14","4.3")</f>
        <v>4.3</v>
      </c>
      <c r="G577" s="4" t="str">
        <f>HYPERLINK("http://141.218.60.56/~jnz1568/getInfo.php?workbook=06_02.xlsx&amp;sheet=U0&amp;row=577&amp;col=7&amp;number=3.49e-05&amp;sourceID=14","3.49e-05")</f>
        <v>3.49e-05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HYPERLINK("http://141.218.60.56/~jnz1568/getInfo.php?workbook=06_02.xlsx&amp;sheet=U0&amp;row=578&amp;col=6&amp;number=4.4&amp;sourceID=14","4.4")</f>
        <v>4.4</v>
      </c>
      <c r="G578" s="4" t="str">
        <f>HYPERLINK("http://141.218.60.56/~jnz1568/getInfo.php?workbook=06_02.xlsx&amp;sheet=U0&amp;row=578&amp;col=7&amp;number=3.48e-05&amp;sourceID=14","3.48e-05")</f>
        <v>3.48e-05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HYPERLINK("http://141.218.60.56/~jnz1568/getInfo.php?workbook=06_02.xlsx&amp;sheet=U0&amp;row=579&amp;col=6&amp;number=4.5&amp;sourceID=14","4.5")</f>
        <v>4.5</v>
      </c>
      <c r="G579" s="4" t="str">
        <f>HYPERLINK("http://141.218.60.56/~jnz1568/getInfo.php?workbook=06_02.xlsx&amp;sheet=U0&amp;row=579&amp;col=7&amp;number=3.47e-05&amp;sourceID=14","3.47e-05")</f>
        <v>3.47e-05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HYPERLINK("http://141.218.60.56/~jnz1568/getInfo.php?workbook=06_02.xlsx&amp;sheet=U0&amp;row=580&amp;col=6&amp;number=4.6&amp;sourceID=14","4.6")</f>
        <v>4.6</v>
      </c>
      <c r="G580" s="4" t="str">
        <f>HYPERLINK("http://141.218.60.56/~jnz1568/getInfo.php?workbook=06_02.xlsx&amp;sheet=U0&amp;row=580&amp;col=7&amp;number=3.45e-05&amp;sourceID=14","3.45e-05")</f>
        <v>3.45e-05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HYPERLINK("http://141.218.60.56/~jnz1568/getInfo.php?workbook=06_02.xlsx&amp;sheet=U0&amp;row=581&amp;col=6&amp;number=4.7&amp;sourceID=14","4.7")</f>
        <v>4.7</v>
      </c>
      <c r="G581" s="4" t="str">
        <f>HYPERLINK("http://141.218.60.56/~jnz1568/getInfo.php?workbook=06_02.xlsx&amp;sheet=U0&amp;row=581&amp;col=7&amp;number=3.43e-05&amp;sourceID=14","3.43e-05")</f>
        <v>3.43e-05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HYPERLINK("http://141.218.60.56/~jnz1568/getInfo.php?workbook=06_02.xlsx&amp;sheet=U0&amp;row=582&amp;col=6&amp;number=4.8&amp;sourceID=14","4.8")</f>
        <v>4.8</v>
      </c>
      <c r="G582" s="4" t="str">
        <f>HYPERLINK("http://141.218.60.56/~jnz1568/getInfo.php?workbook=06_02.xlsx&amp;sheet=U0&amp;row=582&amp;col=7&amp;number=3.41e-05&amp;sourceID=14","3.41e-05")</f>
        <v>3.41e-05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HYPERLINK("http://141.218.60.56/~jnz1568/getInfo.php?workbook=06_02.xlsx&amp;sheet=U0&amp;row=583&amp;col=6&amp;number=4.9&amp;sourceID=14","4.9")</f>
        <v>4.9</v>
      </c>
      <c r="G583" s="4" t="str">
        <f>HYPERLINK("http://141.218.60.56/~jnz1568/getInfo.php?workbook=06_02.xlsx&amp;sheet=U0&amp;row=583&amp;col=7&amp;number=3.37e-05&amp;sourceID=14","3.37e-05")</f>
        <v>3.37e-05</v>
      </c>
    </row>
    <row r="584" spans="1:7">
      <c r="A584" s="3">
        <v>6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HYPERLINK("http://141.218.60.56/~jnz1568/getInfo.php?workbook=06_02.xlsx&amp;sheet=U0&amp;row=584&amp;col=6&amp;number=3&amp;sourceID=14","3")</f>
        <v>3</v>
      </c>
      <c r="G584" s="4" t="str">
        <f>HYPERLINK("http://141.218.60.56/~jnz1568/getInfo.php?workbook=06_02.xlsx&amp;sheet=U0&amp;row=584&amp;col=7&amp;number=1.88e-05&amp;sourceID=14","1.88e-05")</f>
        <v>1.88e-05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HYPERLINK("http://141.218.60.56/~jnz1568/getInfo.php?workbook=06_02.xlsx&amp;sheet=U0&amp;row=585&amp;col=6&amp;number=3.1&amp;sourceID=14","3.1")</f>
        <v>3.1</v>
      </c>
      <c r="G585" s="4" t="str">
        <f>HYPERLINK("http://141.218.60.56/~jnz1568/getInfo.php?workbook=06_02.xlsx&amp;sheet=U0&amp;row=585&amp;col=7&amp;number=1.88e-05&amp;sourceID=14","1.88e-05")</f>
        <v>1.88e-05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HYPERLINK("http://141.218.60.56/~jnz1568/getInfo.php?workbook=06_02.xlsx&amp;sheet=U0&amp;row=586&amp;col=6&amp;number=3.2&amp;sourceID=14","3.2")</f>
        <v>3.2</v>
      </c>
      <c r="G586" s="4" t="str">
        <f>HYPERLINK("http://141.218.60.56/~jnz1568/getInfo.php?workbook=06_02.xlsx&amp;sheet=U0&amp;row=586&amp;col=7&amp;number=1.88e-05&amp;sourceID=14","1.88e-05")</f>
        <v>1.88e-05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HYPERLINK("http://141.218.60.56/~jnz1568/getInfo.php?workbook=06_02.xlsx&amp;sheet=U0&amp;row=587&amp;col=6&amp;number=3.3&amp;sourceID=14","3.3")</f>
        <v>3.3</v>
      </c>
      <c r="G587" s="4" t="str">
        <f>HYPERLINK("http://141.218.60.56/~jnz1568/getInfo.php?workbook=06_02.xlsx&amp;sheet=U0&amp;row=587&amp;col=7&amp;number=1.88e-05&amp;sourceID=14","1.88e-05")</f>
        <v>1.88e-05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HYPERLINK("http://141.218.60.56/~jnz1568/getInfo.php?workbook=06_02.xlsx&amp;sheet=U0&amp;row=588&amp;col=6&amp;number=3.4&amp;sourceID=14","3.4")</f>
        <v>3.4</v>
      </c>
      <c r="G588" s="4" t="str">
        <f>HYPERLINK("http://141.218.60.56/~jnz1568/getInfo.php?workbook=06_02.xlsx&amp;sheet=U0&amp;row=588&amp;col=7&amp;number=1.88e-05&amp;sourceID=14","1.88e-05")</f>
        <v>1.88e-05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HYPERLINK("http://141.218.60.56/~jnz1568/getInfo.php?workbook=06_02.xlsx&amp;sheet=U0&amp;row=589&amp;col=6&amp;number=3.5&amp;sourceID=14","3.5")</f>
        <v>3.5</v>
      </c>
      <c r="G589" s="4" t="str">
        <f>HYPERLINK("http://141.218.60.56/~jnz1568/getInfo.php?workbook=06_02.xlsx&amp;sheet=U0&amp;row=589&amp;col=7&amp;number=1.88e-05&amp;sourceID=14","1.88e-05")</f>
        <v>1.88e-05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HYPERLINK("http://141.218.60.56/~jnz1568/getInfo.php?workbook=06_02.xlsx&amp;sheet=U0&amp;row=590&amp;col=6&amp;number=3.6&amp;sourceID=14","3.6")</f>
        <v>3.6</v>
      </c>
      <c r="G590" s="4" t="str">
        <f>HYPERLINK("http://141.218.60.56/~jnz1568/getInfo.php?workbook=06_02.xlsx&amp;sheet=U0&amp;row=590&amp;col=7&amp;number=1.88e-05&amp;sourceID=14","1.88e-05")</f>
        <v>1.88e-05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HYPERLINK("http://141.218.60.56/~jnz1568/getInfo.php?workbook=06_02.xlsx&amp;sheet=U0&amp;row=591&amp;col=6&amp;number=3.7&amp;sourceID=14","3.7")</f>
        <v>3.7</v>
      </c>
      <c r="G591" s="4" t="str">
        <f>HYPERLINK("http://141.218.60.56/~jnz1568/getInfo.php?workbook=06_02.xlsx&amp;sheet=U0&amp;row=591&amp;col=7&amp;number=1.88e-05&amp;sourceID=14","1.88e-05")</f>
        <v>1.88e-05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HYPERLINK("http://141.218.60.56/~jnz1568/getInfo.php?workbook=06_02.xlsx&amp;sheet=U0&amp;row=592&amp;col=6&amp;number=3.8&amp;sourceID=14","3.8")</f>
        <v>3.8</v>
      </c>
      <c r="G592" s="4" t="str">
        <f>HYPERLINK("http://141.218.60.56/~jnz1568/getInfo.php?workbook=06_02.xlsx&amp;sheet=U0&amp;row=592&amp;col=7&amp;number=1.87e-05&amp;sourceID=14","1.87e-05")</f>
        <v>1.87e-05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HYPERLINK("http://141.218.60.56/~jnz1568/getInfo.php?workbook=06_02.xlsx&amp;sheet=U0&amp;row=593&amp;col=6&amp;number=3.9&amp;sourceID=14","3.9")</f>
        <v>3.9</v>
      </c>
      <c r="G593" s="4" t="str">
        <f>HYPERLINK("http://141.218.60.56/~jnz1568/getInfo.php?workbook=06_02.xlsx&amp;sheet=U0&amp;row=593&amp;col=7&amp;number=1.87e-05&amp;sourceID=14","1.87e-05")</f>
        <v>1.87e-05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HYPERLINK("http://141.218.60.56/~jnz1568/getInfo.php?workbook=06_02.xlsx&amp;sheet=U0&amp;row=594&amp;col=6&amp;number=4&amp;sourceID=14","4")</f>
        <v>4</v>
      </c>
      <c r="G594" s="4" t="str">
        <f>HYPERLINK("http://141.218.60.56/~jnz1568/getInfo.php?workbook=06_02.xlsx&amp;sheet=U0&amp;row=594&amp;col=7&amp;number=1.87e-05&amp;sourceID=14","1.87e-05")</f>
        <v>1.87e-05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HYPERLINK("http://141.218.60.56/~jnz1568/getInfo.php?workbook=06_02.xlsx&amp;sheet=U0&amp;row=595&amp;col=6&amp;number=4.1&amp;sourceID=14","4.1")</f>
        <v>4.1</v>
      </c>
      <c r="G595" s="4" t="str">
        <f>HYPERLINK("http://141.218.60.56/~jnz1568/getInfo.php?workbook=06_02.xlsx&amp;sheet=U0&amp;row=595&amp;col=7&amp;number=1.87e-05&amp;sourceID=14","1.87e-05")</f>
        <v>1.87e-05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HYPERLINK("http://141.218.60.56/~jnz1568/getInfo.php?workbook=06_02.xlsx&amp;sheet=U0&amp;row=596&amp;col=6&amp;number=4.2&amp;sourceID=14","4.2")</f>
        <v>4.2</v>
      </c>
      <c r="G596" s="4" t="str">
        <f>HYPERLINK("http://141.218.60.56/~jnz1568/getInfo.php?workbook=06_02.xlsx&amp;sheet=U0&amp;row=596&amp;col=7&amp;number=1.87e-05&amp;sourceID=14","1.87e-05")</f>
        <v>1.87e-05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HYPERLINK("http://141.218.60.56/~jnz1568/getInfo.php?workbook=06_02.xlsx&amp;sheet=U0&amp;row=597&amp;col=6&amp;number=4.3&amp;sourceID=14","4.3")</f>
        <v>4.3</v>
      </c>
      <c r="G597" s="4" t="str">
        <f>HYPERLINK("http://141.218.60.56/~jnz1568/getInfo.php?workbook=06_02.xlsx&amp;sheet=U0&amp;row=597&amp;col=7&amp;number=1.87e-05&amp;sourceID=14","1.87e-05")</f>
        <v>1.87e-05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HYPERLINK("http://141.218.60.56/~jnz1568/getInfo.php?workbook=06_02.xlsx&amp;sheet=U0&amp;row=598&amp;col=6&amp;number=4.4&amp;sourceID=14","4.4")</f>
        <v>4.4</v>
      </c>
      <c r="G598" s="4" t="str">
        <f>HYPERLINK("http://141.218.60.56/~jnz1568/getInfo.php?workbook=06_02.xlsx&amp;sheet=U0&amp;row=598&amp;col=7&amp;number=1.86e-05&amp;sourceID=14","1.86e-05")</f>
        <v>1.86e-05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HYPERLINK("http://141.218.60.56/~jnz1568/getInfo.php?workbook=06_02.xlsx&amp;sheet=U0&amp;row=599&amp;col=6&amp;number=4.5&amp;sourceID=14","4.5")</f>
        <v>4.5</v>
      </c>
      <c r="G599" s="4" t="str">
        <f>HYPERLINK("http://141.218.60.56/~jnz1568/getInfo.php?workbook=06_02.xlsx&amp;sheet=U0&amp;row=599&amp;col=7&amp;number=1.86e-05&amp;sourceID=14","1.86e-05")</f>
        <v>1.86e-05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HYPERLINK("http://141.218.60.56/~jnz1568/getInfo.php?workbook=06_02.xlsx&amp;sheet=U0&amp;row=600&amp;col=6&amp;number=4.6&amp;sourceID=14","4.6")</f>
        <v>4.6</v>
      </c>
      <c r="G600" s="4" t="str">
        <f>HYPERLINK("http://141.218.60.56/~jnz1568/getInfo.php?workbook=06_02.xlsx&amp;sheet=U0&amp;row=600&amp;col=7&amp;number=1.85e-05&amp;sourceID=14","1.85e-05")</f>
        <v>1.85e-05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HYPERLINK("http://141.218.60.56/~jnz1568/getInfo.php?workbook=06_02.xlsx&amp;sheet=U0&amp;row=601&amp;col=6&amp;number=4.7&amp;sourceID=14","4.7")</f>
        <v>4.7</v>
      </c>
      <c r="G601" s="4" t="str">
        <f>HYPERLINK("http://141.218.60.56/~jnz1568/getInfo.php?workbook=06_02.xlsx&amp;sheet=U0&amp;row=601&amp;col=7&amp;number=1.85e-05&amp;sourceID=14","1.85e-05")</f>
        <v>1.85e-05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HYPERLINK("http://141.218.60.56/~jnz1568/getInfo.php?workbook=06_02.xlsx&amp;sheet=U0&amp;row=602&amp;col=6&amp;number=4.8&amp;sourceID=14","4.8")</f>
        <v>4.8</v>
      </c>
      <c r="G602" s="4" t="str">
        <f>HYPERLINK("http://141.218.60.56/~jnz1568/getInfo.php?workbook=06_02.xlsx&amp;sheet=U0&amp;row=602&amp;col=7&amp;number=1.84e-05&amp;sourceID=14","1.84e-05")</f>
        <v>1.84e-05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HYPERLINK("http://141.218.60.56/~jnz1568/getInfo.php?workbook=06_02.xlsx&amp;sheet=U0&amp;row=603&amp;col=6&amp;number=4.9&amp;sourceID=14","4.9")</f>
        <v>4.9</v>
      </c>
      <c r="G603" s="4" t="str">
        <f>HYPERLINK("http://141.218.60.56/~jnz1568/getInfo.php?workbook=06_02.xlsx&amp;sheet=U0&amp;row=603&amp;col=7&amp;number=1.83e-05&amp;sourceID=14","1.83e-05")</f>
        <v>1.83e-05</v>
      </c>
    </row>
    <row r="604" spans="1:7">
      <c r="A604" s="3">
        <v>6</v>
      </c>
      <c r="B604" s="3">
        <v>2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HYPERLINK("http://141.218.60.56/~jnz1568/getInfo.php?workbook=06_02.xlsx&amp;sheet=U0&amp;row=604&amp;col=6&amp;number=3&amp;sourceID=14","3")</f>
        <v>3</v>
      </c>
      <c r="G604" s="4" t="str">
        <f>HYPERLINK("http://141.218.60.56/~jnz1568/getInfo.php?workbook=06_02.xlsx&amp;sheet=U0&amp;row=604&amp;col=7&amp;number=0.000411&amp;sourceID=14","0.000411")</f>
        <v>0.000411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HYPERLINK("http://141.218.60.56/~jnz1568/getInfo.php?workbook=06_02.xlsx&amp;sheet=U0&amp;row=605&amp;col=6&amp;number=3.1&amp;sourceID=14","3.1")</f>
        <v>3.1</v>
      </c>
      <c r="G605" s="4" t="str">
        <f>HYPERLINK("http://141.218.60.56/~jnz1568/getInfo.php?workbook=06_02.xlsx&amp;sheet=U0&amp;row=605&amp;col=7&amp;number=0.000411&amp;sourceID=14","0.000411")</f>
        <v>0.000411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HYPERLINK("http://141.218.60.56/~jnz1568/getInfo.php?workbook=06_02.xlsx&amp;sheet=U0&amp;row=606&amp;col=6&amp;number=3.2&amp;sourceID=14","3.2")</f>
        <v>3.2</v>
      </c>
      <c r="G606" s="4" t="str">
        <f>HYPERLINK("http://141.218.60.56/~jnz1568/getInfo.php?workbook=06_02.xlsx&amp;sheet=U0&amp;row=606&amp;col=7&amp;number=0.000411&amp;sourceID=14","0.000411")</f>
        <v>0.000411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HYPERLINK("http://141.218.60.56/~jnz1568/getInfo.php?workbook=06_02.xlsx&amp;sheet=U0&amp;row=607&amp;col=6&amp;number=3.3&amp;sourceID=14","3.3")</f>
        <v>3.3</v>
      </c>
      <c r="G607" s="4" t="str">
        <f>HYPERLINK("http://141.218.60.56/~jnz1568/getInfo.php?workbook=06_02.xlsx&amp;sheet=U0&amp;row=607&amp;col=7&amp;number=0.000411&amp;sourceID=14","0.000411")</f>
        <v>0.000411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HYPERLINK("http://141.218.60.56/~jnz1568/getInfo.php?workbook=06_02.xlsx&amp;sheet=U0&amp;row=608&amp;col=6&amp;number=3.4&amp;sourceID=14","3.4")</f>
        <v>3.4</v>
      </c>
      <c r="G608" s="4" t="str">
        <f>HYPERLINK("http://141.218.60.56/~jnz1568/getInfo.php?workbook=06_02.xlsx&amp;sheet=U0&amp;row=608&amp;col=7&amp;number=0.000411&amp;sourceID=14","0.000411")</f>
        <v>0.000411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HYPERLINK("http://141.218.60.56/~jnz1568/getInfo.php?workbook=06_02.xlsx&amp;sheet=U0&amp;row=609&amp;col=6&amp;number=3.5&amp;sourceID=14","3.5")</f>
        <v>3.5</v>
      </c>
      <c r="G609" s="4" t="str">
        <f>HYPERLINK("http://141.218.60.56/~jnz1568/getInfo.php?workbook=06_02.xlsx&amp;sheet=U0&amp;row=609&amp;col=7&amp;number=0.000411&amp;sourceID=14","0.000411")</f>
        <v>0.000411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HYPERLINK("http://141.218.60.56/~jnz1568/getInfo.php?workbook=06_02.xlsx&amp;sheet=U0&amp;row=610&amp;col=6&amp;number=3.6&amp;sourceID=14","3.6")</f>
        <v>3.6</v>
      </c>
      <c r="G610" s="4" t="str">
        <f>HYPERLINK("http://141.218.60.56/~jnz1568/getInfo.php?workbook=06_02.xlsx&amp;sheet=U0&amp;row=610&amp;col=7&amp;number=0.000411&amp;sourceID=14","0.000411")</f>
        <v>0.000411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HYPERLINK("http://141.218.60.56/~jnz1568/getInfo.php?workbook=06_02.xlsx&amp;sheet=U0&amp;row=611&amp;col=6&amp;number=3.7&amp;sourceID=14","3.7")</f>
        <v>3.7</v>
      </c>
      <c r="G611" s="4" t="str">
        <f>HYPERLINK("http://141.218.60.56/~jnz1568/getInfo.php?workbook=06_02.xlsx&amp;sheet=U0&amp;row=611&amp;col=7&amp;number=0.000411&amp;sourceID=14","0.000411")</f>
        <v>0.000411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HYPERLINK("http://141.218.60.56/~jnz1568/getInfo.php?workbook=06_02.xlsx&amp;sheet=U0&amp;row=612&amp;col=6&amp;number=3.8&amp;sourceID=14","3.8")</f>
        <v>3.8</v>
      </c>
      <c r="G612" s="4" t="str">
        <f>HYPERLINK("http://141.218.60.56/~jnz1568/getInfo.php?workbook=06_02.xlsx&amp;sheet=U0&amp;row=612&amp;col=7&amp;number=0.000411&amp;sourceID=14","0.000411")</f>
        <v>0.000411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HYPERLINK("http://141.218.60.56/~jnz1568/getInfo.php?workbook=06_02.xlsx&amp;sheet=U0&amp;row=613&amp;col=6&amp;number=3.9&amp;sourceID=14","3.9")</f>
        <v>3.9</v>
      </c>
      <c r="G613" s="4" t="str">
        <f>HYPERLINK("http://141.218.60.56/~jnz1568/getInfo.php?workbook=06_02.xlsx&amp;sheet=U0&amp;row=613&amp;col=7&amp;number=0.000411&amp;sourceID=14","0.000411")</f>
        <v>0.000411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HYPERLINK("http://141.218.60.56/~jnz1568/getInfo.php?workbook=06_02.xlsx&amp;sheet=U0&amp;row=614&amp;col=6&amp;number=4&amp;sourceID=14","4")</f>
        <v>4</v>
      </c>
      <c r="G614" s="4" t="str">
        <f>HYPERLINK("http://141.218.60.56/~jnz1568/getInfo.php?workbook=06_02.xlsx&amp;sheet=U0&amp;row=614&amp;col=7&amp;number=0.00041&amp;sourceID=14","0.00041")</f>
        <v>0.00041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HYPERLINK("http://141.218.60.56/~jnz1568/getInfo.php?workbook=06_02.xlsx&amp;sheet=U0&amp;row=615&amp;col=6&amp;number=4.1&amp;sourceID=14","4.1")</f>
        <v>4.1</v>
      </c>
      <c r="G615" s="4" t="str">
        <f>HYPERLINK("http://141.218.60.56/~jnz1568/getInfo.php?workbook=06_02.xlsx&amp;sheet=U0&amp;row=615&amp;col=7&amp;number=0.00041&amp;sourceID=14","0.00041")</f>
        <v>0.00041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HYPERLINK("http://141.218.60.56/~jnz1568/getInfo.php?workbook=06_02.xlsx&amp;sheet=U0&amp;row=616&amp;col=6&amp;number=4.2&amp;sourceID=14","4.2")</f>
        <v>4.2</v>
      </c>
      <c r="G616" s="4" t="str">
        <f>HYPERLINK("http://141.218.60.56/~jnz1568/getInfo.php?workbook=06_02.xlsx&amp;sheet=U0&amp;row=616&amp;col=7&amp;number=0.00041&amp;sourceID=14","0.00041")</f>
        <v>0.00041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HYPERLINK("http://141.218.60.56/~jnz1568/getInfo.php?workbook=06_02.xlsx&amp;sheet=U0&amp;row=617&amp;col=6&amp;number=4.3&amp;sourceID=14","4.3")</f>
        <v>4.3</v>
      </c>
      <c r="G617" s="4" t="str">
        <f>HYPERLINK("http://141.218.60.56/~jnz1568/getInfo.php?workbook=06_02.xlsx&amp;sheet=U0&amp;row=617&amp;col=7&amp;number=0.000409&amp;sourceID=14","0.000409")</f>
        <v>0.000409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HYPERLINK("http://141.218.60.56/~jnz1568/getInfo.php?workbook=06_02.xlsx&amp;sheet=U0&amp;row=618&amp;col=6&amp;number=4.4&amp;sourceID=14","4.4")</f>
        <v>4.4</v>
      </c>
      <c r="G618" s="4" t="str">
        <f>HYPERLINK("http://141.218.60.56/~jnz1568/getInfo.php?workbook=06_02.xlsx&amp;sheet=U0&amp;row=618&amp;col=7&amp;number=0.000409&amp;sourceID=14","0.000409")</f>
        <v>0.000409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HYPERLINK("http://141.218.60.56/~jnz1568/getInfo.php?workbook=06_02.xlsx&amp;sheet=U0&amp;row=619&amp;col=6&amp;number=4.5&amp;sourceID=14","4.5")</f>
        <v>4.5</v>
      </c>
      <c r="G619" s="4" t="str">
        <f>HYPERLINK("http://141.218.60.56/~jnz1568/getInfo.php?workbook=06_02.xlsx&amp;sheet=U0&amp;row=619&amp;col=7&amp;number=0.000408&amp;sourceID=14","0.000408")</f>
        <v>0.000408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HYPERLINK("http://141.218.60.56/~jnz1568/getInfo.php?workbook=06_02.xlsx&amp;sheet=U0&amp;row=620&amp;col=6&amp;number=4.6&amp;sourceID=14","4.6")</f>
        <v>4.6</v>
      </c>
      <c r="G620" s="4" t="str">
        <f>HYPERLINK("http://141.218.60.56/~jnz1568/getInfo.php?workbook=06_02.xlsx&amp;sheet=U0&amp;row=620&amp;col=7&amp;number=0.000407&amp;sourceID=14","0.000407")</f>
        <v>0.000407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HYPERLINK("http://141.218.60.56/~jnz1568/getInfo.php?workbook=06_02.xlsx&amp;sheet=U0&amp;row=621&amp;col=6&amp;number=4.7&amp;sourceID=14","4.7")</f>
        <v>4.7</v>
      </c>
      <c r="G621" s="4" t="str">
        <f>HYPERLINK("http://141.218.60.56/~jnz1568/getInfo.php?workbook=06_02.xlsx&amp;sheet=U0&amp;row=621&amp;col=7&amp;number=0.000406&amp;sourceID=14","0.000406")</f>
        <v>0.000406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HYPERLINK("http://141.218.60.56/~jnz1568/getInfo.php?workbook=06_02.xlsx&amp;sheet=U0&amp;row=622&amp;col=6&amp;number=4.8&amp;sourceID=14","4.8")</f>
        <v>4.8</v>
      </c>
      <c r="G622" s="4" t="str">
        <f>HYPERLINK("http://141.218.60.56/~jnz1568/getInfo.php?workbook=06_02.xlsx&amp;sheet=U0&amp;row=622&amp;col=7&amp;number=0.000405&amp;sourceID=14","0.000405")</f>
        <v>0.000405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HYPERLINK("http://141.218.60.56/~jnz1568/getInfo.php?workbook=06_02.xlsx&amp;sheet=U0&amp;row=623&amp;col=6&amp;number=4.9&amp;sourceID=14","4.9")</f>
        <v>4.9</v>
      </c>
      <c r="G623" s="4" t="str">
        <f>HYPERLINK("http://141.218.60.56/~jnz1568/getInfo.php?workbook=06_02.xlsx&amp;sheet=U0&amp;row=623&amp;col=7&amp;number=0.000403&amp;sourceID=14","0.000403")</f>
        <v>0.000403</v>
      </c>
    </row>
    <row r="624" spans="1:7">
      <c r="A624" s="3">
        <v>6</v>
      </c>
      <c r="B624" s="3">
        <v>2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HYPERLINK("http://141.218.60.56/~jnz1568/getInfo.php?workbook=06_02.xlsx&amp;sheet=U0&amp;row=624&amp;col=6&amp;number=3&amp;sourceID=14","3")</f>
        <v>3</v>
      </c>
      <c r="G624" s="4" t="str">
        <f>HYPERLINK("http://141.218.60.56/~jnz1568/getInfo.php?workbook=06_02.xlsx&amp;sheet=U0&amp;row=624&amp;col=7&amp;number=0.000485&amp;sourceID=14","0.000485")</f>
        <v>0.000485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HYPERLINK("http://141.218.60.56/~jnz1568/getInfo.php?workbook=06_02.xlsx&amp;sheet=U0&amp;row=625&amp;col=6&amp;number=3.1&amp;sourceID=14","3.1")</f>
        <v>3.1</v>
      </c>
      <c r="G625" s="4" t="str">
        <f>HYPERLINK("http://141.218.60.56/~jnz1568/getInfo.php?workbook=06_02.xlsx&amp;sheet=U0&amp;row=625&amp;col=7&amp;number=0.000486&amp;sourceID=14","0.000486")</f>
        <v>0.000486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HYPERLINK("http://141.218.60.56/~jnz1568/getInfo.php?workbook=06_02.xlsx&amp;sheet=U0&amp;row=626&amp;col=6&amp;number=3.2&amp;sourceID=14","3.2")</f>
        <v>3.2</v>
      </c>
      <c r="G626" s="4" t="str">
        <f>HYPERLINK("http://141.218.60.56/~jnz1568/getInfo.php?workbook=06_02.xlsx&amp;sheet=U0&amp;row=626&amp;col=7&amp;number=0.000486&amp;sourceID=14","0.000486")</f>
        <v>0.000486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HYPERLINK("http://141.218.60.56/~jnz1568/getInfo.php?workbook=06_02.xlsx&amp;sheet=U0&amp;row=627&amp;col=6&amp;number=3.3&amp;sourceID=14","3.3")</f>
        <v>3.3</v>
      </c>
      <c r="G627" s="4" t="str">
        <f>HYPERLINK("http://141.218.60.56/~jnz1568/getInfo.php?workbook=06_02.xlsx&amp;sheet=U0&amp;row=627&amp;col=7&amp;number=0.000486&amp;sourceID=14","0.000486")</f>
        <v>0.000486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HYPERLINK("http://141.218.60.56/~jnz1568/getInfo.php?workbook=06_02.xlsx&amp;sheet=U0&amp;row=628&amp;col=6&amp;number=3.4&amp;sourceID=14","3.4")</f>
        <v>3.4</v>
      </c>
      <c r="G628" s="4" t="str">
        <f>HYPERLINK("http://141.218.60.56/~jnz1568/getInfo.php?workbook=06_02.xlsx&amp;sheet=U0&amp;row=628&amp;col=7&amp;number=0.000486&amp;sourceID=14","0.000486")</f>
        <v>0.000486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HYPERLINK("http://141.218.60.56/~jnz1568/getInfo.php?workbook=06_02.xlsx&amp;sheet=U0&amp;row=629&amp;col=6&amp;number=3.5&amp;sourceID=14","3.5")</f>
        <v>3.5</v>
      </c>
      <c r="G629" s="4" t="str">
        <f>HYPERLINK("http://141.218.60.56/~jnz1568/getInfo.php?workbook=06_02.xlsx&amp;sheet=U0&amp;row=629&amp;col=7&amp;number=0.000486&amp;sourceID=14","0.000486")</f>
        <v>0.000486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HYPERLINK("http://141.218.60.56/~jnz1568/getInfo.php?workbook=06_02.xlsx&amp;sheet=U0&amp;row=630&amp;col=6&amp;number=3.6&amp;sourceID=14","3.6")</f>
        <v>3.6</v>
      </c>
      <c r="G630" s="4" t="str">
        <f>HYPERLINK("http://141.218.60.56/~jnz1568/getInfo.php?workbook=06_02.xlsx&amp;sheet=U0&amp;row=630&amp;col=7&amp;number=0.000486&amp;sourceID=14","0.000486")</f>
        <v>0.000486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HYPERLINK("http://141.218.60.56/~jnz1568/getInfo.php?workbook=06_02.xlsx&amp;sheet=U0&amp;row=631&amp;col=6&amp;number=3.7&amp;sourceID=14","3.7")</f>
        <v>3.7</v>
      </c>
      <c r="G631" s="4" t="str">
        <f>HYPERLINK("http://141.218.60.56/~jnz1568/getInfo.php?workbook=06_02.xlsx&amp;sheet=U0&amp;row=631&amp;col=7&amp;number=0.000486&amp;sourceID=14","0.000486")</f>
        <v>0.000486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HYPERLINK("http://141.218.60.56/~jnz1568/getInfo.php?workbook=06_02.xlsx&amp;sheet=U0&amp;row=632&amp;col=6&amp;number=3.8&amp;sourceID=14","3.8")</f>
        <v>3.8</v>
      </c>
      <c r="G632" s="4" t="str">
        <f>HYPERLINK("http://141.218.60.56/~jnz1568/getInfo.php?workbook=06_02.xlsx&amp;sheet=U0&amp;row=632&amp;col=7&amp;number=0.000486&amp;sourceID=14","0.000486")</f>
        <v>0.000486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HYPERLINK("http://141.218.60.56/~jnz1568/getInfo.php?workbook=06_02.xlsx&amp;sheet=U0&amp;row=633&amp;col=6&amp;number=3.9&amp;sourceID=14","3.9")</f>
        <v>3.9</v>
      </c>
      <c r="G633" s="4" t="str">
        <f>HYPERLINK("http://141.218.60.56/~jnz1568/getInfo.php?workbook=06_02.xlsx&amp;sheet=U0&amp;row=633&amp;col=7&amp;number=0.000486&amp;sourceID=14","0.000486")</f>
        <v>0.000486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HYPERLINK("http://141.218.60.56/~jnz1568/getInfo.php?workbook=06_02.xlsx&amp;sheet=U0&amp;row=634&amp;col=6&amp;number=4&amp;sourceID=14","4")</f>
        <v>4</v>
      </c>
      <c r="G634" s="4" t="str">
        <f>HYPERLINK("http://141.218.60.56/~jnz1568/getInfo.php?workbook=06_02.xlsx&amp;sheet=U0&amp;row=634&amp;col=7&amp;number=0.000486&amp;sourceID=14","0.000486")</f>
        <v>0.000486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HYPERLINK("http://141.218.60.56/~jnz1568/getInfo.php?workbook=06_02.xlsx&amp;sheet=U0&amp;row=635&amp;col=6&amp;number=4.1&amp;sourceID=14","4.1")</f>
        <v>4.1</v>
      </c>
      <c r="G635" s="4" t="str">
        <f>HYPERLINK("http://141.218.60.56/~jnz1568/getInfo.php?workbook=06_02.xlsx&amp;sheet=U0&amp;row=635&amp;col=7&amp;number=0.000486&amp;sourceID=14","0.000486")</f>
        <v>0.000486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HYPERLINK("http://141.218.60.56/~jnz1568/getInfo.php?workbook=06_02.xlsx&amp;sheet=U0&amp;row=636&amp;col=6&amp;number=4.2&amp;sourceID=14","4.2")</f>
        <v>4.2</v>
      </c>
      <c r="G636" s="4" t="str">
        <f>HYPERLINK("http://141.218.60.56/~jnz1568/getInfo.php?workbook=06_02.xlsx&amp;sheet=U0&amp;row=636&amp;col=7&amp;number=0.000487&amp;sourceID=14","0.000487")</f>
        <v>0.000487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HYPERLINK("http://141.218.60.56/~jnz1568/getInfo.php?workbook=06_02.xlsx&amp;sheet=U0&amp;row=637&amp;col=6&amp;number=4.3&amp;sourceID=14","4.3")</f>
        <v>4.3</v>
      </c>
      <c r="G637" s="4" t="str">
        <f>HYPERLINK("http://141.218.60.56/~jnz1568/getInfo.php?workbook=06_02.xlsx&amp;sheet=U0&amp;row=637&amp;col=7&amp;number=0.000487&amp;sourceID=14","0.000487")</f>
        <v>0.000487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HYPERLINK("http://141.218.60.56/~jnz1568/getInfo.php?workbook=06_02.xlsx&amp;sheet=U0&amp;row=638&amp;col=6&amp;number=4.4&amp;sourceID=14","4.4")</f>
        <v>4.4</v>
      </c>
      <c r="G638" s="4" t="str">
        <f>HYPERLINK("http://141.218.60.56/~jnz1568/getInfo.php?workbook=06_02.xlsx&amp;sheet=U0&amp;row=638&amp;col=7&amp;number=0.000487&amp;sourceID=14","0.000487")</f>
        <v>0.000487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HYPERLINK("http://141.218.60.56/~jnz1568/getInfo.php?workbook=06_02.xlsx&amp;sheet=U0&amp;row=639&amp;col=6&amp;number=4.5&amp;sourceID=14","4.5")</f>
        <v>4.5</v>
      </c>
      <c r="G639" s="4" t="str">
        <f>HYPERLINK("http://141.218.60.56/~jnz1568/getInfo.php?workbook=06_02.xlsx&amp;sheet=U0&amp;row=639&amp;col=7&amp;number=0.000488&amp;sourceID=14","0.000488")</f>
        <v>0.000488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HYPERLINK("http://141.218.60.56/~jnz1568/getInfo.php?workbook=06_02.xlsx&amp;sheet=U0&amp;row=640&amp;col=6&amp;number=4.6&amp;sourceID=14","4.6")</f>
        <v>4.6</v>
      </c>
      <c r="G640" s="4" t="str">
        <f>HYPERLINK("http://141.218.60.56/~jnz1568/getInfo.php?workbook=06_02.xlsx&amp;sheet=U0&amp;row=640&amp;col=7&amp;number=0.000489&amp;sourceID=14","0.000489")</f>
        <v>0.000489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HYPERLINK("http://141.218.60.56/~jnz1568/getInfo.php?workbook=06_02.xlsx&amp;sheet=U0&amp;row=641&amp;col=6&amp;number=4.7&amp;sourceID=14","4.7")</f>
        <v>4.7</v>
      </c>
      <c r="G641" s="4" t="str">
        <f>HYPERLINK("http://141.218.60.56/~jnz1568/getInfo.php?workbook=06_02.xlsx&amp;sheet=U0&amp;row=641&amp;col=7&amp;number=0.000489&amp;sourceID=14","0.000489")</f>
        <v>0.000489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HYPERLINK("http://141.218.60.56/~jnz1568/getInfo.php?workbook=06_02.xlsx&amp;sheet=U0&amp;row=642&amp;col=6&amp;number=4.8&amp;sourceID=14","4.8")</f>
        <v>4.8</v>
      </c>
      <c r="G642" s="4" t="str">
        <f>HYPERLINK("http://141.218.60.56/~jnz1568/getInfo.php?workbook=06_02.xlsx&amp;sheet=U0&amp;row=642&amp;col=7&amp;number=0.000491&amp;sourceID=14","0.000491")</f>
        <v>0.000491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HYPERLINK("http://141.218.60.56/~jnz1568/getInfo.php?workbook=06_02.xlsx&amp;sheet=U0&amp;row=643&amp;col=6&amp;number=4.9&amp;sourceID=14","4.9")</f>
        <v>4.9</v>
      </c>
      <c r="G643" s="4" t="str">
        <f>HYPERLINK("http://141.218.60.56/~jnz1568/getInfo.php?workbook=06_02.xlsx&amp;sheet=U0&amp;row=643&amp;col=7&amp;number=0.000492&amp;sourceID=14","0.000492")</f>
        <v>0.000492</v>
      </c>
    </row>
    <row r="644" spans="1:7">
      <c r="A644" s="3">
        <v>6</v>
      </c>
      <c r="B644" s="3">
        <v>2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HYPERLINK("http://141.218.60.56/~jnz1568/getInfo.php?workbook=06_02.xlsx&amp;sheet=U0&amp;row=644&amp;col=6&amp;number=3&amp;sourceID=14","3")</f>
        <v>3</v>
      </c>
      <c r="G644" s="4" t="str">
        <f>HYPERLINK("http://141.218.60.56/~jnz1568/getInfo.php?workbook=06_02.xlsx&amp;sheet=U0&amp;row=644&amp;col=7&amp;number=0.000252&amp;sourceID=14","0.000252")</f>
        <v>0.000252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HYPERLINK("http://141.218.60.56/~jnz1568/getInfo.php?workbook=06_02.xlsx&amp;sheet=U0&amp;row=645&amp;col=6&amp;number=3.1&amp;sourceID=14","3.1")</f>
        <v>3.1</v>
      </c>
      <c r="G645" s="4" t="str">
        <f>HYPERLINK("http://141.218.60.56/~jnz1568/getInfo.php?workbook=06_02.xlsx&amp;sheet=U0&amp;row=645&amp;col=7&amp;number=0.000252&amp;sourceID=14","0.000252")</f>
        <v>0.000252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HYPERLINK("http://141.218.60.56/~jnz1568/getInfo.php?workbook=06_02.xlsx&amp;sheet=U0&amp;row=646&amp;col=6&amp;number=3.2&amp;sourceID=14","3.2")</f>
        <v>3.2</v>
      </c>
      <c r="G646" s="4" t="str">
        <f>HYPERLINK("http://141.218.60.56/~jnz1568/getInfo.php?workbook=06_02.xlsx&amp;sheet=U0&amp;row=646&amp;col=7&amp;number=0.000252&amp;sourceID=14","0.000252")</f>
        <v>0.000252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HYPERLINK("http://141.218.60.56/~jnz1568/getInfo.php?workbook=06_02.xlsx&amp;sheet=U0&amp;row=647&amp;col=6&amp;number=3.3&amp;sourceID=14","3.3")</f>
        <v>3.3</v>
      </c>
      <c r="G647" s="4" t="str">
        <f>HYPERLINK("http://141.218.60.56/~jnz1568/getInfo.php?workbook=06_02.xlsx&amp;sheet=U0&amp;row=647&amp;col=7&amp;number=0.000252&amp;sourceID=14","0.000252")</f>
        <v>0.000252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HYPERLINK("http://141.218.60.56/~jnz1568/getInfo.php?workbook=06_02.xlsx&amp;sheet=U0&amp;row=648&amp;col=6&amp;number=3.4&amp;sourceID=14","3.4")</f>
        <v>3.4</v>
      </c>
      <c r="G648" s="4" t="str">
        <f>HYPERLINK("http://141.218.60.56/~jnz1568/getInfo.php?workbook=06_02.xlsx&amp;sheet=U0&amp;row=648&amp;col=7&amp;number=0.000252&amp;sourceID=14","0.000252")</f>
        <v>0.000252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HYPERLINK("http://141.218.60.56/~jnz1568/getInfo.php?workbook=06_02.xlsx&amp;sheet=U0&amp;row=649&amp;col=6&amp;number=3.5&amp;sourceID=14","3.5")</f>
        <v>3.5</v>
      </c>
      <c r="G649" s="4" t="str">
        <f>HYPERLINK("http://141.218.60.56/~jnz1568/getInfo.php?workbook=06_02.xlsx&amp;sheet=U0&amp;row=649&amp;col=7&amp;number=0.000252&amp;sourceID=14","0.000252")</f>
        <v>0.000252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HYPERLINK("http://141.218.60.56/~jnz1568/getInfo.php?workbook=06_02.xlsx&amp;sheet=U0&amp;row=650&amp;col=6&amp;number=3.6&amp;sourceID=14","3.6")</f>
        <v>3.6</v>
      </c>
      <c r="G650" s="4" t="str">
        <f>HYPERLINK("http://141.218.60.56/~jnz1568/getInfo.php?workbook=06_02.xlsx&amp;sheet=U0&amp;row=650&amp;col=7&amp;number=0.000252&amp;sourceID=14","0.000252")</f>
        <v>0.000252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HYPERLINK("http://141.218.60.56/~jnz1568/getInfo.php?workbook=06_02.xlsx&amp;sheet=U0&amp;row=651&amp;col=6&amp;number=3.7&amp;sourceID=14","3.7")</f>
        <v>3.7</v>
      </c>
      <c r="G651" s="4" t="str">
        <f>HYPERLINK("http://141.218.60.56/~jnz1568/getInfo.php?workbook=06_02.xlsx&amp;sheet=U0&amp;row=651&amp;col=7&amp;number=0.000252&amp;sourceID=14","0.000252")</f>
        <v>0.000252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HYPERLINK("http://141.218.60.56/~jnz1568/getInfo.php?workbook=06_02.xlsx&amp;sheet=U0&amp;row=652&amp;col=6&amp;number=3.8&amp;sourceID=14","3.8")</f>
        <v>3.8</v>
      </c>
      <c r="G652" s="4" t="str">
        <f>HYPERLINK("http://141.218.60.56/~jnz1568/getInfo.php?workbook=06_02.xlsx&amp;sheet=U0&amp;row=652&amp;col=7&amp;number=0.000251&amp;sourceID=14","0.000251")</f>
        <v>0.000251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HYPERLINK("http://141.218.60.56/~jnz1568/getInfo.php?workbook=06_02.xlsx&amp;sheet=U0&amp;row=653&amp;col=6&amp;number=3.9&amp;sourceID=14","3.9")</f>
        <v>3.9</v>
      </c>
      <c r="G653" s="4" t="str">
        <f>HYPERLINK("http://141.218.60.56/~jnz1568/getInfo.php?workbook=06_02.xlsx&amp;sheet=U0&amp;row=653&amp;col=7&amp;number=0.000251&amp;sourceID=14","0.000251")</f>
        <v>0.000251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HYPERLINK("http://141.218.60.56/~jnz1568/getInfo.php?workbook=06_02.xlsx&amp;sheet=U0&amp;row=654&amp;col=6&amp;number=4&amp;sourceID=14","4")</f>
        <v>4</v>
      </c>
      <c r="G654" s="4" t="str">
        <f>HYPERLINK("http://141.218.60.56/~jnz1568/getInfo.php?workbook=06_02.xlsx&amp;sheet=U0&amp;row=654&amp;col=7&amp;number=0.000251&amp;sourceID=14","0.000251")</f>
        <v>0.000251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HYPERLINK("http://141.218.60.56/~jnz1568/getInfo.php?workbook=06_02.xlsx&amp;sheet=U0&amp;row=655&amp;col=6&amp;number=4.1&amp;sourceID=14","4.1")</f>
        <v>4.1</v>
      </c>
      <c r="G655" s="4" t="str">
        <f>HYPERLINK("http://141.218.60.56/~jnz1568/getInfo.php?workbook=06_02.xlsx&amp;sheet=U0&amp;row=655&amp;col=7&amp;number=0.000251&amp;sourceID=14","0.000251")</f>
        <v>0.000251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HYPERLINK("http://141.218.60.56/~jnz1568/getInfo.php?workbook=06_02.xlsx&amp;sheet=U0&amp;row=656&amp;col=6&amp;number=4.2&amp;sourceID=14","4.2")</f>
        <v>4.2</v>
      </c>
      <c r="G656" s="4" t="str">
        <f>HYPERLINK("http://141.218.60.56/~jnz1568/getInfo.php?workbook=06_02.xlsx&amp;sheet=U0&amp;row=656&amp;col=7&amp;number=0.000251&amp;sourceID=14","0.000251")</f>
        <v>0.000251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HYPERLINK("http://141.218.60.56/~jnz1568/getInfo.php?workbook=06_02.xlsx&amp;sheet=U0&amp;row=657&amp;col=6&amp;number=4.3&amp;sourceID=14","4.3")</f>
        <v>4.3</v>
      </c>
      <c r="G657" s="4" t="str">
        <f>HYPERLINK("http://141.218.60.56/~jnz1568/getInfo.php?workbook=06_02.xlsx&amp;sheet=U0&amp;row=657&amp;col=7&amp;number=0.00025&amp;sourceID=14","0.00025")</f>
        <v>0.00025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HYPERLINK("http://141.218.60.56/~jnz1568/getInfo.php?workbook=06_02.xlsx&amp;sheet=U0&amp;row=658&amp;col=6&amp;number=4.4&amp;sourceID=14","4.4")</f>
        <v>4.4</v>
      </c>
      <c r="G658" s="4" t="str">
        <f>HYPERLINK("http://141.218.60.56/~jnz1568/getInfo.php?workbook=06_02.xlsx&amp;sheet=U0&amp;row=658&amp;col=7&amp;number=0.00025&amp;sourceID=14","0.00025")</f>
        <v>0.00025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HYPERLINK("http://141.218.60.56/~jnz1568/getInfo.php?workbook=06_02.xlsx&amp;sheet=U0&amp;row=659&amp;col=6&amp;number=4.5&amp;sourceID=14","4.5")</f>
        <v>4.5</v>
      </c>
      <c r="G659" s="4" t="str">
        <f>HYPERLINK("http://141.218.60.56/~jnz1568/getInfo.php?workbook=06_02.xlsx&amp;sheet=U0&amp;row=659&amp;col=7&amp;number=0.000249&amp;sourceID=14","0.000249")</f>
        <v>0.000249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HYPERLINK("http://141.218.60.56/~jnz1568/getInfo.php?workbook=06_02.xlsx&amp;sheet=U0&amp;row=660&amp;col=6&amp;number=4.6&amp;sourceID=14","4.6")</f>
        <v>4.6</v>
      </c>
      <c r="G660" s="4" t="str">
        <f>HYPERLINK("http://141.218.60.56/~jnz1568/getInfo.php?workbook=06_02.xlsx&amp;sheet=U0&amp;row=660&amp;col=7&amp;number=0.000249&amp;sourceID=14","0.000249")</f>
        <v>0.000249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HYPERLINK("http://141.218.60.56/~jnz1568/getInfo.php?workbook=06_02.xlsx&amp;sheet=U0&amp;row=661&amp;col=6&amp;number=4.7&amp;sourceID=14","4.7")</f>
        <v>4.7</v>
      </c>
      <c r="G661" s="4" t="str">
        <f>HYPERLINK("http://141.218.60.56/~jnz1568/getInfo.php?workbook=06_02.xlsx&amp;sheet=U0&amp;row=661&amp;col=7&amp;number=0.000248&amp;sourceID=14","0.000248")</f>
        <v>0.000248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HYPERLINK("http://141.218.60.56/~jnz1568/getInfo.php?workbook=06_02.xlsx&amp;sheet=U0&amp;row=662&amp;col=6&amp;number=4.8&amp;sourceID=14","4.8")</f>
        <v>4.8</v>
      </c>
      <c r="G662" s="4" t="str">
        <f>HYPERLINK("http://141.218.60.56/~jnz1568/getInfo.php?workbook=06_02.xlsx&amp;sheet=U0&amp;row=662&amp;col=7&amp;number=0.000247&amp;sourceID=14","0.000247")</f>
        <v>0.000247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HYPERLINK("http://141.218.60.56/~jnz1568/getInfo.php?workbook=06_02.xlsx&amp;sheet=U0&amp;row=663&amp;col=6&amp;number=4.9&amp;sourceID=14","4.9")</f>
        <v>4.9</v>
      </c>
      <c r="G663" s="4" t="str">
        <f>HYPERLINK("http://141.218.60.56/~jnz1568/getInfo.php?workbook=06_02.xlsx&amp;sheet=U0&amp;row=663&amp;col=7&amp;number=0.000245&amp;sourceID=14","0.000245")</f>
        <v>0.000245</v>
      </c>
    </row>
    <row r="664" spans="1:7">
      <c r="A664" s="3">
        <v>6</v>
      </c>
      <c r="B664" s="3">
        <v>2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HYPERLINK("http://141.218.60.56/~jnz1568/getInfo.php?workbook=06_02.xlsx&amp;sheet=U0&amp;row=664&amp;col=6&amp;number=3&amp;sourceID=14","3")</f>
        <v>3</v>
      </c>
      <c r="G664" s="4" t="str">
        <f>HYPERLINK("http://141.218.60.56/~jnz1568/getInfo.php?workbook=06_02.xlsx&amp;sheet=U0&amp;row=664&amp;col=7&amp;number=0.000753&amp;sourceID=14","0.000753")</f>
        <v>0.000753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HYPERLINK("http://141.218.60.56/~jnz1568/getInfo.php?workbook=06_02.xlsx&amp;sheet=U0&amp;row=665&amp;col=6&amp;number=3.1&amp;sourceID=14","3.1")</f>
        <v>3.1</v>
      </c>
      <c r="G665" s="4" t="str">
        <f>HYPERLINK("http://141.218.60.56/~jnz1568/getInfo.php?workbook=06_02.xlsx&amp;sheet=U0&amp;row=665&amp;col=7&amp;number=0.000753&amp;sourceID=14","0.000753")</f>
        <v>0.000753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HYPERLINK("http://141.218.60.56/~jnz1568/getInfo.php?workbook=06_02.xlsx&amp;sheet=U0&amp;row=666&amp;col=6&amp;number=3.2&amp;sourceID=14","3.2")</f>
        <v>3.2</v>
      </c>
      <c r="G666" s="4" t="str">
        <f>HYPERLINK("http://141.218.60.56/~jnz1568/getInfo.php?workbook=06_02.xlsx&amp;sheet=U0&amp;row=666&amp;col=7&amp;number=0.000753&amp;sourceID=14","0.000753")</f>
        <v>0.000753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HYPERLINK("http://141.218.60.56/~jnz1568/getInfo.php?workbook=06_02.xlsx&amp;sheet=U0&amp;row=667&amp;col=6&amp;number=3.3&amp;sourceID=14","3.3")</f>
        <v>3.3</v>
      </c>
      <c r="G667" s="4" t="str">
        <f>HYPERLINK("http://141.218.60.56/~jnz1568/getInfo.php?workbook=06_02.xlsx&amp;sheet=U0&amp;row=667&amp;col=7&amp;number=0.000752&amp;sourceID=14","0.000752")</f>
        <v>0.000752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HYPERLINK("http://141.218.60.56/~jnz1568/getInfo.php?workbook=06_02.xlsx&amp;sheet=U0&amp;row=668&amp;col=6&amp;number=3.4&amp;sourceID=14","3.4")</f>
        <v>3.4</v>
      </c>
      <c r="G668" s="4" t="str">
        <f>HYPERLINK("http://141.218.60.56/~jnz1568/getInfo.php?workbook=06_02.xlsx&amp;sheet=U0&amp;row=668&amp;col=7&amp;number=0.000752&amp;sourceID=14","0.000752")</f>
        <v>0.000752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HYPERLINK("http://141.218.60.56/~jnz1568/getInfo.php?workbook=06_02.xlsx&amp;sheet=U0&amp;row=669&amp;col=6&amp;number=3.5&amp;sourceID=14","3.5")</f>
        <v>3.5</v>
      </c>
      <c r="G669" s="4" t="str">
        <f>HYPERLINK("http://141.218.60.56/~jnz1568/getInfo.php?workbook=06_02.xlsx&amp;sheet=U0&amp;row=669&amp;col=7&amp;number=0.000752&amp;sourceID=14","0.000752")</f>
        <v>0.000752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HYPERLINK("http://141.218.60.56/~jnz1568/getInfo.php?workbook=06_02.xlsx&amp;sheet=U0&amp;row=670&amp;col=6&amp;number=3.6&amp;sourceID=14","3.6")</f>
        <v>3.6</v>
      </c>
      <c r="G670" s="4" t="str">
        <f>HYPERLINK("http://141.218.60.56/~jnz1568/getInfo.php?workbook=06_02.xlsx&amp;sheet=U0&amp;row=670&amp;col=7&amp;number=0.000752&amp;sourceID=14","0.000752")</f>
        <v>0.000752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HYPERLINK("http://141.218.60.56/~jnz1568/getInfo.php?workbook=06_02.xlsx&amp;sheet=U0&amp;row=671&amp;col=6&amp;number=3.7&amp;sourceID=14","3.7")</f>
        <v>3.7</v>
      </c>
      <c r="G671" s="4" t="str">
        <f>HYPERLINK("http://141.218.60.56/~jnz1568/getInfo.php?workbook=06_02.xlsx&amp;sheet=U0&amp;row=671&amp;col=7&amp;number=0.000752&amp;sourceID=14","0.000752")</f>
        <v>0.000752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HYPERLINK("http://141.218.60.56/~jnz1568/getInfo.php?workbook=06_02.xlsx&amp;sheet=U0&amp;row=672&amp;col=6&amp;number=3.8&amp;sourceID=14","3.8")</f>
        <v>3.8</v>
      </c>
      <c r="G672" s="4" t="str">
        <f>HYPERLINK("http://141.218.60.56/~jnz1568/getInfo.php?workbook=06_02.xlsx&amp;sheet=U0&amp;row=672&amp;col=7&amp;number=0.000751&amp;sourceID=14","0.000751")</f>
        <v>0.000751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HYPERLINK("http://141.218.60.56/~jnz1568/getInfo.php?workbook=06_02.xlsx&amp;sheet=U0&amp;row=673&amp;col=6&amp;number=3.9&amp;sourceID=14","3.9")</f>
        <v>3.9</v>
      </c>
      <c r="G673" s="4" t="str">
        <f>HYPERLINK("http://141.218.60.56/~jnz1568/getInfo.php?workbook=06_02.xlsx&amp;sheet=U0&amp;row=673&amp;col=7&amp;number=0.000751&amp;sourceID=14","0.000751")</f>
        <v>0.000751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HYPERLINK("http://141.218.60.56/~jnz1568/getInfo.php?workbook=06_02.xlsx&amp;sheet=U0&amp;row=674&amp;col=6&amp;number=4&amp;sourceID=14","4")</f>
        <v>4</v>
      </c>
      <c r="G674" s="4" t="str">
        <f>HYPERLINK("http://141.218.60.56/~jnz1568/getInfo.php?workbook=06_02.xlsx&amp;sheet=U0&amp;row=674&amp;col=7&amp;number=0.00075&amp;sourceID=14","0.00075")</f>
        <v>0.00075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HYPERLINK("http://141.218.60.56/~jnz1568/getInfo.php?workbook=06_02.xlsx&amp;sheet=U0&amp;row=675&amp;col=6&amp;number=4.1&amp;sourceID=14","4.1")</f>
        <v>4.1</v>
      </c>
      <c r="G675" s="4" t="str">
        <f>HYPERLINK("http://141.218.60.56/~jnz1568/getInfo.php?workbook=06_02.xlsx&amp;sheet=U0&amp;row=675&amp;col=7&amp;number=0.00075&amp;sourceID=14","0.00075")</f>
        <v>0.00075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HYPERLINK("http://141.218.60.56/~jnz1568/getInfo.php?workbook=06_02.xlsx&amp;sheet=U0&amp;row=676&amp;col=6&amp;number=4.2&amp;sourceID=14","4.2")</f>
        <v>4.2</v>
      </c>
      <c r="G676" s="4" t="str">
        <f>HYPERLINK("http://141.218.60.56/~jnz1568/getInfo.php?workbook=06_02.xlsx&amp;sheet=U0&amp;row=676&amp;col=7&amp;number=0.000749&amp;sourceID=14","0.000749")</f>
        <v>0.000749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HYPERLINK("http://141.218.60.56/~jnz1568/getInfo.php?workbook=06_02.xlsx&amp;sheet=U0&amp;row=677&amp;col=6&amp;number=4.3&amp;sourceID=14","4.3")</f>
        <v>4.3</v>
      </c>
      <c r="G677" s="4" t="str">
        <f>HYPERLINK("http://141.218.60.56/~jnz1568/getInfo.php?workbook=06_02.xlsx&amp;sheet=U0&amp;row=677&amp;col=7&amp;number=0.000748&amp;sourceID=14","0.000748")</f>
        <v>0.000748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HYPERLINK("http://141.218.60.56/~jnz1568/getInfo.php?workbook=06_02.xlsx&amp;sheet=U0&amp;row=678&amp;col=6&amp;number=4.4&amp;sourceID=14","4.4")</f>
        <v>4.4</v>
      </c>
      <c r="G678" s="4" t="str">
        <f>HYPERLINK("http://141.218.60.56/~jnz1568/getInfo.php?workbook=06_02.xlsx&amp;sheet=U0&amp;row=678&amp;col=7&amp;number=0.000747&amp;sourceID=14","0.000747")</f>
        <v>0.000747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HYPERLINK("http://141.218.60.56/~jnz1568/getInfo.php?workbook=06_02.xlsx&amp;sheet=U0&amp;row=679&amp;col=6&amp;number=4.5&amp;sourceID=14","4.5")</f>
        <v>4.5</v>
      </c>
      <c r="G679" s="4" t="str">
        <f>HYPERLINK("http://141.218.60.56/~jnz1568/getInfo.php?workbook=06_02.xlsx&amp;sheet=U0&amp;row=679&amp;col=7&amp;number=0.000745&amp;sourceID=14","0.000745")</f>
        <v>0.000745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HYPERLINK("http://141.218.60.56/~jnz1568/getInfo.php?workbook=06_02.xlsx&amp;sheet=U0&amp;row=680&amp;col=6&amp;number=4.6&amp;sourceID=14","4.6")</f>
        <v>4.6</v>
      </c>
      <c r="G680" s="4" t="str">
        <f>HYPERLINK("http://141.218.60.56/~jnz1568/getInfo.php?workbook=06_02.xlsx&amp;sheet=U0&amp;row=680&amp;col=7&amp;number=0.000743&amp;sourceID=14","0.000743")</f>
        <v>0.000743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HYPERLINK("http://141.218.60.56/~jnz1568/getInfo.php?workbook=06_02.xlsx&amp;sheet=U0&amp;row=681&amp;col=6&amp;number=4.7&amp;sourceID=14","4.7")</f>
        <v>4.7</v>
      </c>
      <c r="G681" s="4" t="str">
        <f>HYPERLINK("http://141.218.60.56/~jnz1568/getInfo.php?workbook=06_02.xlsx&amp;sheet=U0&amp;row=681&amp;col=7&amp;number=0.000741&amp;sourceID=14","0.000741")</f>
        <v>0.000741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HYPERLINK("http://141.218.60.56/~jnz1568/getInfo.php?workbook=06_02.xlsx&amp;sheet=U0&amp;row=682&amp;col=6&amp;number=4.8&amp;sourceID=14","4.8")</f>
        <v>4.8</v>
      </c>
      <c r="G682" s="4" t="str">
        <f>HYPERLINK("http://141.218.60.56/~jnz1568/getInfo.php?workbook=06_02.xlsx&amp;sheet=U0&amp;row=682&amp;col=7&amp;number=0.000738&amp;sourceID=14","0.000738")</f>
        <v>0.000738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HYPERLINK("http://141.218.60.56/~jnz1568/getInfo.php?workbook=06_02.xlsx&amp;sheet=U0&amp;row=683&amp;col=6&amp;number=4.9&amp;sourceID=14","4.9")</f>
        <v>4.9</v>
      </c>
      <c r="G683" s="4" t="str">
        <f>HYPERLINK("http://141.218.60.56/~jnz1568/getInfo.php?workbook=06_02.xlsx&amp;sheet=U0&amp;row=683&amp;col=7&amp;number=0.000734&amp;sourceID=14","0.000734")</f>
        <v>0.000734</v>
      </c>
    </row>
    <row r="684" spans="1:7">
      <c r="A684" s="3">
        <v>6</v>
      </c>
      <c r="B684" s="3">
        <v>2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HYPERLINK("http://141.218.60.56/~jnz1568/getInfo.php?workbook=06_02.xlsx&amp;sheet=U0&amp;row=684&amp;col=6&amp;number=3&amp;sourceID=14","3")</f>
        <v>3</v>
      </c>
      <c r="G684" s="4" t="str">
        <f>HYPERLINK("http://141.218.60.56/~jnz1568/getInfo.php?workbook=06_02.xlsx&amp;sheet=U0&amp;row=684&amp;col=7&amp;number=0.00176&amp;sourceID=14","0.00176")</f>
        <v>0.00176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HYPERLINK("http://141.218.60.56/~jnz1568/getInfo.php?workbook=06_02.xlsx&amp;sheet=U0&amp;row=685&amp;col=6&amp;number=3.1&amp;sourceID=14","3.1")</f>
        <v>3.1</v>
      </c>
      <c r="G685" s="4" t="str">
        <f>HYPERLINK("http://141.218.60.56/~jnz1568/getInfo.php?workbook=06_02.xlsx&amp;sheet=U0&amp;row=685&amp;col=7&amp;number=0.00176&amp;sourceID=14","0.00176")</f>
        <v>0.00176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HYPERLINK("http://141.218.60.56/~jnz1568/getInfo.php?workbook=06_02.xlsx&amp;sheet=U0&amp;row=686&amp;col=6&amp;number=3.2&amp;sourceID=14","3.2")</f>
        <v>3.2</v>
      </c>
      <c r="G686" s="4" t="str">
        <f>HYPERLINK("http://141.218.60.56/~jnz1568/getInfo.php?workbook=06_02.xlsx&amp;sheet=U0&amp;row=686&amp;col=7&amp;number=0.00176&amp;sourceID=14","0.00176")</f>
        <v>0.00176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HYPERLINK("http://141.218.60.56/~jnz1568/getInfo.php?workbook=06_02.xlsx&amp;sheet=U0&amp;row=687&amp;col=6&amp;number=3.3&amp;sourceID=14","3.3")</f>
        <v>3.3</v>
      </c>
      <c r="G687" s="4" t="str">
        <f>HYPERLINK("http://141.218.60.56/~jnz1568/getInfo.php?workbook=06_02.xlsx&amp;sheet=U0&amp;row=687&amp;col=7&amp;number=0.00176&amp;sourceID=14","0.00176")</f>
        <v>0.00176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HYPERLINK("http://141.218.60.56/~jnz1568/getInfo.php?workbook=06_02.xlsx&amp;sheet=U0&amp;row=688&amp;col=6&amp;number=3.4&amp;sourceID=14","3.4")</f>
        <v>3.4</v>
      </c>
      <c r="G688" s="4" t="str">
        <f>HYPERLINK("http://141.218.60.56/~jnz1568/getInfo.php?workbook=06_02.xlsx&amp;sheet=U0&amp;row=688&amp;col=7&amp;number=0.00176&amp;sourceID=14","0.00176")</f>
        <v>0.00176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HYPERLINK("http://141.218.60.56/~jnz1568/getInfo.php?workbook=06_02.xlsx&amp;sheet=U0&amp;row=689&amp;col=6&amp;number=3.5&amp;sourceID=14","3.5")</f>
        <v>3.5</v>
      </c>
      <c r="G689" s="4" t="str">
        <f>HYPERLINK("http://141.218.60.56/~jnz1568/getInfo.php?workbook=06_02.xlsx&amp;sheet=U0&amp;row=689&amp;col=7&amp;number=0.00176&amp;sourceID=14","0.00176")</f>
        <v>0.00176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HYPERLINK("http://141.218.60.56/~jnz1568/getInfo.php?workbook=06_02.xlsx&amp;sheet=U0&amp;row=690&amp;col=6&amp;number=3.6&amp;sourceID=14","3.6")</f>
        <v>3.6</v>
      </c>
      <c r="G690" s="4" t="str">
        <f>HYPERLINK("http://141.218.60.56/~jnz1568/getInfo.php?workbook=06_02.xlsx&amp;sheet=U0&amp;row=690&amp;col=7&amp;number=0.00176&amp;sourceID=14","0.00176")</f>
        <v>0.00176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HYPERLINK("http://141.218.60.56/~jnz1568/getInfo.php?workbook=06_02.xlsx&amp;sheet=U0&amp;row=691&amp;col=6&amp;number=3.7&amp;sourceID=14","3.7")</f>
        <v>3.7</v>
      </c>
      <c r="G691" s="4" t="str">
        <f>HYPERLINK("http://141.218.60.56/~jnz1568/getInfo.php?workbook=06_02.xlsx&amp;sheet=U0&amp;row=691&amp;col=7&amp;number=0.00176&amp;sourceID=14","0.00176")</f>
        <v>0.00176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HYPERLINK("http://141.218.60.56/~jnz1568/getInfo.php?workbook=06_02.xlsx&amp;sheet=U0&amp;row=692&amp;col=6&amp;number=3.8&amp;sourceID=14","3.8")</f>
        <v>3.8</v>
      </c>
      <c r="G692" s="4" t="str">
        <f>HYPERLINK("http://141.218.60.56/~jnz1568/getInfo.php?workbook=06_02.xlsx&amp;sheet=U0&amp;row=692&amp;col=7&amp;number=0.00175&amp;sourceID=14","0.00175")</f>
        <v>0.00175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HYPERLINK("http://141.218.60.56/~jnz1568/getInfo.php?workbook=06_02.xlsx&amp;sheet=U0&amp;row=693&amp;col=6&amp;number=3.9&amp;sourceID=14","3.9")</f>
        <v>3.9</v>
      </c>
      <c r="G693" s="4" t="str">
        <f>HYPERLINK("http://141.218.60.56/~jnz1568/getInfo.php?workbook=06_02.xlsx&amp;sheet=U0&amp;row=693&amp;col=7&amp;number=0.00175&amp;sourceID=14","0.00175")</f>
        <v>0.00175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HYPERLINK("http://141.218.60.56/~jnz1568/getInfo.php?workbook=06_02.xlsx&amp;sheet=U0&amp;row=694&amp;col=6&amp;number=4&amp;sourceID=14","4")</f>
        <v>4</v>
      </c>
      <c r="G694" s="4" t="str">
        <f>HYPERLINK("http://141.218.60.56/~jnz1568/getInfo.php?workbook=06_02.xlsx&amp;sheet=U0&amp;row=694&amp;col=7&amp;number=0.00175&amp;sourceID=14","0.00175")</f>
        <v>0.00175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HYPERLINK("http://141.218.60.56/~jnz1568/getInfo.php?workbook=06_02.xlsx&amp;sheet=U0&amp;row=695&amp;col=6&amp;number=4.1&amp;sourceID=14","4.1")</f>
        <v>4.1</v>
      </c>
      <c r="G695" s="4" t="str">
        <f>HYPERLINK("http://141.218.60.56/~jnz1568/getInfo.php?workbook=06_02.xlsx&amp;sheet=U0&amp;row=695&amp;col=7&amp;number=0.00175&amp;sourceID=14","0.00175")</f>
        <v>0.00175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HYPERLINK("http://141.218.60.56/~jnz1568/getInfo.php?workbook=06_02.xlsx&amp;sheet=U0&amp;row=696&amp;col=6&amp;number=4.2&amp;sourceID=14","4.2")</f>
        <v>4.2</v>
      </c>
      <c r="G696" s="4" t="str">
        <f>HYPERLINK("http://141.218.60.56/~jnz1568/getInfo.php?workbook=06_02.xlsx&amp;sheet=U0&amp;row=696&amp;col=7&amp;number=0.00175&amp;sourceID=14","0.00175")</f>
        <v>0.00175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HYPERLINK("http://141.218.60.56/~jnz1568/getInfo.php?workbook=06_02.xlsx&amp;sheet=U0&amp;row=697&amp;col=6&amp;number=4.3&amp;sourceID=14","4.3")</f>
        <v>4.3</v>
      </c>
      <c r="G697" s="4" t="str">
        <f>HYPERLINK("http://141.218.60.56/~jnz1568/getInfo.php?workbook=06_02.xlsx&amp;sheet=U0&amp;row=697&amp;col=7&amp;number=0.00175&amp;sourceID=14","0.00175")</f>
        <v>0.00175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HYPERLINK("http://141.218.60.56/~jnz1568/getInfo.php?workbook=06_02.xlsx&amp;sheet=U0&amp;row=698&amp;col=6&amp;number=4.4&amp;sourceID=14","4.4")</f>
        <v>4.4</v>
      </c>
      <c r="G698" s="4" t="str">
        <f>HYPERLINK("http://141.218.60.56/~jnz1568/getInfo.php?workbook=06_02.xlsx&amp;sheet=U0&amp;row=698&amp;col=7&amp;number=0.00174&amp;sourceID=14","0.00174")</f>
        <v>0.00174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HYPERLINK("http://141.218.60.56/~jnz1568/getInfo.php?workbook=06_02.xlsx&amp;sheet=U0&amp;row=699&amp;col=6&amp;number=4.5&amp;sourceID=14","4.5")</f>
        <v>4.5</v>
      </c>
      <c r="G699" s="4" t="str">
        <f>HYPERLINK("http://141.218.60.56/~jnz1568/getInfo.php?workbook=06_02.xlsx&amp;sheet=U0&amp;row=699&amp;col=7&amp;number=0.00174&amp;sourceID=14","0.00174")</f>
        <v>0.00174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HYPERLINK("http://141.218.60.56/~jnz1568/getInfo.php?workbook=06_02.xlsx&amp;sheet=U0&amp;row=700&amp;col=6&amp;number=4.6&amp;sourceID=14","4.6")</f>
        <v>4.6</v>
      </c>
      <c r="G700" s="4" t="str">
        <f>HYPERLINK("http://141.218.60.56/~jnz1568/getInfo.php?workbook=06_02.xlsx&amp;sheet=U0&amp;row=700&amp;col=7&amp;number=0.00174&amp;sourceID=14","0.00174")</f>
        <v>0.00174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HYPERLINK("http://141.218.60.56/~jnz1568/getInfo.php?workbook=06_02.xlsx&amp;sheet=U0&amp;row=701&amp;col=6&amp;number=4.7&amp;sourceID=14","4.7")</f>
        <v>4.7</v>
      </c>
      <c r="G701" s="4" t="str">
        <f>HYPERLINK("http://141.218.60.56/~jnz1568/getInfo.php?workbook=06_02.xlsx&amp;sheet=U0&amp;row=701&amp;col=7&amp;number=0.00173&amp;sourceID=14","0.00173")</f>
        <v>0.00173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HYPERLINK("http://141.218.60.56/~jnz1568/getInfo.php?workbook=06_02.xlsx&amp;sheet=U0&amp;row=702&amp;col=6&amp;number=4.8&amp;sourceID=14","4.8")</f>
        <v>4.8</v>
      </c>
      <c r="G702" s="4" t="str">
        <f>HYPERLINK("http://141.218.60.56/~jnz1568/getInfo.php?workbook=06_02.xlsx&amp;sheet=U0&amp;row=702&amp;col=7&amp;number=0.00172&amp;sourceID=14","0.00172")</f>
        <v>0.00172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HYPERLINK("http://141.218.60.56/~jnz1568/getInfo.php?workbook=06_02.xlsx&amp;sheet=U0&amp;row=703&amp;col=6&amp;number=4.9&amp;sourceID=14","4.9")</f>
        <v>4.9</v>
      </c>
      <c r="G703" s="4" t="str">
        <f>HYPERLINK("http://141.218.60.56/~jnz1568/getInfo.php?workbook=06_02.xlsx&amp;sheet=U0&amp;row=703&amp;col=7&amp;number=0.00171&amp;sourceID=14","0.00171")</f>
        <v>0.00171</v>
      </c>
    </row>
    <row r="704" spans="1:7">
      <c r="A704" s="3">
        <v>6</v>
      </c>
      <c r="B704" s="3">
        <v>2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HYPERLINK("http://141.218.60.56/~jnz1568/getInfo.php?workbook=06_02.xlsx&amp;sheet=U0&amp;row=704&amp;col=6&amp;number=3&amp;sourceID=14","3")</f>
        <v>3</v>
      </c>
      <c r="G704" s="4" t="str">
        <f>HYPERLINK("http://141.218.60.56/~jnz1568/getInfo.php?workbook=06_02.xlsx&amp;sheet=U0&amp;row=704&amp;col=7&amp;number=0.000902&amp;sourceID=14","0.000902")</f>
        <v>0.000902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HYPERLINK("http://141.218.60.56/~jnz1568/getInfo.php?workbook=06_02.xlsx&amp;sheet=U0&amp;row=705&amp;col=6&amp;number=3.1&amp;sourceID=14","3.1")</f>
        <v>3.1</v>
      </c>
      <c r="G705" s="4" t="str">
        <f>HYPERLINK("http://141.218.60.56/~jnz1568/getInfo.php?workbook=06_02.xlsx&amp;sheet=U0&amp;row=705&amp;col=7&amp;number=0.000902&amp;sourceID=14","0.000902")</f>
        <v>0.000902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HYPERLINK("http://141.218.60.56/~jnz1568/getInfo.php?workbook=06_02.xlsx&amp;sheet=U0&amp;row=706&amp;col=6&amp;number=3.2&amp;sourceID=14","3.2")</f>
        <v>3.2</v>
      </c>
      <c r="G706" s="4" t="str">
        <f>HYPERLINK("http://141.218.60.56/~jnz1568/getInfo.php?workbook=06_02.xlsx&amp;sheet=U0&amp;row=706&amp;col=7&amp;number=0.000902&amp;sourceID=14","0.000902")</f>
        <v>0.000902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HYPERLINK("http://141.218.60.56/~jnz1568/getInfo.php?workbook=06_02.xlsx&amp;sheet=U0&amp;row=707&amp;col=6&amp;number=3.3&amp;sourceID=14","3.3")</f>
        <v>3.3</v>
      </c>
      <c r="G707" s="4" t="str">
        <f>HYPERLINK("http://141.218.60.56/~jnz1568/getInfo.php?workbook=06_02.xlsx&amp;sheet=U0&amp;row=707&amp;col=7&amp;number=0.000902&amp;sourceID=14","0.000902")</f>
        <v>0.000902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HYPERLINK("http://141.218.60.56/~jnz1568/getInfo.php?workbook=06_02.xlsx&amp;sheet=U0&amp;row=708&amp;col=6&amp;number=3.4&amp;sourceID=14","3.4")</f>
        <v>3.4</v>
      </c>
      <c r="G708" s="4" t="str">
        <f>HYPERLINK("http://141.218.60.56/~jnz1568/getInfo.php?workbook=06_02.xlsx&amp;sheet=U0&amp;row=708&amp;col=7&amp;number=0.000903&amp;sourceID=14","0.000903")</f>
        <v>0.000903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HYPERLINK("http://141.218.60.56/~jnz1568/getInfo.php?workbook=06_02.xlsx&amp;sheet=U0&amp;row=709&amp;col=6&amp;number=3.5&amp;sourceID=14","3.5")</f>
        <v>3.5</v>
      </c>
      <c r="G709" s="4" t="str">
        <f>HYPERLINK("http://141.218.60.56/~jnz1568/getInfo.php?workbook=06_02.xlsx&amp;sheet=U0&amp;row=709&amp;col=7&amp;number=0.000903&amp;sourceID=14","0.000903")</f>
        <v>0.000903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HYPERLINK("http://141.218.60.56/~jnz1568/getInfo.php?workbook=06_02.xlsx&amp;sheet=U0&amp;row=710&amp;col=6&amp;number=3.6&amp;sourceID=14","3.6")</f>
        <v>3.6</v>
      </c>
      <c r="G710" s="4" t="str">
        <f>HYPERLINK("http://141.218.60.56/~jnz1568/getInfo.php?workbook=06_02.xlsx&amp;sheet=U0&amp;row=710&amp;col=7&amp;number=0.000904&amp;sourceID=14","0.000904")</f>
        <v>0.000904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HYPERLINK("http://141.218.60.56/~jnz1568/getInfo.php?workbook=06_02.xlsx&amp;sheet=U0&amp;row=711&amp;col=6&amp;number=3.7&amp;sourceID=14","3.7")</f>
        <v>3.7</v>
      </c>
      <c r="G711" s="4" t="str">
        <f>HYPERLINK("http://141.218.60.56/~jnz1568/getInfo.php?workbook=06_02.xlsx&amp;sheet=U0&amp;row=711&amp;col=7&amp;number=0.000905&amp;sourceID=14","0.000905")</f>
        <v>0.000905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HYPERLINK("http://141.218.60.56/~jnz1568/getInfo.php?workbook=06_02.xlsx&amp;sheet=U0&amp;row=712&amp;col=6&amp;number=3.8&amp;sourceID=14","3.8")</f>
        <v>3.8</v>
      </c>
      <c r="G712" s="4" t="str">
        <f>HYPERLINK("http://141.218.60.56/~jnz1568/getInfo.php?workbook=06_02.xlsx&amp;sheet=U0&amp;row=712&amp;col=7&amp;number=0.000906&amp;sourceID=14","0.000906")</f>
        <v>0.000906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HYPERLINK("http://141.218.60.56/~jnz1568/getInfo.php?workbook=06_02.xlsx&amp;sheet=U0&amp;row=713&amp;col=6&amp;number=3.9&amp;sourceID=14","3.9")</f>
        <v>3.9</v>
      </c>
      <c r="G713" s="4" t="str">
        <f>HYPERLINK("http://141.218.60.56/~jnz1568/getInfo.php?workbook=06_02.xlsx&amp;sheet=U0&amp;row=713&amp;col=7&amp;number=0.000907&amp;sourceID=14","0.000907")</f>
        <v>0.000907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HYPERLINK("http://141.218.60.56/~jnz1568/getInfo.php?workbook=06_02.xlsx&amp;sheet=U0&amp;row=714&amp;col=6&amp;number=4&amp;sourceID=14","4")</f>
        <v>4</v>
      </c>
      <c r="G714" s="4" t="str">
        <f>HYPERLINK("http://141.218.60.56/~jnz1568/getInfo.php?workbook=06_02.xlsx&amp;sheet=U0&amp;row=714&amp;col=7&amp;number=0.000908&amp;sourceID=14","0.000908")</f>
        <v>0.000908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HYPERLINK("http://141.218.60.56/~jnz1568/getInfo.php?workbook=06_02.xlsx&amp;sheet=U0&amp;row=715&amp;col=6&amp;number=4.1&amp;sourceID=14","4.1")</f>
        <v>4.1</v>
      </c>
      <c r="G715" s="4" t="str">
        <f>HYPERLINK("http://141.218.60.56/~jnz1568/getInfo.php?workbook=06_02.xlsx&amp;sheet=U0&amp;row=715&amp;col=7&amp;number=0.00091&amp;sourceID=14","0.00091")</f>
        <v>0.00091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HYPERLINK("http://141.218.60.56/~jnz1568/getInfo.php?workbook=06_02.xlsx&amp;sheet=U0&amp;row=716&amp;col=6&amp;number=4.2&amp;sourceID=14","4.2")</f>
        <v>4.2</v>
      </c>
      <c r="G716" s="4" t="str">
        <f>HYPERLINK("http://141.218.60.56/~jnz1568/getInfo.php?workbook=06_02.xlsx&amp;sheet=U0&amp;row=716&amp;col=7&amp;number=0.000913&amp;sourceID=14","0.000913")</f>
        <v>0.000913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HYPERLINK("http://141.218.60.56/~jnz1568/getInfo.php?workbook=06_02.xlsx&amp;sheet=U0&amp;row=717&amp;col=6&amp;number=4.3&amp;sourceID=14","4.3")</f>
        <v>4.3</v>
      </c>
      <c r="G717" s="4" t="str">
        <f>HYPERLINK("http://141.218.60.56/~jnz1568/getInfo.php?workbook=06_02.xlsx&amp;sheet=U0&amp;row=717&amp;col=7&amp;number=0.000916&amp;sourceID=14","0.000916")</f>
        <v>0.000916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HYPERLINK("http://141.218.60.56/~jnz1568/getInfo.php?workbook=06_02.xlsx&amp;sheet=U0&amp;row=718&amp;col=6&amp;number=4.4&amp;sourceID=14","4.4")</f>
        <v>4.4</v>
      </c>
      <c r="G718" s="4" t="str">
        <f>HYPERLINK("http://141.218.60.56/~jnz1568/getInfo.php?workbook=06_02.xlsx&amp;sheet=U0&amp;row=718&amp;col=7&amp;number=0.00092&amp;sourceID=14","0.00092")</f>
        <v>0.00092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HYPERLINK("http://141.218.60.56/~jnz1568/getInfo.php?workbook=06_02.xlsx&amp;sheet=U0&amp;row=719&amp;col=6&amp;number=4.5&amp;sourceID=14","4.5")</f>
        <v>4.5</v>
      </c>
      <c r="G719" s="4" t="str">
        <f>HYPERLINK("http://141.218.60.56/~jnz1568/getInfo.php?workbook=06_02.xlsx&amp;sheet=U0&amp;row=719&amp;col=7&amp;number=0.000925&amp;sourceID=14","0.000925")</f>
        <v>0.000925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HYPERLINK("http://141.218.60.56/~jnz1568/getInfo.php?workbook=06_02.xlsx&amp;sheet=U0&amp;row=720&amp;col=6&amp;number=4.6&amp;sourceID=14","4.6")</f>
        <v>4.6</v>
      </c>
      <c r="G720" s="4" t="str">
        <f>HYPERLINK("http://141.218.60.56/~jnz1568/getInfo.php?workbook=06_02.xlsx&amp;sheet=U0&amp;row=720&amp;col=7&amp;number=0.000931&amp;sourceID=14","0.000931")</f>
        <v>0.000931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HYPERLINK("http://141.218.60.56/~jnz1568/getInfo.php?workbook=06_02.xlsx&amp;sheet=U0&amp;row=721&amp;col=6&amp;number=4.7&amp;sourceID=14","4.7")</f>
        <v>4.7</v>
      </c>
      <c r="G721" s="4" t="str">
        <f>HYPERLINK("http://141.218.60.56/~jnz1568/getInfo.php?workbook=06_02.xlsx&amp;sheet=U0&amp;row=721&amp;col=7&amp;number=0.000939&amp;sourceID=14","0.000939")</f>
        <v>0.000939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HYPERLINK("http://141.218.60.56/~jnz1568/getInfo.php?workbook=06_02.xlsx&amp;sheet=U0&amp;row=722&amp;col=6&amp;number=4.8&amp;sourceID=14","4.8")</f>
        <v>4.8</v>
      </c>
      <c r="G722" s="4" t="str">
        <f>HYPERLINK("http://141.218.60.56/~jnz1568/getInfo.php?workbook=06_02.xlsx&amp;sheet=U0&amp;row=722&amp;col=7&amp;number=0.000949&amp;sourceID=14","0.000949")</f>
        <v>0.000949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HYPERLINK("http://141.218.60.56/~jnz1568/getInfo.php?workbook=06_02.xlsx&amp;sheet=U0&amp;row=723&amp;col=6&amp;number=4.9&amp;sourceID=14","4.9")</f>
        <v>4.9</v>
      </c>
      <c r="G723" s="4" t="str">
        <f>HYPERLINK("http://141.218.60.56/~jnz1568/getInfo.php?workbook=06_02.xlsx&amp;sheet=U0&amp;row=723&amp;col=7&amp;number=0.000961&amp;sourceID=14","0.000961")</f>
        <v>0.000961</v>
      </c>
    </row>
    <row r="724" spans="1:7">
      <c r="A724" s="3">
        <v>6</v>
      </c>
      <c r="B724" s="3">
        <v>2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HYPERLINK("http://141.218.60.56/~jnz1568/getInfo.php?workbook=06_02.xlsx&amp;sheet=U0&amp;row=724&amp;col=6&amp;number=3&amp;sourceID=14","3")</f>
        <v>3</v>
      </c>
      <c r="G724" s="4" t="str">
        <f>HYPERLINK("http://141.218.60.56/~jnz1568/getInfo.php?workbook=06_02.xlsx&amp;sheet=U0&amp;row=724&amp;col=7&amp;number=0.000129&amp;sourceID=14","0.000129")</f>
        <v>0.000129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HYPERLINK("http://141.218.60.56/~jnz1568/getInfo.php?workbook=06_02.xlsx&amp;sheet=U0&amp;row=725&amp;col=6&amp;number=3.1&amp;sourceID=14","3.1")</f>
        <v>3.1</v>
      </c>
      <c r="G725" s="4" t="str">
        <f>HYPERLINK("http://141.218.60.56/~jnz1568/getInfo.php?workbook=06_02.xlsx&amp;sheet=U0&amp;row=725&amp;col=7&amp;number=0.000129&amp;sourceID=14","0.000129")</f>
        <v>0.000129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HYPERLINK("http://141.218.60.56/~jnz1568/getInfo.php?workbook=06_02.xlsx&amp;sheet=U0&amp;row=726&amp;col=6&amp;number=3.2&amp;sourceID=14","3.2")</f>
        <v>3.2</v>
      </c>
      <c r="G726" s="4" t="str">
        <f>HYPERLINK("http://141.218.60.56/~jnz1568/getInfo.php?workbook=06_02.xlsx&amp;sheet=U0&amp;row=726&amp;col=7&amp;number=0.000129&amp;sourceID=14","0.000129")</f>
        <v>0.000129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HYPERLINK("http://141.218.60.56/~jnz1568/getInfo.php?workbook=06_02.xlsx&amp;sheet=U0&amp;row=727&amp;col=6&amp;number=3.3&amp;sourceID=14","3.3")</f>
        <v>3.3</v>
      </c>
      <c r="G727" s="4" t="str">
        <f>HYPERLINK("http://141.218.60.56/~jnz1568/getInfo.php?workbook=06_02.xlsx&amp;sheet=U0&amp;row=727&amp;col=7&amp;number=0.000129&amp;sourceID=14","0.000129")</f>
        <v>0.000129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HYPERLINK("http://141.218.60.56/~jnz1568/getInfo.php?workbook=06_02.xlsx&amp;sheet=U0&amp;row=728&amp;col=6&amp;number=3.4&amp;sourceID=14","3.4")</f>
        <v>3.4</v>
      </c>
      <c r="G728" s="4" t="str">
        <f>HYPERLINK("http://141.218.60.56/~jnz1568/getInfo.php?workbook=06_02.xlsx&amp;sheet=U0&amp;row=728&amp;col=7&amp;number=0.000129&amp;sourceID=14","0.000129")</f>
        <v>0.000129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HYPERLINK("http://141.218.60.56/~jnz1568/getInfo.php?workbook=06_02.xlsx&amp;sheet=U0&amp;row=729&amp;col=6&amp;number=3.5&amp;sourceID=14","3.5")</f>
        <v>3.5</v>
      </c>
      <c r="G729" s="4" t="str">
        <f>HYPERLINK("http://141.218.60.56/~jnz1568/getInfo.php?workbook=06_02.xlsx&amp;sheet=U0&amp;row=729&amp;col=7&amp;number=0.000129&amp;sourceID=14","0.000129")</f>
        <v>0.000129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HYPERLINK("http://141.218.60.56/~jnz1568/getInfo.php?workbook=06_02.xlsx&amp;sheet=U0&amp;row=730&amp;col=6&amp;number=3.6&amp;sourceID=14","3.6")</f>
        <v>3.6</v>
      </c>
      <c r="G730" s="4" t="str">
        <f>HYPERLINK("http://141.218.60.56/~jnz1568/getInfo.php?workbook=06_02.xlsx&amp;sheet=U0&amp;row=730&amp;col=7&amp;number=0.000129&amp;sourceID=14","0.000129")</f>
        <v>0.000129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HYPERLINK("http://141.218.60.56/~jnz1568/getInfo.php?workbook=06_02.xlsx&amp;sheet=U0&amp;row=731&amp;col=6&amp;number=3.7&amp;sourceID=14","3.7")</f>
        <v>3.7</v>
      </c>
      <c r="G731" s="4" t="str">
        <f>HYPERLINK("http://141.218.60.56/~jnz1568/getInfo.php?workbook=06_02.xlsx&amp;sheet=U0&amp;row=731&amp;col=7&amp;number=0.000129&amp;sourceID=14","0.000129")</f>
        <v>0.000129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HYPERLINK("http://141.218.60.56/~jnz1568/getInfo.php?workbook=06_02.xlsx&amp;sheet=U0&amp;row=732&amp;col=6&amp;number=3.8&amp;sourceID=14","3.8")</f>
        <v>3.8</v>
      </c>
      <c r="G732" s="4" t="str">
        <f>HYPERLINK("http://141.218.60.56/~jnz1568/getInfo.php?workbook=06_02.xlsx&amp;sheet=U0&amp;row=732&amp;col=7&amp;number=0.000129&amp;sourceID=14","0.000129")</f>
        <v>0.000129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HYPERLINK("http://141.218.60.56/~jnz1568/getInfo.php?workbook=06_02.xlsx&amp;sheet=U0&amp;row=733&amp;col=6&amp;number=3.9&amp;sourceID=14","3.9")</f>
        <v>3.9</v>
      </c>
      <c r="G733" s="4" t="str">
        <f>HYPERLINK("http://141.218.60.56/~jnz1568/getInfo.php?workbook=06_02.xlsx&amp;sheet=U0&amp;row=733&amp;col=7&amp;number=0.000129&amp;sourceID=14","0.000129")</f>
        <v>0.000129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HYPERLINK("http://141.218.60.56/~jnz1568/getInfo.php?workbook=06_02.xlsx&amp;sheet=U0&amp;row=734&amp;col=6&amp;number=4&amp;sourceID=14","4")</f>
        <v>4</v>
      </c>
      <c r="G734" s="4" t="str">
        <f>HYPERLINK("http://141.218.60.56/~jnz1568/getInfo.php?workbook=06_02.xlsx&amp;sheet=U0&amp;row=734&amp;col=7&amp;number=0.000128&amp;sourceID=14","0.000128")</f>
        <v>0.000128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HYPERLINK("http://141.218.60.56/~jnz1568/getInfo.php?workbook=06_02.xlsx&amp;sheet=U0&amp;row=735&amp;col=6&amp;number=4.1&amp;sourceID=14","4.1")</f>
        <v>4.1</v>
      </c>
      <c r="G735" s="4" t="str">
        <f>HYPERLINK("http://141.218.60.56/~jnz1568/getInfo.php?workbook=06_02.xlsx&amp;sheet=U0&amp;row=735&amp;col=7&amp;number=0.000128&amp;sourceID=14","0.000128")</f>
        <v>0.000128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HYPERLINK("http://141.218.60.56/~jnz1568/getInfo.php?workbook=06_02.xlsx&amp;sheet=U0&amp;row=736&amp;col=6&amp;number=4.2&amp;sourceID=14","4.2")</f>
        <v>4.2</v>
      </c>
      <c r="G736" s="4" t="str">
        <f>HYPERLINK("http://141.218.60.56/~jnz1568/getInfo.php?workbook=06_02.xlsx&amp;sheet=U0&amp;row=736&amp;col=7&amp;number=0.000128&amp;sourceID=14","0.000128")</f>
        <v>0.000128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HYPERLINK("http://141.218.60.56/~jnz1568/getInfo.php?workbook=06_02.xlsx&amp;sheet=U0&amp;row=737&amp;col=6&amp;number=4.3&amp;sourceID=14","4.3")</f>
        <v>4.3</v>
      </c>
      <c r="G737" s="4" t="str">
        <f>HYPERLINK("http://141.218.60.56/~jnz1568/getInfo.php?workbook=06_02.xlsx&amp;sheet=U0&amp;row=737&amp;col=7&amp;number=0.000128&amp;sourceID=14","0.000128")</f>
        <v>0.000128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HYPERLINK("http://141.218.60.56/~jnz1568/getInfo.php?workbook=06_02.xlsx&amp;sheet=U0&amp;row=738&amp;col=6&amp;number=4.4&amp;sourceID=14","4.4")</f>
        <v>4.4</v>
      </c>
      <c r="G738" s="4" t="str">
        <f>HYPERLINK("http://141.218.60.56/~jnz1568/getInfo.php?workbook=06_02.xlsx&amp;sheet=U0&amp;row=738&amp;col=7&amp;number=0.000128&amp;sourceID=14","0.000128")</f>
        <v>0.000128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HYPERLINK("http://141.218.60.56/~jnz1568/getInfo.php?workbook=06_02.xlsx&amp;sheet=U0&amp;row=739&amp;col=6&amp;number=4.5&amp;sourceID=14","4.5")</f>
        <v>4.5</v>
      </c>
      <c r="G739" s="4" t="str">
        <f>HYPERLINK("http://141.218.60.56/~jnz1568/getInfo.php?workbook=06_02.xlsx&amp;sheet=U0&amp;row=739&amp;col=7&amp;number=0.000127&amp;sourceID=14","0.000127")</f>
        <v>0.000127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HYPERLINK("http://141.218.60.56/~jnz1568/getInfo.php?workbook=06_02.xlsx&amp;sheet=U0&amp;row=740&amp;col=6&amp;number=4.6&amp;sourceID=14","4.6")</f>
        <v>4.6</v>
      </c>
      <c r="G740" s="4" t="str">
        <f>HYPERLINK("http://141.218.60.56/~jnz1568/getInfo.php?workbook=06_02.xlsx&amp;sheet=U0&amp;row=740&amp;col=7&amp;number=0.000127&amp;sourceID=14","0.000127")</f>
        <v>0.000127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HYPERLINK("http://141.218.60.56/~jnz1568/getInfo.php?workbook=06_02.xlsx&amp;sheet=U0&amp;row=741&amp;col=6&amp;number=4.7&amp;sourceID=14","4.7")</f>
        <v>4.7</v>
      </c>
      <c r="G741" s="4" t="str">
        <f>HYPERLINK("http://141.218.60.56/~jnz1568/getInfo.php?workbook=06_02.xlsx&amp;sheet=U0&amp;row=741&amp;col=7&amp;number=0.000126&amp;sourceID=14","0.000126")</f>
        <v>0.000126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HYPERLINK("http://141.218.60.56/~jnz1568/getInfo.php?workbook=06_02.xlsx&amp;sheet=U0&amp;row=742&amp;col=6&amp;number=4.8&amp;sourceID=14","4.8")</f>
        <v>4.8</v>
      </c>
      <c r="G742" s="4" t="str">
        <f>HYPERLINK("http://141.218.60.56/~jnz1568/getInfo.php?workbook=06_02.xlsx&amp;sheet=U0&amp;row=742&amp;col=7&amp;number=0.000125&amp;sourceID=14","0.000125")</f>
        <v>0.000125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HYPERLINK("http://141.218.60.56/~jnz1568/getInfo.php?workbook=06_02.xlsx&amp;sheet=U0&amp;row=743&amp;col=6&amp;number=4.9&amp;sourceID=14","4.9")</f>
        <v>4.9</v>
      </c>
      <c r="G743" s="4" t="str">
        <f>HYPERLINK("http://141.218.60.56/~jnz1568/getInfo.php?workbook=06_02.xlsx&amp;sheet=U0&amp;row=743&amp;col=7&amp;number=0.000124&amp;sourceID=14","0.000124")</f>
        <v>0.000124</v>
      </c>
    </row>
    <row r="744" spans="1:7">
      <c r="A744" s="3">
        <v>6</v>
      </c>
      <c r="B744" s="3">
        <v>2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HYPERLINK("http://141.218.60.56/~jnz1568/getInfo.php?workbook=06_02.xlsx&amp;sheet=U0&amp;row=744&amp;col=6&amp;number=3&amp;sourceID=14","3")</f>
        <v>3</v>
      </c>
      <c r="G744" s="4" t="str">
        <f>HYPERLINK("http://141.218.60.56/~jnz1568/getInfo.php?workbook=06_02.xlsx&amp;sheet=U0&amp;row=744&amp;col=7&amp;number=0.000215&amp;sourceID=14","0.000215")</f>
        <v>0.000215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HYPERLINK("http://141.218.60.56/~jnz1568/getInfo.php?workbook=06_02.xlsx&amp;sheet=U0&amp;row=745&amp;col=6&amp;number=3.1&amp;sourceID=14","3.1")</f>
        <v>3.1</v>
      </c>
      <c r="G745" s="4" t="str">
        <f>HYPERLINK("http://141.218.60.56/~jnz1568/getInfo.php?workbook=06_02.xlsx&amp;sheet=U0&amp;row=745&amp;col=7&amp;number=0.000215&amp;sourceID=14","0.000215")</f>
        <v>0.000215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HYPERLINK("http://141.218.60.56/~jnz1568/getInfo.php?workbook=06_02.xlsx&amp;sheet=U0&amp;row=746&amp;col=6&amp;number=3.2&amp;sourceID=14","3.2")</f>
        <v>3.2</v>
      </c>
      <c r="G746" s="4" t="str">
        <f>HYPERLINK("http://141.218.60.56/~jnz1568/getInfo.php?workbook=06_02.xlsx&amp;sheet=U0&amp;row=746&amp;col=7&amp;number=0.000215&amp;sourceID=14","0.000215")</f>
        <v>0.000215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HYPERLINK("http://141.218.60.56/~jnz1568/getInfo.php?workbook=06_02.xlsx&amp;sheet=U0&amp;row=747&amp;col=6&amp;number=3.3&amp;sourceID=14","3.3")</f>
        <v>3.3</v>
      </c>
      <c r="G747" s="4" t="str">
        <f>HYPERLINK("http://141.218.60.56/~jnz1568/getInfo.php?workbook=06_02.xlsx&amp;sheet=U0&amp;row=747&amp;col=7&amp;number=0.000215&amp;sourceID=14","0.000215")</f>
        <v>0.000215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HYPERLINK("http://141.218.60.56/~jnz1568/getInfo.php?workbook=06_02.xlsx&amp;sheet=U0&amp;row=748&amp;col=6&amp;number=3.4&amp;sourceID=14","3.4")</f>
        <v>3.4</v>
      </c>
      <c r="G748" s="4" t="str">
        <f>HYPERLINK("http://141.218.60.56/~jnz1568/getInfo.php?workbook=06_02.xlsx&amp;sheet=U0&amp;row=748&amp;col=7&amp;number=0.000215&amp;sourceID=14","0.000215")</f>
        <v>0.000215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HYPERLINK("http://141.218.60.56/~jnz1568/getInfo.php?workbook=06_02.xlsx&amp;sheet=U0&amp;row=749&amp;col=6&amp;number=3.5&amp;sourceID=14","3.5")</f>
        <v>3.5</v>
      </c>
      <c r="G749" s="4" t="str">
        <f>HYPERLINK("http://141.218.60.56/~jnz1568/getInfo.php?workbook=06_02.xlsx&amp;sheet=U0&amp;row=749&amp;col=7&amp;number=0.000215&amp;sourceID=14","0.000215")</f>
        <v>0.000215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HYPERLINK("http://141.218.60.56/~jnz1568/getInfo.php?workbook=06_02.xlsx&amp;sheet=U0&amp;row=750&amp;col=6&amp;number=3.6&amp;sourceID=14","3.6")</f>
        <v>3.6</v>
      </c>
      <c r="G750" s="4" t="str">
        <f>HYPERLINK("http://141.218.60.56/~jnz1568/getInfo.php?workbook=06_02.xlsx&amp;sheet=U0&amp;row=750&amp;col=7&amp;number=0.000215&amp;sourceID=14","0.000215")</f>
        <v>0.000215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HYPERLINK("http://141.218.60.56/~jnz1568/getInfo.php?workbook=06_02.xlsx&amp;sheet=U0&amp;row=751&amp;col=6&amp;number=3.7&amp;sourceID=14","3.7")</f>
        <v>3.7</v>
      </c>
      <c r="G751" s="4" t="str">
        <f>HYPERLINK("http://141.218.60.56/~jnz1568/getInfo.php?workbook=06_02.xlsx&amp;sheet=U0&amp;row=751&amp;col=7&amp;number=0.000215&amp;sourceID=14","0.000215")</f>
        <v>0.000215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HYPERLINK("http://141.218.60.56/~jnz1568/getInfo.php?workbook=06_02.xlsx&amp;sheet=U0&amp;row=752&amp;col=6&amp;number=3.8&amp;sourceID=14","3.8")</f>
        <v>3.8</v>
      </c>
      <c r="G752" s="4" t="str">
        <f>HYPERLINK("http://141.218.60.56/~jnz1568/getInfo.php?workbook=06_02.xlsx&amp;sheet=U0&amp;row=752&amp;col=7&amp;number=0.000215&amp;sourceID=14","0.000215")</f>
        <v>0.000215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HYPERLINK("http://141.218.60.56/~jnz1568/getInfo.php?workbook=06_02.xlsx&amp;sheet=U0&amp;row=753&amp;col=6&amp;number=3.9&amp;sourceID=14","3.9")</f>
        <v>3.9</v>
      </c>
      <c r="G753" s="4" t="str">
        <f>HYPERLINK("http://141.218.60.56/~jnz1568/getInfo.php?workbook=06_02.xlsx&amp;sheet=U0&amp;row=753&amp;col=7&amp;number=0.000215&amp;sourceID=14","0.000215")</f>
        <v>0.000215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HYPERLINK("http://141.218.60.56/~jnz1568/getInfo.php?workbook=06_02.xlsx&amp;sheet=U0&amp;row=754&amp;col=6&amp;number=4&amp;sourceID=14","4")</f>
        <v>4</v>
      </c>
      <c r="G754" s="4" t="str">
        <f>HYPERLINK("http://141.218.60.56/~jnz1568/getInfo.php?workbook=06_02.xlsx&amp;sheet=U0&amp;row=754&amp;col=7&amp;number=0.000214&amp;sourceID=14","0.000214")</f>
        <v>0.000214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HYPERLINK("http://141.218.60.56/~jnz1568/getInfo.php?workbook=06_02.xlsx&amp;sheet=U0&amp;row=755&amp;col=6&amp;number=4.1&amp;sourceID=14","4.1")</f>
        <v>4.1</v>
      </c>
      <c r="G755" s="4" t="str">
        <f>HYPERLINK("http://141.218.60.56/~jnz1568/getInfo.php?workbook=06_02.xlsx&amp;sheet=U0&amp;row=755&amp;col=7&amp;number=0.000214&amp;sourceID=14","0.000214")</f>
        <v>0.000214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HYPERLINK("http://141.218.60.56/~jnz1568/getInfo.php?workbook=06_02.xlsx&amp;sheet=U0&amp;row=756&amp;col=6&amp;number=4.2&amp;sourceID=14","4.2")</f>
        <v>4.2</v>
      </c>
      <c r="G756" s="4" t="str">
        <f>HYPERLINK("http://141.218.60.56/~jnz1568/getInfo.php?workbook=06_02.xlsx&amp;sheet=U0&amp;row=756&amp;col=7&amp;number=0.000214&amp;sourceID=14","0.000214")</f>
        <v>0.000214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HYPERLINK("http://141.218.60.56/~jnz1568/getInfo.php?workbook=06_02.xlsx&amp;sheet=U0&amp;row=757&amp;col=6&amp;number=4.3&amp;sourceID=14","4.3")</f>
        <v>4.3</v>
      </c>
      <c r="G757" s="4" t="str">
        <f>HYPERLINK("http://141.218.60.56/~jnz1568/getInfo.php?workbook=06_02.xlsx&amp;sheet=U0&amp;row=757&amp;col=7&amp;number=0.000213&amp;sourceID=14","0.000213")</f>
        <v>0.000213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HYPERLINK("http://141.218.60.56/~jnz1568/getInfo.php?workbook=06_02.xlsx&amp;sheet=U0&amp;row=758&amp;col=6&amp;number=4.4&amp;sourceID=14","4.4")</f>
        <v>4.4</v>
      </c>
      <c r="G758" s="4" t="str">
        <f>HYPERLINK("http://141.218.60.56/~jnz1568/getInfo.php?workbook=06_02.xlsx&amp;sheet=U0&amp;row=758&amp;col=7&amp;number=0.000213&amp;sourceID=14","0.000213")</f>
        <v>0.000213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HYPERLINK("http://141.218.60.56/~jnz1568/getInfo.php?workbook=06_02.xlsx&amp;sheet=U0&amp;row=759&amp;col=6&amp;number=4.5&amp;sourceID=14","4.5")</f>
        <v>4.5</v>
      </c>
      <c r="G759" s="4" t="str">
        <f>HYPERLINK("http://141.218.60.56/~jnz1568/getInfo.php?workbook=06_02.xlsx&amp;sheet=U0&amp;row=759&amp;col=7&amp;number=0.000212&amp;sourceID=14","0.000212")</f>
        <v>0.000212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HYPERLINK("http://141.218.60.56/~jnz1568/getInfo.php?workbook=06_02.xlsx&amp;sheet=U0&amp;row=760&amp;col=6&amp;number=4.6&amp;sourceID=14","4.6")</f>
        <v>4.6</v>
      </c>
      <c r="G760" s="4" t="str">
        <f>HYPERLINK("http://141.218.60.56/~jnz1568/getInfo.php?workbook=06_02.xlsx&amp;sheet=U0&amp;row=760&amp;col=7&amp;number=0.000211&amp;sourceID=14","0.000211")</f>
        <v>0.000211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HYPERLINK("http://141.218.60.56/~jnz1568/getInfo.php?workbook=06_02.xlsx&amp;sheet=U0&amp;row=761&amp;col=6&amp;number=4.7&amp;sourceID=14","4.7")</f>
        <v>4.7</v>
      </c>
      <c r="G761" s="4" t="str">
        <f>HYPERLINK("http://141.218.60.56/~jnz1568/getInfo.php?workbook=06_02.xlsx&amp;sheet=U0&amp;row=761&amp;col=7&amp;number=0.000211&amp;sourceID=14","0.000211")</f>
        <v>0.000211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HYPERLINK("http://141.218.60.56/~jnz1568/getInfo.php?workbook=06_02.xlsx&amp;sheet=U0&amp;row=762&amp;col=6&amp;number=4.8&amp;sourceID=14","4.8")</f>
        <v>4.8</v>
      </c>
      <c r="G762" s="4" t="str">
        <f>HYPERLINK("http://141.218.60.56/~jnz1568/getInfo.php?workbook=06_02.xlsx&amp;sheet=U0&amp;row=762&amp;col=7&amp;number=0.000209&amp;sourceID=14","0.000209")</f>
        <v>0.000209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HYPERLINK("http://141.218.60.56/~jnz1568/getInfo.php?workbook=06_02.xlsx&amp;sheet=U0&amp;row=763&amp;col=6&amp;number=4.9&amp;sourceID=14","4.9")</f>
        <v>4.9</v>
      </c>
      <c r="G763" s="4" t="str">
        <f>HYPERLINK("http://141.218.60.56/~jnz1568/getInfo.php?workbook=06_02.xlsx&amp;sheet=U0&amp;row=763&amp;col=7&amp;number=0.000208&amp;sourceID=14","0.000208")</f>
        <v>0.000208</v>
      </c>
    </row>
    <row r="764" spans="1:7">
      <c r="A764" s="3">
        <v>6</v>
      </c>
      <c r="B764" s="3">
        <v>2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HYPERLINK("http://141.218.60.56/~jnz1568/getInfo.php?workbook=06_02.xlsx&amp;sheet=U0&amp;row=764&amp;col=6&amp;number=3&amp;sourceID=14","3")</f>
        <v>3</v>
      </c>
      <c r="G764" s="4" t="str">
        <f>HYPERLINK("http://141.218.60.56/~jnz1568/getInfo.php?workbook=06_02.xlsx&amp;sheet=U0&amp;row=764&amp;col=7&amp;number=0.000301&amp;sourceID=14","0.000301")</f>
        <v>0.000301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HYPERLINK("http://141.218.60.56/~jnz1568/getInfo.php?workbook=06_02.xlsx&amp;sheet=U0&amp;row=765&amp;col=6&amp;number=3.1&amp;sourceID=14","3.1")</f>
        <v>3.1</v>
      </c>
      <c r="G765" s="4" t="str">
        <f>HYPERLINK("http://141.218.60.56/~jnz1568/getInfo.php?workbook=06_02.xlsx&amp;sheet=U0&amp;row=765&amp;col=7&amp;number=0.000301&amp;sourceID=14","0.000301")</f>
        <v>0.000301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HYPERLINK("http://141.218.60.56/~jnz1568/getInfo.php?workbook=06_02.xlsx&amp;sheet=U0&amp;row=766&amp;col=6&amp;number=3.2&amp;sourceID=14","3.2")</f>
        <v>3.2</v>
      </c>
      <c r="G766" s="4" t="str">
        <f>HYPERLINK("http://141.218.60.56/~jnz1568/getInfo.php?workbook=06_02.xlsx&amp;sheet=U0&amp;row=766&amp;col=7&amp;number=0.000301&amp;sourceID=14","0.000301")</f>
        <v>0.000301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HYPERLINK("http://141.218.60.56/~jnz1568/getInfo.php?workbook=06_02.xlsx&amp;sheet=U0&amp;row=767&amp;col=6&amp;number=3.3&amp;sourceID=14","3.3")</f>
        <v>3.3</v>
      </c>
      <c r="G767" s="4" t="str">
        <f>HYPERLINK("http://141.218.60.56/~jnz1568/getInfo.php?workbook=06_02.xlsx&amp;sheet=U0&amp;row=767&amp;col=7&amp;number=0.000301&amp;sourceID=14","0.000301")</f>
        <v>0.000301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HYPERLINK("http://141.218.60.56/~jnz1568/getInfo.php?workbook=06_02.xlsx&amp;sheet=U0&amp;row=768&amp;col=6&amp;number=3.4&amp;sourceID=14","3.4")</f>
        <v>3.4</v>
      </c>
      <c r="G768" s="4" t="str">
        <f>HYPERLINK("http://141.218.60.56/~jnz1568/getInfo.php?workbook=06_02.xlsx&amp;sheet=U0&amp;row=768&amp;col=7&amp;number=0.000301&amp;sourceID=14","0.000301")</f>
        <v>0.000301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HYPERLINK("http://141.218.60.56/~jnz1568/getInfo.php?workbook=06_02.xlsx&amp;sheet=U0&amp;row=769&amp;col=6&amp;number=3.5&amp;sourceID=14","3.5")</f>
        <v>3.5</v>
      </c>
      <c r="G769" s="4" t="str">
        <f>HYPERLINK("http://141.218.60.56/~jnz1568/getInfo.php?workbook=06_02.xlsx&amp;sheet=U0&amp;row=769&amp;col=7&amp;number=0.000301&amp;sourceID=14","0.000301")</f>
        <v>0.000301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HYPERLINK("http://141.218.60.56/~jnz1568/getInfo.php?workbook=06_02.xlsx&amp;sheet=U0&amp;row=770&amp;col=6&amp;number=3.6&amp;sourceID=14","3.6")</f>
        <v>3.6</v>
      </c>
      <c r="G770" s="4" t="str">
        <f>HYPERLINK("http://141.218.60.56/~jnz1568/getInfo.php?workbook=06_02.xlsx&amp;sheet=U0&amp;row=770&amp;col=7&amp;number=0.000301&amp;sourceID=14","0.000301")</f>
        <v>0.000301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HYPERLINK("http://141.218.60.56/~jnz1568/getInfo.php?workbook=06_02.xlsx&amp;sheet=U0&amp;row=771&amp;col=6&amp;number=3.7&amp;sourceID=14","3.7")</f>
        <v>3.7</v>
      </c>
      <c r="G771" s="4" t="str">
        <f>HYPERLINK("http://141.218.60.56/~jnz1568/getInfo.php?workbook=06_02.xlsx&amp;sheet=U0&amp;row=771&amp;col=7&amp;number=0.0003&amp;sourceID=14","0.0003")</f>
        <v>0.0003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HYPERLINK("http://141.218.60.56/~jnz1568/getInfo.php?workbook=06_02.xlsx&amp;sheet=U0&amp;row=772&amp;col=6&amp;number=3.8&amp;sourceID=14","3.8")</f>
        <v>3.8</v>
      </c>
      <c r="G772" s="4" t="str">
        <f>HYPERLINK("http://141.218.60.56/~jnz1568/getInfo.php?workbook=06_02.xlsx&amp;sheet=U0&amp;row=772&amp;col=7&amp;number=0.0003&amp;sourceID=14","0.0003")</f>
        <v>0.0003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HYPERLINK("http://141.218.60.56/~jnz1568/getInfo.php?workbook=06_02.xlsx&amp;sheet=U0&amp;row=773&amp;col=6&amp;number=3.9&amp;sourceID=14","3.9")</f>
        <v>3.9</v>
      </c>
      <c r="G773" s="4" t="str">
        <f>HYPERLINK("http://141.218.60.56/~jnz1568/getInfo.php?workbook=06_02.xlsx&amp;sheet=U0&amp;row=773&amp;col=7&amp;number=0.0003&amp;sourceID=14","0.0003")</f>
        <v>0.0003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HYPERLINK("http://141.218.60.56/~jnz1568/getInfo.php?workbook=06_02.xlsx&amp;sheet=U0&amp;row=774&amp;col=6&amp;number=4&amp;sourceID=14","4")</f>
        <v>4</v>
      </c>
      <c r="G774" s="4" t="str">
        <f>HYPERLINK("http://141.218.60.56/~jnz1568/getInfo.php?workbook=06_02.xlsx&amp;sheet=U0&amp;row=774&amp;col=7&amp;number=0.0003&amp;sourceID=14","0.0003")</f>
        <v>0.0003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HYPERLINK("http://141.218.60.56/~jnz1568/getInfo.php?workbook=06_02.xlsx&amp;sheet=U0&amp;row=775&amp;col=6&amp;number=4.1&amp;sourceID=14","4.1")</f>
        <v>4.1</v>
      </c>
      <c r="G775" s="4" t="str">
        <f>HYPERLINK("http://141.218.60.56/~jnz1568/getInfo.php?workbook=06_02.xlsx&amp;sheet=U0&amp;row=775&amp;col=7&amp;number=0.000299&amp;sourceID=14","0.000299")</f>
        <v>0.000299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HYPERLINK("http://141.218.60.56/~jnz1568/getInfo.php?workbook=06_02.xlsx&amp;sheet=U0&amp;row=776&amp;col=6&amp;number=4.2&amp;sourceID=14","4.2")</f>
        <v>4.2</v>
      </c>
      <c r="G776" s="4" t="str">
        <f>HYPERLINK("http://141.218.60.56/~jnz1568/getInfo.php?workbook=06_02.xlsx&amp;sheet=U0&amp;row=776&amp;col=7&amp;number=0.000299&amp;sourceID=14","0.000299")</f>
        <v>0.000299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HYPERLINK("http://141.218.60.56/~jnz1568/getInfo.php?workbook=06_02.xlsx&amp;sheet=U0&amp;row=777&amp;col=6&amp;number=4.3&amp;sourceID=14","4.3")</f>
        <v>4.3</v>
      </c>
      <c r="G777" s="4" t="str">
        <f>HYPERLINK("http://141.218.60.56/~jnz1568/getInfo.php?workbook=06_02.xlsx&amp;sheet=U0&amp;row=777&amp;col=7&amp;number=0.000298&amp;sourceID=14","0.000298")</f>
        <v>0.000298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HYPERLINK("http://141.218.60.56/~jnz1568/getInfo.php?workbook=06_02.xlsx&amp;sheet=U0&amp;row=778&amp;col=6&amp;number=4.4&amp;sourceID=14","4.4")</f>
        <v>4.4</v>
      </c>
      <c r="G778" s="4" t="str">
        <f>HYPERLINK("http://141.218.60.56/~jnz1568/getInfo.php?workbook=06_02.xlsx&amp;sheet=U0&amp;row=778&amp;col=7&amp;number=0.000297&amp;sourceID=14","0.000297")</f>
        <v>0.000297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HYPERLINK("http://141.218.60.56/~jnz1568/getInfo.php?workbook=06_02.xlsx&amp;sheet=U0&amp;row=779&amp;col=6&amp;number=4.5&amp;sourceID=14","4.5")</f>
        <v>4.5</v>
      </c>
      <c r="G779" s="4" t="str">
        <f>HYPERLINK("http://141.218.60.56/~jnz1568/getInfo.php?workbook=06_02.xlsx&amp;sheet=U0&amp;row=779&amp;col=7&amp;number=0.000297&amp;sourceID=14","0.000297")</f>
        <v>0.000297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HYPERLINK("http://141.218.60.56/~jnz1568/getInfo.php?workbook=06_02.xlsx&amp;sheet=U0&amp;row=780&amp;col=6&amp;number=4.6&amp;sourceID=14","4.6")</f>
        <v>4.6</v>
      </c>
      <c r="G780" s="4" t="str">
        <f>HYPERLINK("http://141.218.60.56/~jnz1568/getInfo.php?workbook=06_02.xlsx&amp;sheet=U0&amp;row=780&amp;col=7&amp;number=0.000295&amp;sourceID=14","0.000295")</f>
        <v>0.000295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HYPERLINK("http://141.218.60.56/~jnz1568/getInfo.php?workbook=06_02.xlsx&amp;sheet=U0&amp;row=781&amp;col=6&amp;number=4.7&amp;sourceID=14","4.7")</f>
        <v>4.7</v>
      </c>
      <c r="G781" s="4" t="str">
        <f>HYPERLINK("http://141.218.60.56/~jnz1568/getInfo.php?workbook=06_02.xlsx&amp;sheet=U0&amp;row=781&amp;col=7&amp;number=0.000294&amp;sourceID=14","0.000294")</f>
        <v>0.000294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HYPERLINK("http://141.218.60.56/~jnz1568/getInfo.php?workbook=06_02.xlsx&amp;sheet=U0&amp;row=782&amp;col=6&amp;number=4.8&amp;sourceID=14","4.8")</f>
        <v>4.8</v>
      </c>
      <c r="G782" s="4" t="str">
        <f>HYPERLINK("http://141.218.60.56/~jnz1568/getInfo.php?workbook=06_02.xlsx&amp;sheet=U0&amp;row=782&amp;col=7&amp;number=0.000292&amp;sourceID=14","0.000292")</f>
        <v>0.000292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HYPERLINK("http://141.218.60.56/~jnz1568/getInfo.php?workbook=06_02.xlsx&amp;sheet=U0&amp;row=783&amp;col=6&amp;number=4.9&amp;sourceID=14","4.9")</f>
        <v>4.9</v>
      </c>
      <c r="G783" s="4" t="str">
        <f>HYPERLINK("http://141.218.60.56/~jnz1568/getInfo.php?workbook=06_02.xlsx&amp;sheet=U0&amp;row=783&amp;col=7&amp;number=0.00029&amp;sourceID=14","0.00029")</f>
        <v>0.00029</v>
      </c>
    </row>
    <row r="784" spans="1:7">
      <c r="A784" s="3">
        <v>6</v>
      </c>
      <c r="B784" s="3">
        <v>2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HYPERLINK("http://141.218.60.56/~jnz1568/getInfo.php?workbook=06_02.xlsx&amp;sheet=U0&amp;row=784&amp;col=6&amp;number=3&amp;sourceID=14","3")</f>
        <v>3</v>
      </c>
      <c r="G784" s="4" t="str">
        <f>HYPERLINK("http://141.218.60.56/~jnz1568/getInfo.php?workbook=06_02.xlsx&amp;sheet=U0&amp;row=784&amp;col=7&amp;number=6.38e-05&amp;sourceID=14","6.38e-05")</f>
        <v>6.38e-05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HYPERLINK("http://141.218.60.56/~jnz1568/getInfo.php?workbook=06_02.xlsx&amp;sheet=U0&amp;row=785&amp;col=6&amp;number=3.1&amp;sourceID=14","3.1")</f>
        <v>3.1</v>
      </c>
      <c r="G785" s="4" t="str">
        <f>HYPERLINK("http://141.218.60.56/~jnz1568/getInfo.php?workbook=06_02.xlsx&amp;sheet=U0&amp;row=785&amp;col=7&amp;number=6.38e-05&amp;sourceID=14","6.38e-05")</f>
        <v>6.38e-05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HYPERLINK("http://141.218.60.56/~jnz1568/getInfo.php?workbook=06_02.xlsx&amp;sheet=U0&amp;row=786&amp;col=6&amp;number=3.2&amp;sourceID=14","3.2")</f>
        <v>3.2</v>
      </c>
      <c r="G786" s="4" t="str">
        <f>HYPERLINK("http://141.218.60.56/~jnz1568/getInfo.php?workbook=06_02.xlsx&amp;sheet=U0&amp;row=786&amp;col=7&amp;number=6.38e-05&amp;sourceID=14","6.38e-05")</f>
        <v>6.38e-05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HYPERLINK("http://141.218.60.56/~jnz1568/getInfo.php?workbook=06_02.xlsx&amp;sheet=U0&amp;row=787&amp;col=6&amp;number=3.3&amp;sourceID=14","3.3")</f>
        <v>3.3</v>
      </c>
      <c r="G787" s="4" t="str">
        <f>HYPERLINK("http://141.218.60.56/~jnz1568/getInfo.php?workbook=06_02.xlsx&amp;sheet=U0&amp;row=787&amp;col=7&amp;number=6.39e-05&amp;sourceID=14","6.39e-05")</f>
        <v>6.39e-05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HYPERLINK("http://141.218.60.56/~jnz1568/getInfo.php?workbook=06_02.xlsx&amp;sheet=U0&amp;row=788&amp;col=6&amp;number=3.4&amp;sourceID=14","3.4")</f>
        <v>3.4</v>
      </c>
      <c r="G788" s="4" t="str">
        <f>HYPERLINK("http://141.218.60.56/~jnz1568/getInfo.php?workbook=06_02.xlsx&amp;sheet=U0&amp;row=788&amp;col=7&amp;number=6.39e-05&amp;sourceID=14","6.39e-05")</f>
        <v>6.39e-05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HYPERLINK("http://141.218.60.56/~jnz1568/getInfo.php?workbook=06_02.xlsx&amp;sheet=U0&amp;row=789&amp;col=6&amp;number=3.5&amp;sourceID=14","3.5")</f>
        <v>3.5</v>
      </c>
      <c r="G789" s="4" t="str">
        <f>HYPERLINK("http://141.218.60.56/~jnz1568/getInfo.php?workbook=06_02.xlsx&amp;sheet=U0&amp;row=789&amp;col=7&amp;number=6.4e-05&amp;sourceID=14","6.4e-05")</f>
        <v>6.4e-05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HYPERLINK("http://141.218.60.56/~jnz1568/getInfo.php?workbook=06_02.xlsx&amp;sheet=U0&amp;row=790&amp;col=6&amp;number=3.6&amp;sourceID=14","3.6")</f>
        <v>3.6</v>
      </c>
      <c r="G790" s="4" t="str">
        <f>HYPERLINK("http://141.218.60.56/~jnz1568/getInfo.php?workbook=06_02.xlsx&amp;sheet=U0&amp;row=790&amp;col=7&amp;number=6.4e-05&amp;sourceID=14","6.4e-05")</f>
        <v>6.4e-05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HYPERLINK("http://141.218.60.56/~jnz1568/getInfo.php?workbook=06_02.xlsx&amp;sheet=U0&amp;row=791&amp;col=6&amp;number=3.7&amp;sourceID=14","3.7")</f>
        <v>3.7</v>
      </c>
      <c r="G791" s="4" t="str">
        <f>HYPERLINK("http://141.218.60.56/~jnz1568/getInfo.php?workbook=06_02.xlsx&amp;sheet=U0&amp;row=791&amp;col=7&amp;number=6.41e-05&amp;sourceID=14","6.41e-05")</f>
        <v>6.41e-05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HYPERLINK("http://141.218.60.56/~jnz1568/getInfo.php?workbook=06_02.xlsx&amp;sheet=U0&amp;row=792&amp;col=6&amp;number=3.8&amp;sourceID=14","3.8")</f>
        <v>3.8</v>
      </c>
      <c r="G792" s="4" t="str">
        <f>HYPERLINK("http://141.218.60.56/~jnz1568/getInfo.php?workbook=06_02.xlsx&amp;sheet=U0&amp;row=792&amp;col=7&amp;number=6.42e-05&amp;sourceID=14","6.42e-05")</f>
        <v>6.42e-05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HYPERLINK("http://141.218.60.56/~jnz1568/getInfo.php?workbook=06_02.xlsx&amp;sheet=U0&amp;row=793&amp;col=6&amp;number=3.9&amp;sourceID=14","3.9")</f>
        <v>3.9</v>
      </c>
      <c r="G793" s="4" t="str">
        <f>HYPERLINK("http://141.218.60.56/~jnz1568/getInfo.php?workbook=06_02.xlsx&amp;sheet=U0&amp;row=793&amp;col=7&amp;number=6.43e-05&amp;sourceID=14","6.43e-05")</f>
        <v>6.43e-05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HYPERLINK("http://141.218.60.56/~jnz1568/getInfo.php?workbook=06_02.xlsx&amp;sheet=U0&amp;row=794&amp;col=6&amp;number=4&amp;sourceID=14","4")</f>
        <v>4</v>
      </c>
      <c r="G794" s="4" t="str">
        <f>HYPERLINK("http://141.218.60.56/~jnz1568/getInfo.php?workbook=06_02.xlsx&amp;sheet=U0&amp;row=794&amp;col=7&amp;number=6.45e-05&amp;sourceID=14","6.45e-05")</f>
        <v>6.45e-05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HYPERLINK("http://141.218.60.56/~jnz1568/getInfo.php?workbook=06_02.xlsx&amp;sheet=U0&amp;row=795&amp;col=6&amp;number=4.1&amp;sourceID=14","4.1")</f>
        <v>4.1</v>
      </c>
      <c r="G795" s="4" t="str">
        <f>HYPERLINK("http://141.218.60.56/~jnz1568/getInfo.php?workbook=06_02.xlsx&amp;sheet=U0&amp;row=795&amp;col=7&amp;number=6.47e-05&amp;sourceID=14","6.47e-05")</f>
        <v>6.47e-05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HYPERLINK("http://141.218.60.56/~jnz1568/getInfo.php?workbook=06_02.xlsx&amp;sheet=U0&amp;row=796&amp;col=6&amp;number=4.2&amp;sourceID=14","4.2")</f>
        <v>4.2</v>
      </c>
      <c r="G796" s="4" t="str">
        <f>HYPERLINK("http://141.218.60.56/~jnz1568/getInfo.php?workbook=06_02.xlsx&amp;sheet=U0&amp;row=796&amp;col=7&amp;number=6.5e-05&amp;sourceID=14","6.5e-05")</f>
        <v>6.5e-05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HYPERLINK("http://141.218.60.56/~jnz1568/getInfo.php?workbook=06_02.xlsx&amp;sheet=U0&amp;row=797&amp;col=6&amp;number=4.3&amp;sourceID=14","4.3")</f>
        <v>4.3</v>
      </c>
      <c r="G797" s="4" t="str">
        <f>HYPERLINK("http://141.218.60.56/~jnz1568/getInfo.php?workbook=06_02.xlsx&amp;sheet=U0&amp;row=797&amp;col=7&amp;number=6.53e-05&amp;sourceID=14","6.53e-05")</f>
        <v>6.53e-05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HYPERLINK("http://141.218.60.56/~jnz1568/getInfo.php?workbook=06_02.xlsx&amp;sheet=U0&amp;row=798&amp;col=6&amp;number=4.4&amp;sourceID=14","4.4")</f>
        <v>4.4</v>
      </c>
      <c r="G798" s="4" t="str">
        <f>HYPERLINK("http://141.218.60.56/~jnz1568/getInfo.php?workbook=06_02.xlsx&amp;sheet=U0&amp;row=798&amp;col=7&amp;number=6.57e-05&amp;sourceID=14","6.57e-05")</f>
        <v>6.57e-05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HYPERLINK("http://141.218.60.56/~jnz1568/getInfo.php?workbook=06_02.xlsx&amp;sheet=U0&amp;row=799&amp;col=6&amp;number=4.5&amp;sourceID=14","4.5")</f>
        <v>4.5</v>
      </c>
      <c r="G799" s="4" t="str">
        <f>HYPERLINK("http://141.218.60.56/~jnz1568/getInfo.php?workbook=06_02.xlsx&amp;sheet=U0&amp;row=799&amp;col=7&amp;number=6.62e-05&amp;sourceID=14","6.62e-05")</f>
        <v>6.62e-05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HYPERLINK("http://141.218.60.56/~jnz1568/getInfo.php?workbook=06_02.xlsx&amp;sheet=U0&amp;row=800&amp;col=6&amp;number=4.6&amp;sourceID=14","4.6")</f>
        <v>4.6</v>
      </c>
      <c r="G800" s="4" t="str">
        <f>HYPERLINK("http://141.218.60.56/~jnz1568/getInfo.php?workbook=06_02.xlsx&amp;sheet=U0&amp;row=800&amp;col=7&amp;number=6.68e-05&amp;sourceID=14","6.68e-05")</f>
        <v>6.68e-05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HYPERLINK("http://141.218.60.56/~jnz1568/getInfo.php?workbook=06_02.xlsx&amp;sheet=U0&amp;row=801&amp;col=6&amp;number=4.7&amp;sourceID=14","4.7")</f>
        <v>4.7</v>
      </c>
      <c r="G801" s="4" t="str">
        <f>HYPERLINK("http://141.218.60.56/~jnz1568/getInfo.php?workbook=06_02.xlsx&amp;sheet=U0&amp;row=801&amp;col=7&amp;number=6.76e-05&amp;sourceID=14","6.76e-05")</f>
        <v>6.76e-05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HYPERLINK("http://141.218.60.56/~jnz1568/getInfo.php?workbook=06_02.xlsx&amp;sheet=U0&amp;row=802&amp;col=6&amp;number=4.8&amp;sourceID=14","4.8")</f>
        <v>4.8</v>
      </c>
      <c r="G802" s="4" t="str">
        <f>HYPERLINK("http://141.218.60.56/~jnz1568/getInfo.php?workbook=06_02.xlsx&amp;sheet=U0&amp;row=802&amp;col=7&amp;number=6.87e-05&amp;sourceID=14","6.87e-05")</f>
        <v>6.87e-05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HYPERLINK("http://141.218.60.56/~jnz1568/getInfo.php?workbook=06_02.xlsx&amp;sheet=U0&amp;row=803&amp;col=6&amp;number=4.9&amp;sourceID=14","4.9")</f>
        <v>4.9</v>
      </c>
      <c r="G803" s="4" t="str">
        <f>HYPERLINK("http://141.218.60.56/~jnz1568/getInfo.php?workbook=06_02.xlsx&amp;sheet=U0&amp;row=803&amp;col=7&amp;number=6.99e-05&amp;sourceID=14","6.99e-05")</f>
        <v>6.99e-05</v>
      </c>
    </row>
    <row r="804" spans="1:7">
      <c r="A804" s="3">
        <v>6</v>
      </c>
      <c r="B804" s="3">
        <v>2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HYPERLINK("http://141.218.60.56/~jnz1568/getInfo.php?workbook=06_02.xlsx&amp;sheet=U0&amp;row=804&amp;col=6&amp;number=3&amp;sourceID=14","3")</f>
        <v>3</v>
      </c>
      <c r="G804" s="4" t="str">
        <f>HYPERLINK("http://141.218.60.56/~jnz1568/getInfo.php?workbook=06_02.xlsx&amp;sheet=U0&amp;row=804&amp;col=7&amp;number=1.55e-05&amp;sourceID=14","1.55e-05")</f>
        <v>1.55e-05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HYPERLINK("http://141.218.60.56/~jnz1568/getInfo.php?workbook=06_02.xlsx&amp;sheet=U0&amp;row=805&amp;col=6&amp;number=3.1&amp;sourceID=14","3.1")</f>
        <v>3.1</v>
      </c>
      <c r="G805" s="4" t="str">
        <f>HYPERLINK("http://141.218.60.56/~jnz1568/getInfo.php?workbook=06_02.xlsx&amp;sheet=U0&amp;row=805&amp;col=7&amp;number=1.55e-05&amp;sourceID=14","1.55e-05")</f>
        <v>1.55e-05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HYPERLINK("http://141.218.60.56/~jnz1568/getInfo.php?workbook=06_02.xlsx&amp;sheet=U0&amp;row=806&amp;col=6&amp;number=3.2&amp;sourceID=14","3.2")</f>
        <v>3.2</v>
      </c>
      <c r="G806" s="4" t="str">
        <f>HYPERLINK("http://141.218.60.56/~jnz1568/getInfo.php?workbook=06_02.xlsx&amp;sheet=U0&amp;row=806&amp;col=7&amp;number=1.55e-05&amp;sourceID=14","1.55e-05")</f>
        <v>1.55e-05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HYPERLINK("http://141.218.60.56/~jnz1568/getInfo.php?workbook=06_02.xlsx&amp;sheet=U0&amp;row=807&amp;col=6&amp;number=3.3&amp;sourceID=14","3.3")</f>
        <v>3.3</v>
      </c>
      <c r="G807" s="4" t="str">
        <f>HYPERLINK("http://141.218.60.56/~jnz1568/getInfo.php?workbook=06_02.xlsx&amp;sheet=U0&amp;row=807&amp;col=7&amp;number=1.55e-05&amp;sourceID=14","1.55e-05")</f>
        <v>1.55e-05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HYPERLINK("http://141.218.60.56/~jnz1568/getInfo.php?workbook=06_02.xlsx&amp;sheet=U0&amp;row=808&amp;col=6&amp;number=3.4&amp;sourceID=14","3.4")</f>
        <v>3.4</v>
      </c>
      <c r="G808" s="4" t="str">
        <f>HYPERLINK("http://141.218.60.56/~jnz1568/getInfo.php?workbook=06_02.xlsx&amp;sheet=U0&amp;row=808&amp;col=7&amp;number=1.55e-05&amp;sourceID=14","1.55e-05")</f>
        <v>1.55e-05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HYPERLINK("http://141.218.60.56/~jnz1568/getInfo.php?workbook=06_02.xlsx&amp;sheet=U0&amp;row=809&amp;col=6&amp;number=3.5&amp;sourceID=14","3.5")</f>
        <v>3.5</v>
      </c>
      <c r="G809" s="4" t="str">
        <f>HYPERLINK("http://141.218.60.56/~jnz1568/getInfo.php?workbook=06_02.xlsx&amp;sheet=U0&amp;row=809&amp;col=7&amp;number=1.55e-05&amp;sourceID=14","1.55e-05")</f>
        <v>1.55e-05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HYPERLINK("http://141.218.60.56/~jnz1568/getInfo.php?workbook=06_02.xlsx&amp;sheet=U0&amp;row=810&amp;col=6&amp;number=3.6&amp;sourceID=14","3.6")</f>
        <v>3.6</v>
      </c>
      <c r="G810" s="4" t="str">
        <f>HYPERLINK("http://141.218.60.56/~jnz1568/getInfo.php?workbook=06_02.xlsx&amp;sheet=U0&amp;row=810&amp;col=7&amp;number=1.55e-05&amp;sourceID=14","1.55e-05")</f>
        <v>1.55e-05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HYPERLINK("http://141.218.60.56/~jnz1568/getInfo.php?workbook=06_02.xlsx&amp;sheet=U0&amp;row=811&amp;col=6&amp;number=3.7&amp;sourceID=14","3.7")</f>
        <v>3.7</v>
      </c>
      <c r="G811" s="4" t="str">
        <f>HYPERLINK("http://141.218.60.56/~jnz1568/getInfo.php?workbook=06_02.xlsx&amp;sheet=U0&amp;row=811&amp;col=7&amp;number=1.55e-05&amp;sourceID=14","1.55e-05")</f>
        <v>1.55e-05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HYPERLINK("http://141.218.60.56/~jnz1568/getInfo.php?workbook=06_02.xlsx&amp;sheet=U0&amp;row=812&amp;col=6&amp;number=3.8&amp;sourceID=14","3.8")</f>
        <v>3.8</v>
      </c>
      <c r="G812" s="4" t="str">
        <f>HYPERLINK("http://141.218.60.56/~jnz1568/getInfo.php?workbook=06_02.xlsx&amp;sheet=U0&amp;row=812&amp;col=7&amp;number=1.55e-05&amp;sourceID=14","1.55e-05")</f>
        <v>1.55e-05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HYPERLINK("http://141.218.60.56/~jnz1568/getInfo.php?workbook=06_02.xlsx&amp;sheet=U0&amp;row=813&amp;col=6&amp;number=3.9&amp;sourceID=14","3.9")</f>
        <v>3.9</v>
      </c>
      <c r="G813" s="4" t="str">
        <f>HYPERLINK("http://141.218.60.56/~jnz1568/getInfo.php?workbook=06_02.xlsx&amp;sheet=U0&amp;row=813&amp;col=7&amp;number=1.55e-05&amp;sourceID=14","1.55e-05")</f>
        <v>1.55e-05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HYPERLINK("http://141.218.60.56/~jnz1568/getInfo.php?workbook=06_02.xlsx&amp;sheet=U0&amp;row=814&amp;col=6&amp;number=4&amp;sourceID=14","4")</f>
        <v>4</v>
      </c>
      <c r="G814" s="4" t="str">
        <f>HYPERLINK("http://141.218.60.56/~jnz1568/getInfo.php?workbook=06_02.xlsx&amp;sheet=U0&amp;row=814&amp;col=7&amp;number=1.54e-05&amp;sourceID=14","1.54e-05")</f>
        <v>1.54e-05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HYPERLINK("http://141.218.60.56/~jnz1568/getInfo.php?workbook=06_02.xlsx&amp;sheet=U0&amp;row=815&amp;col=6&amp;number=4.1&amp;sourceID=14","4.1")</f>
        <v>4.1</v>
      </c>
      <c r="G815" s="4" t="str">
        <f>HYPERLINK("http://141.218.60.56/~jnz1568/getInfo.php?workbook=06_02.xlsx&amp;sheet=U0&amp;row=815&amp;col=7&amp;number=1.54e-05&amp;sourceID=14","1.54e-05")</f>
        <v>1.54e-05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HYPERLINK("http://141.218.60.56/~jnz1568/getInfo.php?workbook=06_02.xlsx&amp;sheet=U0&amp;row=816&amp;col=6&amp;number=4.2&amp;sourceID=14","4.2")</f>
        <v>4.2</v>
      </c>
      <c r="G816" s="4" t="str">
        <f>HYPERLINK("http://141.218.60.56/~jnz1568/getInfo.php?workbook=06_02.xlsx&amp;sheet=U0&amp;row=816&amp;col=7&amp;number=1.54e-05&amp;sourceID=14","1.54e-05")</f>
        <v>1.54e-05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HYPERLINK("http://141.218.60.56/~jnz1568/getInfo.php?workbook=06_02.xlsx&amp;sheet=U0&amp;row=817&amp;col=6&amp;number=4.3&amp;sourceID=14","4.3")</f>
        <v>4.3</v>
      </c>
      <c r="G817" s="4" t="str">
        <f>HYPERLINK("http://141.218.60.56/~jnz1568/getInfo.php?workbook=06_02.xlsx&amp;sheet=U0&amp;row=817&amp;col=7&amp;number=1.54e-05&amp;sourceID=14","1.54e-05")</f>
        <v>1.54e-05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HYPERLINK("http://141.218.60.56/~jnz1568/getInfo.php?workbook=06_02.xlsx&amp;sheet=U0&amp;row=818&amp;col=6&amp;number=4.4&amp;sourceID=14","4.4")</f>
        <v>4.4</v>
      </c>
      <c r="G818" s="4" t="str">
        <f>HYPERLINK("http://141.218.60.56/~jnz1568/getInfo.php?workbook=06_02.xlsx&amp;sheet=U0&amp;row=818&amp;col=7&amp;number=1.53e-05&amp;sourceID=14","1.53e-05")</f>
        <v>1.53e-05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HYPERLINK("http://141.218.60.56/~jnz1568/getInfo.php?workbook=06_02.xlsx&amp;sheet=U0&amp;row=819&amp;col=6&amp;number=4.5&amp;sourceID=14","4.5")</f>
        <v>4.5</v>
      </c>
      <c r="G819" s="4" t="str">
        <f>HYPERLINK("http://141.218.60.56/~jnz1568/getInfo.php?workbook=06_02.xlsx&amp;sheet=U0&amp;row=819&amp;col=7&amp;number=1.52e-05&amp;sourceID=14","1.52e-05")</f>
        <v>1.52e-05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HYPERLINK("http://141.218.60.56/~jnz1568/getInfo.php?workbook=06_02.xlsx&amp;sheet=U0&amp;row=820&amp;col=6&amp;number=4.6&amp;sourceID=14","4.6")</f>
        <v>4.6</v>
      </c>
      <c r="G820" s="4" t="str">
        <f>HYPERLINK("http://141.218.60.56/~jnz1568/getInfo.php?workbook=06_02.xlsx&amp;sheet=U0&amp;row=820&amp;col=7&amp;number=1.52e-05&amp;sourceID=14","1.52e-05")</f>
        <v>1.52e-05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HYPERLINK("http://141.218.60.56/~jnz1568/getInfo.php?workbook=06_02.xlsx&amp;sheet=U0&amp;row=821&amp;col=6&amp;number=4.7&amp;sourceID=14","4.7")</f>
        <v>4.7</v>
      </c>
      <c r="G821" s="4" t="str">
        <f>HYPERLINK("http://141.218.60.56/~jnz1568/getInfo.php?workbook=06_02.xlsx&amp;sheet=U0&amp;row=821&amp;col=7&amp;number=1.51e-05&amp;sourceID=14","1.51e-05")</f>
        <v>1.51e-05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HYPERLINK("http://141.218.60.56/~jnz1568/getInfo.php?workbook=06_02.xlsx&amp;sheet=U0&amp;row=822&amp;col=6&amp;number=4.8&amp;sourceID=14","4.8")</f>
        <v>4.8</v>
      </c>
      <c r="G822" s="4" t="str">
        <f>HYPERLINK("http://141.218.60.56/~jnz1568/getInfo.php?workbook=06_02.xlsx&amp;sheet=U0&amp;row=822&amp;col=7&amp;number=1.5e-05&amp;sourceID=14","1.5e-05")</f>
        <v>1.5e-05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HYPERLINK("http://141.218.60.56/~jnz1568/getInfo.php?workbook=06_02.xlsx&amp;sheet=U0&amp;row=823&amp;col=6&amp;number=4.9&amp;sourceID=14","4.9")</f>
        <v>4.9</v>
      </c>
      <c r="G823" s="4" t="str">
        <f>HYPERLINK("http://141.218.60.56/~jnz1568/getInfo.php?workbook=06_02.xlsx&amp;sheet=U0&amp;row=823&amp;col=7&amp;number=1.48e-05&amp;sourceID=14","1.48e-05")</f>
        <v>1.48e-05</v>
      </c>
    </row>
    <row r="824" spans="1:7">
      <c r="A824" s="3">
        <v>6</v>
      </c>
      <c r="B824" s="3">
        <v>2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HYPERLINK("http://141.218.60.56/~jnz1568/getInfo.php?workbook=06_02.xlsx&amp;sheet=U0&amp;row=824&amp;col=6&amp;number=3&amp;sourceID=14","3")</f>
        <v>3</v>
      </c>
      <c r="G824" s="4" t="str">
        <f>HYPERLINK("http://141.218.60.56/~jnz1568/getInfo.php?workbook=06_02.xlsx&amp;sheet=U0&amp;row=824&amp;col=7&amp;number=2.07e-05&amp;sourceID=14","2.07e-05")</f>
        <v>2.07e-05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HYPERLINK("http://141.218.60.56/~jnz1568/getInfo.php?workbook=06_02.xlsx&amp;sheet=U0&amp;row=825&amp;col=6&amp;number=3.1&amp;sourceID=14","3.1")</f>
        <v>3.1</v>
      </c>
      <c r="G825" s="4" t="str">
        <f>HYPERLINK("http://141.218.60.56/~jnz1568/getInfo.php?workbook=06_02.xlsx&amp;sheet=U0&amp;row=825&amp;col=7&amp;number=2.07e-05&amp;sourceID=14","2.07e-05")</f>
        <v>2.07e-05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HYPERLINK("http://141.218.60.56/~jnz1568/getInfo.php?workbook=06_02.xlsx&amp;sheet=U0&amp;row=826&amp;col=6&amp;number=3.2&amp;sourceID=14","3.2")</f>
        <v>3.2</v>
      </c>
      <c r="G826" s="4" t="str">
        <f>HYPERLINK("http://141.218.60.56/~jnz1568/getInfo.php?workbook=06_02.xlsx&amp;sheet=U0&amp;row=826&amp;col=7&amp;number=2.07e-05&amp;sourceID=14","2.07e-05")</f>
        <v>2.07e-05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HYPERLINK("http://141.218.60.56/~jnz1568/getInfo.php?workbook=06_02.xlsx&amp;sheet=U0&amp;row=827&amp;col=6&amp;number=3.3&amp;sourceID=14","3.3")</f>
        <v>3.3</v>
      </c>
      <c r="G827" s="4" t="str">
        <f>HYPERLINK("http://141.218.60.56/~jnz1568/getInfo.php?workbook=06_02.xlsx&amp;sheet=U0&amp;row=827&amp;col=7&amp;number=2.07e-05&amp;sourceID=14","2.07e-05")</f>
        <v>2.07e-05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HYPERLINK("http://141.218.60.56/~jnz1568/getInfo.php?workbook=06_02.xlsx&amp;sheet=U0&amp;row=828&amp;col=6&amp;number=3.4&amp;sourceID=14","3.4")</f>
        <v>3.4</v>
      </c>
      <c r="G828" s="4" t="str">
        <f>HYPERLINK("http://141.218.60.56/~jnz1568/getInfo.php?workbook=06_02.xlsx&amp;sheet=U0&amp;row=828&amp;col=7&amp;number=2.07e-05&amp;sourceID=14","2.07e-05")</f>
        <v>2.07e-05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HYPERLINK("http://141.218.60.56/~jnz1568/getInfo.php?workbook=06_02.xlsx&amp;sheet=U0&amp;row=829&amp;col=6&amp;number=3.5&amp;sourceID=14","3.5")</f>
        <v>3.5</v>
      </c>
      <c r="G829" s="4" t="str">
        <f>HYPERLINK("http://141.218.60.56/~jnz1568/getInfo.php?workbook=06_02.xlsx&amp;sheet=U0&amp;row=829&amp;col=7&amp;number=2.07e-05&amp;sourceID=14","2.07e-05")</f>
        <v>2.07e-05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HYPERLINK("http://141.218.60.56/~jnz1568/getInfo.php?workbook=06_02.xlsx&amp;sheet=U0&amp;row=830&amp;col=6&amp;number=3.6&amp;sourceID=14","3.6")</f>
        <v>3.6</v>
      </c>
      <c r="G830" s="4" t="str">
        <f>HYPERLINK("http://141.218.60.56/~jnz1568/getInfo.php?workbook=06_02.xlsx&amp;sheet=U0&amp;row=830&amp;col=7&amp;number=2.07e-05&amp;sourceID=14","2.07e-05")</f>
        <v>2.07e-05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HYPERLINK("http://141.218.60.56/~jnz1568/getInfo.php?workbook=06_02.xlsx&amp;sheet=U0&amp;row=831&amp;col=6&amp;number=3.7&amp;sourceID=14","3.7")</f>
        <v>3.7</v>
      </c>
      <c r="G831" s="4" t="str">
        <f>HYPERLINK("http://141.218.60.56/~jnz1568/getInfo.php?workbook=06_02.xlsx&amp;sheet=U0&amp;row=831&amp;col=7&amp;number=2.06e-05&amp;sourceID=14","2.06e-05")</f>
        <v>2.06e-05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HYPERLINK("http://141.218.60.56/~jnz1568/getInfo.php?workbook=06_02.xlsx&amp;sheet=U0&amp;row=832&amp;col=6&amp;number=3.8&amp;sourceID=14","3.8")</f>
        <v>3.8</v>
      </c>
      <c r="G832" s="4" t="str">
        <f>HYPERLINK("http://141.218.60.56/~jnz1568/getInfo.php?workbook=06_02.xlsx&amp;sheet=U0&amp;row=832&amp;col=7&amp;number=2.06e-05&amp;sourceID=14","2.06e-05")</f>
        <v>2.06e-05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HYPERLINK("http://141.218.60.56/~jnz1568/getInfo.php?workbook=06_02.xlsx&amp;sheet=U0&amp;row=833&amp;col=6&amp;number=3.9&amp;sourceID=14","3.9")</f>
        <v>3.9</v>
      </c>
      <c r="G833" s="4" t="str">
        <f>HYPERLINK("http://141.218.60.56/~jnz1568/getInfo.php?workbook=06_02.xlsx&amp;sheet=U0&amp;row=833&amp;col=7&amp;number=2.06e-05&amp;sourceID=14","2.06e-05")</f>
        <v>2.06e-05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HYPERLINK("http://141.218.60.56/~jnz1568/getInfo.php?workbook=06_02.xlsx&amp;sheet=U0&amp;row=834&amp;col=6&amp;number=4&amp;sourceID=14","4")</f>
        <v>4</v>
      </c>
      <c r="G834" s="4" t="str">
        <f>HYPERLINK("http://141.218.60.56/~jnz1568/getInfo.php?workbook=06_02.xlsx&amp;sheet=U0&amp;row=834&amp;col=7&amp;number=2.06e-05&amp;sourceID=14","2.06e-05")</f>
        <v>2.06e-05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HYPERLINK("http://141.218.60.56/~jnz1568/getInfo.php?workbook=06_02.xlsx&amp;sheet=U0&amp;row=835&amp;col=6&amp;number=4.1&amp;sourceID=14","4.1")</f>
        <v>4.1</v>
      </c>
      <c r="G835" s="4" t="str">
        <f>HYPERLINK("http://141.218.60.56/~jnz1568/getInfo.php?workbook=06_02.xlsx&amp;sheet=U0&amp;row=835&amp;col=7&amp;number=2.05e-05&amp;sourceID=14","2.05e-05")</f>
        <v>2.05e-05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HYPERLINK("http://141.218.60.56/~jnz1568/getInfo.php?workbook=06_02.xlsx&amp;sheet=U0&amp;row=836&amp;col=6&amp;number=4.2&amp;sourceID=14","4.2")</f>
        <v>4.2</v>
      </c>
      <c r="G836" s="4" t="str">
        <f>HYPERLINK("http://141.218.60.56/~jnz1568/getInfo.php?workbook=06_02.xlsx&amp;sheet=U0&amp;row=836&amp;col=7&amp;number=2.05e-05&amp;sourceID=14","2.05e-05")</f>
        <v>2.05e-05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HYPERLINK("http://141.218.60.56/~jnz1568/getInfo.php?workbook=06_02.xlsx&amp;sheet=U0&amp;row=837&amp;col=6&amp;number=4.3&amp;sourceID=14","4.3")</f>
        <v>4.3</v>
      </c>
      <c r="G837" s="4" t="str">
        <f>HYPERLINK("http://141.218.60.56/~jnz1568/getInfo.php?workbook=06_02.xlsx&amp;sheet=U0&amp;row=837&amp;col=7&amp;number=2.05e-05&amp;sourceID=14","2.05e-05")</f>
        <v>2.05e-05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HYPERLINK("http://141.218.60.56/~jnz1568/getInfo.php?workbook=06_02.xlsx&amp;sheet=U0&amp;row=838&amp;col=6&amp;number=4.4&amp;sourceID=14","4.4")</f>
        <v>4.4</v>
      </c>
      <c r="G838" s="4" t="str">
        <f>HYPERLINK("http://141.218.60.56/~jnz1568/getInfo.php?workbook=06_02.xlsx&amp;sheet=U0&amp;row=838&amp;col=7&amp;number=2.04e-05&amp;sourceID=14","2.04e-05")</f>
        <v>2.04e-05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HYPERLINK("http://141.218.60.56/~jnz1568/getInfo.php?workbook=06_02.xlsx&amp;sheet=U0&amp;row=839&amp;col=6&amp;number=4.5&amp;sourceID=14","4.5")</f>
        <v>4.5</v>
      </c>
      <c r="G839" s="4" t="str">
        <f>HYPERLINK("http://141.218.60.56/~jnz1568/getInfo.php?workbook=06_02.xlsx&amp;sheet=U0&amp;row=839&amp;col=7&amp;number=2.03e-05&amp;sourceID=14","2.03e-05")</f>
        <v>2.03e-05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HYPERLINK("http://141.218.60.56/~jnz1568/getInfo.php?workbook=06_02.xlsx&amp;sheet=U0&amp;row=840&amp;col=6&amp;number=4.6&amp;sourceID=14","4.6")</f>
        <v>4.6</v>
      </c>
      <c r="G840" s="4" t="str">
        <f>HYPERLINK("http://141.218.60.56/~jnz1568/getInfo.php?workbook=06_02.xlsx&amp;sheet=U0&amp;row=840&amp;col=7&amp;number=2.02e-05&amp;sourceID=14","2.02e-05")</f>
        <v>2.02e-05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HYPERLINK("http://141.218.60.56/~jnz1568/getInfo.php?workbook=06_02.xlsx&amp;sheet=U0&amp;row=841&amp;col=6&amp;number=4.7&amp;sourceID=14","4.7")</f>
        <v>4.7</v>
      </c>
      <c r="G841" s="4" t="str">
        <f>HYPERLINK("http://141.218.60.56/~jnz1568/getInfo.php?workbook=06_02.xlsx&amp;sheet=U0&amp;row=841&amp;col=7&amp;number=2.01e-05&amp;sourceID=14","2.01e-05")</f>
        <v>2.01e-05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HYPERLINK("http://141.218.60.56/~jnz1568/getInfo.php?workbook=06_02.xlsx&amp;sheet=U0&amp;row=842&amp;col=6&amp;number=4.8&amp;sourceID=14","4.8")</f>
        <v>4.8</v>
      </c>
      <c r="G842" s="4" t="str">
        <f>HYPERLINK("http://141.218.60.56/~jnz1568/getInfo.php?workbook=06_02.xlsx&amp;sheet=U0&amp;row=842&amp;col=7&amp;number=2e-05&amp;sourceID=14","2e-05")</f>
        <v>2e-05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HYPERLINK("http://141.218.60.56/~jnz1568/getInfo.php?workbook=06_02.xlsx&amp;sheet=U0&amp;row=843&amp;col=6&amp;number=4.9&amp;sourceID=14","4.9")</f>
        <v>4.9</v>
      </c>
      <c r="G843" s="4" t="str">
        <f>HYPERLINK("http://141.218.60.56/~jnz1568/getInfo.php?workbook=06_02.xlsx&amp;sheet=U0&amp;row=843&amp;col=7&amp;number=1.98e-05&amp;sourceID=14","1.98e-05")</f>
        <v>1.98e-05</v>
      </c>
    </row>
    <row r="844" spans="1:7">
      <c r="A844" s="3">
        <v>6</v>
      </c>
      <c r="B844" s="3">
        <v>2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HYPERLINK("http://141.218.60.56/~jnz1568/getInfo.php?workbook=06_02.xlsx&amp;sheet=U0&amp;row=844&amp;col=6&amp;number=3&amp;sourceID=14","3")</f>
        <v>3</v>
      </c>
      <c r="G844" s="4" t="str">
        <f>HYPERLINK("http://141.218.60.56/~jnz1568/getInfo.php?workbook=06_02.xlsx&amp;sheet=U0&amp;row=844&amp;col=7&amp;number=2.81e-05&amp;sourceID=14","2.81e-05")</f>
        <v>2.81e-05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HYPERLINK("http://141.218.60.56/~jnz1568/getInfo.php?workbook=06_02.xlsx&amp;sheet=U0&amp;row=845&amp;col=6&amp;number=3.1&amp;sourceID=14","3.1")</f>
        <v>3.1</v>
      </c>
      <c r="G845" s="4" t="str">
        <f>HYPERLINK("http://141.218.60.56/~jnz1568/getInfo.php?workbook=06_02.xlsx&amp;sheet=U0&amp;row=845&amp;col=7&amp;number=2.81e-05&amp;sourceID=14","2.81e-05")</f>
        <v>2.81e-05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HYPERLINK("http://141.218.60.56/~jnz1568/getInfo.php?workbook=06_02.xlsx&amp;sheet=U0&amp;row=846&amp;col=6&amp;number=3.2&amp;sourceID=14","3.2")</f>
        <v>3.2</v>
      </c>
      <c r="G846" s="4" t="str">
        <f>HYPERLINK("http://141.218.60.56/~jnz1568/getInfo.php?workbook=06_02.xlsx&amp;sheet=U0&amp;row=846&amp;col=7&amp;number=2.81e-05&amp;sourceID=14","2.81e-05")</f>
        <v>2.81e-05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HYPERLINK("http://141.218.60.56/~jnz1568/getInfo.php?workbook=06_02.xlsx&amp;sheet=U0&amp;row=847&amp;col=6&amp;number=3.3&amp;sourceID=14","3.3")</f>
        <v>3.3</v>
      </c>
      <c r="G847" s="4" t="str">
        <f>HYPERLINK("http://141.218.60.56/~jnz1568/getInfo.php?workbook=06_02.xlsx&amp;sheet=U0&amp;row=847&amp;col=7&amp;number=2.81e-05&amp;sourceID=14","2.81e-05")</f>
        <v>2.81e-05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HYPERLINK("http://141.218.60.56/~jnz1568/getInfo.php?workbook=06_02.xlsx&amp;sheet=U0&amp;row=848&amp;col=6&amp;number=3.4&amp;sourceID=14","3.4")</f>
        <v>3.4</v>
      </c>
      <c r="G848" s="4" t="str">
        <f>HYPERLINK("http://141.218.60.56/~jnz1568/getInfo.php?workbook=06_02.xlsx&amp;sheet=U0&amp;row=848&amp;col=7&amp;number=2.8e-05&amp;sourceID=14","2.8e-05")</f>
        <v>2.8e-05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HYPERLINK("http://141.218.60.56/~jnz1568/getInfo.php?workbook=06_02.xlsx&amp;sheet=U0&amp;row=849&amp;col=6&amp;number=3.5&amp;sourceID=14","3.5")</f>
        <v>3.5</v>
      </c>
      <c r="G849" s="4" t="str">
        <f>HYPERLINK("http://141.218.60.56/~jnz1568/getInfo.php?workbook=06_02.xlsx&amp;sheet=U0&amp;row=849&amp;col=7&amp;number=2.8e-05&amp;sourceID=14","2.8e-05")</f>
        <v>2.8e-05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HYPERLINK("http://141.218.60.56/~jnz1568/getInfo.php?workbook=06_02.xlsx&amp;sheet=U0&amp;row=850&amp;col=6&amp;number=3.6&amp;sourceID=14","3.6")</f>
        <v>3.6</v>
      </c>
      <c r="G850" s="4" t="str">
        <f>HYPERLINK("http://141.218.60.56/~jnz1568/getInfo.php?workbook=06_02.xlsx&amp;sheet=U0&amp;row=850&amp;col=7&amp;number=2.8e-05&amp;sourceID=14","2.8e-05")</f>
        <v>2.8e-05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HYPERLINK("http://141.218.60.56/~jnz1568/getInfo.php?workbook=06_02.xlsx&amp;sheet=U0&amp;row=851&amp;col=6&amp;number=3.7&amp;sourceID=14","3.7")</f>
        <v>3.7</v>
      </c>
      <c r="G851" s="4" t="str">
        <f>HYPERLINK("http://141.218.60.56/~jnz1568/getInfo.php?workbook=06_02.xlsx&amp;sheet=U0&amp;row=851&amp;col=7&amp;number=2.8e-05&amp;sourceID=14","2.8e-05")</f>
        <v>2.8e-05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HYPERLINK("http://141.218.60.56/~jnz1568/getInfo.php?workbook=06_02.xlsx&amp;sheet=U0&amp;row=852&amp;col=6&amp;number=3.8&amp;sourceID=14","3.8")</f>
        <v>3.8</v>
      </c>
      <c r="G852" s="4" t="str">
        <f>HYPERLINK("http://141.218.60.56/~jnz1568/getInfo.php?workbook=06_02.xlsx&amp;sheet=U0&amp;row=852&amp;col=7&amp;number=2.8e-05&amp;sourceID=14","2.8e-05")</f>
        <v>2.8e-05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HYPERLINK("http://141.218.60.56/~jnz1568/getInfo.php?workbook=06_02.xlsx&amp;sheet=U0&amp;row=853&amp;col=6&amp;number=3.9&amp;sourceID=14","3.9")</f>
        <v>3.9</v>
      </c>
      <c r="G853" s="4" t="str">
        <f>HYPERLINK("http://141.218.60.56/~jnz1568/getInfo.php?workbook=06_02.xlsx&amp;sheet=U0&amp;row=853&amp;col=7&amp;number=2.79e-05&amp;sourceID=14","2.79e-05")</f>
        <v>2.79e-05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HYPERLINK("http://141.218.60.56/~jnz1568/getInfo.php?workbook=06_02.xlsx&amp;sheet=U0&amp;row=854&amp;col=6&amp;number=4&amp;sourceID=14","4")</f>
        <v>4</v>
      </c>
      <c r="G854" s="4" t="str">
        <f>HYPERLINK("http://141.218.60.56/~jnz1568/getInfo.php?workbook=06_02.xlsx&amp;sheet=U0&amp;row=854&amp;col=7&amp;number=2.79e-05&amp;sourceID=14","2.79e-05")</f>
        <v>2.79e-05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HYPERLINK("http://141.218.60.56/~jnz1568/getInfo.php?workbook=06_02.xlsx&amp;sheet=U0&amp;row=855&amp;col=6&amp;number=4.1&amp;sourceID=14","4.1")</f>
        <v>4.1</v>
      </c>
      <c r="G855" s="4" t="str">
        <f>HYPERLINK("http://141.218.60.56/~jnz1568/getInfo.php?workbook=06_02.xlsx&amp;sheet=U0&amp;row=855&amp;col=7&amp;number=2.79e-05&amp;sourceID=14","2.79e-05")</f>
        <v>2.79e-05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HYPERLINK("http://141.218.60.56/~jnz1568/getInfo.php?workbook=06_02.xlsx&amp;sheet=U0&amp;row=856&amp;col=6&amp;number=4.2&amp;sourceID=14","4.2")</f>
        <v>4.2</v>
      </c>
      <c r="G856" s="4" t="str">
        <f>HYPERLINK("http://141.218.60.56/~jnz1568/getInfo.php?workbook=06_02.xlsx&amp;sheet=U0&amp;row=856&amp;col=7&amp;number=2.78e-05&amp;sourceID=14","2.78e-05")</f>
        <v>2.78e-05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HYPERLINK("http://141.218.60.56/~jnz1568/getInfo.php?workbook=06_02.xlsx&amp;sheet=U0&amp;row=857&amp;col=6&amp;number=4.3&amp;sourceID=14","4.3")</f>
        <v>4.3</v>
      </c>
      <c r="G857" s="4" t="str">
        <f>HYPERLINK("http://141.218.60.56/~jnz1568/getInfo.php?workbook=06_02.xlsx&amp;sheet=U0&amp;row=857&amp;col=7&amp;number=2.77e-05&amp;sourceID=14","2.77e-05")</f>
        <v>2.77e-05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HYPERLINK("http://141.218.60.56/~jnz1568/getInfo.php?workbook=06_02.xlsx&amp;sheet=U0&amp;row=858&amp;col=6&amp;number=4.4&amp;sourceID=14","4.4")</f>
        <v>4.4</v>
      </c>
      <c r="G858" s="4" t="str">
        <f>HYPERLINK("http://141.218.60.56/~jnz1568/getInfo.php?workbook=06_02.xlsx&amp;sheet=U0&amp;row=858&amp;col=7&amp;number=2.76e-05&amp;sourceID=14","2.76e-05")</f>
        <v>2.76e-05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HYPERLINK("http://141.218.60.56/~jnz1568/getInfo.php?workbook=06_02.xlsx&amp;sheet=U0&amp;row=859&amp;col=6&amp;number=4.5&amp;sourceID=14","4.5")</f>
        <v>4.5</v>
      </c>
      <c r="G859" s="4" t="str">
        <f>HYPERLINK("http://141.218.60.56/~jnz1568/getInfo.php?workbook=06_02.xlsx&amp;sheet=U0&amp;row=859&amp;col=7&amp;number=2.75e-05&amp;sourceID=14","2.75e-05")</f>
        <v>2.75e-05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HYPERLINK("http://141.218.60.56/~jnz1568/getInfo.php?workbook=06_02.xlsx&amp;sheet=U0&amp;row=860&amp;col=6&amp;number=4.6&amp;sourceID=14","4.6")</f>
        <v>4.6</v>
      </c>
      <c r="G860" s="4" t="str">
        <f>HYPERLINK("http://141.218.60.56/~jnz1568/getInfo.php?workbook=06_02.xlsx&amp;sheet=U0&amp;row=860&amp;col=7&amp;number=2.74e-05&amp;sourceID=14","2.74e-05")</f>
        <v>2.74e-05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HYPERLINK("http://141.218.60.56/~jnz1568/getInfo.php?workbook=06_02.xlsx&amp;sheet=U0&amp;row=861&amp;col=6&amp;number=4.7&amp;sourceID=14","4.7")</f>
        <v>4.7</v>
      </c>
      <c r="G861" s="4" t="str">
        <f>HYPERLINK("http://141.218.60.56/~jnz1568/getInfo.php?workbook=06_02.xlsx&amp;sheet=U0&amp;row=861&amp;col=7&amp;number=2.72e-05&amp;sourceID=14","2.72e-05")</f>
        <v>2.72e-05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HYPERLINK("http://141.218.60.56/~jnz1568/getInfo.php?workbook=06_02.xlsx&amp;sheet=U0&amp;row=862&amp;col=6&amp;number=4.8&amp;sourceID=14","4.8")</f>
        <v>4.8</v>
      </c>
      <c r="G862" s="4" t="str">
        <f>HYPERLINK("http://141.218.60.56/~jnz1568/getInfo.php?workbook=06_02.xlsx&amp;sheet=U0&amp;row=862&amp;col=7&amp;number=2.7e-05&amp;sourceID=14","2.7e-05")</f>
        <v>2.7e-05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HYPERLINK("http://141.218.60.56/~jnz1568/getInfo.php?workbook=06_02.xlsx&amp;sheet=U0&amp;row=863&amp;col=6&amp;number=4.9&amp;sourceID=14","4.9")</f>
        <v>4.9</v>
      </c>
      <c r="G863" s="4" t="str">
        <f>HYPERLINK("http://141.218.60.56/~jnz1568/getInfo.php?workbook=06_02.xlsx&amp;sheet=U0&amp;row=863&amp;col=7&amp;number=2.67e-05&amp;sourceID=14","2.67e-05")</f>
        <v>2.67e-05</v>
      </c>
    </row>
    <row r="864" spans="1:7">
      <c r="A864" s="3">
        <v>6</v>
      </c>
      <c r="B864" s="3">
        <v>2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HYPERLINK("http://141.218.60.56/~jnz1568/getInfo.php?workbook=06_02.xlsx&amp;sheet=U0&amp;row=864&amp;col=6&amp;number=3&amp;sourceID=14","3")</f>
        <v>3</v>
      </c>
      <c r="G864" s="4" t="str">
        <f>HYPERLINK("http://141.218.60.56/~jnz1568/getInfo.php?workbook=06_02.xlsx&amp;sheet=U0&amp;row=864&amp;col=7&amp;number=1.41e-05&amp;sourceID=14","1.41e-05")</f>
        <v>1.41e-05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HYPERLINK("http://141.218.60.56/~jnz1568/getInfo.php?workbook=06_02.xlsx&amp;sheet=U0&amp;row=865&amp;col=6&amp;number=3.1&amp;sourceID=14","3.1")</f>
        <v>3.1</v>
      </c>
      <c r="G865" s="4" t="str">
        <f>HYPERLINK("http://141.218.60.56/~jnz1568/getInfo.php?workbook=06_02.xlsx&amp;sheet=U0&amp;row=865&amp;col=7&amp;number=1.41e-05&amp;sourceID=14","1.41e-05")</f>
        <v>1.41e-05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HYPERLINK("http://141.218.60.56/~jnz1568/getInfo.php?workbook=06_02.xlsx&amp;sheet=U0&amp;row=866&amp;col=6&amp;number=3.2&amp;sourceID=14","3.2")</f>
        <v>3.2</v>
      </c>
      <c r="G866" s="4" t="str">
        <f>HYPERLINK("http://141.218.60.56/~jnz1568/getInfo.php?workbook=06_02.xlsx&amp;sheet=U0&amp;row=866&amp;col=7&amp;number=1.41e-05&amp;sourceID=14","1.41e-05")</f>
        <v>1.41e-05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HYPERLINK("http://141.218.60.56/~jnz1568/getInfo.php?workbook=06_02.xlsx&amp;sheet=U0&amp;row=867&amp;col=6&amp;number=3.3&amp;sourceID=14","3.3")</f>
        <v>3.3</v>
      </c>
      <c r="G867" s="4" t="str">
        <f>HYPERLINK("http://141.218.60.56/~jnz1568/getInfo.php?workbook=06_02.xlsx&amp;sheet=U0&amp;row=867&amp;col=7&amp;number=1.41e-05&amp;sourceID=14","1.41e-05")</f>
        <v>1.41e-05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HYPERLINK("http://141.218.60.56/~jnz1568/getInfo.php?workbook=06_02.xlsx&amp;sheet=U0&amp;row=868&amp;col=6&amp;number=3.4&amp;sourceID=14","3.4")</f>
        <v>3.4</v>
      </c>
      <c r="G868" s="4" t="str">
        <f>HYPERLINK("http://141.218.60.56/~jnz1568/getInfo.php?workbook=06_02.xlsx&amp;sheet=U0&amp;row=868&amp;col=7&amp;number=1.4e-05&amp;sourceID=14","1.4e-05")</f>
        <v>1.4e-05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HYPERLINK("http://141.218.60.56/~jnz1568/getInfo.php?workbook=06_02.xlsx&amp;sheet=U0&amp;row=869&amp;col=6&amp;number=3.5&amp;sourceID=14","3.5")</f>
        <v>3.5</v>
      </c>
      <c r="G869" s="4" t="str">
        <f>HYPERLINK("http://141.218.60.56/~jnz1568/getInfo.php?workbook=06_02.xlsx&amp;sheet=U0&amp;row=869&amp;col=7&amp;number=1.4e-05&amp;sourceID=14","1.4e-05")</f>
        <v>1.4e-05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HYPERLINK("http://141.218.60.56/~jnz1568/getInfo.php?workbook=06_02.xlsx&amp;sheet=U0&amp;row=870&amp;col=6&amp;number=3.6&amp;sourceID=14","3.6")</f>
        <v>3.6</v>
      </c>
      <c r="G870" s="4" t="str">
        <f>HYPERLINK("http://141.218.60.56/~jnz1568/getInfo.php?workbook=06_02.xlsx&amp;sheet=U0&amp;row=870&amp;col=7&amp;number=1.4e-05&amp;sourceID=14","1.4e-05")</f>
        <v>1.4e-05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HYPERLINK("http://141.218.60.56/~jnz1568/getInfo.php?workbook=06_02.xlsx&amp;sheet=U0&amp;row=871&amp;col=6&amp;number=3.7&amp;sourceID=14","3.7")</f>
        <v>3.7</v>
      </c>
      <c r="G871" s="4" t="str">
        <f>HYPERLINK("http://141.218.60.56/~jnz1568/getInfo.php?workbook=06_02.xlsx&amp;sheet=U0&amp;row=871&amp;col=7&amp;number=1.4e-05&amp;sourceID=14","1.4e-05")</f>
        <v>1.4e-05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HYPERLINK("http://141.218.60.56/~jnz1568/getInfo.php?workbook=06_02.xlsx&amp;sheet=U0&amp;row=872&amp;col=6&amp;number=3.8&amp;sourceID=14","3.8")</f>
        <v>3.8</v>
      </c>
      <c r="G872" s="4" t="str">
        <f>HYPERLINK("http://141.218.60.56/~jnz1568/getInfo.php?workbook=06_02.xlsx&amp;sheet=U0&amp;row=872&amp;col=7&amp;number=1.4e-05&amp;sourceID=14","1.4e-05")</f>
        <v>1.4e-05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HYPERLINK("http://141.218.60.56/~jnz1568/getInfo.php?workbook=06_02.xlsx&amp;sheet=U0&amp;row=873&amp;col=6&amp;number=3.9&amp;sourceID=14","3.9")</f>
        <v>3.9</v>
      </c>
      <c r="G873" s="4" t="str">
        <f>HYPERLINK("http://141.218.60.56/~jnz1568/getInfo.php?workbook=06_02.xlsx&amp;sheet=U0&amp;row=873&amp;col=7&amp;number=1.4e-05&amp;sourceID=14","1.4e-05")</f>
        <v>1.4e-05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HYPERLINK("http://141.218.60.56/~jnz1568/getInfo.php?workbook=06_02.xlsx&amp;sheet=U0&amp;row=874&amp;col=6&amp;number=4&amp;sourceID=14","4")</f>
        <v>4</v>
      </c>
      <c r="G874" s="4" t="str">
        <f>HYPERLINK("http://141.218.60.56/~jnz1568/getInfo.php?workbook=06_02.xlsx&amp;sheet=U0&amp;row=874&amp;col=7&amp;number=1.4e-05&amp;sourceID=14","1.4e-05")</f>
        <v>1.4e-05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HYPERLINK("http://141.218.60.56/~jnz1568/getInfo.php?workbook=06_02.xlsx&amp;sheet=U0&amp;row=875&amp;col=6&amp;number=4.1&amp;sourceID=14","4.1")</f>
        <v>4.1</v>
      </c>
      <c r="G875" s="4" t="str">
        <f>HYPERLINK("http://141.218.60.56/~jnz1568/getInfo.php?workbook=06_02.xlsx&amp;sheet=U0&amp;row=875&amp;col=7&amp;number=1.4e-05&amp;sourceID=14","1.4e-05")</f>
        <v>1.4e-05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HYPERLINK("http://141.218.60.56/~jnz1568/getInfo.php?workbook=06_02.xlsx&amp;sheet=U0&amp;row=876&amp;col=6&amp;number=4.2&amp;sourceID=14","4.2")</f>
        <v>4.2</v>
      </c>
      <c r="G876" s="4" t="str">
        <f>HYPERLINK("http://141.218.60.56/~jnz1568/getInfo.php?workbook=06_02.xlsx&amp;sheet=U0&amp;row=876&amp;col=7&amp;number=1.4e-05&amp;sourceID=14","1.4e-05")</f>
        <v>1.4e-05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HYPERLINK("http://141.218.60.56/~jnz1568/getInfo.php?workbook=06_02.xlsx&amp;sheet=U0&amp;row=877&amp;col=6&amp;number=4.3&amp;sourceID=14","4.3")</f>
        <v>4.3</v>
      </c>
      <c r="G877" s="4" t="str">
        <f>HYPERLINK("http://141.218.60.56/~jnz1568/getInfo.php?workbook=06_02.xlsx&amp;sheet=U0&amp;row=877&amp;col=7&amp;number=1.4e-05&amp;sourceID=14","1.4e-05")</f>
        <v>1.4e-05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HYPERLINK("http://141.218.60.56/~jnz1568/getInfo.php?workbook=06_02.xlsx&amp;sheet=U0&amp;row=878&amp;col=6&amp;number=4.4&amp;sourceID=14","4.4")</f>
        <v>4.4</v>
      </c>
      <c r="G878" s="4" t="str">
        <f>HYPERLINK("http://141.218.60.56/~jnz1568/getInfo.php?workbook=06_02.xlsx&amp;sheet=U0&amp;row=878&amp;col=7&amp;number=1.39e-05&amp;sourceID=14","1.39e-05")</f>
        <v>1.39e-05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HYPERLINK("http://141.218.60.56/~jnz1568/getInfo.php?workbook=06_02.xlsx&amp;sheet=U0&amp;row=879&amp;col=6&amp;number=4.5&amp;sourceID=14","4.5")</f>
        <v>4.5</v>
      </c>
      <c r="G879" s="4" t="str">
        <f>HYPERLINK("http://141.218.60.56/~jnz1568/getInfo.php?workbook=06_02.xlsx&amp;sheet=U0&amp;row=879&amp;col=7&amp;number=1.39e-05&amp;sourceID=14","1.39e-05")</f>
        <v>1.39e-05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HYPERLINK("http://141.218.60.56/~jnz1568/getInfo.php?workbook=06_02.xlsx&amp;sheet=U0&amp;row=880&amp;col=6&amp;number=4.6&amp;sourceID=14","4.6")</f>
        <v>4.6</v>
      </c>
      <c r="G880" s="4" t="str">
        <f>HYPERLINK("http://141.218.60.56/~jnz1568/getInfo.php?workbook=06_02.xlsx&amp;sheet=U0&amp;row=880&amp;col=7&amp;number=1.39e-05&amp;sourceID=14","1.39e-05")</f>
        <v>1.39e-05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HYPERLINK("http://141.218.60.56/~jnz1568/getInfo.php?workbook=06_02.xlsx&amp;sheet=U0&amp;row=881&amp;col=6&amp;number=4.7&amp;sourceID=14","4.7")</f>
        <v>4.7</v>
      </c>
      <c r="G881" s="4" t="str">
        <f>HYPERLINK("http://141.218.60.56/~jnz1568/getInfo.php?workbook=06_02.xlsx&amp;sheet=U0&amp;row=881&amp;col=7&amp;number=1.38e-05&amp;sourceID=14","1.38e-05")</f>
        <v>1.38e-05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HYPERLINK("http://141.218.60.56/~jnz1568/getInfo.php?workbook=06_02.xlsx&amp;sheet=U0&amp;row=882&amp;col=6&amp;number=4.8&amp;sourceID=14","4.8")</f>
        <v>4.8</v>
      </c>
      <c r="G882" s="4" t="str">
        <f>HYPERLINK("http://141.218.60.56/~jnz1568/getInfo.php?workbook=06_02.xlsx&amp;sheet=U0&amp;row=882&amp;col=7&amp;number=1.38e-05&amp;sourceID=14","1.38e-05")</f>
        <v>1.38e-05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HYPERLINK("http://141.218.60.56/~jnz1568/getInfo.php?workbook=06_02.xlsx&amp;sheet=U0&amp;row=883&amp;col=6&amp;number=4.9&amp;sourceID=14","4.9")</f>
        <v>4.9</v>
      </c>
      <c r="G883" s="4" t="str">
        <f>HYPERLINK("http://141.218.60.56/~jnz1568/getInfo.php?workbook=06_02.xlsx&amp;sheet=U0&amp;row=883&amp;col=7&amp;number=1.37e-05&amp;sourceID=14","1.37e-05")</f>
        <v>1.37e-05</v>
      </c>
    </row>
    <row r="884" spans="1:7">
      <c r="A884" s="3">
        <v>6</v>
      </c>
      <c r="B884" s="3">
        <v>2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HYPERLINK("http://141.218.60.56/~jnz1568/getInfo.php?workbook=06_02.xlsx&amp;sheet=U0&amp;row=884&amp;col=6&amp;number=3&amp;sourceID=14","3")</f>
        <v>3</v>
      </c>
      <c r="G884" s="4" t="str">
        <f>HYPERLINK("http://141.218.60.56/~jnz1568/getInfo.php?workbook=06_02.xlsx&amp;sheet=U0&amp;row=884&amp;col=7&amp;number=4.23e-07&amp;sourceID=14","4.23e-07")</f>
        <v>4.23e-07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HYPERLINK("http://141.218.60.56/~jnz1568/getInfo.php?workbook=06_02.xlsx&amp;sheet=U0&amp;row=885&amp;col=6&amp;number=3.1&amp;sourceID=14","3.1")</f>
        <v>3.1</v>
      </c>
      <c r="G885" s="4" t="str">
        <f>HYPERLINK("http://141.218.60.56/~jnz1568/getInfo.php?workbook=06_02.xlsx&amp;sheet=U0&amp;row=885&amp;col=7&amp;number=4.23e-07&amp;sourceID=14","4.23e-07")</f>
        <v>4.23e-07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HYPERLINK("http://141.218.60.56/~jnz1568/getInfo.php?workbook=06_02.xlsx&amp;sheet=U0&amp;row=886&amp;col=6&amp;number=3.2&amp;sourceID=14","3.2")</f>
        <v>3.2</v>
      </c>
      <c r="G886" s="4" t="str">
        <f>HYPERLINK("http://141.218.60.56/~jnz1568/getInfo.php?workbook=06_02.xlsx&amp;sheet=U0&amp;row=886&amp;col=7&amp;number=4.23e-07&amp;sourceID=14","4.23e-07")</f>
        <v>4.23e-07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HYPERLINK("http://141.218.60.56/~jnz1568/getInfo.php?workbook=06_02.xlsx&amp;sheet=U0&amp;row=887&amp;col=6&amp;number=3.3&amp;sourceID=14","3.3")</f>
        <v>3.3</v>
      </c>
      <c r="G887" s="4" t="str">
        <f>HYPERLINK("http://141.218.60.56/~jnz1568/getInfo.php?workbook=06_02.xlsx&amp;sheet=U0&amp;row=887&amp;col=7&amp;number=4.23e-07&amp;sourceID=14","4.23e-07")</f>
        <v>4.23e-07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HYPERLINK("http://141.218.60.56/~jnz1568/getInfo.php?workbook=06_02.xlsx&amp;sheet=U0&amp;row=888&amp;col=6&amp;number=3.4&amp;sourceID=14","3.4")</f>
        <v>3.4</v>
      </c>
      <c r="G888" s="4" t="str">
        <f>HYPERLINK("http://141.218.60.56/~jnz1568/getInfo.php?workbook=06_02.xlsx&amp;sheet=U0&amp;row=888&amp;col=7&amp;number=4.23e-07&amp;sourceID=14","4.23e-07")</f>
        <v>4.23e-07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HYPERLINK("http://141.218.60.56/~jnz1568/getInfo.php?workbook=06_02.xlsx&amp;sheet=U0&amp;row=889&amp;col=6&amp;number=3.5&amp;sourceID=14","3.5")</f>
        <v>3.5</v>
      </c>
      <c r="G889" s="4" t="str">
        <f>HYPERLINK("http://141.218.60.56/~jnz1568/getInfo.php?workbook=06_02.xlsx&amp;sheet=U0&amp;row=889&amp;col=7&amp;number=4.23e-07&amp;sourceID=14","4.23e-07")</f>
        <v>4.23e-07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HYPERLINK("http://141.218.60.56/~jnz1568/getInfo.php?workbook=06_02.xlsx&amp;sheet=U0&amp;row=890&amp;col=6&amp;number=3.6&amp;sourceID=14","3.6")</f>
        <v>3.6</v>
      </c>
      <c r="G890" s="4" t="str">
        <f>HYPERLINK("http://141.218.60.56/~jnz1568/getInfo.php?workbook=06_02.xlsx&amp;sheet=U0&amp;row=890&amp;col=7&amp;number=4.22e-07&amp;sourceID=14","4.22e-07")</f>
        <v>4.22e-07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HYPERLINK("http://141.218.60.56/~jnz1568/getInfo.php?workbook=06_02.xlsx&amp;sheet=U0&amp;row=891&amp;col=6&amp;number=3.7&amp;sourceID=14","3.7")</f>
        <v>3.7</v>
      </c>
      <c r="G891" s="4" t="str">
        <f>HYPERLINK("http://141.218.60.56/~jnz1568/getInfo.php?workbook=06_02.xlsx&amp;sheet=U0&amp;row=891&amp;col=7&amp;number=4.22e-07&amp;sourceID=14","4.22e-07")</f>
        <v>4.22e-07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HYPERLINK("http://141.218.60.56/~jnz1568/getInfo.php?workbook=06_02.xlsx&amp;sheet=U0&amp;row=892&amp;col=6&amp;number=3.8&amp;sourceID=14","3.8")</f>
        <v>3.8</v>
      </c>
      <c r="G892" s="4" t="str">
        <f>HYPERLINK("http://141.218.60.56/~jnz1568/getInfo.php?workbook=06_02.xlsx&amp;sheet=U0&amp;row=892&amp;col=7&amp;number=4.22e-07&amp;sourceID=14","4.22e-07")</f>
        <v>4.22e-07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HYPERLINK("http://141.218.60.56/~jnz1568/getInfo.php?workbook=06_02.xlsx&amp;sheet=U0&amp;row=893&amp;col=6&amp;number=3.9&amp;sourceID=14","3.9")</f>
        <v>3.9</v>
      </c>
      <c r="G893" s="4" t="str">
        <f>HYPERLINK("http://141.218.60.56/~jnz1568/getInfo.php?workbook=06_02.xlsx&amp;sheet=U0&amp;row=893&amp;col=7&amp;number=4.21e-07&amp;sourceID=14","4.21e-07")</f>
        <v>4.21e-07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HYPERLINK("http://141.218.60.56/~jnz1568/getInfo.php?workbook=06_02.xlsx&amp;sheet=U0&amp;row=894&amp;col=6&amp;number=4&amp;sourceID=14","4")</f>
        <v>4</v>
      </c>
      <c r="G894" s="4" t="str">
        <f>HYPERLINK("http://141.218.60.56/~jnz1568/getInfo.php?workbook=06_02.xlsx&amp;sheet=U0&amp;row=894&amp;col=7&amp;number=4.21e-07&amp;sourceID=14","4.21e-07")</f>
        <v>4.21e-07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HYPERLINK("http://141.218.60.56/~jnz1568/getInfo.php?workbook=06_02.xlsx&amp;sheet=U0&amp;row=895&amp;col=6&amp;number=4.1&amp;sourceID=14","4.1")</f>
        <v>4.1</v>
      </c>
      <c r="G895" s="4" t="str">
        <f>HYPERLINK("http://141.218.60.56/~jnz1568/getInfo.php?workbook=06_02.xlsx&amp;sheet=U0&amp;row=895&amp;col=7&amp;number=4.2e-07&amp;sourceID=14","4.2e-07")</f>
        <v>4.2e-07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HYPERLINK("http://141.218.60.56/~jnz1568/getInfo.php?workbook=06_02.xlsx&amp;sheet=U0&amp;row=896&amp;col=6&amp;number=4.2&amp;sourceID=14","4.2")</f>
        <v>4.2</v>
      </c>
      <c r="G896" s="4" t="str">
        <f>HYPERLINK("http://141.218.60.56/~jnz1568/getInfo.php?workbook=06_02.xlsx&amp;sheet=U0&amp;row=896&amp;col=7&amp;number=4.19e-07&amp;sourceID=14","4.19e-07")</f>
        <v>4.19e-07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HYPERLINK("http://141.218.60.56/~jnz1568/getInfo.php?workbook=06_02.xlsx&amp;sheet=U0&amp;row=897&amp;col=6&amp;number=4.3&amp;sourceID=14","4.3")</f>
        <v>4.3</v>
      </c>
      <c r="G897" s="4" t="str">
        <f>HYPERLINK("http://141.218.60.56/~jnz1568/getInfo.php?workbook=06_02.xlsx&amp;sheet=U0&amp;row=897&amp;col=7&amp;number=4.18e-07&amp;sourceID=14","4.18e-07")</f>
        <v>4.18e-07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HYPERLINK("http://141.218.60.56/~jnz1568/getInfo.php?workbook=06_02.xlsx&amp;sheet=U0&amp;row=898&amp;col=6&amp;number=4.4&amp;sourceID=14","4.4")</f>
        <v>4.4</v>
      </c>
      <c r="G898" s="4" t="str">
        <f>HYPERLINK("http://141.218.60.56/~jnz1568/getInfo.php?workbook=06_02.xlsx&amp;sheet=U0&amp;row=898&amp;col=7&amp;number=4.16e-07&amp;sourceID=14","4.16e-07")</f>
        <v>4.16e-07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HYPERLINK("http://141.218.60.56/~jnz1568/getInfo.php?workbook=06_02.xlsx&amp;sheet=U0&amp;row=899&amp;col=6&amp;number=4.5&amp;sourceID=14","4.5")</f>
        <v>4.5</v>
      </c>
      <c r="G899" s="4" t="str">
        <f>HYPERLINK("http://141.218.60.56/~jnz1568/getInfo.php?workbook=06_02.xlsx&amp;sheet=U0&amp;row=899&amp;col=7&amp;number=4.14e-07&amp;sourceID=14","4.14e-07")</f>
        <v>4.14e-07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HYPERLINK("http://141.218.60.56/~jnz1568/getInfo.php?workbook=06_02.xlsx&amp;sheet=U0&amp;row=900&amp;col=6&amp;number=4.6&amp;sourceID=14","4.6")</f>
        <v>4.6</v>
      </c>
      <c r="G900" s="4" t="str">
        <f>HYPERLINK("http://141.218.60.56/~jnz1568/getInfo.php?workbook=06_02.xlsx&amp;sheet=U0&amp;row=900&amp;col=7&amp;number=4.12e-07&amp;sourceID=14","4.12e-07")</f>
        <v>4.12e-07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HYPERLINK("http://141.218.60.56/~jnz1568/getInfo.php?workbook=06_02.xlsx&amp;sheet=U0&amp;row=901&amp;col=6&amp;number=4.7&amp;sourceID=14","4.7")</f>
        <v>4.7</v>
      </c>
      <c r="G901" s="4" t="str">
        <f>HYPERLINK("http://141.218.60.56/~jnz1568/getInfo.php?workbook=06_02.xlsx&amp;sheet=U0&amp;row=901&amp;col=7&amp;number=4.09e-07&amp;sourceID=14","4.09e-07")</f>
        <v>4.09e-07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HYPERLINK("http://141.218.60.56/~jnz1568/getInfo.php?workbook=06_02.xlsx&amp;sheet=U0&amp;row=902&amp;col=6&amp;number=4.8&amp;sourceID=14","4.8")</f>
        <v>4.8</v>
      </c>
      <c r="G902" s="4" t="str">
        <f>HYPERLINK("http://141.218.60.56/~jnz1568/getInfo.php?workbook=06_02.xlsx&amp;sheet=U0&amp;row=902&amp;col=7&amp;number=4.05e-07&amp;sourceID=14","4.05e-07")</f>
        <v>4.05e-07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HYPERLINK("http://141.218.60.56/~jnz1568/getInfo.php?workbook=06_02.xlsx&amp;sheet=U0&amp;row=903&amp;col=6&amp;number=4.9&amp;sourceID=14","4.9")</f>
        <v>4.9</v>
      </c>
      <c r="G903" s="4" t="str">
        <f>HYPERLINK("http://141.218.60.56/~jnz1568/getInfo.php?workbook=06_02.xlsx&amp;sheet=U0&amp;row=903&amp;col=7&amp;number=4.01e-07&amp;sourceID=14","4.01e-07")</f>
        <v>4.01e-07</v>
      </c>
    </row>
    <row r="904" spans="1:7">
      <c r="A904" s="3">
        <v>6</v>
      </c>
      <c r="B904" s="3">
        <v>2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HYPERLINK("http://141.218.60.56/~jnz1568/getInfo.php?workbook=06_02.xlsx&amp;sheet=U0&amp;row=904&amp;col=6&amp;number=3&amp;sourceID=14","3")</f>
        <v>3</v>
      </c>
      <c r="G904" s="4" t="str">
        <f>HYPERLINK("http://141.218.60.56/~jnz1568/getInfo.php?workbook=06_02.xlsx&amp;sheet=U0&amp;row=904&amp;col=7&amp;number=4.64e-07&amp;sourceID=14","4.64e-07")</f>
        <v>4.64e-07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HYPERLINK("http://141.218.60.56/~jnz1568/getInfo.php?workbook=06_02.xlsx&amp;sheet=U0&amp;row=905&amp;col=6&amp;number=3.1&amp;sourceID=14","3.1")</f>
        <v>3.1</v>
      </c>
      <c r="G905" s="4" t="str">
        <f>HYPERLINK("http://141.218.60.56/~jnz1568/getInfo.php?workbook=06_02.xlsx&amp;sheet=U0&amp;row=905&amp;col=7&amp;number=4.64e-07&amp;sourceID=14","4.64e-07")</f>
        <v>4.64e-07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HYPERLINK("http://141.218.60.56/~jnz1568/getInfo.php?workbook=06_02.xlsx&amp;sheet=U0&amp;row=906&amp;col=6&amp;number=3.2&amp;sourceID=14","3.2")</f>
        <v>3.2</v>
      </c>
      <c r="G906" s="4" t="str">
        <f>HYPERLINK("http://141.218.60.56/~jnz1568/getInfo.php?workbook=06_02.xlsx&amp;sheet=U0&amp;row=906&amp;col=7&amp;number=4.64e-07&amp;sourceID=14","4.64e-07")</f>
        <v>4.64e-07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HYPERLINK("http://141.218.60.56/~jnz1568/getInfo.php?workbook=06_02.xlsx&amp;sheet=U0&amp;row=907&amp;col=6&amp;number=3.3&amp;sourceID=14","3.3")</f>
        <v>3.3</v>
      </c>
      <c r="G907" s="4" t="str">
        <f>HYPERLINK("http://141.218.60.56/~jnz1568/getInfo.php?workbook=06_02.xlsx&amp;sheet=U0&amp;row=907&amp;col=7&amp;number=4.64e-07&amp;sourceID=14","4.64e-07")</f>
        <v>4.64e-07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HYPERLINK("http://141.218.60.56/~jnz1568/getInfo.php?workbook=06_02.xlsx&amp;sheet=U0&amp;row=908&amp;col=6&amp;number=3.4&amp;sourceID=14","3.4")</f>
        <v>3.4</v>
      </c>
      <c r="G908" s="4" t="str">
        <f>HYPERLINK("http://141.218.60.56/~jnz1568/getInfo.php?workbook=06_02.xlsx&amp;sheet=U0&amp;row=908&amp;col=7&amp;number=4.64e-07&amp;sourceID=14","4.64e-07")</f>
        <v>4.64e-07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HYPERLINK("http://141.218.60.56/~jnz1568/getInfo.php?workbook=06_02.xlsx&amp;sheet=U0&amp;row=909&amp;col=6&amp;number=3.5&amp;sourceID=14","3.5")</f>
        <v>3.5</v>
      </c>
      <c r="G909" s="4" t="str">
        <f>HYPERLINK("http://141.218.60.56/~jnz1568/getInfo.php?workbook=06_02.xlsx&amp;sheet=U0&amp;row=909&amp;col=7&amp;number=4.64e-07&amp;sourceID=14","4.64e-07")</f>
        <v>4.64e-07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HYPERLINK("http://141.218.60.56/~jnz1568/getInfo.php?workbook=06_02.xlsx&amp;sheet=U0&amp;row=910&amp;col=6&amp;number=3.6&amp;sourceID=14","3.6")</f>
        <v>3.6</v>
      </c>
      <c r="G910" s="4" t="str">
        <f>HYPERLINK("http://141.218.60.56/~jnz1568/getInfo.php?workbook=06_02.xlsx&amp;sheet=U0&amp;row=910&amp;col=7&amp;number=4.64e-07&amp;sourceID=14","4.64e-07")</f>
        <v>4.64e-07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HYPERLINK("http://141.218.60.56/~jnz1568/getInfo.php?workbook=06_02.xlsx&amp;sheet=U0&amp;row=911&amp;col=6&amp;number=3.7&amp;sourceID=14","3.7")</f>
        <v>3.7</v>
      </c>
      <c r="G911" s="4" t="str">
        <f>HYPERLINK("http://141.218.60.56/~jnz1568/getInfo.php?workbook=06_02.xlsx&amp;sheet=U0&amp;row=911&amp;col=7&amp;number=4.63e-07&amp;sourceID=14","4.63e-07")</f>
        <v>4.63e-07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HYPERLINK("http://141.218.60.56/~jnz1568/getInfo.php?workbook=06_02.xlsx&amp;sheet=U0&amp;row=912&amp;col=6&amp;number=3.8&amp;sourceID=14","3.8")</f>
        <v>3.8</v>
      </c>
      <c r="G912" s="4" t="str">
        <f>HYPERLINK("http://141.218.60.56/~jnz1568/getInfo.php?workbook=06_02.xlsx&amp;sheet=U0&amp;row=912&amp;col=7&amp;number=4.63e-07&amp;sourceID=14","4.63e-07")</f>
        <v>4.63e-07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HYPERLINK("http://141.218.60.56/~jnz1568/getInfo.php?workbook=06_02.xlsx&amp;sheet=U0&amp;row=913&amp;col=6&amp;number=3.9&amp;sourceID=14","3.9")</f>
        <v>3.9</v>
      </c>
      <c r="G913" s="4" t="str">
        <f>HYPERLINK("http://141.218.60.56/~jnz1568/getInfo.php?workbook=06_02.xlsx&amp;sheet=U0&amp;row=913&amp;col=7&amp;number=4.63e-07&amp;sourceID=14","4.63e-07")</f>
        <v>4.63e-07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HYPERLINK("http://141.218.60.56/~jnz1568/getInfo.php?workbook=06_02.xlsx&amp;sheet=U0&amp;row=914&amp;col=6&amp;number=4&amp;sourceID=14","4")</f>
        <v>4</v>
      </c>
      <c r="G914" s="4" t="str">
        <f>HYPERLINK("http://141.218.60.56/~jnz1568/getInfo.php?workbook=06_02.xlsx&amp;sheet=U0&amp;row=914&amp;col=7&amp;number=4.62e-07&amp;sourceID=14","4.62e-07")</f>
        <v>4.62e-07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HYPERLINK("http://141.218.60.56/~jnz1568/getInfo.php?workbook=06_02.xlsx&amp;sheet=U0&amp;row=915&amp;col=6&amp;number=4.1&amp;sourceID=14","4.1")</f>
        <v>4.1</v>
      </c>
      <c r="G915" s="4" t="str">
        <f>HYPERLINK("http://141.218.60.56/~jnz1568/getInfo.php?workbook=06_02.xlsx&amp;sheet=U0&amp;row=915&amp;col=7&amp;number=4.62e-07&amp;sourceID=14","4.62e-07")</f>
        <v>4.62e-07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HYPERLINK("http://141.218.60.56/~jnz1568/getInfo.php?workbook=06_02.xlsx&amp;sheet=U0&amp;row=916&amp;col=6&amp;number=4.2&amp;sourceID=14","4.2")</f>
        <v>4.2</v>
      </c>
      <c r="G916" s="4" t="str">
        <f>HYPERLINK("http://141.218.60.56/~jnz1568/getInfo.php?workbook=06_02.xlsx&amp;sheet=U0&amp;row=916&amp;col=7&amp;number=4.61e-07&amp;sourceID=14","4.61e-07")</f>
        <v>4.61e-07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HYPERLINK("http://141.218.60.56/~jnz1568/getInfo.php?workbook=06_02.xlsx&amp;sheet=U0&amp;row=917&amp;col=6&amp;number=4.3&amp;sourceID=14","4.3")</f>
        <v>4.3</v>
      </c>
      <c r="G917" s="4" t="str">
        <f>HYPERLINK("http://141.218.60.56/~jnz1568/getInfo.php?workbook=06_02.xlsx&amp;sheet=U0&amp;row=917&amp;col=7&amp;number=4.6e-07&amp;sourceID=14","4.6e-07")</f>
        <v>4.6e-07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HYPERLINK("http://141.218.60.56/~jnz1568/getInfo.php?workbook=06_02.xlsx&amp;sheet=U0&amp;row=918&amp;col=6&amp;number=4.4&amp;sourceID=14","4.4")</f>
        <v>4.4</v>
      </c>
      <c r="G918" s="4" t="str">
        <f>HYPERLINK("http://141.218.60.56/~jnz1568/getInfo.php?workbook=06_02.xlsx&amp;sheet=U0&amp;row=918&amp;col=7&amp;number=4.59e-07&amp;sourceID=14","4.59e-07")</f>
        <v>4.59e-07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HYPERLINK("http://141.218.60.56/~jnz1568/getInfo.php?workbook=06_02.xlsx&amp;sheet=U0&amp;row=919&amp;col=6&amp;number=4.5&amp;sourceID=14","4.5")</f>
        <v>4.5</v>
      </c>
      <c r="G919" s="4" t="str">
        <f>HYPERLINK("http://141.218.60.56/~jnz1568/getInfo.php?workbook=06_02.xlsx&amp;sheet=U0&amp;row=919&amp;col=7&amp;number=4.58e-07&amp;sourceID=14","4.58e-07")</f>
        <v>4.58e-07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HYPERLINK("http://141.218.60.56/~jnz1568/getInfo.php?workbook=06_02.xlsx&amp;sheet=U0&amp;row=920&amp;col=6&amp;number=4.6&amp;sourceID=14","4.6")</f>
        <v>4.6</v>
      </c>
      <c r="G920" s="4" t="str">
        <f>HYPERLINK("http://141.218.60.56/~jnz1568/getInfo.php?workbook=06_02.xlsx&amp;sheet=U0&amp;row=920&amp;col=7&amp;number=4.56e-07&amp;sourceID=14","4.56e-07")</f>
        <v>4.56e-07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HYPERLINK("http://141.218.60.56/~jnz1568/getInfo.php?workbook=06_02.xlsx&amp;sheet=U0&amp;row=921&amp;col=6&amp;number=4.7&amp;sourceID=14","4.7")</f>
        <v>4.7</v>
      </c>
      <c r="G921" s="4" t="str">
        <f>HYPERLINK("http://141.218.60.56/~jnz1568/getInfo.php?workbook=06_02.xlsx&amp;sheet=U0&amp;row=921&amp;col=7&amp;number=4.54e-07&amp;sourceID=14","4.54e-07")</f>
        <v>4.54e-07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HYPERLINK("http://141.218.60.56/~jnz1568/getInfo.php?workbook=06_02.xlsx&amp;sheet=U0&amp;row=922&amp;col=6&amp;number=4.8&amp;sourceID=14","4.8")</f>
        <v>4.8</v>
      </c>
      <c r="G922" s="4" t="str">
        <f>HYPERLINK("http://141.218.60.56/~jnz1568/getInfo.php?workbook=06_02.xlsx&amp;sheet=U0&amp;row=922&amp;col=7&amp;number=4.51e-07&amp;sourceID=14","4.51e-07")</f>
        <v>4.51e-07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HYPERLINK("http://141.218.60.56/~jnz1568/getInfo.php?workbook=06_02.xlsx&amp;sheet=U0&amp;row=923&amp;col=6&amp;number=4.9&amp;sourceID=14","4.9")</f>
        <v>4.9</v>
      </c>
      <c r="G923" s="4" t="str">
        <f>HYPERLINK("http://141.218.60.56/~jnz1568/getInfo.php?workbook=06_02.xlsx&amp;sheet=U0&amp;row=923&amp;col=7&amp;number=4.47e-07&amp;sourceID=14","4.47e-07")</f>
        <v>4.47e-07</v>
      </c>
    </row>
    <row r="924" spans="1:7">
      <c r="A924" s="3">
        <v>6</v>
      </c>
      <c r="B924" s="3">
        <v>2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HYPERLINK("http://141.218.60.56/~jnz1568/getInfo.php?workbook=06_02.xlsx&amp;sheet=U0&amp;row=924&amp;col=6&amp;number=3&amp;sourceID=14","3")</f>
        <v>3</v>
      </c>
      <c r="G924" s="4" t="str">
        <f>HYPERLINK("http://141.218.60.56/~jnz1568/getInfo.php?workbook=06_02.xlsx&amp;sheet=U0&amp;row=924&amp;col=7&amp;number=6.64e-07&amp;sourceID=14","6.64e-07")</f>
        <v>6.64e-07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HYPERLINK("http://141.218.60.56/~jnz1568/getInfo.php?workbook=06_02.xlsx&amp;sheet=U0&amp;row=925&amp;col=6&amp;number=3.1&amp;sourceID=14","3.1")</f>
        <v>3.1</v>
      </c>
      <c r="G925" s="4" t="str">
        <f>HYPERLINK("http://141.218.60.56/~jnz1568/getInfo.php?workbook=06_02.xlsx&amp;sheet=U0&amp;row=925&amp;col=7&amp;number=6.63e-07&amp;sourceID=14","6.63e-07")</f>
        <v>6.63e-07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HYPERLINK("http://141.218.60.56/~jnz1568/getInfo.php?workbook=06_02.xlsx&amp;sheet=U0&amp;row=926&amp;col=6&amp;number=3.2&amp;sourceID=14","3.2")</f>
        <v>3.2</v>
      </c>
      <c r="G926" s="4" t="str">
        <f>HYPERLINK("http://141.218.60.56/~jnz1568/getInfo.php?workbook=06_02.xlsx&amp;sheet=U0&amp;row=926&amp;col=7&amp;number=6.63e-07&amp;sourceID=14","6.63e-07")</f>
        <v>6.63e-07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HYPERLINK("http://141.218.60.56/~jnz1568/getInfo.php?workbook=06_02.xlsx&amp;sheet=U0&amp;row=927&amp;col=6&amp;number=3.3&amp;sourceID=14","3.3")</f>
        <v>3.3</v>
      </c>
      <c r="G927" s="4" t="str">
        <f>HYPERLINK("http://141.218.60.56/~jnz1568/getInfo.php?workbook=06_02.xlsx&amp;sheet=U0&amp;row=927&amp;col=7&amp;number=6.63e-07&amp;sourceID=14","6.63e-07")</f>
        <v>6.63e-07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HYPERLINK("http://141.218.60.56/~jnz1568/getInfo.php?workbook=06_02.xlsx&amp;sheet=U0&amp;row=928&amp;col=6&amp;number=3.4&amp;sourceID=14","3.4")</f>
        <v>3.4</v>
      </c>
      <c r="G928" s="4" t="str">
        <f>HYPERLINK("http://141.218.60.56/~jnz1568/getInfo.php?workbook=06_02.xlsx&amp;sheet=U0&amp;row=928&amp;col=7&amp;number=6.63e-07&amp;sourceID=14","6.63e-07")</f>
        <v>6.63e-07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HYPERLINK("http://141.218.60.56/~jnz1568/getInfo.php?workbook=06_02.xlsx&amp;sheet=U0&amp;row=929&amp;col=6&amp;number=3.5&amp;sourceID=14","3.5")</f>
        <v>3.5</v>
      </c>
      <c r="G929" s="4" t="str">
        <f>HYPERLINK("http://141.218.60.56/~jnz1568/getInfo.php?workbook=06_02.xlsx&amp;sheet=U0&amp;row=929&amp;col=7&amp;number=6.63e-07&amp;sourceID=14","6.63e-07")</f>
        <v>6.63e-07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HYPERLINK("http://141.218.60.56/~jnz1568/getInfo.php?workbook=06_02.xlsx&amp;sheet=U0&amp;row=930&amp;col=6&amp;number=3.6&amp;sourceID=14","3.6")</f>
        <v>3.6</v>
      </c>
      <c r="G930" s="4" t="str">
        <f>HYPERLINK("http://141.218.60.56/~jnz1568/getInfo.php?workbook=06_02.xlsx&amp;sheet=U0&amp;row=930&amp;col=7&amp;number=6.62e-07&amp;sourceID=14","6.62e-07")</f>
        <v>6.62e-07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HYPERLINK("http://141.218.60.56/~jnz1568/getInfo.php?workbook=06_02.xlsx&amp;sheet=U0&amp;row=931&amp;col=6&amp;number=3.7&amp;sourceID=14","3.7")</f>
        <v>3.7</v>
      </c>
      <c r="G931" s="4" t="str">
        <f>HYPERLINK("http://141.218.60.56/~jnz1568/getInfo.php?workbook=06_02.xlsx&amp;sheet=U0&amp;row=931&amp;col=7&amp;number=6.62e-07&amp;sourceID=14","6.62e-07")</f>
        <v>6.62e-07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HYPERLINK("http://141.218.60.56/~jnz1568/getInfo.php?workbook=06_02.xlsx&amp;sheet=U0&amp;row=932&amp;col=6&amp;number=3.8&amp;sourceID=14","3.8")</f>
        <v>3.8</v>
      </c>
      <c r="G932" s="4" t="str">
        <f>HYPERLINK("http://141.218.60.56/~jnz1568/getInfo.php?workbook=06_02.xlsx&amp;sheet=U0&amp;row=932&amp;col=7&amp;number=6.61e-07&amp;sourceID=14","6.61e-07")</f>
        <v>6.61e-07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HYPERLINK("http://141.218.60.56/~jnz1568/getInfo.php?workbook=06_02.xlsx&amp;sheet=U0&amp;row=933&amp;col=6&amp;number=3.9&amp;sourceID=14","3.9")</f>
        <v>3.9</v>
      </c>
      <c r="G933" s="4" t="str">
        <f>HYPERLINK("http://141.218.60.56/~jnz1568/getInfo.php?workbook=06_02.xlsx&amp;sheet=U0&amp;row=933&amp;col=7&amp;number=6.6e-07&amp;sourceID=14","6.6e-07")</f>
        <v>6.6e-07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HYPERLINK("http://141.218.60.56/~jnz1568/getInfo.php?workbook=06_02.xlsx&amp;sheet=U0&amp;row=934&amp;col=6&amp;number=4&amp;sourceID=14","4")</f>
        <v>4</v>
      </c>
      <c r="G934" s="4" t="str">
        <f>HYPERLINK("http://141.218.60.56/~jnz1568/getInfo.php?workbook=06_02.xlsx&amp;sheet=U0&amp;row=934&amp;col=7&amp;number=6.59e-07&amp;sourceID=14","6.59e-07")</f>
        <v>6.59e-07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HYPERLINK("http://141.218.60.56/~jnz1568/getInfo.php?workbook=06_02.xlsx&amp;sheet=U0&amp;row=935&amp;col=6&amp;number=4.1&amp;sourceID=14","4.1")</f>
        <v>4.1</v>
      </c>
      <c r="G935" s="4" t="str">
        <f>HYPERLINK("http://141.218.60.56/~jnz1568/getInfo.php?workbook=06_02.xlsx&amp;sheet=U0&amp;row=935&amp;col=7&amp;number=6.58e-07&amp;sourceID=14","6.58e-07")</f>
        <v>6.58e-07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HYPERLINK("http://141.218.60.56/~jnz1568/getInfo.php?workbook=06_02.xlsx&amp;sheet=U0&amp;row=936&amp;col=6&amp;number=4.2&amp;sourceID=14","4.2")</f>
        <v>4.2</v>
      </c>
      <c r="G936" s="4" t="str">
        <f>HYPERLINK("http://141.218.60.56/~jnz1568/getInfo.php?workbook=06_02.xlsx&amp;sheet=U0&amp;row=936&amp;col=7&amp;number=6.57e-07&amp;sourceID=14","6.57e-07")</f>
        <v>6.57e-07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HYPERLINK("http://141.218.60.56/~jnz1568/getInfo.php?workbook=06_02.xlsx&amp;sheet=U0&amp;row=937&amp;col=6&amp;number=4.3&amp;sourceID=14","4.3")</f>
        <v>4.3</v>
      </c>
      <c r="G937" s="4" t="str">
        <f>HYPERLINK("http://141.218.60.56/~jnz1568/getInfo.php?workbook=06_02.xlsx&amp;sheet=U0&amp;row=937&amp;col=7&amp;number=6.55e-07&amp;sourceID=14","6.55e-07")</f>
        <v>6.55e-07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HYPERLINK("http://141.218.60.56/~jnz1568/getInfo.php?workbook=06_02.xlsx&amp;sheet=U0&amp;row=938&amp;col=6&amp;number=4.4&amp;sourceID=14","4.4")</f>
        <v>4.4</v>
      </c>
      <c r="G938" s="4" t="str">
        <f>HYPERLINK("http://141.218.60.56/~jnz1568/getInfo.php?workbook=06_02.xlsx&amp;sheet=U0&amp;row=938&amp;col=7&amp;number=6.53e-07&amp;sourceID=14","6.53e-07")</f>
        <v>6.53e-07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HYPERLINK("http://141.218.60.56/~jnz1568/getInfo.php?workbook=06_02.xlsx&amp;sheet=U0&amp;row=939&amp;col=6&amp;number=4.5&amp;sourceID=14","4.5")</f>
        <v>4.5</v>
      </c>
      <c r="G939" s="4" t="str">
        <f>HYPERLINK("http://141.218.60.56/~jnz1568/getInfo.php?workbook=06_02.xlsx&amp;sheet=U0&amp;row=939&amp;col=7&amp;number=6.5e-07&amp;sourceID=14","6.5e-07")</f>
        <v>6.5e-07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HYPERLINK("http://141.218.60.56/~jnz1568/getInfo.php?workbook=06_02.xlsx&amp;sheet=U0&amp;row=940&amp;col=6&amp;number=4.6&amp;sourceID=14","4.6")</f>
        <v>4.6</v>
      </c>
      <c r="G940" s="4" t="str">
        <f>HYPERLINK("http://141.218.60.56/~jnz1568/getInfo.php?workbook=06_02.xlsx&amp;sheet=U0&amp;row=940&amp;col=7&amp;number=6.46e-07&amp;sourceID=14","6.46e-07")</f>
        <v>6.46e-07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HYPERLINK("http://141.218.60.56/~jnz1568/getInfo.php?workbook=06_02.xlsx&amp;sheet=U0&amp;row=941&amp;col=6&amp;number=4.7&amp;sourceID=14","4.7")</f>
        <v>4.7</v>
      </c>
      <c r="G941" s="4" t="str">
        <f>HYPERLINK("http://141.218.60.56/~jnz1568/getInfo.php?workbook=06_02.xlsx&amp;sheet=U0&amp;row=941&amp;col=7&amp;number=6.42e-07&amp;sourceID=14","6.42e-07")</f>
        <v>6.42e-07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HYPERLINK("http://141.218.60.56/~jnz1568/getInfo.php?workbook=06_02.xlsx&amp;sheet=U0&amp;row=942&amp;col=6&amp;number=4.8&amp;sourceID=14","4.8")</f>
        <v>4.8</v>
      </c>
      <c r="G942" s="4" t="str">
        <f>HYPERLINK("http://141.218.60.56/~jnz1568/getInfo.php?workbook=06_02.xlsx&amp;sheet=U0&amp;row=942&amp;col=7&amp;number=6.36e-07&amp;sourceID=14","6.36e-07")</f>
        <v>6.36e-07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HYPERLINK("http://141.218.60.56/~jnz1568/getInfo.php?workbook=06_02.xlsx&amp;sheet=U0&amp;row=943&amp;col=6&amp;number=4.9&amp;sourceID=14","4.9")</f>
        <v>4.9</v>
      </c>
      <c r="G943" s="4" t="str">
        <f>HYPERLINK("http://141.218.60.56/~jnz1568/getInfo.php?workbook=06_02.xlsx&amp;sheet=U0&amp;row=943&amp;col=7&amp;number=6.29e-07&amp;sourceID=14","6.29e-07")</f>
        <v>6.29e-07</v>
      </c>
    </row>
    <row r="944" spans="1:7">
      <c r="A944" s="3">
        <v>6</v>
      </c>
      <c r="B944" s="3">
        <v>2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HYPERLINK("http://141.218.60.56/~jnz1568/getInfo.php?workbook=06_02.xlsx&amp;sheet=U0&amp;row=944&amp;col=6&amp;number=3&amp;sourceID=14","3")</f>
        <v>3</v>
      </c>
      <c r="G944" s="4" t="str">
        <f>HYPERLINK("http://141.218.60.56/~jnz1568/getInfo.php?workbook=06_02.xlsx&amp;sheet=U0&amp;row=944&amp;col=7&amp;number=4.73e-07&amp;sourceID=14","4.73e-07")</f>
        <v>4.73e-07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HYPERLINK("http://141.218.60.56/~jnz1568/getInfo.php?workbook=06_02.xlsx&amp;sheet=U0&amp;row=945&amp;col=6&amp;number=3.1&amp;sourceID=14","3.1")</f>
        <v>3.1</v>
      </c>
      <c r="G945" s="4" t="str">
        <f>HYPERLINK("http://141.218.60.56/~jnz1568/getInfo.php?workbook=06_02.xlsx&amp;sheet=U0&amp;row=945&amp;col=7&amp;number=4.73e-07&amp;sourceID=14","4.73e-07")</f>
        <v>4.73e-07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HYPERLINK("http://141.218.60.56/~jnz1568/getInfo.php?workbook=06_02.xlsx&amp;sheet=U0&amp;row=946&amp;col=6&amp;number=3.2&amp;sourceID=14","3.2")</f>
        <v>3.2</v>
      </c>
      <c r="G946" s="4" t="str">
        <f>HYPERLINK("http://141.218.60.56/~jnz1568/getInfo.php?workbook=06_02.xlsx&amp;sheet=U0&amp;row=946&amp;col=7&amp;number=4.73e-07&amp;sourceID=14","4.73e-07")</f>
        <v>4.73e-07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HYPERLINK("http://141.218.60.56/~jnz1568/getInfo.php?workbook=06_02.xlsx&amp;sheet=U0&amp;row=947&amp;col=6&amp;number=3.3&amp;sourceID=14","3.3")</f>
        <v>3.3</v>
      </c>
      <c r="G947" s="4" t="str">
        <f>HYPERLINK("http://141.218.60.56/~jnz1568/getInfo.php?workbook=06_02.xlsx&amp;sheet=U0&amp;row=947&amp;col=7&amp;number=4.72e-07&amp;sourceID=14","4.72e-07")</f>
        <v>4.72e-07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HYPERLINK("http://141.218.60.56/~jnz1568/getInfo.php?workbook=06_02.xlsx&amp;sheet=U0&amp;row=948&amp;col=6&amp;number=3.4&amp;sourceID=14","3.4")</f>
        <v>3.4</v>
      </c>
      <c r="G948" s="4" t="str">
        <f>HYPERLINK("http://141.218.60.56/~jnz1568/getInfo.php?workbook=06_02.xlsx&amp;sheet=U0&amp;row=948&amp;col=7&amp;number=4.72e-07&amp;sourceID=14","4.72e-07")</f>
        <v>4.72e-07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HYPERLINK("http://141.218.60.56/~jnz1568/getInfo.php?workbook=06_02.xlsx&amp;sheet=U0&amp;row=949&amp;col=6&amp;number=3.5&amp;sourceID=14","3.5")</f>
        <v>3.5</v>
      </c>
      <c r="G949" s="4" t="str">
        <f>HYPERLINK("http://141.218.60.56/~jnz1568/getInfo.php?workbook=06_02.xlsx&amp;sheet=U0&amp;row=949&amp;col=7&amp;number=4.72e-07&amp;sourceID=14","4.72e-07")</f>
        <v>4.72e-07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HYPERLINK("http://141.218.60.56/~jnz1568/getInfo.php?workbook=06_02.xlsx&amp;sheet=U0&amp;row=950&amp;col=6&amp;number=3.6&amp;sourceID=14","3.6")</f>
        <v>3.6</v>
      </c>
      <c r="G950" s="4" t="str">
        <f>HYPERLINK("http://141.218.60.56/~jnz1568/getInfo.php?workbook=06_02.xlsx&amp;sheet=U0&amp;row=950&amp;col=7&amp;number=4.72e-07&amp;sourceID=14","4.72e-07")</f>
        <v>4.72e-07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HYPERLINK("http://141.218.60.56/~jnz1568/getInfo.php?workbook=06_02.xlsx&amp;sheet=U0&amp;row=951&amp;col=6&amp;number=3.7&amp;sourceID=14","3.7")</f>
        <v>3.7</v>
      </c>
      <c r="G951" s="4" t="str">
        <f>HYPERLINK("http://141.218.60.56/~jnz1568/getInfo.php?workbook=06_02.xlsx&amp;sheet=U0&amp;row=951&amp;col=7&amp;number=4.72e-07&amp;sourceID=14","4.72e-07")</f>
        <v>4.72e-07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HYPERLINK("http://141.218.60.56/~jnz1568/getInfo.php?workbook=06_02.xlsx&amp;sheet=U0&amp;row=952&amp;col=6&amp;number=3.8&amp;sourceID=14","3.8")</f>
        <v>3.8</v>
      </c>
      <c r="G952" s="4" t="str">
        <f>HYPERLINK("http://141.218.60.56/~jnz1568/getInfo.php?workbook=06_02.xlsx&amp;sheet=U0&amp;row=952&amp;col=7&amp;number=4.71e-07&amp;sourceID=14","4.71e-07")</f>
        <v>4.71e-07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HYPERLINK("http://141.218.60.56/~jnz1568/getInfo.php?workbook=06_02.xlsx&amp;sheet=U0&amp;row=953&amp;col=6&amp;number=3.9&amp;sourceID=14","3.9")</f>
        <v>3.9</v>
      </c>
      <c r="G953" s="4" t="str">
        <f>HYPERLINK("http://141.218.60.56/~jnz1568/getInfo.php?workbook=06_02.xlsx&amp;sheet=U0&amp;row=953&amp;col=7&amp;number=4.71e-07&amp;sourceID=14","4.71e-07")</f>
        <v>4.71e-07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HYPERLINK("http://141.218.60.56/~jnz1568/getInfo.php?workbook=06_02.xlsx&amp;sheet=U0&amp;row=954&amp;col=6&amp;number=4&amp;sourceID=14","4")</f>
        <v>4</v>
      </c>
      <c r="G954" s="4" t="str">
        <f>HYPERLINK("http://141.218.60.56/~jnz1568/getInfo.php?workbook=06_02.xlsx&amp;sheet=U0&amp;row=954&amp;col=7&amp;number=4.7e-07&amp;sourceID=14","4.7e-07")</f>
        <v>4.7e-07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HYPERLINK("http://141.218.60.56/~jnz1568/getInfo.php?workbook=06_02.xlsx&amp;sheet=U0&amp;row=955&amp;col=6&amp;number=4.1&amp;sourceID=14","4.1")</f>
        <v>4.1</v>
      </c>
      <c r="G955" s="4" t="str">
        <f>HYPERLINK("http://141.218.60.56/~jnz1568/getInfo.php?workbook=06_02.xlsx&amp;sheet=U0&amp;row=955&amp;col=7&amp;number=4.7e-07&amp;sourceID=14","4.7e-07")</f>
        <v>4.7e-07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HYPERLINK("http://141.218.60.56/~jnz1568/getInfo.php?workbook=06_02.xlsx&amp;sheet=U0&amp;row=956&amp;col=6&amp;number=4.2&amp;sourceID=14","4.2")</f>
        <v>4.2</v>
      </c>
      <c r="G956" s="4" t="str">
        <f>HYPERLINK("http://141.218.60.56/~jnz1568/getInfo.php?workbook=06_02.xlsx&amp;sheet=U0&amp;row=956&amp;col=7&amp;number=4.69e-07&amp;sourceID=14","4.69e-07")</f>
        <v>4.69e-07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HYPERLINK("http://141.218.60.56/~jnz1568/getInfo.php?workbook=06_02.xlsx&amp;sheet=U0&amp;row=957&amp;col=6&amp;number=4.3&amp;sourceID=14","4.3")</f>
        <v>4.3</v>
      </c>
      <c r="G957" s="4" t="str">
        <f>HYPERLINK("http://141.218.60.56/~jnz1568/getInfo.php?workbook=06_02.xlsx&amp;sheet=U0&amp;row=957&amp;col=7&amp;number=4.67e-07&amp;sourceID=14","4.67e-07")</f>
        <v>4.67e-07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HYPERLINK("http://141.218.60.56/~jnz1568/getInfo.php?workbook=06_02.xlsx&amp;sheet=U0&amp;row=958&amp;col=6&amp;number=4.4&amp;sourceID=14","4.4")</f>
        <v>4.4</v>
      </c>
      <c r="G958" s="4" t="str">
        <f>HYPERLINK("http://141.218.60.56/~jnz1568/getInfo.php?workbook=06_02.xlsx&amp;sheet=U0&amp;row=958&amp;col=7&amp;number=4.66e-07&amp;sourceID=14","4.66e-07")</f>
        <v>4.66e-07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HYPERLINK("http://141.218.60.56/~jnz1568/getInfo.php?workbook=06_02.xlsx&amp;sheet=U0&amp;row=959&amp;col=6&amp;number=4.5&amp;sourceID=14","4.5")</f>
        <v>4.5</v>
      </c>
      <c r="G959" s="4" t="str">
        <f>HYPERLINK("http://141.218.60.56/~jnz1568/getInfo.php?workbook=06_02.xlsx&amp;sheet=U0&amp;row=959&amp;col=7&amp;number=4.64e-07&amp;sourceID=14","4.64e-07")</f>
        <v>4.64e-07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HYPERLINK("http://141.218.60.56/~jnz1568/getInfo.php?workbook=06_02.xlsx&amp;sheet=U0&amp;row=960&amp;col=6&amp;number=4.6&amp;sourceID=14","4.6")</f>
        <v>4.6</v>
      </c>
      <c r="G960" s="4" t="str">
        <f>HYPERLINK("http://141.218.60.56/~jnz1568/getInfo.php?workbook=06_02.xlsx&amp;sheet=U0&amp;row=960&amp;col=7&amp;number=4.62e-07&amp;sourceID=14","4.62e-07")</f>
        <v>4.62e-07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HYPERLINK("http://141.218.60.56/~jnz1568/getInfo.php?workbook=06_02.xlsx&amp;sheet=U0&amp;row=961&amp;col=6&amp;number=4.7&amp;sourceID=14","4.7")</f>
        <v>4.7</v>
      </c>
      <c r="G961" s="4" t="str">
        <f>HYPERLINK("http://141.218.60.56/~jnz1568/getInfo.php?workbook=06_02.xlsx&amp;sheet=U0&amp;row=961&amp;col=7&amp;number=4.59e-07&amp;sourceID=14","4.59e-07")</f>
        <v>4.59e-07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HYPERLINK("http://141.218.60.56/~jnz1568/getInfo.php?workbook=06_02.xlsx&amp;sheet=U0&amp;row=962&amp;col=6&amp;number=4.8&amp;sourceID=14","4.8")</f>
        <v>4.8</v>
      </c>
      <c r="G962" s="4" t="str">
        <f>HYPERLINK("http://141.218.60.56/~jnz1568/getInfo.php?workbook=06_02.xlsx&amp;sheet=U0&amp;row=962&amp;col=7&amp;number=4.56e-07&amp;sourceID=14","4.56e-07")</f>
        <v>4.56e-07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HYPERLINK("http://141.218.60.56/~jnz1568/getInfo.php?workbook=06_02.xlsx&amp;sheet=U0&amp;row=963&amp;col=6&amp;number=4.9&amp;sourceID=14","4.9")</f>
        <v>4.9</v>
      </c>
      <c r="G963" s="4" t="str">
        <f>HYPERLINK("http://141.218.60.56/~jnz1568/getInfo.php?workbook=06_02.xlsx&amp;sheet=U0&amp;row=963&amp;col=7&amp;number=4.52e-07&amp;sourceID=14","4.52e-07")</f>
        <v>4.52e-07</v>
      </c>
    </row>
    <row r="964" spans="1:7">
      <c r="A964" s="3">
        <v>6</v>
      </c>
      <c r="B964" s="3">
        <v>2</v>
      </c>
      <c r="C964" s="3">
        <v>2</v>
      </c>
      <c r="D964" s="3">
        <v>8</v>
      </c>
      <c r="E964" s="3">
        <v>1</v>
      </c>
      <c r="F964" s="4" t="str">
        <f>HYPERLINK("http://141.218.60.56/~jnz1568/getInfo.php?workbook=06_02.xlsx&amp;sheet=U0&amp;row=964&amp;col=6&amp;number=3&amp;sourceID=14","3")</f>
        <v>3</v>
      </c>
      <c r="G964" s="4" t="str">
        <f>HYPERLINK("http://141.218.60.56/~jnz1568/getInfo.php?workbook=06_02.xlsx&amp;sheet=U0&amp;row=964&amp;col=7&amp;number=0.459&amp;sourceID=14","0.459")</f>
        <v>0.459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HYPERLINK("http://141.218.60.56/~jnz1568/getInfo.php?workbook=06_02.xlsx&amp;sheet=U0&amp;row=965&amp;col=6&amp;number=3.1&amp;sourceID=14","3.1")</f>
        <v>3.1</v>
      </c>
      <c r="G965" s="4" t="str">
        <f>HYPERLINK("http://141.218.60.56/~jnz1568/getInfo.php?workbook=06_02.xlsx&amp;sheet=U0&amp;row=965&amp;col=7&amp;number=0.459&amp;sourceID=14","0.459")</f>
        <v>0.459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HYPERLINK("http://141.218.60.56/~jnz1568/getInfo.php?workbook=06_02.xlsx&amp;sheet=U0&amp;row=966&amp;col=6&amp;number=3.2&amp;sourceID=14","3.2")</f>
        <v>3.2</v>
      </c>
      <c r="G966" s="4" t="str">
        <f>HYPERLINK("http://141.218.60.56/~jnz1568/getInfo.php?workbook=06_02.xlsx&amp;sheet=U0&amp;row=966&amp;col=7&amp;number=0.459&amp;sourceID=14","0.459")</f>
        <v>0.459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HYPERLINK("http://141.218.60.56/~jnz1568/getInfo.php?workbook=06_02.xlsx&amp;sheet=U0&amp;row=967&amp;col=6&amp;number=3.3&amp;sourceID=14","3.3")</f>
        <v>3.3</v>
      </c>
      <c r="G967" s="4" t="str">
        <f>HYPERLINK("http://141.218.60.56/~jnz1568/getInfo.php?workbook=06_02.xlsx&amp;sheet=U0&amp;row=967&amp;col=7&amp;number=0.459&amp;sourceID=14","0.459")</f>
        <v>0.459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HYPERLINK("http://141.218.60.56/~jnz1568/getInfo.php?workbook=06_02.xlsx&amp;sheet=U0&amp;row=968&amp;col=6&amp;number=3.4&amp;sourceID=14","3.4")</f>
        <v>3.4</v>
      </c>
      <c r="G968" s="4" t="str">
        <f>HYPERLINK("http://141.218.60.56/~jnz1568/getInfo.php?workbook=06_02.xlsx&amp;sheet=U0&amp;row=968&amp;col=7&amp;number=0.459&amp;sourceID=14","0.459")</f>
        <v>0.459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HYPERLINK("http://141.218.60.56/~jnz1568/getInfo.php?workbook=06_02.xlsx&amp;sheet=U0&amp;row=969&amp;col=6&amp;number=3.5&amp;sourceID=14","3.5")</f>
        <v>3.5</v>
      </c>
      <c r="G969" s="4" t="str">
        <f>HYPERLINK("http://141.218.60.56/~jnz1568/getInfo.php?workbook=06_02.xlsx&amp;sheet=U0&amp;row=969&amp;col=7&amp;number=0.459&amp;sourceID=14","0.459")</f>
        <v>0.459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HYPERLINK("http://141.218.60.56/~jnz1568/getInfo.php?workbook=06_02.xlsx&amp;sheet=U0&amp;row=970&amp;col=6&amp;number=3.6&amp;sourceID=14","3.6")</f>
        <v>3.6</v>
      </c>
      <c r="G970" s="4" t="str">
        <f>HYPERLINK("http://141.218.60.56/~jnz1568/getInfo.php?workbook=06_02.xlsx&amp;sheet=U0&amp;row=970&amp;col=7&amp;number=0.459&amp;sourceID=14","0.459")</f>
        <v>0.459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HYPERLINK("http://141.218.60.56/~jnz1568/getInfo.php?workbook=06_02.xlsx&amp;sheet=U0&amp;row=971&amp;col=6&amp;number=3.7&amp;sourceID=14","3.7")</f>
        <v>3.7</v>
      </c>
      <c r="G971" s="4" t="str">
        <f>HYPERLINK("http://141.218.60.56/~jnz1568/getInfo.php?workbook=06_02.xlsx&amp;sheet=U0&amp;row=971&amp;col=7&amp;number=0.459&amp;sourceID=14","0.459")</f>
        <v>0.459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HYPERLINK("http://141.218.60.56/~jnz1568/getInfo.php?workbook=06_02.xlsx&amp;sheet=U0&amp;row=972&amp;col=6&amp;number=3.8&amp;sourceID=14","3.8")</f>
        <v>3.8</v>
      </c>
      <c r="G972" s="4" t="str">
        <f>HYPERLINK("http://141.218.60.56/~jnz1568/getInfo.php?workbook=06_02.xlsx&amp;sheet=U0&amp;row=972&amp;col=7&amp;number=0.459&amp;sourceID=14","0.459")</f>
        <v>0.459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HYPERLINK("http://141.218.60.56/~jnz1568/getInfo.php?workbook=06_02.xlsx&amp;sheet=U0&amp;row=973&amp;col=6&amp;number=3.9&amp;sourceID=14","3.9")</f>
        <v>3.9</v>
      </c>
      <c r="G973" s="4" t="str">
        <f>HYPERLINK("http://141.218.60.56/~jnz1568/getInfo.php?workbook=06_02.xlsx&amp;sheet=U0&amp;row=973&amp;col=7&amp;number=0.459&amp;sourceID=14","0.459")</f>
        <v>0.459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HYPERLINK("http://141.218.60.56/~jnz1568/getInfo.php?workbook=06_02.xlsx&amp;sheet=U0&amp;row=974&amp;col=6&amp;number=4&amp;sourceID=14","4")</f>
        <v>4</v>
      </c>
      <c r="G974" s="4" t="str">
        <f>HYPERLINK("http://141.218.60.56/~jnz1568/getInfo.php?workbook=06_02.xlsx&amp;sheet=U0&amp;row=974&amp;col=7&amp;number=0.46&amp;sourceID=14","0.46")</f>
        <v>0.46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HYPERLINK("http://141.218.60.56/~jnz1568/getInfo.php?workbook=06_02.xlsx&amp;sheet=U0&amp;row=975&amp;col=6&amp;number=4.1&amp;sourceID=14","4.1")</f>
        <v>4.1</v>
      </c>
      <c r="G975" s="4" t="str">
        <f>HYPERLINK("http://141.218.60.56/~jnz1568/getInfo.php?workbook=06_02.xlsx&amp;sheet=U0&amp;row=975&amp;col=7&amp;number=0.46&amp;sourceID=14","0.46")</f>
        <v>0.46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HYPERLINK("http://141.218.60.56/~jnz1568/getInfo.php?workbook=06_02.xlsx&amp;sheet=U0&amp;row=976&amp;col=6&amp;number=4.2&amp;sourceID=14","4.2")</f>
        <v>4.2</v>
      </c>
      <c r="G976" s="4" t="str">
        <f>HYPERLINK("http://141.218.60.56/~jnz1568/getInfo.php?workbook=06_02.xlsx&amp;sheet=U0&amp;row=976&amp;col=7&amp;number=0.46&amp;sourceID=14","0.46")</f>
        <v>0.46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HYPERLINK("http://141.218.60.56/~jnz1568/getInfo.php?workbook=06_02.xlsx&amp;sheet=U0&amp;row=977&amp;col=6&amp;number=4.3&amp;sourceID=14","4.3")</f>
        <v>4.3</v>
      </c>
      <c r="G977" s="4" t="str">
        <f>HYPERLINK("http://141.218.60.56/~jnz1568/getInfo.php?workbook=06_02.xlsx&amp;sheet=U0&amp;row=977&amp;col=7&amp;number=0.46&amp;sourceID=14","0.46")</f>
        <v>0.46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HYPERLINK("http://141.218.60.56/~jnz1568/getInfo.php?workbook=06_02.xlsx&amp;sheet=U0&amp;row=978&amp;col=6&amp;number=4.4&amp;sourceID=14","4.4")</f>
        <v>4.4</v>
      </c>
      <c r="G978" s="4" t="str">
        <f>HYPERLINK("http://141.218.60.56/~jnz1568/getInfo.php?workbook=06_02.xlsx&amp;sheet=U0&amp;row=978&amp;col=7&amp;number=0.461&amp;sourceID=14","0.461")</f>
        <v>0.461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HYPERLINK("http://141.218.60.56/~jnz1568/getInfo.php?workbook=06_02.xlsx&amp;sheet=U0&amp;row=979&amp;col=6&amp;number=4.5&amp;sourceID=14","4.5")</f>
        <v>4.5</v>
      </c>
      <c r="G979" s="4" t="str">
        <f>HYPERLINK("http://141.218.60.56/~jnz1568/getInfo.php?workbook=06_02.xlsx&amp;sheet=U0&amp;row=979&amp;col=7&amp;number=0.461&amp;sourceID=14","0.461")</f>
        <v>0.461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HYPERLINK("http://141.218.60.56/~jnz1568/getInfo.php?workbook=06_02.xlsx&amp;sheet=U0&amp;row=980&amp;col=6&amp;number=4.6&amp;sourceID=14","4.6")</f>
        <v>4.6</v>
      </c>
      <c r="G980" s="4" t="str">
        <f>HYPERLINK("http://141.218.60.56/~jnz1568/getInfo.php?workbook=06_02.xlsx&amp;sheet=U0&amp;row=980&amp;col=7&amp;number=0.462&amp;sourceID=14","0.462")</f>
        <v>0.462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HYPERLINK("http://141.218.60.56/~jnz1568/getInfo.php?workbook=06_02.xlsx&amp;sheet=U0&amp;row=981&amp;col=6&amp;number=4.7&amp;sourceID=14","4.7")</f>
        <v>4.7</v>
      </c>
      <c r="G981" s="4" t="str">
        <f>HYPERLINK("http://141.218.60.56/~jnz1568/getInfo.php?workbook=06_02.xlsx&amp;sheet=U0&amp;row=981&amp;col=7&amp;number=0.463&amp;sourceID=14","0.463")</f>
        <v>0.463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HYPERLINK("http://141.218.60.56/~jnz1568/getInfo.php?workbook=06_02.xlsx&amp;sheet=U0&amp;row=982&amp;col=6&amp;number=4.8&amp;sourceID=14","4.8")</f>
        <v>4.8</v>
      </c>
      <c r="G982" s="4" t="str">
        <f>HYPERLINK("http://141.218.60.56/~jnz1568/getInfo.php?workbook=06_02.xlsx&amp;sheet=U0&amp;row=982&amp;col=7&amp;number=0.464&amp;sourceID=14","0.464")</f>
        <v>0.464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HYPERLINK("http://141.218.60.56/~jnz1568/getInfo.php?workbook=06_02.xlsx&amp;sheet=U0&amp;row=983&amp;col=6&amp;number=4.9&amp;sourceID=14","4.9")</f>
        <v>4.9</v>
      </c>
      <c r="G983" s="4" t="str">
        <f>HYPERLINK("http://141.218.60.56/~jnz1568/getInfo.php?workbook=06_02.xlsx&amp;sheet=U0&amp;row=983&amp;col=7&amp;number=0.465&amp;sourceID=14","0.465")</f>
        <v>0.465</v>
      </c>
    </row>
    <row r="984" spans="1:7">
      <c r="A984" s="3">
        <v>6</v>
      </c>
      <c r="B984" s="3">
        <v>2</v>
      </c>
      <c r="C984" s="3">
        <v>2</v>
      </c>
      <c r="D984" s="3">
        <v>9</v>
      </c>
      <c r="E984" s="3">
        <v>1</v>
      </c>
      <c r="F984" s="4" t="str">
        <f>HYPERLINK("http://141.218.60.56/~jnz1568/getInfo.php?workbook=06_02.xlsx&amp;sheet=U0&amp;row=984&amp;col=6&amp;number=3&amp;sourceID=14","3")</f>
        <v>3</v>
      </c>
      <c r="G984" s="4" t="str">
        <f>HYPERLINK("http://141.218.60.56/~jnz1568/getInfo.php?workbook=06_02.xlsx&amp;sheet=U0&amp;row=984&amp;col=7&amp;number=0.0119&amp;sourceID=14","0.0119")</f>
        <v>0.0119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HYPERLINK("http://141.218.60.56/~jnz1568/getInfo.php?workbook=06_02.xlsx&amp;sheet=U0&amp;row=985&amp;col=6&amp;number=3.1&amp;sourceID=14","3.1")</f>
        <v>3.1</v>
      </c>
      <c r="G985" s="4" t="str">
        <f>HYPERLINK("http://141.218.60.56/~jnz1568/getInfo.php?workbook=06_02.xlsx&amp;sheet=U0&amp;row=985&amp;col=7&amp;number=0.0119&amp;sourceID=14","0.0119")</f>
        <v>0.0119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HYPERLINK("http://141.218.60.56/~jnz1568/getInfo.php?workbook=06_02.xlsx&amp;sheet=U0&amp;row=986&amp;col=6&amp;number=3.2&amp;sourceID=14","3.2")</f>
        <v>3.2</v>
      </c>
      <c r="G986" s="4" t="str">
        <f>HYPERLINK("http://141.218.60.56/~jnz1568/getInfo.php?workbook=06_02.xlsx&amp;sheet=U0&amp;row=986&amp;col=7&amp;number=0.0119&amp;sourceID=14","0.0119")</f>
        <v>0.0119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HYPERLINK("http://141.218.60.56/~jnz1568/getInfo.php?workbook=06_02.xlsx&amp;sheet=U0&amp;row=987&amp;col=6&amp;number=3.3&amp;sourceID=14","3.3")</f>
        <v>3.3</v>
      </c>
      <c r="G987" s="4" t="str">
        <f>HYPERLINK("http://141.218.60.56/~jnz1568/getInfo.php?workbook=06_02.xlsx&amp;sheet=U0&amp;row=987&amp;col=7&amp;number=0.0119&amp;sourceID=14","0.0119")</f>
        <v>0.0119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HYPERLINK("http://141.218.60.56/~jnz1568/getInfo.php?workbook=06_02.xlsx&amp;sheet=U0&amp;row=988&amp;col=6&amp;number=3.4&amp;sourceID=14","3.4")</f>
        <v>3.4</v>
      </c>
      <c r="G988" s="4" t="str">
        <f>HYPERLINK("http://141.218.60.56/~jnz1568/getInfo.php?workbook=06_02.xlsx&amp;sheet=U0&amp;row=988&amp;col=7&amp;number=0.0119&amp;sourceID=14","0.0119")</f>
        <v>0.0119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HYPERLINK("http://141.218.60.56/~jnz1568/getInfo.php?workbook=06_02.xlsx&amp;sheet=U0&amp;row=989&amp;col=6&amp;number=3.5&amp;sourceID=14","3.5")</f>
        <v>3.5</v>
      </c>
      <c r="G989" s="4" t="str">
        <f>HYPERLINK("http://141.218.60.56/~jnz1568/getInfo.php?workbook=06_02.xlsx&amp;sheet=U0&amp;row=989&amp;col=7&amp;number=0.0118&amp;sourceID=14","0.0118")</f>
        <v>0.0118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HYPERLINK("http://141.218.60.56/~jnz1568/getInfo.php?workbook=06_02.xlsx&amp;sheet=U0&amp;row=990&amp;col=6&amp;number=3.6&amp;sourceID=14","3.6")</f>
        <v>3.6</v>
      </c>
      <c r="G990" s="4" t="str">
        <f>HYPERLINK("http://141.218.60.56/~jnz1568/getInfo.php?workbook=06_02.xlsx&amp;sheet=U0&amp;row=990&amp;col=7&amp;number=0.0118&amp;sourceID=14","0.0118")</f>
        <v>0.0118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HYPERLINK("http://141.218.60.56/~jnz1568/getInfo.php?workbook=06_02.xlsx&amp;sheet=U0&amp;row=991&amp;col=6&amp;number=3.7&amp;sourceID=14","3.7")</f>
        <v>3.7</v>
      </c>
      <c r="G991" s="4" t="str">
        <f>HYPERLINK("http://141.218.60.56/~jnz1568/getInfo.php?workbook=06_02.xlsx&amp;sheet=U0&amp;row=991&amp;col=7&amp;number=0.0118&amp;sourceID=14","0.0118")</f>
        <v>0.0118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HYPERLINK("http://141.218.60.56/~jnz1568/getInfo.php?workbook=06_02.xlsx&amp;sheet=U0&amp;row=992&amp;col=6&amp;number=3.8&amp;sourceID=14","3.8")</f>
        <v>3.8</v>
      </c>
      <c r="G992" s="4" t="str">
        <f>HYPERLINK("http://141.218.60.56/~jnz1568/getInfo.php?workbook=06_02.xlsx&amp;sheet=U0&amp;row=992&amp;col=7&amp;number=0.0118&amp;sourceID=14","0.0118")</f>
        <v>0.0118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HYPERLINK("http://141.218.60.56/~jnz1568/getInfo.php?workbook=06_02.xlsx&amp;sheet=U0&amp;row=993&amp;col=6&amp;number=3.9&amp;sourceID=14","3.9")</f>
        <v>3.9</v>
      </c>
      <c r="G993" s="4" t="str">
        <f>HYPERLINK("http://141.218.60.56/~jnz1568/getInfo.php?workbook=06_02.xlsx&amp;sheet=U0&amp;row=993&amp;col=7&amp;number=0.0118&amp;sourceID=14","0.0118")</f>
        <v>0.0118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HYPERLINK("http://141.218.60.56/~jnz1568/getInfo.php?workbook=06_02.xlsx&amp;sheet=U0&amp;row=994&amp;col=6&amp;number=4&amp;sourceID=14","4")</f>
        <v>4</v>
      </c>
      <c r="G994" s="4" t="str">
        <f>HYPERLINK("http://141.218.60.56/~jnz1568/getInfo.php?workbook=06_02.xlsx&amp;sheet=U0&amp;row=994&amp;col=7&amp;number=0.0117&amp;sourceID=14","0.0117")</f>
        <v>0.0117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HYPERLINK("http://141.218.60.56/~jnz1568/getInfo.php?workbook=06_02.xlsx&amp;sheet=U0&amp;row=995&amp;col=6&amp;number=4.1&amp;sourceID=14","4.1")</f>
        <v>4.1</v>
      </c>
      <c r="G995" s="4" t="str">
        <f>HYPERLINK("http://141.218.60.56/~jnz1568/getInfo.php?workbook=06_02.xlsx&amp;sheet=U0&amp;row=995&amp;col=7&amp;number=0.0117&amp;sourceID=14","0.0117")</f>
        <v>0.0117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HYPERLINK("http://141.218.60.56/~jnz1568/getInfo.php?workbook=06_02.xlsx&amp;sheet=U0&amp;row=996&amp;col=6&amp;number=4.2&amp;sourceID=14","4.2")</f>
        <v>4.2</v>
      </c>
      <c r="G996" s="4" t="str">
        <f>HYPERLINK("http://141.218.60.56/~jnz1568/getInfo.php?workbook=06_02.xlsx&amp;sheet=U0&amp;row=996&amp;col=7&amp;number=0.0116&amp;sourceID=14","0.0116")</f>
        <v>0.0116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HYPERLINK("http://141.218.60.56/~jnz1568/getInfo.php?workbook=06_02.xlsx&amp;sheet=U0&amp;row=997&amp;col=6&amp;number=4.3&amp;sourceID=14","4.3")</f>
        <v>4.3</v>
      </c>
      <c r="G997" s="4" t="str">
        <f>HYPERLINK("http://141.218.60.56/~jnz1568/getInfo.php?workbook=06_02.xlsx&amp;sheet=U0&amp;row=997&amp;col=7&amp;number=0.0116&amp;sourceID=14","0.0116")</f>
        <v>0.0116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HYPERLINK("http://141.218.60.56/~jnz1568/getInfo.php?workbook=06_02.xlsx&amp;sheet=U0&amp;row=998&amp;col=6&amp;number=4.4&amp;sourceID=14","4.4")</f>
        <v>4.4</v>
      </c>
      <c r="G998" s="4" t="str">
        <f>HYPERLINK("http://141.218.60.56/~jnz1568/getInfo.php?workbook=06_02.xlsx&amp;sheet=U0&amp;row=998&amp;col=7&amp;number=0.0115&amp;sourceID=14","0.0115")</f>
        <v>0.0115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HYPERLINK("http://141.218.60.56/~jnz1568/getInfo.php?workbook=06_02.xlsx&amp;sheet=U0&amp;row=999&amp;col=6&amp;number=4.5&amp;sourceID=14","4.5")</f>
        <v>4.5</v>
      </c>
      <c r="G999" s="4" t="str">
        <f>HYPERLINK("http://141.218.60.56/~jnz1568/getInfo.php?workbook=06_02.xlsx&amp;sheet=U0&amp;row=999&amp;col=7&amp;number=0.0114&amp;sourceID=14","0.0114")</f>
        <v>0.0114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HYPERLINK("http://141.218.60.56/~jnz1568/getInfo.php?workbook=06_02.xlsx&amp;sheet=U0&amp;row=1000&amp;col=6&amp;number=4.6&amp;sourceID=14","4.6")</f>
        <v>4.6</v>
      </c>
      <c r="G1000" s="4" t="str">
        <f>HYPERLINK("http://141.218.60.56/~jnz1568/getInfo.php?workbook=06_02.xlsx&amp;sheet=U0&amp;row=1000&amp;col=7&amp;number=0.0113&amp;sourceID=14","0.0113")</f>
        <v>0.0113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HYPERLINK("http://141.218.60.56/~jnz1568/getInfo.php?workbook=06_02.xlsx&amp;sheet=U0&amp;row=1001&amp;col=6&amp;number=4.7&amp;sourceID=14","4.7")</f>
        <v>4.7</v>
      </c>
      <c r="G1001" s="4" t="str">
        <f>HYPERLINK("http://141.218.60.56/~jnz1568/getInfo.php?workbook=06_02.xlsx&amp;sheet=U0&amp;row=1001&amp;col=7&amp;number=0.0111&amp;sourceID=14","0.0111")</f>
        <v>0.0111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HYPERLINK("http://141.218.60.56/~jnz1568/getInfo.php?workbook=06_02.xlsx&amp;sheet=U0&amp;row=1002&amp;col=6&amp;number=4.8&amp;sourceID=14","4.8")</f>
        <v>4.8</v>
      </c>
      <c r="G1002" s="4" t="str">
        <f>HYPERLINK("http://141.218.60.56/~jnz1568/getInfo.php?workbook=06_02.xlsx&amp;sheet=U0&amp;row=1002&amp;col=7&amp;number=0.0109&amp;sourceID=14","0.0109")</f>
        <v>0.0109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HYPERLINK("http://141.218.60.56/~jnz1568/getInfo.php?workbook=06_02.xlsx&amp;sheet=U0&amp;row=1003&amp;col=6&amp;number=4.9&amp;sourceID=14","4.9")</f>
        <v>4.9</v>
      </c>
      <c r="G1003" s="4" t="str">
        <f>HYPERLINK("http://141.218.60.56/~jnz1568/getInfo.php?workbook=06_02.xlsx&amp;sheet=U0&amp;row=1003&amp;col=7&amp;number=0.0107&amp;sourceID=14","0.0107")</f>
        <v>0.0107</v>
      </c>
    </row>
    <row r="1004" spans="1:7">
      <c r="A1004" s="3">
        <v>6</v>
      </c>
      <c r="B1004" s="3">
        <v>2</v>
      </c>
      <c r="C1004" s="3">
        <v>2</v>
      </c>
      <c r="D1004" s="3">
        <v>10</v>
      </c>
      <c r="E1004" s="3">
        <v>1</v>
      </c>
      <c r="F1004" s="4" t="str">
        <f>HYPERLINK("http://141.218.60.56/~jnz1568/getInfo.php?workbook=06_02.xlsx&amp;sheet=U0&amp;row=1004&amp;col=6&amp;number=3&amp;sourceID=14","3")</f>
        <v>3</v>
      </c>
      <c r="G1004" s="4" t="str">
        <f>HYPERLINK("http://141.218.60.56/~jnz1568/getInfo.php?workbook=06_02.xlsx&amp;sheet=U0&amp;row=1004&amp;col=7&amp;number=0.0266&amp;sourceID=14","0.0266")</f>
        <v>0.0266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HYPERLINK("http://141.218.60.56/~jnz1568/getInfo.php?workbook=06_02.xlsx&amp;sheet=U0&amp;row=1005&amp;col=6&amp;number=3.1&amp;sourceID=14","3.1")</f>
        <v>3.1</v>
      </c>
      <c r="G1005" s="4" t="str">
        <f>HYPERLINK("http://141.218.60.56/~jnz1568/getInfo.php?workbook=06_02.xlsx&amp;sheet=U0&amp;row=1005&amp;col=7&amp;number=0.0266&amp;sourceID=14","0.0266")</f>
        <v>0.0266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HYPERLINK("http://141.218.60.56/~jnz1568/getInfo.php?workbook=06_02.xlsx&amp;sheet=U0&amp;row=1006&amp;col=6&amp;number=3.2&amp;sourceID=14","3.2")</f>
        <v>3.2</v>
      </c>
      <c r="G1006" s="4" t="str">
        <f>HYPERLINK("http://141.218.60.56/~jnz1568/getInfo.php?workbook=06_02.xlsx&amp;sheet=U0&amp;row=1006&amp;col=7&amp;number=0.0267&amp;sourceID=14","0.0267")</f>
        <v>0.0267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HYPERLINK("http://141.218.60.56/~jnz1568/getInfo.php?workbook=06_02.xlsx&amp;sheet=U0&amp;row=1007&amp;col=6&amp;number=3.3&amp;sourceID=14","3.3")</f>
        <v>3.3</v>
      </c>
      <c r="G1007" s="4" t="str">
        <f>HYPERLINK("http://141.218.60.56/~jnz1568/getInfo.php?workbook=06_02.xlsx&amp;sheet=U0&amp;row=1007&amp;col=7&amp;number=0.0267&amp;sourceID=14","0.0267")</f>
        <v>0.0267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HYPERLINK("http://141.218.60.56/~jnz1568/getInfo.php?workbook=06_02.xlsx&amp;sheet=U0&amp;row=1008&amp;col=6&amp;number=3.4&amp;sourceID=14","3.4")</f>
        <v>3.4</v>
      </c>
      <c r="G1008" s="4" t="str">
        <f>HYPERLINK("http://141.218.60.56/~jnz1568/getInfo.php?workbook=06_02.xlsx&amp;sheet=U0&amp;row=1008&amp;col=7&amp;number=0.0267&amp;sourceID=14","0.0267")</f>
        <v>0.0267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HYPERLINK("http://141.218.60.56/~jnz1568/getInfo.php?workbook=06_02.xlsx&amp;sheet=U0&amp;row=1009&amp;col=6&amp;number=3.5&amp;sourceID=14","3.5")</f>
        <v>3.5</v>
      </c>
      <c r="G1009" s="4" t="str">
        <f>HYPERLINK("http://141.218.60.56/~jnz1568/getInfo.php?workbook=06_02.xlsx&amp;sheet=U0&amp;row=1009&amp;col=7&amp;number=0.0267&amp;sourceID=14","0.0267")</f>
        <v>0.0267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HYPERLINK("http://141.218.60.56/~jnz1568/getInfo.php?workbook=06_02.xlsx&amp;sheet=U0&amp;row=1010&amp;col=6&amp;number=3.6&amp;sourceID=14","3.6")</f>
        <v>3.6</v>
      </c>
      <c r="G1010" s="4" t="str">
        <f>HYPERLINK("http://141.218.60.56/~jnz1568/getInfo.php?workbook=06_02.xlsx&amp;sheet=U0&amp;row=1010&amp;col=7&amp;number=0.0268&amp;sourceID=14","0.0268")</f>
        <v>0.0268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HYPERLINK("http://141.218.60.56/~jnz1568/getInfo.php?workbook=06_02.xlsx&amp;sheet=U0&amp;row=1011&amp;col=6&amp;number=3.7&amp;sourceID=14","3.7")</f>
        <v>3.7</v>
      </c>
      <c r="G1011" s="4" t="str">
        <f>HYPERLINK("http://141.218.60.56/~jnz1568/getInfo.php?workbook=06_02.xlsx&amp;sheet=U0&amp;row=1011&amp;col=7&amp;number=0.0268&amp;sourceID=14","0.0268")</f>
        <v>0.0268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HYPERLINK("http://141.218.60.56/~jnz1568/getInfo.php?workbook=06_02.xlsx&amp;sheet=U0&amp;row=1012&amp;col=6&amp;number=3.8&amp;sourceID=14","3.8")</f>
        <v>3.8</v>
      </c>
      <c r="G1012" s="4" t="str">
        <f>HYPERLINK("http://141.218.60.56/~jnz1568/getInfo.php?workbook=06_02.xlsx&amp;sheet=U0&amp;row=1012&amp;col=7&amp;number=0.0269&amp;sourceID=14","0.0269")</f>
        <v>0.0269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HYPERLINK("http://141.218.60.56/~jnz1568/getInfo.php?workbook=06_02.xlsx&amp;sheet=U0&amp;row=1013&amp;col=6&amp;number=3.9&amp;sourceID=14","3.9")</f>
        <v>3.9</v>
      </c>
      <c r="G1013" s="4" t="str">
        <f>HYPERLINK("http://141.218.60.56/~jnz1568/getInfo.php?workbook=06_02.xlsx&amp;sheet=U0&amp;row=1013&amp;col=7&amp;number=0.0269&amp;sourceID=14","0.0269")</f>
        <v>0.0269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HYPERLINK("http://141.218.60.56/~jnz1568/getInfo.php?workbook=06_02.xlsx&amp;sheet=U0&amp;row=1014&amp;col=6&amp;number=4&amp;sourceID=14","4")</f>
        <v>4</v>
      </c>
      <c r="G1014" s="4" t="str">
        <f>HYPERLINK("http://141.218.60.56/~jnz1568/getInfo.php?workbook=06_02.xlsx&amp;sheet=U0&amp;row=1014&amp;col=7&amp;number=0.027&amp;sourceID=14","0.027")</f>
        <v>0.027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HYPERLINK("http://141.218.60.56/~jnz1568/getInfo.php?workbook=06_02.xlsx&amp;sheet=U0&amp;row=1015&amp;col=6&amp;number=4.1&amp;sourceID=14","4.1")</f>
        <v>4.1</v>
      </c>
      <c r="G1015" s="4" t="str">
        <f>HYPERLINK("http://141.218.60.56/~jnz1568/getInfo.php?workbook=06_02.xlsx&amp;sheet=U0&amp;row=1015&amp;col=7&amp;number=0.0271&amp;sourceID=14","0.0271")</f>
        <v>0.0271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HYPERLINK("http://141.218.60.56/~jnz1568/getInfo.php?workbook=06_02.xlsx&amp;sheet=U0&amp;row=1016&amp;col=6&amp;number=4.2&amp;sourceID=14","4.2")</f>
        <v>4.2</v>
      </c>
      <c r="G1016" s="4" t="str">
        <f>HYPERLINK("http://141.218.60.56/~jnz1568/getInfo.php?workbook=06_02.xlsx&amp;sheet=U0&amp;row=1016&amp;col=7&amp;number=0.0273&amp;sourceID=14","0.0273")</f>
        <v>0.0273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HYPERLINK("http://141.218.60.56/~jnz1568/getInfo.php?workbook=06_02.xlsx&amp;sheet=U0&amp;row=1017&amp;col=6&amp;number=4.3&amp;sourceID=14","4.3")</f>
        <v>4.3</v>
      </c>
      <c r="G1017" s="4" t="str">
        <f>HYPERLINK("http://141.218.60.56/~jnz1568/getInfo.php?workbook=06_02.xlsx&amp;sheet=U0&amp;row=1017&amp;col=7&amp;number=0.0275&amp;sourceID=14","0.0275")</f>
        <v>0.0275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HYPERLINK("http://141.218.60.56/~jnz1568/getInfo.php?workbook=06_02.xlsx&amp;sheet=U0&amp;row=1018&amp;col=6&amp;number=4.4&amp;sourceID=14","4.4")</f>
        <v>4.4</v>
      </c>
      <c r="G1018" s="4" t="str">
        <f>HYPERLINK("http://141.218.60.56/~jnz1568/getInfo.php?workbook=06_02.xlsx&amp;sheet=U0&amp;row=1018&amp;col=7&amp;number=0.0277&amp;sourceID=14","0.0277")</f>
        <v>0.0277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HYPERLINK("http://141.218.60.56/~jnz1568/getInfo.php?workbook=06_02.xlsx&amp;sheet=U0&amp;row=1019&amp;col=6&amp;number=4.5&amp;sourceID=14","4.5")</f>
        <v>4.5</v>
      </c>
      <c r="G1019" s="4" t="str">
        <f>HYPERLINK("http://141.218.60.56/~jnz1568/getInfo.php?workbook=06_02.xlsx&amp;sheet=U0&amp;row=1019&amp;col=7&amp;number=0.028&amp;sourceID=14","0.028")</f>
        <v>0.028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HYPERLINK("http://141.218.60.56/~jnz1568/getInfo.php?workbook=06_02.xlsx&amp;sheet=U0&amp;row=1020&amp;col=6&amp;number=4.6&amp;sourceID=14","4.6")</f>
        <v>4.6</v>
      </c>
      <c r="G1020" s="4" t="str">
        <f>HYPERLINK("http://141.218.60.56/~jnz1568/getInfo.php?workbook=06_02.xlsx&amp;sheet=U0&amp;row=1020&amp;col=7&amp;number=0.0283&amp;sourceID=14","0.0283")</f>
        <v>0.0283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HYPERLINK("http://141.218.60.56/~jnz1568/getInfo.php?workbook=06_02.xlsx&amp;sheet=U0&amp;row=1021&amp;col=6&amp;number=4.7&amp;sourceID=14","4.7")</f>
        <v>4.7</v>
      </c>
      <c r="G1021" s="4" t="str">
        <f>HYPERLINK("http://141.218.60.56/~jnz1568/getInfo.php?workbook=06_02.xlsx&amp;sheet=U0&amp;row=1021&amp;col=7&amp;number=0.0288&amp;sourceID=14","0.0288")</f>
        <v>0.0288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HYPERLINK("http://141.218.60.56/~jnz1568/getInfo.php?workbook=06_02.xlsx&amp;sheet=U0&amp;row=1022&amp;col=6&amp;number=4.8&amp;sourceID=14","4.8")</f>
        <v>4.8</v>
      </c>
      <c r="G1022" s="4" t="str">
        <f>HYPERLINK("http://141.218.60.56/~jnz1568/getInfo.php?workbook=06_02.xlsx&amp;sheet=U0&amp;row=1022&amp;col=7&amp;number=0.0293&amp;sourceID=14","0.0293")</f>
        <v>0.0293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HYPERLINK("http://141.218.60.56/~jnz1568/getInfo.php?workbook=06_02.xlsx&amp;sheet=U0&amp;row=1023&amp;col=6&amp;number=4.9&amp;sourceID=14","4.9")</f>
        <v>4.9</v>
      </c>
      <c r="G1023" s="4" t="str">
        <f>HYPERLINK("http://141.218.60.56/~jnz1568/getInfo.php?workbook=06_02.xlsx&amp;sheet=U0&amp;row=1023&amp;col=7&amp;number=0.03&amp;sourceID=14","0.03")</f>
        <v>0.03</v>
      </c>
    </row>
    <row r="1024" spans="1:7">
      <c r="A1024" s="3">
        <v>6</v>
      </c>
      <c r="B1024" s="3">
        <v>2</v>
      </c>
      <c r="C1024" s="3">
        <v>2</v>
      </c>
      <c r="D1024" s="3">
        <v>11</v>
      </c>
      <c r="E1024" s="3">
        <v>1</v>
      </c>
      <c r="F1024" s="4" t="str">
        <f>HYPERLINK("http://141.218.60.56/~jnz1568/getInfo.php?workbook=06_02.xlsx&amp;sheet=U0&amp;row=1024&amp;col=6&amp;number=3&amp;sourceID=14","3")</f>
        <v>3</v>
      </c>
      <c r="G1024" s="4" t="str">
        <f>HYPERLINK("http://141.218.60.56/~jnz1568/getInfo.php?workbook=06_02.xlsx&amp;sheet=U0&amp;row=1024&amp;col=7&amp;number=0.0799&amp;sourceID=14","0.0799")</f>
        <v>0.0799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HYPERLINK("http://141.218.60.56/~jnz1568/getInfo.php?workbook=06_02.xlsx&amp;sheet=U0&amp;row=1025&amp;col=6&amp;number=3.1&amp;sourceID=14","3.1")</f>
        <v>3.1</v>
      </c>
      <c r="G1025" s="4" t="str">
        <f>HYPERLINK("http://141.218.60.56/~jnz1568/getInfo.php?workbook=06_02.xlsx&amp;sheet=U0&amp;row=1025&amp;col=7&amp;number=0.0799&amp;sourceID=14","0.0799")</f>
        <v>0.0799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HYPERLINK("http://141.218.60.56/~jnz1568/getInfo.php?workbook=06_02.xlsx&amp;sheet=U0&amp;row=1026&amp;col=6&amp;number=3.2&amp;sourceID=14","3.2")</f>
        <v>3.2</v>
      </c>
      <c r="G1026" s="4" t="str">
        <f>HYPERLINK("http://141.218.60.56/~jnz1568/getInfo.php?workbook=06_02.xlsx&amp;sheet=U0&amp;row=1026&amp;col=7&amp;number=0.08&amp;sourceID=14","0.08")</f>
        <v>0.08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HYPERLINK("http://141.218.60.56/~jnz1568/getInfo.php?workbook=06_02.xlsx&amp;sheet=U0&amp;row=1027&amp;col=6&amp;number=3.3&amp;sourceID=14","3.3")</f>
        <v>3.3</v>
      </c>
      <c r="G1027" s="4" t="str">
        <f>HYPERLINK("http://141.218.60.56/~jnz1568/getInfo.php?workbook=06_02.xlsx&amp;sheet=U0&amp;row=1027&amp;col=7&amp;number=0.08&amp;sourceID=14","0.08")</f>
        <v>0.08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HYPERLINK("http://141.218.60.56/~jnz1568/getInfo.php?workbook=06_02.xlsx&amp;sheet=U0&amp;row=1028&amp;col=6&amp;number=3.4&amp;sourceID=14","3.4")</f>
        <v>3.4</v>
      </c>
      <c r="G1028" s="4" t="str">
        <f>HYPERLINK("http://141.218.60.56/~jnz1568/getInfo.php?workbook=06_02.xlsx&amp;sheet=U0&amp;row=1028&amp;col=7&amp;number=0.0801&amp;sourceID=14","0.0801")</f>
        <v>0.0801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HYPERLINK("http://141.218.60.56/~jnz1568/getInfo.php?workbook=06_02.xlsx&amp;sheet=U0&amp;row=1029&amp;col=6&amp;number=3.5&amp;sourceID=14","3.5")</f>
        <v>3.5</v>
      </c>
      <c r="G1029" s="4" t="str">
        <f>HYPERLINK("http://141.218.60.56/~jnz1568/getInfo.php?workbook=06_02.xlsx&amp;sheet=U0&amp;row=1029&amp;col=7&amp;number=0.0802&amp;sourceID=14","0.0802")</f>
        <v>0.0802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HYPERLINK("http://141.218.60.56/~jnz1568/getInfo.php?workbook=06_02.xlsx&amp;sheet=U0&amp;row=1030&amp;col=6&amp;number=3.6&amp;sourceID=14","3.6")</f>
        <v>3.6</v>
      </c>
      <c r="G1030" s="4" t="str">
        <f>HYPERLINK("http://141.218.60.56/~jnz1568/getInfo.php?workbook=06_02.xlsx&amp;sheet=U0&amp;row=1030&amp;col=7&amp;number=0.0803&amp;sourceID=14","0.0803")</f>
        <v>0.0803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HYPERLINK("http://141.218.60.56/~jnz1568/getInfo.php?workbook=06_02.xlsx&amp;sheet=U0&amp;row=1031&amp;col=6&amp;number=3.7&amp;sourceID=14","3.7")</f>
        <v>3.7</v>
      </c>
      <c r="G1031" s="4" t="str">
        <f>HYPERLINK("http://141.218.60.56/~jnz1568/getInfo.php?workbook=06_02.xlsx&amp;sheet=U0&amp;row=1031&amp;col=7&amp;number=0.0804&amp;sourceID=14","0.0804")</f>
        <v>0.0804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HYPERLINK("http://141.218.60.56/~jnz1568/getInfo.php?workbook=06_02.xlsx&amp;sheet=U0&amp;row=1032&amp;col=6&amp;number=3.8&amp;sourceID=14","3.8")</f>
        <v>3.8</v>
      </c>
      <c r="G1032" s="4" t="str">
        <f>HYPERLINK("http://141.218.60.56/~jnz1568/getInfo.php?workbook=06_02.xlsx&amp;sheet=U0&amp;row=1032&amp;col=7&amp;number=0.0806&amp;sourceID=14","0.0806")</f>
        <v>0.0806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HYPERLINK("http://141.218.60.56/~jnz1568/getInfo.php?workbook=06_02.xlsx&amp;sheet=U0&amp;row=1033&amp;col=6&amp;number=3.9&amp;sourceID=14","3.9")</f>
        <v>3.9</v>
      </c>
      <c r="G1033" s="4" t="str">
        <f>HYPERLINK("http://141.218.60.56/~jnz1568/getInfo.php?workbook=06_02.xlsx&amp;sheet=U0&amp;row=1033&amp;col=7&amp;number=0.0808&amp;sourceID=14","0.0808")</f>
        <v>0.0808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HYPERLINK("http://141.218.60.56/~jnz1568/getInfo.php?workbook=06_02.xlsx&amp;sheet=U0&amp;row=1034&amp;col=6&amp;number=4&amp;sourceID=14","4")</f>
        <v>4</v>
      </c>
      <c r="G1034" s="4" t="str">
        <f>HYPERLINK("http://141.218.60.56/~jnz1568/getInfo.php?workbook=06_02.xlsx&amp;sheet=U0&amp;row=1034&amp;col=7&amp;number=0.0811&amp;sourceID=14","0.0811")</f>
        <v>0.0811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HYPERLINK("http://141.218.60.56/~jnz1568/getInfo.php?workbook=06_02.xlsx&amp;sheet=U0&amp;row=1035&amp;col=6&amp;number=4.1&amp;sourceID=14","4.1")</f>
        <v>4.1</v>
      </c>
      <c r="G1035" s="4" t="str">
        <f>HYPERLINK("http://141.218.60.56/~jnz1568/getInfo.php?workbook=06_02.xlsx&amp;sheet=U0&amp;row=1035&amp;col=7&amp;number=0.0814&amp;sourceID=14","0.0814")</f>
        <v>0.0814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HYPERLINK("http://141.218.60.56/~jnz1568/getInfo.php?workbook=06_02.xlsx&amp;sheet=U0&amp;row=1036&amp;col=6&amp;number=4.2&amp;sourceID=14","4.2")</f>
        <v>4.2</v>
      </c>
      <c r="G1036" s="4" t="str">
        <f>HYPERLINK("http://141.218.60.56/~jnz1568/getInfo.php?workbook=06_02.xlsx&amp;sheet=U0&amp;row=1036&amp;col=7&amp;number=0.0818&amp;sourceID=14","0.0818")</f>
        <v>0.0818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HYPERLINK("http://141.218.60.56/~jnz1568/getInfo.php?workbook=06_02.xlsx&amp;sheet=U0&amp;row=1037&amp;col=6&amp;number=4.3&amp;sourceID=14","4.3")</f>
        <v>4.3</v>
      </c>
      <c r="G1037" s="4" t="str">
        <f>HYPERLINK("http://141.218.60.56/~jnz1568/getInfo.php?workbook=06_02.xlsx&amp;sheet=U0&amp;row=1037&amp;col=7&amp;number=0.0824&amp;sourceID=14","0.0824")</f>
        <v>0.0824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HYPERLINK("http://141.218.60.56/~jnz1568/getInfo.php?workbook=06_02.xlsx&amp;sheet=U0&amp;row=1038&amp;col=6&amp;number=4.4&amp;sourceID=14","4.4")</f>
        <v>4.4</v>
      </c>
      <c r="G1038" s="4" t="str">
        <f>HYPERLINK("http://141.218.60.56/~jnz1568/getInfo.php?workbook=06_02.xlsx&amp;sheet=U0&amp;row=1038&amp;col=7&amp;number=0.0831&amp;sourceID=14","0.0831")</f>
        <v>0.0831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HYPERLINK("http://141.218.60.56/~jnz1568/getInfo.php?workbook=06_02.xlsx&amp;sheet=U0&amp;row=1039&amp;col=6&amp;number=4.5&amp;sourceID=14","4.5")</f>
        <v>4.5</v>
      </c>
      <c r="G1039" s="4" t="str">
        <f>HYPERLINK("http://141.218.60.56/~jnz1568/getInfo.php?workbook=06_02.xlsx&amp;sheet=U0&amp;row=1039&amp;col=7&amp;number=0.0839&amp;sourceID=14","0.0839")</f>
        <v>0.0839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HYPERLINK("http://141.218.60.56/~jnz1568/getInfo.php?workbook=06_02.xlsx&amp;sheet=U0&amp;row=1040&amp;col=6&amp;number=4.6&amp;sourceID=14","4.6")</f>
        <v>4.6</v>
      </c>
      <c r="G1040" s="4" t="str">
        <f>HYPERLINK("http://141.218.60.56/~jnz1568/getInfo.php?workbook=06_02.xlsx&amp;sheet=U0&amp;row=1040&amp;col=7&amp;number=0.085&amp;sourceID=14","0.085")</f>
        <v>0.085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HYPERLINK("http://141.218.60.56/~jnz1568/getInfo.php?workbook=06_02.xlsx&amp;sheet=U0&amp;row=1041&amp;col=6&amp;number=4.7&amp;sourceID=14","4.7")</f>
        <v>4.7</v>
      </c>
      <c r="G1041" s="4" t="str">
        <f>HYPERLINK("http://141.218.60.56/~jnz1568/getInfo.php?workbook=06_02.xlsx&amp;sheet=U0&amp;row=1041&amp;col=7&amp;number=0.0863&amp;sourceID=14","0.0863")</f>
        <v>0.0863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HYPERLINK("http://141.218.60.56/~jnz1568/getInfo.php?workbook=06_02.xlsx&amp;sheet=U0&amp;row=1042&amp;col=6&amp;number=4.8&amp;sourceID=14","4.8")</f>
        <v>4.8</v>
      </c>
      <c r="G1042" s="4" t="str">
        <f>HYPERLINK("http://141.218.60.56/~jnz1568/getInfo.php?workbook=06_02.xlsx&amp;sheet=U0&amp;row=1042&amp;col=7&amp;number=0.088&amp;sourceID=14","0.088")</f>
        <v>0.088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HYPERLINK("http://141.218.60.56/~jnz1568/getInfo.php?workbook=06_02.xlsx&amp;sheet=U0&amp;row=1043&amp;col=6&amp;number=4.9&amp;sourceID=14","4.9")</f>
        <v>4.9</v>
      </c>
      <c r="G1043" s="4" t="str">
        <f>HYPERLINK("http://141.218.60.56/~jnz1568/getInfo.php?workbook=06_02.xlsx&amp;sheet=U0&amp;row=1043&amp;col=7&amp;number=0.09&amp;sourceID=14","0.09")</f>
        <v>0.09</v>
      </c>
    </row>
    <row r="1044" spans="1:7">
      <c r="A1044" s="3">
        <v>6</v>
      </c>
      <c r="B1044" s="3">
        <v>2</v>
      </c>
      <c r="C1044" s="3">
        <v>2</v>
      </c>
      <c r="D1044" s="3">
        <v>12</v>
      </c>
      <c r="E1044" s="3">
        <v>1</v>
      </c>
      <c r="F1044" s="4" t="str">
        <f>HYPERLINK("http://141.218.60.56/~jnz1568/getInfo.php?workbook=06_02.xlsx&amp;sheet=U0&amp;row=1044&amp;col=6&amp;number=3&amp;sourceID=14","3")</f>
        <v>3</v>
      </c>
      <c r="G1044" s="4" t="str">
        <f>HYPERLINK("http://141.218.60.56/~jnz1568/getInfo.php?workbook=06_02.xlsx&amp;sheet=U0&amp;row=1044&amp;col=7&amp;number=0.133&amp;sourceID=14","0.133")</f>
        <v>0.133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HYPERLINK("http://141.218.60.56/~jnz1568/getInfo.php?workbook=06_02.xlsx&amp;sheet=U0&amp;row=1045&amp;col=6&amp;number=3.1&amp;sourceID=14","3.1")</f>
        <v>3.1</v>
      </c>
      <c r="G1045" s="4" t="str">
        <f>HYPERLINK("http://141.218.60.56/~jnz1568/getInfo.php?workbook=06_02.xlsx&amp;sheet=U0&amp;row=1045&amp;col=7&amp;number=0.133&amp;sourceID=14","0.133")</f>
        <v>0.133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HYPERLINK("http://141.218.60.56/~jnz1568/getInfo.php?workbook=06_02.xlsx&amp;sheet=U0&amp;row=1046&amp;col=6&amp;number=3.2&amp;sourceID=14","3.2")</f>
        <v>3.2</v>
      </c>
      <c r="G1046" s="4" t="str">
        <f>HYPERLINK("http://141.218.60.56/~jnz1568/getInfo.php?workbook=06_02.xlsx&amp;sheet=U0&amp;row=1046&amp;col=7&amp;number=0.133&amp;sourceID=14","0.133")</f>
        <v>0.133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HYPERLINK("http://141.218.60.56/~jnz1568/getInfo.php?workbook=06_02.xlsx&amp;sheet=U0&amp;row=1047&amp;col=6&amp;number=3.3&amp;sourceID=14","3.3")</f>
        <v>3.3</v>
      </c>
      <c r="G1047" s="4" t="str">
        <f>HYPERLINK("http://141.218.60.56/~jnz1568/getInfo.php?workbook=06_02.xlsx&amp;sheet=U0&amp;row=1047&amp;col=7&amp;number=0.133&amp;sourceID=14","0.133")</f>
        <v>0.133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HYPERLINK("http://141.218.60.56/~jnz1568/getInfo.php?workbook=06_02.xlsx&amp;sheet=U0&amp;row=1048&amp;col=6&amp;number=3.4&amp;sourceID=14","3.4")</f>
        <v>3.4</v>
      </c>
      <c r="G1048" s="4" t="str">
        <f>HYPERLINK("http://141.218.60.56/~jnz1568/getInfo.php?workbook=06_02.xlsx&amp;sheet=U0&amp;row=1048&amp;col=7&amp;number=0.133&amp;sourceID=14","0.133")</f>
        <v>0.133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HYPERLINK("http://141.218.60.56/~jnz1568/getInfo.php?workbook=06_02.xlsx&amp;sheet=U0&amp;row=1049&amp;col=6&amp;number=3.5&amp;sourceID=14","3.5")</f>
        <v>3.5</v>
      </c>
      <c r="G1049" s="4" t="str">
        <f>HYPERLINK("http://141.218.60.56/~jnz1568/getInfo.php?workbook=06_02.xlsx&amp;sheet=U0&amp;row=1049&amp;col=7&amp;number=0.134&amp;sourceID=14","0.134")</f>
        <v>0.134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HYPERLINK("http://141.218.60.56/~jnz1568/getInfo.php?workbook=06_02.xlsx&amp;sheet=U0&amp;row=1050&amp;col=6&amp;number=3.6&amp;sourceID=14","3.6")</f>
        <v>3.6</v>
      </c>
      <c r="G1050" s="4" t="str">
        <f>HYPERLINK("http://141.218.60.56/~jnz1568/getInfo.php?workbook=06_02.xlsx&amp;sheet=U0&amp;row=1050&amp;col=7&amp;number=0.134&amp;sourceID=14","0.134")</f>
        <v>0.134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HYPERLINK("http://141.218.60.56/~jnz1568/getInfo.php?workbook=06_02.xlsx&amp;sheet=U0&amp;row=1051&amp;col=6&amp;number=3.7&amp;sourceID=14","3.7")</f>
        <v>3.7</v>
      </c>
      <c r="G1051" s="4" t="str">
        <f>HYPERLINK("http://141.218.60.56/~jnz1568/getInfo.php?workbook=06_02.xlsx&amp;sheet=U0&amp;row=1051&amp;col=7&amp;number=0.134&amp;sourceID=14","0.134")</f>
        <v>0.134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HYPERLINK("http://141.218.60.56/~jnz1568/getInfo.php?workbook=06_02.xlsx&amp;sheet=U0&amp;row=1052&amp;col=6&amp;number=3.8&amp;sourceID=14","3.8")</f>
        <v>3.8</v>
      </c>
      <c r="G1052" s="4" t="str">
        <f>HYPERLINK("http://141.218.60.56/~jnz1568/getInfo.php?workbook=06_02.xlsx&amp;sheet=U0&amp;row=1052&amp;col=7&amp;number=0.134&amp;sourceID=14","0.134")</f>
        <v>0.134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HYPERLINK("http://141.218.60.56/~jnz1568/getInfo.php?workbook=06_02.xlsx&amp;sheet=U0&amp;row=1053&amp;col=6&amp;number=3.9&amp;sourceID=14","3.9")</f>
        <v>3.9</v>
      </c>
      <c r="G1053" s="4" t="str">
        <f>HYPERLINK("http://141.218.60.56/~jnz1568/getInfo.php?workbook=06_02.xlsx&amp;sheet=U0&amp;row=1053&amp;col=7&amp;number=0.135&amp;sourceID=14","0.135")</f>
        <v>0.135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HYPERLINK("http://141.218.60.56/~jnz1568/getInfo.php?workbook=06_02.xlsx&amp;sheet=U0&amp;row=1054&amp;col=6&amp;number=4&amp;sourceID=14","4")</f>
        <v>4</v>
      </c>
      <c r="G1054" s="4" t="str">
        <f>HYPERLINK("http://141.218.60.56/~jnz1568/getInfo.php?workbook=06_02.xlsx&amp;sheet=U0&amp;row=1054&amp;col=7&amp;number=0.135&amp;sourceID=14","0.135")</f>
        <v>0.135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HYPERLINK("http://141.218.60.56/~jnz1568/getInfo.php?workbook=06_02.xlsx&amp;sheet=U0&amp;row=1055&amp;col=6&amp;number=4.1&amp;sourceID=14","4.1")</f>
        <v>4.1</v>
      </c>
      <c r="G1055" s="4" t="str">
        <f>HYPERLINK("http://141.218.60.56/~jnz1568/getInfo.php?workbook=06_02.xlsx&amp;sheet=U0&amp;row=1055&amp;col=7&amp;number=0.136&amp;sourceID=14","0.136")</f>
        <v>0.136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HYPERLINK("http://141.218.60.56/~jnz1568/getInfo.php?workbook=06_02.xlsx&amp;sheet=U0&amp;row=1056&amp;col=6&amp;number=4.2&amp;sourceID=14","4.2")</f>
        <v>4.2</v>
      </c>
      <c r="G1056" s="4" t="str">
        <f>HYPERLINK("http://141.218.60.56/~jnz1568/getInfo.php?workbook=06_02.xlsx&amp;sheet=U0&amp;row=1056&amp;col=7&amp;number=0.136&amp;sourceID=14","0.136")</f>
        <v>0.136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HYPERLINK("http://141.218.60.56/~jnz1568/getInfo.php?workbook=06_02.xlsx&amp;sheet=U0&amp;row=1057&amp;col=6&amp;number=4.3&amp;sourceID=14","4.3")</f>
        <v>4.3</v>
      </c>
      <c r="G1057" s="4" t="str">
        <f>HYPERLINK("http://141.218.60.56/~jnz1568/getInfo.php?workbook=06_02.xlsx&amp;sheet=U0&amp;row=1057&amp;col=7&amp;number=0.137&amp;sourceID=14","0.137")</f>
        <v>0.137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HYPERLINK("http://141.218.60.56/~jnz1568/getInfo.php?workbook=06_02.xlsx&amp;sheet=U0&amp;row=1058&amp;col=6&amp;number=4.4&amp;sourceID=14","4.4")</f>
        <v>4.4</v>
      </c>
      <c r="G1058" s="4" t="str">
        <f>HYPERLINK("http://141.218.60.56/~jnz1568/getInfo.php?workbook=06_02.xlsx&amp;sheet=U0&amp;row=1058&amp;col=7&amp;number=0.138&amp;sourceID=14","0.138")</f>
        <v>0.138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HYPERLINK("http://141.218.60.56/~jnz1568/getInfo.php?workbook=06_02.xlsx&amp;sheet=U0&amp;row=1059&amp;col=6&amp;number=4.5&amp;sourceID=14","4.5")</f>
        <v>4.5</v>
      </c>
      <c r="G1059" s="4" t="str">
        <f>HYPERLINK("http://141.218.60.56/~jnz1568/getInfo.php?workbook=06_02.xlsx&amp;sheet=U0&amp;row=1059&amp;col=7&amp;number=0.14&amp;sourceID=14","0.14")</f>
        <v>0.14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HYPERLINK("http://141.218.60.56/~jnz1568/getInfo.php?workbook=06_02.xlsx&amp;sheet=U0&amp;row=1060&amp;col=6&amp;number=4.6&amp;sourceID=14","4.6")</f>
        <v>4.6</v>
      </c>
      <c r="G1060" s="4" t="str">
        <f>HYPERLINK("http://141.218.60.56/~jnz1568/getInfo.php?workbook=06_02.xlsx&amp;sheet=U0&amp;row=1060&amp;col=7&amp;number=0.142&amp;sourceID=14","0.142")</f>
        <v>0.142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HYPERLINK("http://141.218.60.56/~jnz1568/getInfo.php?workbook=06_02.xlsx&amp;sheet=U0&amp;row=1061&amp;col=6&amp;number=4.7&amp;sourceID=14","4.7")</f>
        <v>4.7</v>
      </c>
      <c r="G1061" s="4" t="str">
        <f>HYPERLINK("http://141.218.60.56/~jnz1568/getInfo.php?workbook=06_02.xlsx&amp;sheet=U0&amp;row=1061&amp;col=7&amp;number=0.144&amp;sourceID=14","0.144")</f>
        <v>0.144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HYPERLINK("http://141.218.60.56/~jnz1568/getInfo.php?workbook=06_02.xlsx&amp;sheet=U0&amp;row=1062&amp;col=6&amp;number=4.8&amp;sourceID=14","4.8")</f>
        <v>4.8</v>
      </c>
      <c r="G1062" s="4" t="str">
        <f>HYPERLINK("http://141.218.60.56/~jnz1568/getInfo.php?workbook=06_02.xlsx&amp;sheet=U0&amp;row=1062&amp;col=7&amp;number=0.147&amp;sourceID=14","0.147")</f>
        <v>0.147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HYPERLINK("http://141.218.60.56/~jnz1568/getInfo.php?workbook=06_02.xlsx&amp;sheet=U0&amp;row=1063&amp;col=6&amp;number=4.9&amp;sourceID=14","4.9")</f>
        <v>4.9</v>
      </c>
      <c r="G1063" s="4" t="str">
        <f>HYPERLINK("http://141.218.60.56/~jnz1568/getInfo.php?workbook=06_02.xlsx&amp;sheet=U0&amp;row=1063&amp;col=7&amp;number=0.15&amp;sourceID=14","0.15")</f>
        <v>0.15</v>
      </c>
    </row>
    <row r="1064" spans="1:7">
      <c r="A1064" s="3">
        <v>6</v>
      </c>
      <c r="B1064" s="3">
        <v>2</v>
      </c>
      <c r="C1064" s="3">
        <v>2</v>
      </c>
      <c r="D1064" s="3">
        <v>13</v>
      </c>
      <c r="E1064" s="3">
        <v>1</v>
      </c>
      <c r="F1064" s="4" t="str">
        <f>HYPERLINK("http://141.218.60.56/~jnz1568/getInfo.php?workbook=06_02.xlsx&amp;sheet=U0&amp;row=1064&amp;col=6&amp;number=3&amp;sourceID=14","3")</f>
        <v>3</v>
      </c>
      <c r="G1064" s="4" t="str">
        <f>HYPERLINK("http://141.218.60.56/~jnz1568/getInfo.php?workbook=06_02.xlsx&amp;sheet=U0&amp;row=1064&amp;col=7&amp;number=0.0278&amp;sourceID=14","0.0278")</f>
        <v>0.0278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HYPERLINK("http://141.218.60.56/~jnz1568/getInfo.php?workbook=06_02.xlsx&amp;sheet=U0&amp;row=1065&amp;col=6&amp;number=3.1&amp;sourceID=14","3.1")</f>
        <v>3.1</v>
      </c>
      <c r="G1065" s="4" t="str">
        <f>HYPERLINK("http://141.218.60.56/~jnz1568/getInfo.php?workbook=06_02.xlsx&amp;sheet=U0&amp;row=1065&amp;col=7&amp;number=0.0278&amp;sourceID=14","0.0278")</f>
        <v>0.0278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HYPERLINK("http://141.218.60.56/~jnz1568/getInfo.php?workbook=06_02.xlsx&amp;sheet=U0&amp;row=1066&amp;col=6&amp;number=3.2&amp;sourceID=14","3.2")</f>
        <v>3.2</v>
      </c>
      <c r="G1066" s="4" t="str">
        <f>HYPERLINK("http://141.218.60.56/~jnz1568/getInfo.php?workbook=06_02.xlsx&amp;sheet=U0&amp;row=1066&amp;col=7&amp;number=0.0278&amp;sourceID=14","0.0278")</f>
        <v>0.0278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HYPERLINK("http://141.218.60.56/~jnz1568/getInfo.php?workbook=06_02.xlsx&amp;sheet=U0&amp;row=1067&amp;col=6&amp;number=3.3&amp;sourceID=14","3.3")</f>
        <v>3.3</v>
      </c>
      <c r="G1067" s="4" t="str">
        <f>HYPERLINK("http://141.218.60.56/~jnz1568/getInfo.php?workbook=06_02.xlsx&amp;sheet=U0&amp;row=1067&amp;col=7&amp;number=0.0278&amp;sourceID=14","0.0278")</f>
        <v>0.0278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HYPERLINK("http://141.218.60.56/~jnz1568/getInfo.php?workbook=06_02.xlsx&amp;sheet=U0&amp;row=1068&amp;col=6&amp;number=3.4&amp;sourceID=14","3.4")</f>
        <v>3.4</v>
      </c>
      <c r="G1068" s="4" t="str">
        <f>HYPERLINK("http://141.218.60.56/~jnz1568/getInfo.php?workbook=06_02.xlsx&amp;sheet=U0&amp;row=1068&amp;col=7&amp;number=0.0277&amp;sourceID=14","0.0277")</f>
        <v>0.0277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HYPERLINK("http://141.218.60.56/~jnz1568/getInfo.php?workbook=06_02.xlsx&amp;sheet=U0&amp;row=1069&amp;col=6&amp;number=3.5&amp;sourceID=14","3.5")</f>
        <v>3.5</v>
      </c>
      <c r="G1069" s="4" t="str">
        <f>HYPERLINK("http://141.218.60.56/~jnz1568/getInfo.php?workbook=06_02.xlsx&amp;sheet=U0&amp;row=1069&amp;col=7&amp;number=0.0277&amp;sourceID=14","0.0277")</f>
        <v>0.0277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HYPERLINK("http://141.218.60.56/~jnz1568/getInfo.php?workbook=06_02.xlsx&amp;sheet=U0&amp;row=1070&amp;col=6&amp;number=3.6&amp;sourceID=14","3.6")</f>
        <v>3.6</v>
      </c>
      <c r="G1070" s="4" t="str">
        <f>HYPERLINK("http://141.218.60.56/~jnz1568/getInfo.php?workbook=06_02.xlsx&amp;sheet=U0&amp;row=1070&amp;col=7&amp;number=0.0277&amp;sourceID=14","0.0277")</f>
        <v>0.0277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HYPERLINK("http://141.218.60.56/~jnz1568/getInfo.php?workbook=06_02.xlsx&amp;sheet=U0&amp;row=1071&amp;col=6&amp;number=3.7&amp;sourceID=14","3.7")</f>
        <v>3.7</v>
      </c>
      <c r="G1071" s="4" t="str">
        <f>HYPERLINK("http://141.218.60.56/~jnz1568/getInfo.php?workbook=06_02.xlsx&amp;sheet=U0&amp;row=1071&amp;col=7&amp;number=0.0277&amp;sourceID=14","0.0277")</f>
        <v>0.0277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HYPERLINK("http://141.218.60.56/~jnz1568/getInfo.php?workbook=06_02.xlsx&amp;sheet=U0&amp;row=1072&amp;col=6&amp;number=3.8&amp;sourceID=14","3.8")</f>
        <v>3.8</v>
      </c>
      <c r="G1072" s="4" t="str">
        <f>HYPERLINK("http://141.218.60.56/~jnz1568/getInfo.php?workbook=06_02.xlsx&amp;sheet=U0&amp;row=1072&amp;col=7&amp;number=0.0276&amp;sourceID=14","0.0276")</f>
        <v>0.0276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HYPERLINK("http://141.218.60.56/~jnz1568/getInfo.php?workbook=06_02.xlsx&amp;sheet=U0&amp;row=1073&amp;col=6&amp;number=3.9&amp;sourceID=14","3.9")</f>
        <v>3.9</v>
      </c>
      <c r="G1073" s="4" t="str">
        <f>HYPERLINK("http://141.218.60.56/~jnz1568/getInfo.php?workbook=06_02.xlsx&amp;sheet=U0&amp;row=1073&amp;col=7&amp;number=0.0276&amp;sourceID=14","0.0276")</f>
        <v>0.0276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HYPERLINK("http://141.218.60.56/~jnz1568/getInfo.php?workbook=06_02.xlsx&amp;sheet=U0&amp;row=1074&amp;col=6&amp;number=4&amp;sourceID=14","4")</f>
        <v>4</v>
      </c>
      <c r="G1074" s="4" t="str">
        <f>HYPERLINK("http://141.218.60.56/~jnz1568/getInfo.php?workbook=06_02.xlsx&amp;sheet=U0&amp;row=1074&amp;col=7&amp;number=0.0275&amp;sourceID=14","0.0275")</f>
        <v>0.0275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HYPERLINK("http://141.218.60.56/~jnz1568/getInfo.php?workbook=06_02.xlsx&amp;sheet=U0&amp;row=1075&amp;col=6&amp;number=4.1&amp;sourceID=14","4.1")</f>
        <v>4.1</v>
      </c>
      <c r="G1075" s="4" t="str">
        <f>HYPERLINK("http://141.218.60.56/~jnz1568/getInfo.php?workbook=06_02.xlsx&amp;sheet=U0&amp;row=1075&amp;col=7&amp;number=0.0274&amp;sourceID=14","0.0274")</f>
        <v>0.0274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HYPERLINK("http://141.218.60.56/~jnz1568/getInfo.php?workbook=06_02.xlsx&amp;sheet=U0&amp;row=1076&amp;col=6&amp;number=4.2&amp;sourceID=14","4.2")</f>
        <v>4.2</v>
      </c>
      <c r="G1076" s="4" t="str">
        <f>HYPERLINK("http://141.218.60.56/~jnz1568/getInfo.php?workbook=06_02.xlsx&amp;sheet=U0&amp;row=1076&amp;col=7&amp;number=0.0273&amp;sourceID=14","0.0273")</f>
        <v>0.0273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HYPERLINK("http://141.218.60.56/~jnz1568/getInfo.php?workbook=06_02.xlsx&amp;sheet=U0&amp;row=1077&amp;col=6&amp;number=4.3&amp;sourceID=14","4.3")</f>
        <v>4.3</v>
      </c>
      <c r="G1077" s="4" t="str">
        <f>HYPERLINK("http://141.218.60.56/~jnz1568/getInfo.php?workbook=06_02.xlsx&amp;sheet=U0&amp;row=1077&amp;col=7&amp;number=0.0271&amp;sourceID=14","0.0271")</f>
        <v>0.0271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HYPERLINK("http://141.218.60.56/~jnz1568/getInfo.php?workbook=06_02.xlsx&amp;sheet=U0&amp;row=1078&amp;col=6&amp;number=4.4&amp;sourceID=14","4.4")</f>
        <v>4.4</v>
      </c>
      <c r="G1078" s="4" t="str">
        <f>HYPERLINK("http://141.218.60.56/~jnz1568/getInfo.php?workbook=06_02.xlsx&amp;sheet=U0&amp;row=1078&amp;col=7&amp;number=0.0269&amp;sourceID=14","0.0269")</f>
        <v>0.0269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HYPERLINK("http://141.218.60.56/~jnz1568/getInfo.php?workbook=06_02.xlsx&amp;sheet=U0&amp;row=1079&amp;col=6&amp;number=4.5&amp;sourceID=14","4.5")</f>
        <v>4.5</v>
      </c>
      <c r="G1079" s="4" t="str">
        <f>HYPERLINK("http://141.218.60.56/~jnz1568/getInfo.php?workbook=06_02.xlsx&amp;sheet=U0&amp;row=1079&amp;col=7&amp;number=0.0267&amp;sourceID=14","0.0267")</f>
        <v>0.0267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HYPERLINK("http://141.218.60.56/~jnz1568/getInfo.php?workbook=06_02.xlsx&amp;sheet=U0&amp;row=1080&amp;col=6&amp;number=4.6&amp;sourceID=14","4.6")</f>
        <v>4.6</v>
      </c>
      <c r="G1080" s="4" t="str">
        <f>HYPERLINK("http://141.218.60.56/~jnz1568/getInfo.php?workbook=06_02.xlsx&amp;sheet=U0&amp;row=1080&amp;col=7&amp;number=0.0265&amp;sourceID=14","0.0265")</f>
        <v>0.0265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HYPERLINK("http://141.218.60.56/~jnz1568/getInfo.php?workbook=06_02.xlsx&amp;sheet=U0&amp;row=1081&amp;col=6&amp;number=4.7&amp;sourceID=14","4.7")</f>
        <v>4.7</v>
      </c>
      <c r="G1081" s="4" t="str">
        <f>HYPERLINK("http://141.218.60.56/~jnz1568/getInfo.php?workbook=06_02.xlsx&amp;sheet=U0&amp;row=1081&amp;col=7&amp;number=0.0261&amp;sourceID=14","0.0261")</f>
        <v>0.0261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HYPERLINK("http://141.218.60.56/~jnz1568/getInfo.php?workbook=06_02.xlsx&amp;sheet=U0&amp;row=1082&amp;col=6&amp;number=4.8&amp;sourceID=14","4.8")</f>
        <v>4.8</v>
      </c>
      <c r="G1082" s="4" t="str">
        <f>HYPERLINK("http://141.218.60.56/~jnz1568/getInfo.php?workbook=06_02.xlsx&amp;sheet=U0&amp;row=1082&amp;col=7&amp;number=0.0257&amp;sourceID=14","0.0257")</f>
        <v>0.0257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HYPERLINK("http://141.218.60.56/~jnz1568/getInfo.php?workbook=06_02.xlsx&amp;sheet=U0&amp;row=1083&amp;col=6&amp;number=4.9&amp;sourceID=14","4.9")</f>
        <v>4.9</v>
      </c>
      <c r="G1083" s="4" t="str">
        <f>HYPERLINK("http://141.218.60.56/~jnz1568/getInfo.php?workbook=06_02.xlsx&amp;sheet=U0&amp;row=1083&amp;col=7&amp;number=0.0252&amp;sourceID=14","0.0252")</f>
        <v>0.0252</v>
      </c>
    </row>
    <row r="1084" spans="1:7">
      <c r="A1084" s="3">
        <v>6</v>
      </c>
      <c r="B1084" s="3">
        <v>2</v>
      </c>
      <c r="C1084" s="3">
        <v>2</v>
      </c>
      <c r="D1084" s="3">
        <v>14</v>
      </c>
      <c r="E1084" s="3">
        <v>1</v>
      </c>
      <c r="F1084" s="4" t="str">
        <f>HYPERLINK("http://141.218.60.56/~jnz1568/getInfo.php?workbook=06_02.xlsx&amp;sheet=U0&amp;row=1084&amp;col=6&amp;number=3&amp;sourceID=14","3")</f>
        <v>3</v>
      </c>
      <c r="G1084" s="4" t="str">
        <f>HYPERLINK("http://141.218.60.56/~jnz1568/getInfo.php?workbook=06_02.xlsx&amp;sheet=U0&amp;row=1084&amp;col=7&amp;number=0.114&amp;sourceID=14","0.114")</f>
        <v>0.114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HYPERLINK("http://141.218.60.56/~jnz1568/getInfo.php?workbook=06_02.xlsx&amp;sheet=U0&amp;row=1085&amp;col=6&amp;number=3.1&amp;sourceID=14","3.1")</f>
        <v>3.1</v>
      </c>
      <c r="G1085" s="4" t="str">
        <f>HYPERLINK("http://141.218.60.56/~jnz1568/getInfo.php?workbook=06_02.xlsx&amp;sheet=U0&amp;row=1085&amp;col=7&amp;number=0.114&amp;sourceID=14","0.114")</f>
        <v>0.114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HYPERLINK("http://141.218.60.56/~jnz1568/getInfo.php?workbook=06_02.xlsx&amp;sheet=U0&amp;row=1086&amp;col=6&amp;number=3.2&amp;sourceID=14","3.2")</f>
        <v>3.2</v>
      </c>
      <c r="G1086" s="4" t="str">
        <f>HYPERLINK("http://141.218.60.56/~jnz1568/getInfo.php?workbook=06_02.xlsx&amp;sheet=U0&amp;row=1086&amp;col=7&amp;number=0.114&amp;sourceID=14","0.114")</f>
        <v>0.114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HYPERLINK("http://141.218.60.56/~jnz1568/getInfo.php?workbook=06_02.xlsx&amp;sheet=U0&amp;row=1087&amp;col=6&amp;number=3.3&amp;sourceID=14","3.3")</f>
        <v>3.3</v>
      </c>
      <c r="G1087" s="4" t="str">
        <f>HYPERLINK("http://141.218.60.56/~jnz1568/getInfo.php?workbook=06_02.xlsx&amp;sheet=U0&amp;row=1087&amp;col=7&amp;number=0.115&amp;sourceID=14","0.115")</f>
        <v>0.115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HYPERLINK("http://141.218.60.56/~jnz1568/getInfo.php?workbook=06_02.xlsx&amp;sheet=U0&amp;row=1088&amp;col=6&amp;number=3.4&amp;sourceID=14","3.4")</f>
        <v>3.4</v>
      </c>
      <c r="G1088" s="4" t="str">
        <f>HYPERLINK("http://141.218.60.56/~jnz1568/getInfo.php?workbook=06_02.xlsx&amp;sheet=U0&amp;row=1088&amp;col=7&amp;number=0.115&amp;sourceID=14","0.115")</f>
        <v>0.115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HYPERLINK("http://141.218.60.56/~jnz1568/getInfo.php?workbook=06_02.xlsx&amp;sheet=U0&amp;row=1089&amp;col=6&amp;number=3.5&amp;sourceID=14","3.5")</f>
        <v>3.5</v>
      </c>
      <c r="G1089" s="4" t="str">
        <f>HYPERLINK("http://141.218.60.56/~jnz1568/getInfo.php?workbook=06_02.xlsx&amp;sheet=U0&amp;row=1089&amp;col=7&amp;number=0.115&amp;sourceID=14","0.115")</f>
        <v>0.115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HYPERLINK("http://141.218.60.56/~jnz1568/getInfo.php?workbook=06_02.xlsx&amp;sheet=U0&amp;row=1090&amp;col=6&amp;number=3.6&amp;sourceID=14","3.6")</f>
        <v>3.6</v>
      </c>
      <c r="G1090" s="4" t="str">
        <f>HYPERLINK("http://141.218.60.56/~jnz1568/getInfo.php?workbook=06_02.xlsx&amp;sheet=U0&amp;row=1090&amp;col=7&amp;number=0.115&amp;sourceID=14","0.115")</f>
        <v>0.115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HYPERLINK("http://141.218.60.56/~jnz1568/getInfo.php?workbook=06_02.xlsx&amp;sheet=U0&amp;row=1091&amp;col=6&amp;number=3.7&amp;sourceID=14","3.7")</f>
        <v>3.7</v>
      </c>
      <c r="G1091" s="4" t="str">
        <f>HYPERLINK("http://141.218.60.56/~jnz1568/getInfo.php?workbook=06_02.xlsx&amp;sheet=U0&amp;row=1091&amp;col=7&amp;number=0.115&amp;sourceID=14","0.115")</f>
        <v>0.115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HYPERLINK("http://141.218.60.56/~jnz1568/getInfo.php?workbook=06_02.xlsx&amp;sheet=U0&amp;row=1092&amp;col=6&amp;number=3.8&amp;sourceID=14","3.8")</f>
        <v>3.8</v>
      </c>
      <c r="G1092" s="4" t="str">
        <f>HYPERLINK("http://141.218.60.56/~jnz1568/getInfo.php?workbook=06_02.xlsx&amp;sheet=U0&amp;row=1092&amp;col=7&amp;number=0.115&amp;sourceID=14","0.115")</f>
        <v>0.115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HYPERLINK("http://141.218.60.56/~jnz1568/getInfo.php?workbook=06_02.xlsx&amp;sheet=U0&amp;row=1093&amp;col=6&amp;number=3.9&amp;sourceID=14","3.9")</f>
        <v>3.9</v>
      </c>
      <c r="G1093" s="4" t="str">
        <f>HYPERLINK("http://141.218.60.56/~jnz1568/getInfo.php?workbook=06_02.xlsx&amp;sheet=U0&amp;row=1093&amp;col=7&amp;number=0.115&amp;sourceID=14","0.115")</f>
        <v>0.115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HYPERLINK("http://141.218.60.56/~jnz1568/getInfo.php?workbook=06_02.xlsx&amp;sheet=U0&amp;row=1094&amp;col=6&amp;number=4&amp;sourceID=14","4")</f>
        <v>4</v>
      </c>
      <c r="G1094" s="4" t="str">
        <f>HYPERLINK("http://141.218.60.56/~jnz1568/getInfo.php?workbook=06_02.xlsx&amp;sheet=U0&amp;row=1094&amp;col=7&amp;number=0.115&amp;sourceID=14","0.115")</f>
        <v>0.115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HYPERLINK("http://141.218.60.56/~jnz1568/getInfo.php?workbook=06_02.xlsx&amp;sheet=U0&amp;row=1095&amp;col=6&amp;number=4.1&amp;sourceID=14","4.1")</f>
        <v>4.1</v>
      </c>
      <c r="G1095" s="4" t="str">
        <f>HYPERLINK("http://141.218.60.56/~jnz1568/getInfo.php?workbook=06_02.xlsx&amp;sheet=U0&amp;row=1095&amp;col=7&amp;number=0.115&amp;sourceID=14","0.115")</f>
        <v>0.115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HYPERLINK("http://141.218.60.56/~jnz1568/getInfo.php?workbook=06_02.xlsx&amp;sheet=U0&amp;row=1096&amp;col=6&amp;number=4.2&amp;sourceID=14","4.2")</f>
        <v>4.2</v>
      </c>
      <c r="G1096" s="4" t="str">
        <f>HYPERLINK("http://141.218.60.56/~jnz1568/getInfo.php?workbook=06_02.xlsx&amp;sheet=U0&amp;row=1096&amp;col=7&amp;number=0.115&amp;sourceID=14","0.115")</f>
        <v>0.115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HYPERLINK("http://141.218.60.56/~jnz1568/getInfo.php?workbook=06_02.xlsx&amp;sheet=U0&amp;row=1097&amp;col=6&amp;number=4.3&amp;sourceID=14","4.3")</f>
        <v>4.3</v>
      </c>
      <c r="G1097" s="4" t="str">
        <f>HYPERLINK("http://141.218.60.56/~jnz1568/getInfo.php?workbook=06_02.xlsx&amp;sheet=U0&amp;row=1097&amp;col=7&amp;number=0.115&amp;sourceID=14","0.115")</f>
        <v>0.115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HYPERLINK("http://141.218.60.56/~jnz1568/getInfo.php?workbook=06_02.xlsx&amp;sheet=U0&amp;row=1098&amp;col=6&amp;number=4.4&amp;sourceID=14","4.4")</f>
        <v>4.4</v>
      </c>
      <c r="G1098" s="4" t="str">
        <f>HYPERLINK("http://141.218.60.56/~jnz1568/getInfo.php?workbook=06_02.xlsx&amp;sheet=U0&amp;row=1098&amp;col=7&amp;number=0.116&amp;sourceID=14","0.116")</f>
        <v>0.116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HYPERLINK("http://141.218.60.56/~jnz1568/getInfo.php?workbook=06_02.xlsx&amp;sheet=U0&amp;row=1099&amp;col=6&amp;number=4.5&amp;sourceID=14","4.5")</f>
        <v>4.5</v>
      </c>
      <c r="G1099" s="4" t="str">
        <f>HYPERLINK("http://141.218.60.56/~jnz1568/getInfo.php?workbook=06_02.xlsx&amp;sheet=U0&amp;row=1099&amp;col=7&amp;number=0.116&amp;sourceID=14","0.116")</f>
        <v>0.116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HYPERLINK("http://141.218.60.56/~jnz1568/getInfo.php?workbook=06_02.xlsx&amp;sheet=U0&amp;row=1100&amp;col=6&amp;number=4.6&amp;sourceID=14","4.6")</f>
        <v>4.6</v>
      </c>
      <c r="G1100" s="4" t="str">
        <f>HYPERLINK("http://141.218.60.56/~jnz1568/getInfo.php?workbook=06_02.xlsx&amp;sheet=U0&amp;row=1100&amp;col=7&amp;number=0.116&amp;sourceID=14","0.116")</f>
        <v>0.116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HYPERLINK("http://141.218.60.56/~jnz1568/getInfo.php?workbook=06_02.xlsx&amp;sheet=U0&amp;row=1101&amp;col=6&amp;number=4.7&amp;sourceID=14","4.7")</f>
        <v>4.7</v>
      </c>
      <c r="G1101" s="4" t="str">
        <f>HYPERLINK("http://141.218.60.56/~jnz1568/getInfo.php?workbook=06_02.xlsx&amp;sheet=U0&amp;row=1101&amp;col=7&amp;number=0.117&amp;sourceID=14","0.117")</f>
        <v>0.117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HYPERLINK("http://141.218.60.56/~jnz1568/getInfo.php?workbook=06_02.xlsx&amp;sheet=U0&amp;row=1102&amp;col=6&amp;number=4.8&amp;sourceID=14","4.8")</f>
        <v>4.8</v>
      </c>
      <c r="G1102" s="4" t="str">
        <f>HYPERLINK("http://141.218.60.56/~jnz1568/getInfo.php?workbook=06_02.xlsx&amp;sheet=U0&amp;row=1102&amp;col=7&amp;number=0.118&amp;sourceID=14","0.118")</f>
        <v>0.118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HYPERLINK("http://141.218.60.56/~jnz1568/getInfo.php?workbook=06_02.xlsx&amp;sheet=U0&amp;row=1103&amp;col=6&amp;number=4.9&amp;sourceID=14","4.9")</f>
        <v>4.9</v>
      </c>
      <c r="G1103" s="4" t="str">
        <f>HYPERLINK("http://141.218.60.56/~jnz1568/getInfo.php?workbook=06_02.xlsx&amp;sheet=U0&amp;row=1103&amp;col=7&amp;number=0.118&amp;sourceID=14","0.118")</f>
        <v>0.118</v>
      </c>
    </row>
    <row r="1104" spans="1:7">
      <c r="A1104" s="3">
        <v>6</v>
      </c>
      <c r="B1104" s="3">
        <v>2</v>
      </c>
      <c r="C1104" s="3">
        <v>2</v>
      </c>
      <c r="D1104" s="3">
        <v>15</v>
      </c>
      <c r="E1104" s="3">
        <v>1</v>
      </c>
      <c r="F1104" s="4" t="str">
        <f>HYPERLINK("http://141.218.60.56/~jnz1568/getInfo.php?workbook=06_02.xlsx&amp;sheet=U0&amp;row=1104&amp;col=6&amp;number=3&amp;sourceID=14","3")</f>
        <v>3</v>
      </c>
      <c r="G1104" s="4" t="str">
        <f>HYPERLINK("http://141.218.60.56/~jnz1568/getInfo.php?workbook=06_02.xlsx&amp;sheet=U0&amp;row=1104&amp;col=7&amp;number=0.267&amp;sourceID=14","0.267")</f>
        <v>0.267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HYPERLINK("http://141.218.60.56/~jnz1568/getInfo.php?workbook=06_02.xlsx&amp;sheet=U0&amp;row=1105&amp;col=6&amp;number=3.1&amp;sourceID=14","3.1")</f>
        <v>3.1</v>
      </c>
      <c r="G1105" s="4" t="str">
        <f>HYPERLINK("http://141.218.60.56/~jnz1568/getInfo.php?workbook=06_02.xlsx&amp;sheet=U0&amp;row=1105&amp;col=7&amp;number=0.267&amp;sourceID=14","0.267")</f>
        <v>0.267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HYPERLINK("http://141.218.60.56/~jnz1568/getInfo.php?workbook=06_02.xlsx&amp;sheet=U0&amp;row=1106&amp;col=6&amp;number=3.2&amp;sourceID=14","3.2")</f>
        <v>3.2</v>
      </c>
      <c r="G1106" s="4" t="str">
        <f>HYPERLINK("http://141.218.60.56/~jnz1568/getInfo.php?workbook=06_02.xlsx&amp;sheet=U0&amp;row=1106&amp;col=7&amp;number=0.267&amp;sourceID=14","0.267")</f>
        <v>0.267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HYPERLINK("http://141.218.60.56/~jnz1568/getInfo.php?workbook=06_02.xlsx&amp;sheet=U0&amp;row=1107&amp;col=6&amp;number=3.3&amp;sourceID=14","3.3")</f>
        <v>3.3</v>
      </c>
      <c r="G1107" s="4" t="str">
        <f>HYPERLINK("http://141.218.60.56/~jnz1568/getInfo.php?workbook=06_02.xlsx&amp;sheet=U0&amp;row=1107&amp;col=7&amp;number=0.267&amp;sourceID=14","0.267")</f>
        <v>0.267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HYPERLINK("http://141.218.60.56/~jnz1568/getInfo.php?workbook=06_02.xlsx&amp;sheet=U0&amp;row=1108&amp;col=6&amp;number=3.4&amp;sourceID=14","3.4")</f>
        <v>3.4</v>
      </c>
      <c r="G1108" s="4" t="str">
        <f>HYPERLINK("http://141.218.60.56/~jnz1568/getInfo.php?workbook=06_02.xlsx&amp;sheet=U0&amp;row=1108&amp;col=7&amp;number=0.267&amp;sourceID=14","0.267")</f>
        <v>0.267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HYPERLINK("http://141.218.60.56/~jnz1568/getInfo.php?workbook=06_02.xlsx&amp;sheet=U0&amp;row=1109&amp;col=6&amp;number=3.5&amp;sourceID=14","3.5")</f>
        <v>3.5</v>
      </c>
      <c r="G1109" s="4" t="str">
        <f>HYPERLINK("http://141.218.60.56/~jnz1568/getInfo.php?workbook=06_02.xlsx&amp;sheet=U0&amp;row=1109&amp;col=7&amp;number=0.267&amp;sourceID=14","0.267")</f>
        <v>0.267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HYPERLINK("http://141.218.60.56/~jnz1568/getInfo.php?workbook=06_02.xlsx&amp;sheet=U0&amp;row=1110&amp;col=6&amp;number=3.6&amp;sourceID=14","3.6")</f>
        <v>3.6</v>
      </c>
      <c r="G1110" s="4" t="str">
        <f>HYPERLINK("http://141.218.60.56/~jnz1568/getInfo.php?workbook=06_02.xlsx&amp;sheet=U0&amp;row=1110&amp;col=7&amp;number=0.267&amp;sourceID=14","0.267")</f>
        <v>0.267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HYPERLINK("http://141.218.60.56/~jnz1568/getInfo.php?workbook=06_02.xlsx&amp;sheet=U0&amp;row=1111&amp;col=6&amp;number=3.7&amp;sourceID=14","3.7")</f>
        <v>3.7</v>
      </c>
      <c r="G1111" s="4" t="str">
        <f>HYPERLINK("http://141.218.60.56/~jnz1568/getInfo.php?workbook=06_02.xlsx&amp;sheet=U0&amp;row=1111&amp;col=7&amp;number=0.267&amp;sourceID=14","0.267")</f>
        <v>0.267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HYPERLINK("http://141.218.60.56/~jnz1568/getInfo.php?workbook=06_02.xlsx&amp;sheet=U0&amp;row=1112&amp;col=6&amp;number=3.8&amp;sourceID=14","3.8")</f>
        <v>3.8</v>
      </c>
      <c r="G1112" s="4" t="str">
        <f>HYPERLINK("http://141.218.60.56/~jnz1568/getInfo.php?workbook=06_02.xlsx&amp;sheet=U0&amp;row=1112&amp;col=7&amp;number=0.267&amp;sourceID=14","0.267")</f>
        <v>0.267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HYPERLINK("http://141.218.60.56/~jnz1568/getInfo.php?workbook=06_02.xlsx&amp;sheet=U0&amp;row=1113&amp;col=6&amp;number=3.9&amp;sourceID=14","3.9")</f>
        <v>3.9</v>
      </c>
      <c r="G1113" s="4" t="str">
        <f>HYPERLINK("http://141.218.60.56/~jnz1568/getInfo.php?workbook=06_02.xlsx&amp;sheet=U0&amp;row=1113&amp;col=7&amp;number=0.268&amp;sourceID=14","0.268")</f>
        <v>0.268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HYPERLINK("http://141.218.60.56/~jnz1568/getInfo.php?workbook=06_02.xlsx&amp;sheet=U0&amp;row=1114&amp;col=6&amp;number=4&amp;sourceID=14","4")</f>
        <v>4</v>
      </c>
      <c r="G1114" s="4" t="str">
        <f>HYPERLINK("http://141.218.60.56/~jnz1568/getInfo.php?workbook=06_02.xlsx&amp;sheet=U0&amp;row=1114&amp;col=7&amp;number=0.268&amp;sourceID=14","0.268")</f>
        <v>0.268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HYPERLINK("http://141.218.60.56/~jnz1568/getInfo.php?workbook=06_02.xlsx&amp;sheet=U0&amp;row=1115&amp;col=6&amp;number=4.1&amp;sourceID=14","4.1")</f>
        <v>4.1</v>
      </c>
      <c r="G1115" s="4" t="str">
        <f>HYPERLINK("http://141.218.60.56/~jnz1568/getInfo.php?workbook=06_02.xlsx&amp;sheet=U0&amp;row=1115&amp;col=7&amp;number=0.268&amp;sourceID=14","0.268")</f>
        <v>0.268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HYPERLINK("http://141.218.60.56/~jnz1568/getInfo.php?workbook=06_02.xlsx&amp;sheet=U0&amp;row=1116&amp;col=6&amp;number=4.2&amp;sourceID=14","4.2")</f>
        <v>4.2</v>
      </c>
      <c r="G1116" s="4" t="str">
        <f>HYPERLINK("http://141.218.60.56/~jnz1568/getInfo.php?workbook=06_02.xlsx&amp;sheet=U0&amp;row=1116&amp;col=7&amp;number=0.269&amp;sourceID=14","0.269")</f>
        <v>0.269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HYPERLINK("http://141.218.60.56/~jnz1568/getInfo.php?workbook=06_02.xlsx&amp;sheet=U0&amp;row=1117&amp;col=6&amp;number=4.3&amp;sourceID=14","4.3")</f>
        <v>4.3</v>
      </c>
      <c r="G1117" s="4" t="str">
        <f>HYPERLINK("http://141.218.60.56/~jnz1568/getInfo.php?workbook=06_02.xlsx&amp;sheet=U0&amp;row=1117&amp;col=7&amp;number=0.269&amp;sourceID=14","0.269")</f>
        <v>0.269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HYPERLINK("http://141.218.60.56/~jnz1568/getInfo.php?workbook=06_02.xlsx&amp;sheet=U0&amp;row=1118&amp;col=6&amp;number=4.4&amp;sourceID=14","4.4")</f>
        <v>4.4</v>
      </c>
      <c r="G1118" s="4" t="str">
        <f>HYPERLINK("http://141.218.60.56/~jnz1568/getInfo.php?workbook=06_02.xlsx&amp;sheet=U0&amp;row=1118&amp;col=7&amp;number=0.27&amp;sourceID=14","0.27")</f>
        <v>0.27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HYPERLINK("http://141.218.60.56/~jnz1568/getInfo.php?workbook=06_02.xlsx&amp;sheet=U0&amp;row=1119&amp;col=6&amp;number=4.5&amp;sourceID=14","4.5")</f>
        <v>4.5</v>
      </c>
      <c r="G1119" s="4" t="str">
        <f>HYPERLINK("http://141.218.60.56/~jnz1568/getInfo.php?workbook=06_02.xlsx&amp;sheet=U0&amp;row=1119&amp;col=7&amp;number=0.271&amp;sourceID=14","0.271")</f>
        <v>0.271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HYPERLINK("http://141.218.60.56/~jnz1568/getInfo.php?workbook=06_02.xlsx&amp;sheet=U0&amp;row=1120&amp;col=6&amp;number=4.6&amp;sourceID=14","4.6")</f>
        <v>4.6</v>
      </c>
      <c r="G1120" s="4" t="str">
        <f>HYPERLINK("http://141.218.60.56/~jnz1568/getInfo.php?workbook=06_02.xlsx&amp;sheet=U0&amp;row=1120&amp;col=7&amp;number=0.272&amp;sourceID=14","0.272")</f>
        <v>0.272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HYPERLINK("http://141.218.60.56/~jnz1568/getInfo.php?workbook=06_02.xlsx&amp;sheet=U0&amp;row=1121&amp;col=6&amp;number=4.7&amp;sourceID=14","4.7")</f>
        <v>4.7</v>
      </c>
      <c r="G1121" s="4" t="str">
        <f>HYPERLINK("http://141.218.60.56/~jnz1568/getInfo.php?workbook=06_02.xlsx&amp;sheet=U0&amp;row=1121&amp;col=7&amp;number=0.273&amp;sourceID=14","0.273")</f>
        <v>0.273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HYPERLINK("http://141.218.60.56/~jnz1568/getInfo.php?workbook=06_02.xlsx&amp;sheet=U0&amp;row=1122&amp;col=6&amp;number=4.8&amp;sourceID=14","4.8")</f>
        <v>4.8</v>
      </c>
      <c r="G1122" s="4" t="str">
        <f>HYPERLINK("http://141.218.60.56/~jnz1568/getInfo.php?workbook=06_02.xlsx&amp;sheet=U0&amp;row=1122&amp;col=7&amp;number=0.274&amp;sourceID=14","0.274")</f>
        <v>0.274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HYPERLINK("http://141.218.60.56/~jnz1568/getInfo.php?workbook=06_02.xlsx&amp;sheet=U0&amp;row=1123&amp;col=6&amp;number=4.9&amp;sourceID=14","4.9")</f>
        <v>4.9</v>
      </c>
      <c r="G1123" s="4" t="str">
        <f>HYPERLINK("http://141.218.60.56/~jnz1568/getInfo.php?workbook=06_02.xlsx&amp;sheet=U0&amp;row=1123&amp;col=7&amp;number=0.276&amp;sourceID=14","0.276")</f>
        <v>0.276</v>
      </c>
    </row>
    <row r="1124" spans="1:7">
      <c r="A1124" s="3">
        <v>6</v>
      </c>
      <c r="B1124" s="3">
        <v>2</v>
      </c>
      <c r="C1124" s="3">
        <v>2</v>
      </c>
      <c r="D1124" s="3">
        <v>16</v>
      </c>
      <c r="E1124" s="3">
        <v>1</v>
      </c>
      <c r="F1124" s="4" t="str">
        <f>HYPERLINK("http://141.218.60.56/~jnz1568/getInfo.php?workbook=06_02.xlsx&amp;sheet=U0&amp;row=1124&amp;col=6&amp;number=3&amp;sourceID=14","3")</f>
        <v>3</v>
      </c>
      <c r="G1124" s="4" t="str">
        <f>HYPERLINK("http://141.218.60.56/~jnz1568/getInfo.php?workbook=06_02.xlsx&amp;sheet=U0&amp;row=1124&amp;col=7&amp;number=0.374&amp;sourceID=14","0.374")</f>
        <v>0.374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HYPERLINK("http://141.218.60.56/~jnz1568/getInfo.php?workbook=06_02.xlsx&amp;sheet=U0&amp;row=1125&amp;col=6&amp;number=3.1&amp;sourceID=14","3.1")</f>
        <v>3.1</v>
      </c>
      <c r="G1125" s="4" t="str">
        <f>HYPERLINK("http://141.218.60.56/~jnz1568/getInfo.php?workbook=06_02.xlsx&amp;sheet=U0&amp;row=1125&amp;col=7&amp;number=0.374&amp;sourceID=14","0.374")</f>
        <v>0.374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HYPERLINK("http://141.218.60.56/~jnz1568/getInfo.php?workbook=06_02.xlsx&amp;sheet=U0&amp;row=1126&amp;col=6&amp;number=3.2&amp;sourceID=14","3.2")</f>
        <v>3.2</v>
      </c>
      <c r="G1126" s="4" t="str">
        <f>HYPERLINK("http://141.218.60.56/~jnz1568/getInfo.php?workbook=06_02.xlsx&amp;sheet=U0&amp;row=1126&amp;col=7&amp;number=0.374&amp;sourceID=14","0.374")</f>
        <v>0.374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HYPERLINK("http://141.218.60.56/~jnz1568/getInfo.php?workbook=06_02.xlsx&amp;sheet=U0&amp;row=1127&amp;col=6&amp;number=3.3&amp;sourceID=14","3.3")</f>
        <v>3.3</v>
      </c>
      <c r="G1127" s="4" t="str">
        <f>HYPERLINK("http://141.218.60.56/~jnz1568/getInfo.php?workbook=06_02.xlsx&amp;sheet=U0&amp;row=1127&amp;col=7&amp;number=0.374&amp;sourceID=14","0.374")</f>
        <v>0.374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HYPERLINK("http://141.218.60.56/~jnz1568/getInfo.php?workbook=06_02.xlsx&amp;sheet=U0&amp;row=1128&amp;col=6&amp;number=3.4&amp;sourceID=14","3.4")</f>
        <v>3.4</v>
      </c>
      <c r="G1128" s="4" t="str">
        <f>HYPERLINK("http://141.218.60.56/~jnz1568/getInfo.php?workbook=06_02.xlsx&amp;sheet=U0&amp;row=1128&amp;col=7&amp;number=0.374&amp;sourceID=14","0.374")</f>
        <v>0.374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HYPERLINK("http://141.218.60.56/~jnz1568/getInfo.php?workbook=06_02.xlsx&amp;sheet=U0&amp;row=1129&amp;col=6&amp;number=3.5&amp;sourceID=14","3.5")</f>
        <v>3.5</v>
      </c>
      <c r="G1129" s="4" t="str">
        <f>HYPERLINK("http://141.218.60.56/~jnz1568/getInfo.php?workbook=06_02.xlsx&amp;sheet=U0&amp;row=1129&amp;col=7&amp;number=0.374&amp;sourceID=14","0.374")</f>
        <v>0.374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HYPERLINK("http://141.218.60.56/~jnz1568/getInfo.php?workbook=06_02.xlsx&amp;sheet=U0&amp;row=1130&amp;col=6&amp;number=3.6&amp;sourceID=14","3.6")</f>
        <v>3.6</v>
      </c>
      <c r="G1130" s="4" t="str">
        <f>HYPERLINK("http://141.218.60.56/~jnz1568/getInfo.php?workbook=06_02.xlsx&amp;sheet=U0&amp;row=1130&amp;col=7&amp;number=0.374&amp;sourceID=14","0.374")</f>
        <v>0.374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HYPERLINK("http://141.218.60.56/~jnz1568/getInfo.php?workbook=06_02.xlsx&amp;sheet=U0&amp;row=1131&amp;col=6&amp;number=3.7&amp;sourceID=14","3.7")</f>
        <v>3.7</v>
      </c>
      <c r="G1131" s="4" t="str">
        <f>HYPERLINK("http://141.218.60.56/~jnz1568/getInfo.php?workbook=06_02.xlsx&amp;sheet=U0&amp;row=1131&amp;col=7&amp;number=0.374&amp;sourceID=14","0.374")</f>
        <v>0.374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HYPERLINK("http://141.218.60.56/~jnz1568/getInfo.php?workbook=06_02.xlsx&amp;sheet=U0&amp;row=1132&amp;col=6&amp;number=3.8&amp;sourceID=14","3.8")</f>
        <v>3.8</v>
      </c>
      <c r="G1132" s="4" t="str">
        <f>HYPERLINK("http://141.218.60.56/~jnz1568/getInfo.php?workbook=06_02.xlsx&amp;sheet=U0&amp;row=1132&amp;col=7&amp;number=0.375&amp;sourceID=14","0.375")</f>
        <v>0.375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HYPERLINK("http://141.218.60.56/~jnz1568/getInfo.php?workbook=06_02.xlsx&amp;sheet=U0&amp;row=1133&amp;col=6&amp;number=3.9&amp;sourceID=14","3.9")</f>
        <v>3.9</v>
      </c>
      <c r="G1133" s="4" t="str">
        <f>HYPERLINK("http://141.218.60.56/~jnz1568/getInfo.php?workbook=06_02.xlsx&amp;sheet=U0&amp;row=1133&amp;col=7&amp;number=0.375&amp;sourceID=14","0.375")</f>
        <v>0.375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HYPERLINK("http://141.218.60.56/~jnz1568/getInfo.php?workbook=06_02.xlsx&amp;sheet=U0&amp;row=1134&amp;col=6&amp;number=4&amp;sourceID=14","4")</f>
        <v>4</v>
      </c>
      <c r="G1134" s="4" t="str">
        <f>HYPERLINK("http://141.218.60.56/~jnz1568/getInfo.php?workbook=06_02.xlsx&amp;sheet=U0&amp;row=1134&amp;col=7&amp;number=0.375&amp;sourceID=14","0.375")</f>
        <v>0.375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HYPERLINK("http://141.218.60.56/~jnz1568/getInfo.php?workbook=06_02.xlsx&amp;sheet=U0&amp;row=1135&amp;col=6&amp;number=4.1&amp;sourceID=14","4.1")</f>
        <v>4.1</v>
      </c>
      <c r="G1135" s="4" t="str">
        <f>HYPERLINK("http://141.218.60.56/~jnz1568/getInfo.php?workbook=06_02.xlsx&amp;sheet=U0&amp;row=1135&amp;col=7&amp;number=0.376&amp;sourceID=14","0.376")</f>
        <v>0.376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HYPERLINK("http://141.218.60.56/~jnz1568/getInfo.php?workbook=06_02.xlsx&amp;sheet=U0&amp;row=1136&amp;col=6&amp;number=4.2&amp;sourceID=14","4.2")</f>
        <v>4.2</v>
      </c>
      <c r="G1136" s="4" t="str">
        <f>HYPERLINK("http://141.218.60.56/~jnz1568/getInfo.php?workbook=06_02.xlsx&amp;sheet=U0&amp;row=1136&amp;col=7&amp;number=0.376&amp;sourceID=14","0.376")</f>
        <v>0.376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HYPERLINK("http://141.218.60.56/~jnz1568/getInfo.php?workbook=06_02.xlsx&amp;sheet=U0&amp;row=1137&amp;col=6&amp;number=4.3&amp;sourceID=14","4.3")</f>
        <v>4.3</v>
      </c>
      <c r="G1137" s="4" t="str">
        <f>HYPERLINK("http://141.218.60.56/~jnz1568/getInfo.php?workbook=06_02.xlsx&amp;sheet=U0&amp;row=1137&amp;col=7&amp;number=0.377&amp;sourceID=14","0.377")</f>
        <v>0.377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HYPERLINK("http://141.218.60.56/~jnz1568/getInfo.php?workbook=06_02.xlsx&amp;sheet=U0&amp;row=1138&amp;col=6&amp;number=4.4&amp;sourceID=14","4.4")</f>
        <v>4.4</v>
      </c>
      <c r="G1138" s="4" t="str">
        <f>HYPERLINK("http://141.218.60.56/~jnz1568/getInfo.php?workbook=06_02.xlsx&amp;sheet=U0&amp;row=1138&amp;col=7&amp;number=0.378&amp;sourceID=14","0.378")</f>
        <v>0.378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HYPERLINK("http://141.218.60.56/~jnz1568/getInfo.php?workbook=06_02.xlsx&amp;sheet=U0&amp;row=1139&amp;col=6&amp;number=4.5&amp;sourceID=14","4.5")</f>
        <v>4.5</v>
      </c>
      <c r="G1139" s="4" t="str">
        <f>HYPERLINK("http://141.218.60.56/~jnz1568/getInfo.php?workbook=06_02.xlsx&amp;sheet=U0&amp;row=1139&amp;col=7&amp;number=0.379&amp;sourceID=14","0.379")</f>
        <v>0.379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HYPERLINK("http://141.218.60.56/~jnz1568/getInfo.php?workbook=06_02.xlsx&amp;sheet=U0&amp;row=1140&amp;col=6&amp;number=4.6&amp;sourceID=14","4.6")</f>
        <v>4.6</v>
      </c>
      <c r="G1140" s="4" t="str">
        <f>HYPERLINK("http://141.218.60.56/~jnz1568/getInfo.php?workbook=06_02.xlsx&amp;sheet=U0&amp;row=1140&amp;col=7&amp;number=0.38&amp;sourceID=14","0.38")</f>
        <v>0.38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HYPERLINK("http://141.218.60.56/~jnz1568/getInfo.php?workbook=06_02.xlsx&amp;sheet=U0&amp;row=1141&amp;col=6&amp;number=4.7&amp;sourceID=14","4.7")</f>
        <v>4.7</v>
      </c>
      <c r="G1141" s="4" t="str">
        <f>HYPERLINK("http://141.218.60.56/~jnz1568/getInfo.php?workbook=06_02.xlsx&amp;sheet=U0&amp;row=1141&amp;col=7&amp;number=0.382&amp;sourceID=14","0.382")</f>
        <v>0.382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HYPERLINK("http://141.218.60.56/~jnz1568/getInfo.php?workbook=06_02.xlsx&amp;sheet=U0&amp;row=1142&amp;col=6&amp;number=4.8&amp;sourceID=14","4.8")</f>
        <v>4.8</v>
      </c>
      <c r="G1142" s="4" t="str">
        <f>HYPERLINK("http://141.218.60.56/~jnz1568/getInfo.php?workbook=06_02.xlsx&amp;sheet=U0&amp;row=1142&amp;col=7&amp;number=0.384&amp;sourceID=14","0.384")</f>
        <v>0.384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HYPERLINK("http://141.218.60.56/~jnz1568/getInfo.php?workbook=06_02.xlsx&amp;sheet=U0&amp;row=1143&amp;col=6&amp;number=4.9&amp;sourceID=14","4.9")</f>
        <v>4.9</v>
      </c>
      <c r="G1143" s="4" t="str">
        <f>HYPERLINK("http://141.218.60.56/~jnz1568/getInfo.php?workbook=06_02.xlsx&amp;sheet=U0&amp;row=1143&amp;col=7&amp;number=0.387&amp;sourceID=14","0.387")</f>
        <v>0.387</v>
      </c>
    </row>
    <row r="1144" spans="1:7">
      <c r="A1144" s="3">
        <v>6</v>
      </c>
      <c r="B1144" s="3">
        <v>2</v>
      </c>
      <c r="C1144" s="3">
        <v>2</v>
      </c>
      <c r="D1144" s="3">
        <v>17</v>
      </c>
      <c r="E1144" s="3">
        <v>1</v>
      </c>
      <c r="F1144" s="4" t="str">
        <f>HYPERLINK("http://141.218.60.56/~jnz1568/getInfo.php?workbook=06_02.xlsx&amp;sheet=U0&amp;row=1144&amp;col=6&amp;number=3&amp;sourceID=14","3")</f>
        <v>3</v>
      </c>
      <c r="G1144" s="4" t="str">
        <f>HYPERLINK("http://141.218.60.56/~jnz1568/getInfo.php?workbook=06_02.xlsx&amp;sheet=U0&amp;row=1144&amp;col=7&amp;number=0.0871&amp;sourceID=14","0.0871")</f>
        <v>0.0871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HYPERLINK("http://141.218.60.56/~jnz1568/getInfo.php?workbook=06_02.xlsx&amp;sheet=U0&amp;row=1145&amp;col=6&amp;number=3.1&amp;sourceID=14","3.1")</f>
        <v>3.1</v>
      </c>
      <c r="G1145" s="4" t="str">
        <f>HYPERLINK("http://141.218.60.56/~jnz1568/getInfo.php?workbook=06_02.xlsx&amp;sheet=U0&amp;row=1145&amp;col=7&amp;number=0.0871&amp;sourceID=14","0.0871")</f>
        <v>0.0871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HYPERLINK("http://141.218.60.56/~jnz1568/getInfo.php?workbook=06_02.xlsx&amp;sheet=U0&amp;row=1146&amp;col=6&amp;number=3.2&amp;sourceID=14","3.2")</f>
        <v>3.2</v>
      </c>
      <c r="G1146" s="4" t="str">
        <f>HYPERLINK("http://141.218.60.56/~jnz1568/getInfo.php?workbook=06_02.xlsx&amp;sheet=U0&amp;row=1146&amp;col=7&amp;number=0.0871&amp;sourceID=14","0.0871")</f>
        <v>0.0871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HYPERLINK("http://141.218.60.56/~jnz1568/getInfo.php?workbook=06_02.xlsx&amp;sheet=U0&amp;row=1147&amp;col=6&amp;number=3.3&amp;sourceID=14","3.3")</f>
        <v>3.3</v>
      </c>
      <c r="G1147" s="4" t="str">
        <f>HYPERLINK("http://141.218.60.56/~jnz1568/getInfo.php?workbook=06_02.xlsx&amp;sheet=U0&amp;row=1147&amp;col=7&amp;number=0.087&amp;sourceID=14","0.087")</f>
        <v>0.087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HYPERLINK("http://141.218.60.56/~jnz1568/getInfo.php?workbook=06_02.xlsx&amp;sheet=U0&amp;row=1148&amp;col=6&amp;number=3.4&amp;sourceID=14","3.4")</f>
        <v>3.4</v>
      </c>
      <c r="G1148" s="4" t="str">
        <f>HYPERLINK("http://141.218.60.56/~jnz1568/getInfo.php?workbook=06_02.xlsx&amp;sheet=U0&amp;row=1148&amp;col=7&amp;number=0.087&amp;sourceID=14","0.087")</f>
        <v>0.087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HYPERLINK("http://141.218.60.56/~jnz1568/getInfo.php?workbook=06_02.xlsx&amp;sheet=U0&amp;row=1149&amp;col=6&amp;number=3.5&amp;sourceID=14","3.5")</f>
        <v>3.5</v>
      </c>
      <c r="G1149" s="4" t="str">
        <f>HYPERLINK("http://141.218.60.56/~jnz1568/getInfo.php?workbook=06_02.xlsx&amp;sheet=U0&amp;row=1149&amp;col=7&amp;number=0.0869&amp;sourceID=14","0.0869")</f>
        <v>0.0869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HYPERLINK("http://141.218.60.56/~jnz1568/getInfo.php?workbook=06_02.xlsx&amp;sheet=U0&amp;row=1150&amp;col=6&amp;number=3.6&amp;sourceID=14","3.6")</f>
        <v>3.6</v>
      </c>
      <c r="G1150" s="4" t="str">
        <f>HYPERLINK("http://141.218.60.56/~jnz1568/getInfo.php?workbook=06_02.xlsx&amp;sheet=U0&amp;row=1150&amp;col=7&amp;number=0.0868&amp;sourceID=14","0.0868")</f>
        <v>0.0868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HYPERLINK("http://141.218.60.56/~jnz1568/getInfo.php?workbook=06_02.xlsx&amp;sheet=U0&amp;row=1151&amp;col=6&amp;number=3.7&amp;sourceID=14","3.7")</f>
        <v>3.7</v>
      </c>
      <c r="G1151" s="4" t="str">
        <f>HYPERLINK("http://141.218.60.56/~jnz1568/getInfo.php?workbook=06_02.xlsx&amp;sheet=U0&amp;row=1151&amp;col=7&amp;number=0.0867&amp;sourceID=14","0.0867")</f>
        <v>0.0867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HYPERLINK("http://141.218.60.56/~jnz1568/getInfo.php?workbook=06_02.xlsx&amp;sheet=U0&amp;row=1152&amp;col=6&amp;number=3.8&amp;sourceID=14","3.8")</f>
        <v>3.8</v>
      </c>
      <c r="G1152" s="4" t="str">
        <f>HYPERLINK("http://141.218.60.56/~jnz1568/getInfo.php?workbook=06_02.xlsx&amp;sheet=U0&amp;row=1152&amp;col=7&amp;number=0.0865&amp;sourceID=14","0.0865")</f>
        <v>0.0865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HYPERLINK("http://141.218.60.56/~jnz1568/getInfo.php?workbook=06_02.xlsx&amp;sheet=U0&amp;row=1153&amp;col=6&amp;number=3.9&amp;sourceID=14","3.9")</f>
        <v>3.9</v>
      </c>
      <c r="G1153" s="4" t="str">
        <f>HYPERLINK("http://141.218.60.56/~jnz1568/getInfo.php?workbook=06_02.xlsx&amp;sheet=U0&amp;row=1153&amp;col=7&amp;number=0.0863&amp;sourceID=14","0.0863")</f>
        <v>0.0863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HYPERLINK("http://141.218.60.56/~jnz1568/getInfo.php?workbook=06_02.xlsx&amp;sheet=U0&amp;row=1154&amp;col=6&amp;number=4&amp;sourceID=14","4")</f>
        <v>4</v>
      </c>
      <c r="G1154" s="4" t="str">
        <f>HYPERLINK("http://141.218.60.56/~jnz1568/getInfo.php?workbook=06_02.xlsx&amp;sheet=U0&amp;row=1154&amp;col=7&amp;number=0.0861&amp;sourceID=14","0.0861")</f>
        <v>0.0861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HYPERLINK("http://141.218.60.56/~jnz1568/getInfo.php?workbook=06_02.xlsx&amp;sheet=U0&amp;row=1155&amp;col=6&amp;number=4.1&amp;sourceID=14","4.1")</f>
        <v>4.1</v>
      </c>
      <c r="G1155" s="4" t="str">
        <f>HYPERLINK("http://141.218.60.56/~jnz1568/getInfo.php?workbook=06_02.xlsx&amp;sheet=U0&amp;row=1155&amp;col=7&amp;number=0.0858&amp;sourceID=14","0.0858")</f>
        <v>0.0858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HYPERLINK("http://141.218.60.56/~jnz1568/getInfo.php?workbook=06_02.xlsx&amp;sheet=U0&amp;row=1156&amp;col=6&amp;number=4.2&amp;sourceID=14","4.2")</f>
        <v>4.2</v>
      </c>
      <c r="G1156" s="4" t="str">
        <f>HYPERLINK("http://141.218.60.56/~jnz1568/getInfo.php?workbook=06_02.xlsx&amp;sheet=U0&amp;row=1156&amp;col=7&amp;number=0.0855&amp;sourceID=14","0.0855")</f>
        <v>0.0855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HYPERLINK("http://141.218.60.56/~jnz1568/getInfo.php?workbook=06_02.xlsx&amp;sheet=U0&amp;row=1157&amp;col=6&amp;number=4.3&amp;sourceID=14","4.3")</f>
        <v>4.3</v>
      </c>
      <c r="G1157" s="4" t="str">
        <f>HYPERLINK("http://141.218.60.56/~jnz1568/getInfo.php?workbook=06_02.xlsx&amp;sheet=U0&amp;row=1157&amp;col=7&amp;number=0.085&amp;sourceID=14","0.085")</f>
        <v>0.085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HYPERLINK("http://141.218.60.56/~jnz1568/getInfo.php?workbook=06_02.xlsx&amp;sheet=U0&amp;row=1158&amp;col=6&amp;number=4.4&amp;sourceID=14","4.4")</f>
        <v>4.4</v>
      </c>
      <c r="G1158" s="4" t="str">
        <f>HYPERLINK("http://141.218.60.56/~jnz1568/getInfo.php?workbook=06_02.xlsx&amp;sheet=U0&amp;row=1158&amp;col=7&amp;number=0.0845&amp;sourceID=14","0.0845")</f>
        <v>0.0845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HYPERLINK("http://141.218.60.56/~jnz1568/getInfo.php?workbook=06_02.xlsx&amp;sheet=U0&amp;row=1159&amp;col=6&amp;number=4.5&amp;sourceID=14","4.5")</f>
        <v>4.5</v>
      </c>
      <c r="G1159" s="4" t="str">
        <f>HYPERLINK("http://141.218.60.56/~jnz1568/getInfo.php?workbook=06_02.xlsx&amp;sheet=U0&amp;row=1159&amp;col=7&amp;number=0.0838&amp;sourceID=14","0.0838")</f>
        <v>0.0838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HYPERLINK("http://141.218.60.56/~jnz1568/getInfo.php?workbook=06_02.xlsx&amp;sheet=U0&amp;row=1160&amp;col=6&amp;number=4.6&amp;sourceID=14","4.6")</f>
        <v>4.6</v>
      </c>
      <c r="G1160" s="4" t="str">
        <f>HYPERLINK("http://141.218.60.56/~jnz1568/getInfo.php?workbook=06_02.xlsx&amp;sheet=U0&amp;row=1160&amp;col=7&amp;number=0.0829&amp;sourceID=14","0.0829")</f>
        <v>0.0829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HYPERLINK("http://141.218.60.56/~jnz1568/getInfo.php?workbook=06_02.xlsx&amp;sheet=U0&amp;row=1161&amp;col=6&amp;number=4.7&amp;sourceID=14","4.7")</f>
        <v>4.7</v>
      </c>
      <c r="G1161" s="4" t="str">
        <f>HYPERLINK("http://141.218.60.56/~jnz1568/getInfo.php?workbook=06_02.xlsx&amp;sheet=U0&amp;row=1161&amp;col=7&amp;number=0.0819&amp;sourceID=14","0.0819")</f>
        <v>0.0819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HYPERLINK("http://141.218.60.56/~jnz1568/getInfo.php?workbook=06_02.xlsx&amp;sheet=U0&amp;row=1162&amp;col=6&amp;number=4.8&amp;sourceID=14","4.8")</f>
        <v>4.8</v>
      </c>
      <c r="G1162" s="4" t="str">
        <f>HYPERLINK("http://141.218.60.56/~jnz1568/getInfo.php?workbook=06_02.xlsx&amp;sheet=U0&amp;row=1162&amp;col=7&amp;number=0.0806&amp;sourceID=14","0.0806")</f>
        <v>0.0806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HYPERLINK("http://141.218.60.56/~jnz1568/getInfo.php?workbook=06_02.xlsx&amp;sheet=U0&amp;row=1163&amp;col=6&amp;number=4.9&amp;sourceID=14","4.9")</f>
        <v>4.9</v>
      </c>
      <c r="G1163" s="4" t="str">
        <f>HYPERLINK("http://141.218.60.56/~jnz1568/getInfo.php?workbook=06_02.xlsx&amp;sheet=U0&amp;row=1163&amp;col=7&amp;number=0.079&amp;sourceID=14","0.079")</f>
        <v>0.079</v>
      </c>
    </row>
    <row r="1164" spans="1:7">
      <c r="A1164" s="3">
        <v>6</v>
      </c>
      <c r="B1164" s="3">
        <v>2</v>
      </c>
      <c r="C1164" s="3">
        <v>2</v>
      </c>
      <c r="D1164" s="3">
        <v>18</v>
      </c>
      <c r="E1164" s="3">
        <v>1</v>
      </c>
      <c r="F1164" s="4" t="str">
        <f>HYPERLINK("http://141.218.60.56/~jnz1568/getInfo.php?workbook=06_02.xlsx&amp;sheet=U0&amp;row=1164&amp;col=6&amp;number=3&amp;sourceID=14","3")</f>
        <v>3</v>
      </c>
      <c r="G1164" s="4" t="str">
        <f>HYPERLINK("http://141.218.60.56/~jnz1568/getInfo.php?workbook=06_02.xlsx&amp;sheet=U0&amp;row=1164&amp;col=7&amp;number=0.0888&amp;sourceID=14","0.0888")</f>
        <v>0.0888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HYPERLINK("http://141.218.60.56/~jnz1568/getInfo.php?workbook=06_02.xlsx&amp;sheet=U0&amp;row=1165&amp;col=6&amp;number=3.1&amp;sourceID=14","3.1")</f>
        <v>3.1</v>
      </c>
      <c r="G1165" s="4" t="str">
        <f>HYPERLINK("http://141.218.60.56/~jnz1568/getInfo.php?workbook=06_02.xlsx&amp;sheet=U0&amp;row=1165&amp;col=7&amp;number=0.0888&amp;sourceID=14","0.0888")</f>
        <v>0.0888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HYPERLINK("http://141.218.60.56/~jnz1568/getInfo.php?workbook=06_02.xlsx&amp;sheet=U0&amp;row=1166&amp;col=6&amp;number=3.2&amp;sourceID=14","3.2")</f>
        <v>3.2</v>
      </c>
      <c r="G1166" s="4" t="str">
        <f>HYPERLINK("http://141.218.60.56/~jnz1568/getInfo.php?workbook=06_02.xlsx&amp;sheet=U0&amp;row=1166&amp;col=7&amp;number=0.0889&amp;sourceID=14","0.0889")</f>
        <v>0.0889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HYPERLINK("http://141.218.60.56/~jnz1568/getInfo.php?workbook=06_02.xlsx&amp;sheet=U0&amp;row=1167&amp;col=6&amp;number=3.3&amp;sourceID=14","3.3")</f>
        <v>3.3</v>
      </c>
      <c r="G1167" s="4" t="str">
        <f>HYPERLINK("http://141.218.60.56/~jnz1568/getInfo.php?workbook=06_02.xlsx&amp;sheet=U0&amp;row=1167&amp;col=7&amp;number=0.0889&amp;sourceID=14","0.0889")</f>
        <v>0.0889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HYPERLINK("http://141.218.60.56/~jnz1568/getInfo.php?workbook=06_02.xlsx&amp;sheet=U0&amp;row=1168&amp;col=6&amp;number=3.4&amp;sourceID=14","3.4")</f>
        <v>3.4</v>
      </c>
      <c r="G1168" s="4" t="str">
        <f>HYPERLINK("http://141.218.60.56/~jnz1568/getInfo.php?workbook=06_02.xlsx&amp;sheet=U0&amp;row=1168&amp;col=7&amp;number=0.0889&amp;sourceID=14","0.0889")</f>
        <v>0.0889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HYPERLINK("http://141.218.60.56/~jnz1568/getInfo.php?workbook=06_02.xlsx&amp;sheet=U0&amp;row=1169&amp;col=6&amp;number=3.5&amp;sourceID=14","3.5")</f>
        <v>3.5</v>
      </c>
      <c r="G1169" s="4" t="str">
        <f>HYPERLINK("http://141.218.60.56/~jnz1568/getInfo.php?workbook=06_02.xlsx&amp;sheet=U0&amp;row=1169&amp;col=7&amp;number=0.0889&amp;sourceID=14","0.0889")</f>
        <v>0.0889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HYPERLINK("http://141.218.60.56/~jnz1568/getInfo.php?workbook=06_02.xlsx&amp;sheet=U0&amp;row=1170&amp;col=6&amp;number=3.6&amp;sourceID=14","3.6")</f>
        <v>3.6</v>
      </c>
      <c r="G1170" s="4" t="str">
        <f>HYPERLINK("http://141.218.60.56/~jnz1568/getInfo.php?workbook=06_02.xlsx&amp;sheet=U0&amp;row=1170&amp;col=7&amp;number=0.0889&amp;sourceID=14","0.0889")</f>
        <v>0.0889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HYPERLINK("http://141.218.60.56/~jnz1568/getInfo.php?workbook=06_02.xlsx&amp;sheet=U0&amp;row=1171&amp;col=6&amp;number=3.7&amp;sourceID=14","3.7")</f>
        <v>3.7</v>
      </c>
      <c r="G1171" s="4" t="str">
        <f>HYPERLINK("http://141.218.60.56/~jnz1568/getInfo.php?workbook=06_02.xlsx&amp;sheet=U0&amp;row=1171&amp;col=7&amp;number=0.0889&amp;sourceID=14","0.0889")</f>
        <v>0.0889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HYPERLINK("http://141.218.60.56/~jnz1568/getInfo.php?workbook=06_02.xlsx&amp;sheet=U0&amp;row=1172&amp;col=6&amp;number=3.8&amp;sourceID=14","3.8")</f>
        <v>3.8</v>
      </c>
      <c r="G1172" s="4" t="str">
        <f>HYPERLINK("http://141.218.60.56/~jnz1568/getInfo.php?workbook=06_02.xlsx&amp;sheet=U0&amp;row=1172&amp;col=7&amp;number=0.0889&amp;sourceID=14","0.0889")</f>
        <v>0.0889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HYPERLINK("http://141.218.60.56/~jnz1568/getInfo.php?workbook=06_02.xlsx&amp;sheet=U0&amp;row=1173&amp;col=6&amp;number=3.9&amp;sourceID=14","3.9")</f>
        <v>3.9</v>
      </c>
      <c r="G1173" s="4" t="str">
        <f>HYPERLINK("http://141.218.60.56/~jnz1568/getInfo.php?workbook=06_02.xlsx&amp;sheet=U0&amp;row=1173&amp;col=7&amp;number=0.0889&amp;sourceID=14","0.0889")</f>
        <v>0.0889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HYPERLINK("http://141.218.60.56/~jnz1568/getInfo.php?workbook=06_02.xlsx&amp;sheet=U0&amp;row=1174&amp;col=6&amp;number=4&amp;sourceID=14","4")</f>
        <v>4</v>
      </c>
      <c r="G1174" s="4" t="str">
        <f>HYPERLINK("http://141.218.60.56/~jnz1568/getInfo.php?workbook=06_02.xlsx&amp;sheet=U0&amp;row=1174&amp;col=7&amp;number=0.089&amp;sourceID=14","0.089")</f>
        <v>0.089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HYPERLINK("http://141.218.60.56/~jnz1568/getInfo.php?workbook=06_02.xlsx&amp;sheet=U0&amp;row=1175&amp;col=6&amp;number=4.1&amp;sourceID=14","4.1")</f>
        <v>4.1</v>
      </c>
      <c r="G1175" s="4" t="str">
        <f>HYPERLINK("http://141.218.60.56/~jnz1568/getInfo.php?workbook=06_02.xlsx&amp;sheet=U0&amp;row=1175&amp;col=7&amp;number=0.089&amp;sourceID=14","0.089")</f>
        <v>0.089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HYPERLINK("http://141.218.60.56/~jnz1568/getInfo.php?workbook=06_02.xlsx&amp;sheet=U0&amp;row=1176&amp;col=6&amp;number=4.2&amp;sourceID=14","4.2")</f>
        <v>4.2</v>
      </c>
      <c r="G1176" s="4" t="str">
        <f>HYPERLINK("http://141.218.60.56/~jnz1568/getInfo.php?workbook=06_02.xlsx&amp;sheet=U0&amp;row=1176&amp;col=7&amp;number=0.089&amp;sourceID=14","0.089")</f>
        <v>0.089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HYPERLINK("http://141.218.60.56/~jnz1568/getInfo.php?workbook=06_02.xlsx&amp;sheet=U0&amp;row=1177&amp;col=6&amp;number=4.3&amp;sourceID=14","4.3")</f>
        <v>4.3</v>
      </c>
      <c r="G1177" s="4" t="str">
        <f>HYPERLINK("http://141.218.60.56/~jnz1568/getInfo.php?workbook=06_02.xlsx&amp;sheet=U0&amp;row=1177&amp;col=7&amp;number=0.0891&amp;sourceID=14","0.0891")</f>
        <v>0.0891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HYPERLINK("http://141.218.60.56/~jnz1568/getInfo.php?workbook=06_02.xlsx&amp;sheet=U0&amp;row=1178&amp;col=6&amp;number=4.4&amp;sourceID=14","4.4")</f>
        <v>4.4</v>
      </c>
      <c r="G1178" s="4" t="str">
        <f>HYPERLINK("http://141.218.60.56/~jnz1568/getInfo.php?workbook=06_02.xlsx&amp;sheet=U0&amp;row=1178&amp;col=7&amp;number=0.0892&amp;sourceID=14","0.0892")</f>
        <v>0.0892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HYPERLINK("http://141.218.60.56/~jnz1568/getInfo.php?workbook=06_02.xlsx&amp;sheet=U0&amp;row=1179&amp;col=6&amp;number=4.5&amp;sourceID=14","4.5")</f>
        <v>4.5</v>
      </c>
      <c r="G1179" s="4" t="str">
        <f>HYPERLINK("http://141.218.60.56/~jnz1568/getInfo.php?workbook=06_02.xlsx&amp;sheet=U0&amp;row=1179&amp;col=7&amp;number=0.0892&amp;sourceID=14","0.0892")</f>
        <v>0.0892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HYPERLINK("http://141.218.60.56/~jnz1568/getInfo.php?workbook=06_02.xlsx&amp;sheet=U0&amp;row=1180&amp;col=6&amp;number=4.6&amp;sourceID=14","4.6")</f>
        <v>4.6</v>
      </c>
      <c r="G1180" s="4" t="str">
        <f>HYPERLINK("http://141.218.60.56/~jnz1568/getInfo.php?workbook=06_02.xlsx&amp;sheet=U0&amp;row=1180&amp;col=7&amp;number=0.0893&amp;sourceID=14","0.0893")</f>
        <v>0.0893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HYPERLINK("http://141.218.60.56/~jnz1568/getInfo.php?workbook=06_02.xlsx&amp;sheet=U0&amp;row=1181&amp;col=6&amp;number=4.7&amp;sourceID=14","4.7")</f>
        <v>4.7</v>
      </c>
      <c r="G1181" s="4" t="str">
        <f>HYPERLINK("http://141.218.60.56/~jnz1568/getInfo.php?workbook=06_02.xlsx&amp;sheet=U0&amp;row=1181&amp;col=7&amp;number=0.0895&amp;sourceID=14","0.0895")</f>
        <v>0.0895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HYPERLINK("http://141.218.60.56/~jnz1568/getInfo.php?workbook=06_02.xlsx&amp;sheet=U0&amp;row=1182&amp;col=6&amp;number=4.8&amp;sourceID=14","4.8")</f>
        <v>4.8</v>
      </c>
      <c r="G1182" s="4" t="str">
        <f>HYPERLINK("http://141.218.60.56/~jnz1568/getInfo.php?workbook=06_02.xlsx&amp;sheet=U0&amp;row=1182&amp;col=7&amp;number=0.0896&amp;sourceID=14","0.0896")</f>
        <v>0.0896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HYPERLINK("http://141.218.60.56/~jnz1568/getInfo.php?workbook=06_02.xlsx&amp;sheet=U0&amp;row=1183&amp;col=6&amp;number=4.9&amp;sourceID=14","4.9")</f>
        <v>4.9</v>
      </c>
      <c r="G1183" s="4" t="str">
        <f>HYPERLINK("http://141.218.60.56/~jnz1568/getInfo.php?workbook=06_02.xlsx&amp;sheet=U0&amp;row=1183&amp;col=7&amp;number=0.0898&amp;sourceID=14","0.0898")</f>
        <v>0.0898</v>
      </c>
    </row>
    <row r="1184" spans="1:7">
      <c r="A1184" s="3">
        <v>6</v>
      </c>
      <c r="B1184" s="3">
        <v>2</v>
      </c>
      <c r="C1184" s="3">
        <v>2</v>
      </c>
      <c r="D1184" s="3">
        <v>19</v>
      </c>
      <c r="E1184" s="3">
        <v>1</v>
      </c>
      <c r="F1184" s="4" t="str">
        <f>HYPERLINK("http://141.218.60.56/~jnz1568/getInfo.php?workbook=06_02.xlsx&amp;sheet=U0&amp;row=1184&amp;col=6&amp;number=3&amp;sourceID=14","3")</f>
        <v>3</v>
      </c>
      <c r="G1184" s="4" t="str">
        <f>HYPERLINK("http://141.218.60.56/~jnz1568/getInfo.php?workbook=06_02.xlsx&amp;sheet=U0&amp;row=1184&amp;col=7&amp;number=0.00426&amp;sourceID=14","0.00426")</f>
        <v>0.00426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HYPERLINK("http://141.218.60.56/~jnz1568/getInfo.php?workbook=06_02.xlsx&amp;sheet=U0&amp;row=1185&amp;col=6&amp;number=3.1&amp;sourceID=14","3.1")</f>
        <v>3.1</v>
      </c>
      <c r="G1185" s="4" t="str">
        <f>HYPERLINK("http://141.218.60.56/~jnz1568/getInfo.php?workbook=06_02.xlsx&amp;sheet=U0&amp;row=1185&amp;col=7&amp;number=0.00426&amp;sourceID=14","0.00426")</f>
        <v>0.00426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HYPERLINK("http://141.218.60.56/~jnz1568/getInfo.php?workbook=06_02.xlsx&amp;sheet=U0&amp;row=1186&amp;col=6&amp;number=3.2&amp;sourceID=14","3.2")</f>
        <v>3.2</v>
      </c>
      <c r="G1186" s="4" t="str">
        <f>HYPERLINK("http://141.218.60.56/~jnz1568/getInfo.php?workbook=06_02.xlsx&amp;sheet=U0&amp;row=1186&amp;col=7&amp;number=0.00426&amp;sourceID=14","0.00426")</f>
        <v>0.00426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HYPERLINK("http://141.218.60.56/~jnz1568/getInfo.php?workbook=06_02.xlsx&amp;sheet=U0&amp;row=1187&amp;col=6&amp;number=3.3&amp;sourceID=14","3.3")</f>
        <v>3.3</v>
      </c>
      <c r="G1187" s="4" t="str">
        <f>HYPERLINK("http://141.218.60.56/~jnz1568/getInfo.php?workbook=06_02.xlsx&amp;sheet=U0&amp;row=1187&amp;col=7&amp;number=0.00425&amp;sourceID=14","0.00425")</f>
        <v>0.00425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HYPERLINK("http://141.218.60.56/~jnz1568/getInfo.php?workbook=06_02.xlsx&amp;sheet=U0&amp;row=1188&amp;col=6&amp;number=3.4&amp;sourceID=14","3.4")</f>
        <v>3.4</v>
      </c>
      <c r="G1188" s="4" t="str">
        <f>HYPERLINK("http://141.218.60.56/~jnz1568/getInfo.php?workbook=06_02.xlsx&amp;sheet=U0&amp;row=1188&amp;col=7&amp;number=0.00425&amp;sourceID=14","0.00425")</f>
        <v>0.00425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HYPERLINK("http://141.218.60.56/~jnz1568/getInfo.php?workbook=06_02.xlsx&amp;sheet=U0&amp;row=1189&amp;col=6&amp;number=3.5&amp;sourceID=14","3.5")</f>
        <v>3.5</v>
      </c>
      <c r="G1189" s="4" t="str">
        <f>HYPERLINK("http://141.218.60.56/~jnz1568/getInfo.php?workbook=06_02.xlsx&amp;sheet=U0&amp;row=1189&amp;col=7&amp;number=0.00425&amp;sourceID=14","0.00425")</f>
        <v>0.00425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HYPERLINK("http://141.218.60.56/~jnz1568/getInfo.php?workbook=06_02.xlsx&amp;sheet=U0&amp;row=1190&amp;col=6&amp;number=3.6&amp;sourceID=14","3.6")</f>
        <v>3.6</v>
      </c>
      <c r="G1190" s="4" t="str">
        <f>HYPERLINK("http://141.218.60.56/~jnz1568/getInfo.php?workbook=06_02.xlsx&amp;sheet=U0&amp;row=1190&amp;col=7&amp;number=0.00424&amp;sourceID=14","0.00424")</f>
        <v>0.00424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HYPERLINK("http://141.218.60.56/~jnz1568/getInfo.php?workbook=06_02.xlsx&amp;sheet=U0&amp;row=1191&amp;col=6&amp;number=3.7&amp;sourceID=14","3.7")</f>
        <v>3.7</v>
      </c>
      <c r="G1191" s="4" t="str">
        <f>HYPERLINK("http://141.218.60.56/~jnz1568/getInfo.php?workbook=06_02.xlsx&amp;sheet=U0&amp;row=1191&amp;col=7&amp;number=0.00424&amp;sourceID=14","0.00424")</f>
        <v>0.00424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HYPERLINK("http://141.218.60.56/~jnz1568/getInfo.php?workbook=06_02.xlsx&amp;sheet=U0&amp;row=1192&amp;col=6&amp;number=3.8&amp;sourceID=14","3.8")</f>
        <v>3.8</v>
      </c>
      <c r="G1192" s="4" t="str">
        <f>HYPERLINK("http://141.218.60.56/~jnz1568/getInfo.php?workbook=06_02.xlsx&amp;sheet=U0&amp;row=1192&amp;col=7&amp;number=0.00423&amp;sourceID=14","0.00423")</f>
        <v>0.00423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HYPERLINK("http://141.218.60.56/~jnz1568/getInfo.php?workbook=06_02.xlsx&amp;sheet=U0&amp;row=1193&amp;col=6&amp;number=3.9&amp;sourceID=14","3.9")</f>
        <v>3.9</v>
      </c>
      <c r="G1193" s="4" t="str">
        <f>HYPERLINK("http://141.218.60.56/~jnz1568/getInfo.php?workbook=06_02.xlsx&amp;sheet=U0&amp;row=1193&amp;col=7&amp;number=0.00422&amp;sourceID=14","0.00422")</f>
        <v>0.00422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HYPERLINK("http://141.218.60.56/~jnz1568/getInfo.php?workbook=06_02.xlsx&amp;sheet=U0&amp;row=1194&amp;col=6&amp;number=4&amp;sourceID=14","4")</f>
        <v>4</v>
      </c>
      <c r="G1194" s="4" t="str">
        <f>HYPERLINK("http://141.218.60.56/~jnz1568/getInfo.php?workbook=06_02.xlsx&amp;sheet=U0&amp;row=1194&amp;col=7&amp;number=0.00421&amp;sourceID=14","0.00421")</f>
        <v>0.00421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HYPERLINK("http://141.218.60.56/~jnz1568/getInfo.php?workbook=06_02.xlsx&amp;sheet=U0&amp;row=1195&amp;col=6&amp;number=4.1&amp;sourceID=14","4.1")</f>
        <v>4.1</v>
      </c>
      <c r="G1195" s="4" t="str">
        <f>HYPERLINK("http://141.218.60.56/~jnz1568/getInfo.php?workbook=06_02.xlsx&amp;sheet=U0&amp;row=1195&amp;col=7&amp;number=0.00419&amp;sourceID=14","0.00419")</f>
        <v>0.00419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HYPERLINK("http://141.218.60.56/~jnz1568/getInfo.php?workbook=06_02.xlsx&amp;sheet=U0&amp;row=1196&amp;col=6&amp;number=4.2&amp;sourceID=14","4.2")</f>
        <v>4.2</v>
      </c>
      <c r="G1196" s="4" t="str">
        <f>HYPERLINK("http://141.218.60.56/~jnz1568/getInfo.php?workbook=06_02.xlsx&amp;sheet=U0&amp;row=1196&amp;col=7&amp;number=0.00418&amp;sourceID=14","0.00418")</f>
        <v>0.00418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HYPERLINK("http://141.218.60.56/~jnz1568/getInfo.php?workbook=06_02.xlsx&amp;sheet=U0&amp;row=1197&amp;col=6&amp;number=4.3&amp;sourceID=14","4.3")</f>
        <v>4.3</v>
      </c>
      <c r="G1197" s="4" t="str">
        <f>HYPERLINK("http://141.218.60.56/~jnz1568/getInfo.php?workbook=06_02.xlsx&amp;sheet=U0&amp;row=1197&amp;col=7&amp;number=0.00415&amp;sourceID=14","0.00415")</f>
        <v>0.00415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HYPERLINK("http://141.218.60.56/~jnz1568/getInfo.php?workbook=06_02.xlsx&amp;sheet=U0&amp;row=1198&amp;col=6&amp;number=4.4&amp;sourceID=14","4.4")</f>
        <v>4.4</v>
      </c>
      <c r="G1198" s="4" t="str">
        <f>HYPERLINK("http://141.218.60.56/~jnz1568/getInfo.php?workbook=06_02.xlsx&amp;sheet=U0&amp;row=1198&amp;col=7&amp;number=0.00413&amp;sourceID=14","0.00413")</f>
        <v>0.00413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HYPERLINK("http://141.218.60.56/~jnz1568/getInfo.php?workbook=06_02.xlsx&amp;sheet=U0&amp;row=1199&amp;col=6&amp;number=4.5&amp;sourceID=14","4.5")</f>
        <v>4.5</v>
      </c>
      <c r="G1199" s="4" t="str">
        <f>HYPERLINK("http://141.218.60.56/~jnz1568/getInfo.php?workbook=06_02.xlsx&amp;sheet=U0&amp;row=1199&amp;col=7&amp;number=0.00409&amp;sourceID=14","0.00409")</f>
        <v>0.00409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HYPERLINK("http://141.218.60.56/~jnz1568/getInfo.php?workbook=06_02.xlsx&amp;sheet=U0&amp;row=1200&amp;col=6&amp;number=4.6&amp;sourceID=14","4.6")</f>
        <v>4.6</v>
      </c>
      <c r="G1200" s="4" t="str">
        <f>HYPERLINK("http://141.218.60.56/~jnz1568/getInfo.php?workbook=06_02.xlsx&amp;sheet=U0&amp;row=1200&amp;col=7&amp;number=0.00405&amp;sourceID=14","0.00405")</f>
        <v>0.00405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HYPERLINK("http://141.218.60.56/~jnz1568/getInfo.php?workbook=06_02.xlsx&amp;sheet=U0&amp;row=1201&amp;col=6&amp;number=4.7&amp;sourceID=14","4.7")</f>
        <v>4.7</v>
      </c>
      <c r="G1201" s="4" t="str">
        <f>HYPERLINK("http://141.218.60.56/~jnz1568/getInfo.php?workbook=06_02.xlsx&amp;sheet=U0&amp;row=1201&amp;col=7&amp;number=0.004&amp;sourceID=14","0.004")</f>
        <v>0.004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HYPERLINK("http://141.218.60.56/~jnz1568/getInfo.php?workbook=06_02.xlsx&amp;sheet=U0&amp;row=1202&amp;col=6&amp;number=4.8&amp;sourceID=14","4.8")</f>
        <v>4.8</v>
      </c>
      <c r="G1202" s="4" t="str">
        <f>HYPERLINK("http://141.218.60.56/~jnz1568/getInfo.php?workbook=06_02.xlsx&amp;sheet=U0&amp;row=1202&amp;col=7&amp;number=0.00393&amp;sourceID=14","0.00393")</f>
        <v>0.00393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HYPERLINK("http://141.218.60.56/~jnz1568/getInfo.php?workbook=06_02.xlsx&amp;sheet=U0&amp;row=1203&amp;col=6&amp;number=4.9&amp;sourceID=14","4.9")</f>
        <v>4.9</v>
      </c>
      <c r="G1203" s="4" t="str">
        <f>HYPERLINK("http://141.218.60.56/~jnz1568/getInfo.php?workbook=06_02.xlsx&amp;sheet=U0&amp;row=1203&amp;col=7&amp;number=0.00385&amp;sourceID=14","0.00385")</f>
        <v>0.00385</v>
      </c>
    </row>
    <row r="1204" spans="1:7">
      <c r="A1204" s="3">
        <v>6</v>
      </c>
      <c r="B1204" s="3">
        <v>2</v>
      </c>
      <c r="C1204" s="3">
        <v>2</v>
      </c>
      <c r="D1204" s="3">
        <v>20</v>
      </c>
      <c r="E1204" s="3">
        <v>1</v>
      </c>
      <c r="F1204" s="4" t="str">
        <f>HYPERLINK("http://141.218.60.56/~jnz1568/getInfo.php?workbook=06_02.xlsx&amp;sheet=U0&amp;row=1204&amp;col=6&amp;number=3&amp;sourceID=14","3")</f>
        <v>3</v>
      </c>
      <c r="G1204" s="4" t="str">
        <f>HYPERLINK("http://141.218.60.56/~jnz1568/getInfo.php?workbook=06_02.xlsx&amp;sheet=U0&amp;row=1204&amp;col=7&amp;number=0.00734&amp;sourceID=14","0.00734")</f>
        <v>0.00734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HYPERLINK("http://141.218.60.56/~jnz1568/getInfo.php?workbook=06_02.xlsx&amp;sheet=U0&amp;row=1205&amp;col=6&amp;number=3.1&amp;sourceID=14","3.1")</f>
        <v>3.1</v>
      </c>
      <c r="G1205" s="4" t="str">
        <f>HYPERLINK("http://141.218.60.56/~jnz1568/getInfo.php?workbook=06_02.xlsx&amp;sheet=U0&amp;row=1205&amp;col=7&amp;number=0.00734&amp;sourceID=14","0.00734")</f>
        <v>0.00734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HYPERLINK("http://141.218.60.56/~jnz1568/getInfo.php?workbook=06_02.xlsx&amp;sheet=U0&amp;row=1206&amp;col=6&amp;number=3.2&amp;sourceID=14","3.2")</f>
        <v>3.2</v>
      </c>
      <c r="G1206" s="4" t="str">
        <f>HYPERLINK("http://141.218.60.56/~jnz1568/getInfo.php?workbook=06_02.xlsx&amp;sheet=U0&amp;row=1206&amp;col=7&amp;number=0.00734&amp;sourceID=14","0.00734")</f>
        <v>0.00734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HYPERLINK("http://141.218.60.56/~jnz1568/getInfo.php?workbook=06_02.xlsx&amp;sheet=U0&amp;row=1207&amp;col=6&amp;number=3.3&amp;sourceID=14","3.3")</f>
        <v>3.3</v>
      </c>
      <c r="G1207" s="4" t="str">
        <f>HYPERLINK("http://141.218.60.56/~jnz1568/getInfo.php?workbook=06_02.xlsx&amp;sheet=U0&amp;row=1207&amp;col=7&amp;number=0.00735&amp;sourceID=14","0.00735")</f>
        <v>0.00735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HYPERLINK("http://141.218.60.56/~jnz1568/getInfo.php?workbook=06_02.xlsx&amp;sheet=U0&amp;row=1208&amp;col=6&amp;number=3.4&amp;sourceID=14","3.4")</f>
        <v>3.4</v>
      </c>
      <c r="G1208" s="4" t="str">
        <f>HYPERLINK("http://141.218.60.56/~jnz1568/getInfo.php?workbook=06_02.xlsx&amp;sheet=U0&amp;row=1208&amp;col=7&amp;number=0.00735&amp;sourceID=14","0.00735")</f>
        <v>0.00735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HYPERLINK("http://141.218.60.56/~jnz1568/getInfo.php?workbook=06_02.xlsx&amp;sheet=U0&amp;row=1209&amp;col=6&amp;number=3.5&amp;sourceID=14","3.5")</f>
        <v>3.5</v>
      </c>
      <c r="G1209" s="4" t="str">
        <f>HYPERLINK("http://141.218.60.56/~jnz1568/getInfo.php?workbook=06_02.xlsx&amp;sheet=U0&amp;row=1209&amp;col=7&amp;number=0.00736&amp;sourceID=14","0.00736")</f>
        <v>0.00736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HYPERLINK("http://141.218.60.56/~jnz1568/getInfo.php?workbook=06_02.xlsx&amp;sheet=U0&amp;row=1210&amp;col=6&amp;number=3.6&amp;sourceID=14","3.6")</f>
        <v>3.6</v>
      </c>
      <c r="G1210" s="4" t="str">
        <f>HYPERLINK("http://141.218.60.56/~jnz1568/getInfo.php?workbook=06_02.xlsx&amp;sheet=U0&amp;row=1210&amp;col=7&amp;number=0.00737&amp;sourceID=14","0.00737")</f>
        <v>0.00737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HYPERLINK("http://141.218.60.56/~jnz1568/getInfo.php?workbook=06_02.xlsx&amp;sheet=U0&amp;row=1211&amp;col=6&amp;number=3.7&amp;sourceID=14","3.7")</f>
        <v>3.7</v>
      </c>
      <c r="G1211" s="4" t="str">
        <f>HYPERLINK("http://141.218.60.56/~jnz1568/getInfo.php?workbook=06_02.xlsx&amp;sheet=U0&amp;row=1211&amp;col=7&amp;number=0.00738&amp;sourceID=14","0.00738")</f>
        <v>0.00738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HYPERLINK("http://141.218.60.56/~jnz1568/getInfo.php?workbook=06_02.xlsx&amp;sheet=U0&amp;row=1212&amp;col=6&amp;number=3.8&amp;sourceID=14","3.8")</f>
        <v>3.8</v>
      </c>
      <c r="G1212" s="4" t="str">
        <f>HYPERLINK("http://141.218.60.56/~jnz1568/getInfo.php?workbook=06_02.xlsx&amp;sheet=U0&amp;row=1212&amp;col=7&amp;number=0.00739&amp;sourceID=14","0.00739")</f>
        <v>0.00739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HYPERLINK("http://141.218.60.56/~jnz1568/getInfo.php?workbook=06_02.xlsx&amp;sheet=U0&amp;row=1213&amp;col=6&amp;number=3.9&amp;sourceID=14","3.9")</f>
        <v>3.9</v>
      </c>
      <c r="G1213" s="4" t="str">
        <f>HYPERLINK("http://141.218.60.56/~jnz1568/getInfo.php?workbook=06_02.xlsx&amp;sheet=U0&amp;row=1213&amp;col=7&amp;number=0.0074&amp;sourceID=14","0.0074")</f>
        <v>0.0074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HYPERLINK("http://141.218.60.56/~jnz1568/getInfo.php?workbook=06_02.xlsx&amp;sheet=U0&amp;row=1214&amp;col=6&amp;number=4&amp;sourceID=14","4")</f>
        <v>4</v>
      </c>
      <c r="G1214" s="4" t="str">
        <f>HYPERLINK("http://141.218.60.56/~jnz1568/getInfo.php?workbook=06_02.xlsx&amp;sheet=U0&amp;row=1214&amp;col=7&amp;number=0.00742&amp;sourceID=14","0.00742")</f>
        <v>0.00742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HYPERLINK("http://141.218.60.56/~jnz1568/getInfo.php?workbook=06_02.xlsx&amp;sheet=U0&amp;row=1215&amp;col=6&amp;number=4.1&amp;sourceID=14","4.1")</f>
        <v>4.1</v>
      </c>
      <c r="G1215" s="4" t="str">
        <f>HYPERLINK("http://141.218.60.56/~jnz1568/getInfo.php?workbook=06_02.xlsx&amp;sheet=U0&amp;row=1215&amp;col=7&amp;number=0.00745&amp;sourceID=14","0.00745")</f>
        <v>0.00745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HYPERLINK("http://141.218.60.56/~jnz1568/getInfo.php?workbook=06_02.xlsx&amp;sheet=U0&amp;row=1216&amp;col=6&amp;number=4.2&amp;sourceID=14","4.2")</f>
        <v>4.2</v>
      </c>
      <c r="G1216" s="4" t="str">
        <f>HYPERLINK("http://141.218.60.56/~jnz1568/getInfo.php?workbook=06_02.xlsx&amp;sheet=U0&amp;row=1216&amp;col=7&amp;number=0.00748&amp;sourceID=14","0.00748")</f>
        <v>0.00748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HYPERLINK("http://141.218.60.56/~jnz1568/getInfo.php?workbook=06_02.xlsx&amp;sheet=U0&amp;row=1217&amp;col=6&amp;number=4.3&amp;sourceID=14","4.3")</f>
        <v>4.3</v>
      </c>
      <c r="G1217" s="4" t="str">
        <f>HYPERLINK("http://141.218.60.56/~jnz1568/getInfo.php?workbook=06_02.xlsx&amp;sheet=U0&amp;row=1217&amp;col=7&amp;number=0.00751&amp;sourceID=14","0.00751")</f>
        <v>0.00751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HYPERLINK("http://141.218.60.56/~jnz1568/getInfo.php?workbook=06_02.xlsx&amp;sheet=U0&amp;row=1218&amp;col=6&amp;number=4.4&amp;sourceID=14","4.4")</f>
        <v>4.4</v>
      </c>
      <c r="G1218" s="4" t="str">
        <f>HYPERLINK("http://141.218.60.56/~jnz1568/getInfo.php?workbook=06_02.xlsx&amp;sheet=U0&amp;row=1218&amp;col=7&amp;number=0.00756&amp;sourceID=14","0.00756")</f>
        <v>0.00756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HYPERLINK("http://141.218.60.56/~jnz1568/getInfo.php?workbook=06_02.xlsx&amp;sheet=U0&amp;row=1219&amp;col=6&amp;number=4.5&amp;sourceID=14","4.5")</f>
        <v>4.5</v>
      </c>
      <c r="G1219" s="4" t="str">
        <f>HYPERLINK("http://141.218.60.56/~jnz1568/getInfo.php?workbook=06_02.xlsx&amp;sheet=U0&amp;row=1219&amp;col=7&amp;number=0.00762&amp;sourceID=14","0.00762")</f>
        <v>0.00762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HYPERLINK("http://141.218.60.56/~jnz1568/getInfo.php?workbook=06_02.xlsx&amp;sheet=U0&amp;row=1220&amp;col=6&amp;number=4.6&amp;sourceID=14","4.6")</f>
        <v>4.6</v>
      </c>
      <c r="G1220" s="4" t="str">
        <f>HYPERLINK("http://141.218.60.56/~jnz1568/getInfo.php?workbook=06_02.xlsx&amp;sheet=U0&amp;row=1220&amp;col=7&amp;number=0.00769&amp;sourceID=14","0.00769")</f>
        <v>0.00769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HYPERLINK("http://141.218.60.56/~jnz1568/getInfo.php?workbook=06_02.xlsx&amp;sheet=U0&amp;row=1221&amp;col=6&amp;number=4.7&amp;sourceID=14","4.7")</f>
        <v>4.7</v>
      </c>
      <c r="G1221" s="4" t="str">
        <f>HYPERLINK("http://141.218.60.56/~jnz1568/getInfo.php?workbook=06_02.xlsx&amp;sheet=U0&amp;row=1221&amp;col=7&amp;number=0.00779&amp;sourceID=14","0.00779")</f>
        <v>0.00779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HYPERLINK("http://141.218.60.56/~jnz1568/getInfo.php?workbook=06_02.xlsx&amp;sheet=U0&amp;row=1222&amp;col=6&amp;number=4.8&amp;sourceID=14","4.8")</f>
        <v>4.8</v>
      </c>
      <c r="G1222" s="4" t="str">
        <f>HYPERLINK("http://141.218.60.56/~jnz1568/getInfo.php?workbook=06_02.xlsx&amp;sheet=U0&amp;row=1222&amp;col=7&amp;number=0.0079&amp;sourceID=14","0.0079")</f>
        <v>0.0079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HYPERLINK("http://141.218.60.56/~jnz1568/getInfo.php?workbook=06_02.xlsx&amp;sheet=U0&amp;row=1223&amp;col=6&amp;number=4.9&amp;sourceID=14","4.9")</f>
        <v>4.9</v>
      </c>
      <c r="G1223" s="4" t="str">
        <f>HYPERLINK("http://141.218.60.56/~jnz1568/getInfo.php?workbook=06_02.xlsx&amp;sheet=U0&amp;row=1223&amp;col=7&amp;number=0.00805&amp;sourceID=14","0.00805")</f>
        <v>0.00805</v>
      </c>
    </row>
    <row r="1224" spans="1:7">
      <c r="A1224" s="3">
        <v>6</v>
      </c>
      <c r="B1224" s="3">
        <v>2</v>
      </c>
      <c r="C1224" s="3">
        <v>2</v>
      </c>
      <c r="D1224" s="3">
        <v>21</v>
      </c>
      <c r="E1224" s="3">
        <v>1</v>
      </c>
      <c r="F1224" s="4" t="str">
        <f>HYPERLINK("http://141.218.60.56/~jnz1568/getInfo.php?workbook=06_02.xlsx&amp;sheet=U0&amp;row=1224&amp;col=6&amp;number=3&amp;sourceID=14","3")</f>
        <v>3</v>
      </c>
      <c r="G1224" s="4" t="str">
        <f>HYPERLINK("http://141.218.60.56/~jnz1568/getInfo.php?workbook=06_02.xlsx&amp;sheet=U0&amp;row=1224&amp;col=7&amp;number=0.022&amp;sourceID=14","0.022")</f>
        <v>0.022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HYPERLINK("http://141.218.60.56/~jnz1568/getInfo.php?workbook=06_02.xlsx&amp;sheet=U0&amp;row=1225&amp;col=6&amp;number=3.1&amp;sourceID=14","3.1")</f>
        <v>3.1</v>
      </c>
      <c r="G1225" s="4" t="str">
        <f>HYPERLINK("http://141.218.60.56/~jnz1568/getInfo.php?workbook=06_02.xlsx&amp;sheet=U0&amp;row=1225&amp;col=7&amp;number=0.022&amp;sourceID=14","0.022")</f>
        <v>0.022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HYPERLINK("http://141.218.60.56/~jnz1568/getInfo.php?workbook=06_02.xlsx&amp;sheet=U0&amp;row=1226&amp;col=6&amp;number=3.2&amp;sourceID=14","3.2")</f>
        <v>3.2</v>
      </c>
      <c r="G1226" s="4" t="str">
        <f>HYPERLINK("http://141.218.60.56/~jnz1568/getInfo.php?workbook=06_02.xlsx&amp;sheet=U0&amp;row=1226&amp;col=7&amp;number=0.022&amp;sourceID=14","0.022")</f>
        <v>0.022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HYPERLINK("http://141.218.60.56/~jnz1568/getInfo.php?workbook=06_02.xlsx&amp;sheet=U0&amp;row=1227&amp;col=6&amp;number=3.3&amp;sourceID=14","3.3")</f>
        <v>3.3</v>
      </c>
      <c r="G1227" s="4" t="str">
        <f>HYPERLINK("http://141.218.60.56/~jnz1568/getInfo.php?workbook=06_02.xlsx&amp;sheet=U0&amp;row=1227&amp;col=7&amp;number=0.022&amp;sourceID=14","0.022")</f>
        <v>0.022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HYPERLINK("http://141.218.60.56/~jnz1568/getInfo.php?workbook=06_02.xlsx&amp;sheet=U0&amp;row=1228&amp;col=6&amp;number=3.4&amp;sourceID=14","3.4")</f>
        <v>3.4</v>
      </c>
      <c r="G1228" s="4" t="str">
        <f>HYPERLINK("http://141.218.60.56/~jnz1568/getInfo.php?workbook=06_02.xlsx&amp;sheet=U0&amp;row=1228&amp;col=7&amp;number=0.0221&amp;sourceID=14","0.0221")</f>
        <v>0.0221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HYPERLINK("http://141.218.60.56/~jnz1568/getInfo.php?workbook=06_02.xlsx&amp;sheet=U0&amp;row=1229&amp;col=6&amp;number=3.5&amp;sourceID=14","3.5")</f>
        <v>3.5</v>
      </c>
      <c r="G1229" s="4" t="str">
        <f>HYPERLINK("http://141.218.60.56/~jnz1568/getInfo.php?workbook=06_02.xlsx&amp;sheet=U0&amp;row=1229&amp;col=7&amp;number=0.0221&amp;sourceID=14","0.0221")</f>
        <v>0.0221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HYPERLINK("http://141.218.60.56/~jnz1568/getInfo.php?workbook=06_02.xlsx&amp;sheet=U0&amp;row=1230&amp;col=6&amp;number=3.6&amp;sourceID=14","3.6")</f>
        <v>3.6</v>
      </c>
      <c r="G1230" s="4" t="str">
        <f>HYPERLINK("http://141.218.60.56/~jnz1568/getInfo.php?workbook=06_02.xlsx&amp;sheet=U0&amp;row=1230&amp;col=7&amp;number=0.0221&amp;sourceID=14","0.0221")</f>
        <v>0.0221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HYPERLINK("http://141.218.60.56/~jnz1568/getInfo.php?workbook=06_02.xlsx&amp;sheet=U0&amp;row=1231&amp;col=6&amp;number=3.7&amp;sourceID=14","3.7")</f>
        <v>3.7</v>
      </c>
      <c r="G1231" s="4" t="str">
        <f>HYPERLINK("http://141.218.60.56/~jnz1568/getInfo.php?workbook=06_02.xlsx&amp;sheet=U0&amp;row=1231&amp;col=7&amp;number=0.0221&amp;sourceID=14","0.0221")</f>
        <v>0.0221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HYPERLINK("http://141.218.60.56/~jnz1568/getInfo.php?workbook=06_02.xlsx&amp;sheet=U0&amp;row=1232&amp;col=6&amp;number=3.8&amp;sourceID=14","3.8")</f>
        <v>3.8</v>
      </c>
      <c r="G1232" s="4" t="str">
        <f>HYPERLINK("http://141.218.60.56/~jnz1568/getInfo.php?workbook=06_02.xlsx&amp;sheet=U0&amp;row=1232&amp;col=7&amp;number=0.0222&amp;sourceID=14","0.0222")</f>
        <v>0.0222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HYPERLINK("http://141.218.60.56/~jnz1568/getInfo.php?workbook=06_02.xlsx&amp;sheet=U0&amp;row=1233&amp;col=6&amp;number=3.9&amp;sourceID=14","3.9")</f>
        <v>3.9</v>
      </c>
      <c r="G1233" s="4" t="str">
        <f>HYPERLINK("http://141.218.60.56/~jnz1568/getInfo.php?workbook=06_02.xlsx&amp;sheet=U0&amp;row=1233&amp;col=7&amp;number=0.0222&amp;sourceID=14","0.0222")</f>
        <v>0.0222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HYPERLINK("http://141.218.60.56/~jnz1568/getInfo.php?workbook=06_02.xlsx&amp;sheet=U0&amp;row=1234&amp;col=6&amp;number=4&amp;sourceID=14","4")</f>
        <v>4</v>
      </c>
      <c r="G1234" s="4" t="str">
        <f>HYPERLINK("http://141.218.60.56/~jnz1568/getInfo.php?workbook=06_02.xlsx&amp;sheet=U0&amp;row=1234&amp;col=7&amp;number=0.0223&amp;sourceID=14","0.0223")</f>
        <v>0.0223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HYPERLINK("http://141.218.60.56/~jnz1568/getInfo.php?workbook=06_02.xlsx&amp;sheet=U0&amp;row=1235&amp;col=6&amp;number=4.1&amp;sourceID=14","4.1")</f>
        <v>4.1</v>
      </c>
      <c r="G1235" s="4" t="str">
        <f>HYPERLINK("http://141.218.60.56/~jnz1568/getInfo.php?workbook=06_02.xlsx&amp;sheet=U0&amp;row=1235&amp;col=7&amp;number=0.0223&amp;sourceID=14","0.0223")</f>
        <v>0.0223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HYPERLINK("http://141.218.60.56/~jnz1568/getInfo.php?workbook=06_02.xlsx&amp;sheet=U0&amp;row=1236&amp;col=6&amp;number=4.2&amp;sourceID=14","4.2")</f>
        <v>4.2</v>
      </c>
      <c r="G1236" s="4" t="str">
        <f>HYPERLINK("http://141.218.60.56/~jnz1568/getInfo.php?workbook=06_02.xlsx&amp;sheet=U0&amp;row=1236&amp;col=7&amp;number=0.0224&amp;sourceID=14","0.0224")</f>
        <v>0.0224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HYPERLINK("http://141.218.60.56/~jnz1568/getInfo.php?workbook=06_02.xlsx&amp;sheet=U0&amp;row=1237&amp;col=6&amp;number=4.3&amp;sourceID=14","4.3")</f>
        <v>4.3</v>
      </c>
      <c r="G1237" s="4" t="str">
        <f>HYPERLINK("http://141.218.60.56/~jnz1568/getInfo.php?workbook=06_02.xlsx&amp;sheet=U0&amp;row=1237&amp;col=7&amp;number=0.0225&amp;sourceID=14","0.0225")</f>
        <v>0.0225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HYPERLINK("http://141.218.60.56/~jnz1568/getInfo.php?workbook=06_02.xlsx&amp;sheet=U0&amp;row=1238&amp;col=6&amp;number=4.4&amp;sourceID=14","4.4")</f>
        <v>4.4</v>
      </c>
      <c r="G1238" s="4" t="str">
        <f>HYPERLINK("http://141.218.60.56/~jnz1568/getInfo.php?workbook=06_02.xlsx&amp;sheet=U0&amp;row=1238&amp;col=7&amp;number=0.0227&amp;sourceID=14","0.0227")</f>
        <v>0.0227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HYPERLINK("http://141.218.60.56/~jnz1568/getInfo.php?workbook=06_02.xlsx&amp;sheet=U0&amp;row=1239&amp;col=6&amp;number=4.5&amp;sourceID=14","4.5")</f>
        <v>4.5</v>
      </c>
      <c r="G1239" s="4" t="str">
        <f>HYPERLINK("http://141.218.60.56/~jnz1568/getInfo.php?workbook=06_02.xlsx&amp;sheet=U0&amp;row=1239&amp;col=7&amp;number=0.0229&amp;sourceID=14","0.0229")</f>
        <v>0.0229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HYPERLINK("http://141.218.60.56/~jnz1568/getInfo.php?workbook=06_02.xlsx&amp;sheet=U0&amp;row=1240&amp;col=6&amp;number=4.6&amp;sourceID=14","4.6")</f>
        <v>4.6</v>
      </c>
      <c r="G1240" s="4" t="str">
        <f>HYPERLINK("http://141.218.60.56/~jnz1568/getInfo.php?workbook=06_02.xlsx&amp;sheet=U0&amp;row=1240&amp;col=7&amp;number=0.0231&amp;sourceID=14","0.0231")</f>
        <v>0.0231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HYPERLINK("http://141.218.60.56/~jnz1568/getInfo.php?workbook=06_02.xlsx&amp;sheet=U0&amp;row=1241&amp;col=6&amp;number=4.7&amp;sourceID=14","4.7")</f>
        <v>4.7</v>
      </c>
      <c r="G1241" s="4" t="str">
        <f>HYPERLINK("http://141.218.60.56/~jnz1568/getInfo.php?workbook=06_02.xlsx&amp;sheet=U0&amp;row=1241&amp;col=7&amp;number=0.0234&amp;sourceID=14","0.0234")</f>
        <v>0.0234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HYPERLINK("http://141.218.60.56/~jnz1568/getInfo.php?workbook=06_02.xlsx&amp;sheet=U0&amp;row=1242&amp;col=6&amp;number=4.8&amp;sourceID=14","4.8")</f>
        <v>4.8</v>
      </c>
      <c r="G1242" s="4" t="str">
        <f>HYPERLINK("http://141.218.60.56/~jnz1568/getInfo.php?workbook=06_02.xlsx&amp;sheet=U0&amp;row=1242&amp;col=7&amp;number=0.0237&amp;sourceID=14","0.0237")</f>
        <v>0.0237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HYPERLINK("http://141.218.60.56/~jnz1568/getInfo.php?workbook=06_02.xlsx&amp;sheet=U0&amp;row=1243&amp;col=6&amp;number=4.9&amp;sourceID=14","4.9")</f>
        <v>4.9</v>
      </c>
      <c r="G1243" s="4" t="str">
        <f>HYPERLINK("http://141.218.60.56/~jnz1568/getInfo.php?workbook=06_02.xlsx&amp;sheet=U0&amp;row=1243&amp;col=7&amp;number=0.0241&amp;sourceID=14","0.0241")</f>
        <v>0.0241</v>
      </c>
    </row>
    <row r="1244" spans="1:7">
      <c r="A1244" s="3">
        <v>6</v>
      </c>
      <c r="B1244" s="3">
        <v>2</v>
      </c>
      <c r="C1244" s="3">
        <v>2</v>
      </c>
      <c r="D1244" s="3">
        <v>22</v>
      </c>
      <c r="E1244" s="3">
        <v>1</v>
      </c>
      <c r="F1244" s="4" t="str">
        <f>HYPERLINK("http://141.218.60.56/~jnz1568/getInfo.php?workbook=06_02.xlsx&amp;sheet=U0&amp;row=1244&amp;col=6&amp;number=3&amp;sourceID=14","3")</f>
        <v>3</v>
      </c>
      <c r="G1244" s="4" t="str">
        <f>HYPERLINK("http://141.218.60.56/~jnz1568/getInfo.php?workbook=06_02.xlsx&amp;sheet=U0&amp;row=1244&amp;col=7&amp;number=0.0367&amp;sourceID=14","0.0367")</f>
        <v>0.0367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HYPERLINK("http://141.218.60.56/~jnz1568/getInfo.php?workbook=06_02.xlsx&amp;sheet=U0&amp;row=1245&amp;col=6&amp;number=3.1&amp;sourceID=14","3.1")</f>
        <v>3.1</v>
      </c>
      <c r="G1245" s="4" t="str">
        <f>HYPERLINK("http://141.218.60.56/~jnz1568/getInfo.php?workbook=06_02.xlsx&amp;sheet=U0&amp;row=1245&amp;col=7&amp;number=0.0367&amp;sourceID=14","0.0367")</f>
        <v>0.0367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HYPERLINK("http://141.218.60.56/~jnz1568/getInfo.php?workbook=06_02.xlsx&amp;sheet=U0&amp;row=1246&amp;col=6&amp;number=3.2&amp;sourceID=14","3.2")</f>
        <v>3.2</v>
      </c>
      <c r="G1246" s="4" t="str">
        <f>HYPERLINK("http://141.218.60.56/~jnz1568/getInfo.php?workbook=06_02.xlsx&amp;sheet=U0&amp;row=1246&amp;col=7&amp;number=0.0367&amp;sourceID=14","0.0367")</f>
        <v>0.0367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HYPERLINK("http://141.218.60.56/~jnz1568/getInfo.php?workbook=06_02.xlsx&amp;sheet=U0&amp;row=1247&amp;col=6&amp;number=3.3&amp;sourceID=14","3.3")</f>
        <v>3.3</v>
      </c>
      <c r="G1247" s="4" t="str">
        <f>HYPERLINK("http://141.218.60.56/~jnz1568/getInfo.php?workbook=06_02.xlsx&amp;sheet=U0&amp;row=1247&amp;col=7&amp;number=0.0367&amp;sourceID=14","0.0367")</f>
        <v>0.0367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HYPERLINK("http://141.218.60.56/~jnz1568/getInfo.php?workbook=06_02.xlsx&amp;sheet=U0&amp;row=1248&amp;col=6&amp;number=3.4&amp;sourceID=14","3.4")</f>
        <v>3.4</v>
      </c>
      <c r="G1248" s="4" t="str">
        <f>HYPERLINK("http://141.218.60.56/~jnz1568/getInfo.php?workbook=06_02.xlsx&amp;sheet=U0&amp;row=1248&amp;col=7&amp;number=0.0368&amp;sourceID=14","0.0368")</f>
        <v>0.0368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HYPERLINK("http://141.218.60.56/~jnz1568/getInfo.php?workbook=06_02.xlsx&amp;sheet=U0&amp;row=1249&amp;col=6&amp;number=3.5&amp;sourceID=14","3.5")</f>
        <v>3.5</v>
      </c>
      <c r="G1249" s="4" t="str">
        <f>HYPERLINK("http://141.218.60.56/~jnz1568/getInfo.php?workbook=06_02.xlsx&amp;sheet=U0&amp;row=1249&amp;col=7&amp;number=0.0368&amp;sourceID=14","0.0368")</f>
        <v>0.0368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HYPERLINK("http://141.218.60.56/~jnz1568/getInfo.php?workbook=06_02.xlsx&amp;sheet=U0&amp;row=1250&amp;col=6&amp;number=3.6&amp;sourceID=14","3.6")</f>
        <v>3.6</v>
      </c>
      <c r="G1250" s="4" t="str">
        <f>HYPERLINK("http://141.218.60.56/~jnz1568/getInfo.php?workbook=06_02.xlsx&amp;sheet=U0&amp;row=1250&amp;col=7&amp;number=0.0368&amp;sourceID=14","0.0368")</f>
        <v>0.0368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HYPERLINK("http://141.218.60.56/~jnz1568/getInfo.php?workbook=06_02.xlsx&amp;sheet=U0&amp;row=1251&amp;col=6&amp;number=3.7&amp;sourceID=14","3.7")</f>
        <v>3.7</v>
      </c>
      <c r="G1251" s="4" t="str">
        <f>HYPERLINK("http://141.218.60.56/~jnz1568/getInfo.php?workbook=06_02.xlsx&amp;sheet=U0&amp;row=1251&amp;col=7&amp;number=0.0369&amp;sourceID=14","0.0369")</f>
        <v>0.0369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HYPERLINK("http://141.218.60.56/~jnz1568/getInfo.php?workbook=06_02.xlsx&amp;sheet=U0&amp;row=1252&amp;col=6&amp;number=3.8&amp;sourceID=14","3.8")</f>
        <v>3.8</v>
      </c>
      <c r="G1252" s="4" t="str">
        <f>HYPERLINK("http://141.218.60.56/~jnz1568/getInfo.php?workbook=06_02.xlsx&amp;sheet=U0&amp;row=1252&amp;col=7&amp;number=0.0369&amp;sourceID=14","0.0369")</f>
        <v>0.0369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HYPERLINK("http://141.218.60.56/~jnz1568/getInfo.php?workbook=06_02.xlsx&amp;sheet=U0&amp;row=1253&amp;col=6&amp;number=3.9&amp;sourceID=14","3.9")</f>
        <v>3.9</v>
      </c>
      <c r="G1253" s="4" t="str">
        <f>HYPERLINK("http://141.218.60.56/~jnz1568/getInfo.php?workbook=06_02.xlsx&amp;sheet=U0&amp;row=1253&amp;col=7&amp;number=0.037&amp;sourceID=14","0.037")</f>
        <v>0.037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HYPERLINK("http://141.218.60.56/~jnz1568/getInfo.php?workbook=06_02.xlsx&amp;sheet=U0&amp;row=1254&amp;col=6&amp;number=4&amp;sourceID=14","4")</f>
        <v>4</v>
      </c>
      <c r="G1254" s="4" t="str">
        <f>HYPERLINK("http://141.218.60.56/~jnz1568/getInfo.php?workbook=06_02.xlsx&amp;sheet=U0&amp;row=1254&amp;col=7&amp;number=0.0371&amp;sourceID=14","0.0371")</f>
        <v>0.0371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HYPERLINK("http://141.218.60.56/~jnz1568/getInfo.php?workbook=06_02.xlsx&amp;sheet=U0&amp;row=1255&amp;col=6&amp;number=4.1&amp;sourceID=14","4.1")</f>
        <v>4.1</v>
      </c>
      <c r="G1255" s="4" t="str">
        <f>HYPERLINK("http://141.218.60.56/~jnz1568/getInfo.php?workbook=06_02.xlsx&amp;sheet=U0&amp;row=1255&amp;col=7&amp;number=0.0372&amp;sourceID=14","0.0372")</f>
        <v>0.0372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HYPERLINK("http://141.218.60.56/~jnz1568/getInfo.php?workbook=06_02.xlsx&amp;sheet=U0&amp;row=1256&amp;col=6&amp;number=4.2&amp;sourceID=14","4.2")</f>
        <v>4.2</v>
      </c>
      <c r="G1256" s="4" t="str">
        <f>HYPERLINK("http://141.218.60.56/~jnz1568/getInfo.php?workbook=06_02.xlsx&amp;sheet=U0&amp;row=1256&amp;col=7&amp;number=0.0374&amp;sourceID=14","0.0374")</f>
        <v>0.0374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HYPERLINK("http://141.218.60.56/~jnz1568/getInfo.php?workbook=06_02.xlsx&amp;sheet=U0&amp;row=1257&amp;col=6&amp;number=4.3&amp;sourceID=14","4.3")</f>
        <v>4.3</v>
      </c>
      <c r="G1257" s="4" t="str">
        <f>HYPERLINK("http://141.218.60.56/~jnz1568/getInfo.php?workbook=06_02.xlsx&amp;sheet=U0&amp;row=1257&amp;col=7&amp;number=0.0376&amp;sourceID=14","0.0376")</f>
        <v>0.0376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HYPERLINK("http://141.218.60.56/~jnz1568/getInfo.php?workbook=06_02.xlsx&amp;sheet=U0&amp;row=1258&amp;col=6&amp;number=4.4&amp;sourceID=14","4.4")</f>
        <v>4.4</v>
      </c>
      <c r="G1258" s="4" t="str">
        <f>HYPERLINK("http://141.218.60.56/~jnz1568/getInfo.php?workbook=06_02.xlsx&amp;sheet=U0&amp;row=1258&amp;col=7&amp;number=0.0378&amp;sourceID=14","0.0378")</f>
        <v>0.0378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HYPERLINK("http://141.218.60.56/~jnz1568/getInfo.php?workbook=06_02.xlsx&amp;sheet=U0&amp;row=1259&amp;col=6&amp;number=4.5&amp;sourceID=14","4.5")</f>
        <v>4.5</v>
      </c>
      <c r="G1259" s="4" t="str">
        <f>HYPERLINK("http://141.218.60.56/~jnz1568/getInfo.php?workbook=06_02.xlsx&amp;sheet=U0&amp;row=1259&amp;col=7&amp;number=0.0381&amp;sourceID=14","0.0381")</f>
        <v>0.0381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HYPERLINK("http://141.218.60.56/~jnz1568/getInfo.php?workbook=06_02.xlsx&amp;sheet=U0&amp;row=1260&amp;col=6&amp;number=4.6&amp;sourceID=14","4.6")</f>
        <v>4.6</v>
      </c>
      <c r="G1260" s="4" t="str">
        <f>HYPERLINK("http://141.218.60.56/~jnz1568/getInfo.php?workbook=06_02.xlsx&amp;sheet=U0&amp;row=1260&amp;col=7&amp;number=0.0385&amp;sourceID=14","0.0385")</f>
        <v>0.0385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HYPERLINK("http://141.218.60.56/~jnz1568/getInfo.php?workbook=06_02.xlsx&amp;sheet=U0&amp;row=1261&amp;col=6&amp;number=4.7&amp;sourceID=14","4.7")</f>
        <v>4.7</v>
      </c>
      <c r="G1261" s="4" t="str">
        <f>HYPERLINK("http://141.218.60.56/~jnz1568/getInfo.php?workbook=06_02.xlsx&amp;sheet=U0&amp;row=1261&amp;col=7&amp;number=0.0389&amp;sourceID=14","0.0389")</f>
        <v>0.0389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HYPERLINK("http://141.218.60.56/~jnz1568/getInfo.php?workbook=06_02.xlsx&amp;sheet=U0&amp;row=1262&amp;col=6&amp;number=4.8&amp;sourceID=14","4.8")</f>
        <v>4.8</v>
      </c>
      <c r="G1262" s="4" t="str">
        <f>HYPERLINK("http://141.218.60.56/~jnz1568/getInfo.php?workbook=06_02.xlsx&amp;sheet=U0&amp;row=1262&amp;col=7&amp;number=0.0395&amp;sourceID=14","0.0395")</f>
        <v>0.0395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HYPERLINK("http://141.218.60.56/~jnz1568/getInfo.php?workbook=06_02.xlsx&amp;sheet=U0&amp;row=1263&amp;col=6&amp;number=4.9&amp;sourceID=14","4.9")</f>
        <v>4.9</v>
      </c>
      <c r="G1263" s="4" t="str">
        <f>HYPERLINK("http://141.218.60.56/~jnz1568/getInfo.php?workbook=06_02.xlsx&amp;sheet=U0&amp;row=1263&amp;col=7&amp;number=0.0402&amp;sourceID=14","0.0402")</f>
        <v>0.0402</v>
      </c>
    </row>
    <row r="1264" spans="1:7">
      <c r="A1264" s="3">
        <v>6</v>
      </c>
      <c r="B1264" s="3">
        <v>2</v>
      </c>
      <c r="C1264" s="3">
        <v>2</v>
      </c>
      <c r="D1264" s="3">
        <v>23</v>
      </c>
      <c r="E1264" s="3">
        <v>1</v>
      </c>
      <c r="F1264" s="4" t="str">
        <f>HYPERLINK("http://141.218.60.56/~jnz1568/getInfo.php?workbook=06_02.xlsx&amp;sheet=U0&amp;row=1264&amp;col=6&amp;number=3&amp;sourceID=14","3")</f>
        <v>3</v>
      </c>
      <c r="G1264" s="4" t="str">
        <f>HYPERLINK("http://141.218.60.56/~jnz1568/getInfo.php?workbook=06_02.xlsx&amp;sheet=U0&amp;row=1264&amp;col=7&amp;number=0.0101&amp;sourceID=14","0.0101")</f>
        <v>0.0101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HYPERLINK("http://141.218.60.56/~jnz1568/getInfo.php?workbook=06_02.xlsx&amp;sheet=U0&amp;row=1265&amp;col=6&amp;number=3.1&amp;sourceID=14","3.1")</f>
        <v>3.1</v>
      </c>
      <c r="G1265" s="4" t="str">
        <f>HYPERLINK("http://141.218.60.56/~jnz1568/getInfo.php?workbook=06_02.xlsx&amp;sheet=U0&amp;row=1265&amp;col=7&amp;number=0.0101&amp;sourceID=14","0.0101")</f>
        <v>0.0101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HYPERLINK("http://141.218.60.56/~jnz1568/getInfo.php?workbook=06_02.xlsx&amp;sheet=U0&amp;row=1266&amp;col=6&amp;number=3.2&amp;sourceID=14","3.2")</f>
        <v>3.2</v>
      </c>
      <c r="G1266" s="4" t="str">
        <f>HYPERLINK("http://141.218.60.56/~jnz1568/getInfo.php?workbook=06_02.xlsx&amp;sheet=U0&amp;row=1266&amp;col=7&amp;number=0.0101&amp;sourceID=14","0.0101")</f>
        <v>0.0101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HYPERLINK("http://141.218.60.56/~jnz1568/getInfo.php?workbook=06_02.xlsx&amp;sheet=U0&amp;row=1267&amp;col=6&amp;number=3.3&amp;sourceID=14","3.3")</f>
        <v>3.3</v>
      </c>
      <c r="G1267" s="4" t="str">
        <f>HYPERLINK("http://141.218.60.56/~jnz1568/getInfo.php?workbook=06_02.xlsx&amp;sheet=U0&amp;row=1267&amp;col=7&amp;number=0.0101&amp;sourceID=14","0.0101")</f>
        <v>0.0101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HYPERLINK("http://141.218.60.56/~jnz1568/getInfo.php?workbook=06_02.xlsx&amp;sheet=U0&amp;row=1268&amp;col=6&amp;number=3.4&amp;sourceID=14","3.4")</f>
        <v>3.4</v>
      </c>
      <c r="G1268" s="4" t="str">
        <f>HYPERLINK("http://141.218.60.56/~jnz1568/getInfo.php?workbook=06_02.xlsx&amp;sheet=U0&amp;row=1268&amp;col=7&amp;number=0.0101&amp;sourceID=14","0.0101")</f>
        <v>0.0101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HYPERLINK("http://141.218.60.56/~jnz1568/getInfo.php?workbook=06_02.xlsx&amp;sheet=U0&amp;row=1269&amp;col=6&amp;number=3.5&amp;sourceID=14","3.5")</f>
        <v>3.5</v>
      </c>
      <c r="G1269" s="4" t="str">
        <f>HYPERLINK("http://141.218.60.56/~jnz1568/getInfo.php?workbook=06_02.xlsx&amp;sheet=U0&amp;row=1269&amp;col=7&amp;number=0.0101&amp;sourceID=14","0.0101")</f>
        <v>0.0101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HYPERLINK("http://141.218.60.56/~jnz1568/getInfo.php?workbook=06_02.xlsx&amp;sheet=U0&amp;row=1270&amp;col=6&amp;number=3.6&amp;sourceID=14","3.6")</f>
        <v>3.6</v>
      </c>
      <c r="G1270" s="4" t="str">
        <f>HYPERLINK("http://141.218.60.56/~jnz1568/getInfo.php?workbook=06_02.xlsx&amp;sheet=U0&amp;row=1270&amp;col=7&amp;number=0.01&amp;sourceID=14","0.01")</f>
        <v>0.01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HYPERLINK("http://141.218.60.56/~jnz1568/getInfo.php?workbook=06_02.xlsx&amp;sheet=U0&amp;row=1271&amp;col=6&amp;number=3.7&amp;sourceID=14","3.7")</f>
        <v>3.7</v>
      </c>
      <c r="G1271" s="4" t="str">
        <f>HYPERLINK("http://141.218.60.56/~jnz1568/getInfo.php?workbook=06_02.xlsx&amp;sheet=U0&amp;row=1271&amp;col=7&amp;number=0.01&amp;sourceID=14","0.01")</f>
        <v>0.01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HYPERLINK("http://141.218.60.56/~jnz1568/getInfo.php?workbook=06_02.xlsx&amp;sheet=U0&amp;row=1272&amp;col=6&amp;number=3.8&amp;sourceID=14","3.8")</f>
        <v>3.8</v>
      </c>
      <c r="G1272" s="4" t="str">
        <f>HYPERLINK("http://141.218.60.56/~jnz1568/getInfo.php?workbook=06_02.xlsx&amp;sheet=U0&amp;row=1272&amp;col=7&amp;number=0.01&amp;sourceID=14","0.01")</f>
        <v>0.01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HYPERLINK("http://141.218.60.56/~jnz1568/getInfo.php?workbook=06_02.xlsx&amp;sheet=U0&amp;row=1273&amp;col=6&amp;number=3.9&amp;sourceID=14","3.9")</f>
        <v>3.9</v>
      </c>
      <c r="G1273" s="4" t="str">
        <f>HYPERLINK("http://141.218.60.56/~jnz1568/getInfo.php?workbook=06_02.xlsx&amp;sheet=U0&amp;row=1273&amp;col=7&amp;number=0.01&amp;sourceID=14","0.01")</f>
        <v>0.01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HYPERLINK("http://141.218.60.56/~jnz1568/getInfo.php?workbook=06_02.xlsx&amp;sheet=U0&amp;row=1274&amp;col=6&amp;number=4&amp;sourceID=14","4")</f>
        <v>4</v>
      </c>
      <c r="G1274" s="4" t="str">
        <f>HYPERLINK("http://141.218.60.56/~jnz1568/getInfo.php?workbook=06_02.xlsx&amp;sheet=U0&amp;row=1274&amp;col=7&amp;number=0.00997&amp;sourceID=14","0.00997")</f>
        <v>0.00997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HYPERLINK("http://141.218.60.56/~jnz1568/getInfo.php?workbook=06_02.xlsx&amp;sheet=U0&amp;row=1275&amp;col=6&amp;number=4.1&amp;sourceID=14","4.1")</f>
        <v>4.1</v>
      </c>
      <c r="G1275" s="4" t="str">
        <f>HYPERLINK("http://141.218.60.56/~jnz1568/getInfo.php?workbook=06_02.xlsx&amp;sheet=U0&amp;row=1275&amp;col=7&amp;number=0.00994&amp;sourceID=14","0.00994")</f>
        <v>0.00994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HYPERLINK("http://141.218.60.56/~jnz1568/getInfo.php?workbook=06_02.xlsx&amp;sheet=U0&amp;row=1276&amp;col=6&amp;number=4.2&amp;sourceID=14","4.2")</f>
        <v>4.2</v>
      </c>
      <c r="G1276" s="4" t="str">
        <f>HYPERLINK("http://141.218.60.56/~jnz1568/getInfo.php?workbook=06_02.xlsx&amp;sheet=U0&amp;row=1276&amp;col=7&amp;number=0.0099&amp;sourceID=14","0.0099")</f>
        <v>0.0099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HYPERLINK("http://141.218.60.56/~jnz1568/getInfo.php?workbook=06_02.xlsx&amp;sheet=U0&amp;row=1277&amp;col=6&amp;number=4.3&amp;sourceID=14","4.3")</f>
        <v>4.3</v>
      </c>
      <c r="G1277" s="4" t="str">
        <f>HYPERLINK("http://141.218.60.56/~jnz1568/getInfo.php?workbook=06_02.xlsx&amp;sheet=U0&amp;row=1277&amp;col=7&amp;number=0.00985&amp;sourceID=14","0.00985")</f>
        <v>0.00985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HYPERLINK("http://141.218.60.56/~jnz1568/getInfo.php?workbook=06_02.xlsx&amp;sheet=U0&amp;row=1278&amp;col=6&amp;number=4.4&amp;sourceID=14","4.4")</f>
        <v>4.4</v>
      </c>
      <c r="G1278" s="4" t="str">
        <f>HYPERLINK("http://141.218.60.56/~jnz1568/getInfo.php?workbook=06_02.xlsx&amp;sheet=U0&amp;row=1278&amp;col=7&amp;number=0.00979&amp;sourceID=14","0.00979")</f>
        <v>0.00979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HYPERLINK("http://141.218.60.56/~jnz1568/getInfo.php?workbook=06_02.xlsx&amp;sheet=U0&amp;row=1279&amp;col=6&amp;number=4.5&amp;sourceID=14","4.5")</f>
        <v>4.5</v>
      </c>
      <c r="G1279" s="4" t="str">
        <f>HYPERLINK("http://141.218.60.56/~jnz1568/getInfo.php?workbook=06_02.xlsx&amp;sheet=U0&amp;row=1279&amp;col=7&amp;number=0.00971&amp;sourceID=14","0.00971")</f>
        <v>0.00971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HYPERLINK("http://141.218.60.56/~jnz1568/getInfo.php?workbook=06_02.xlsx&amp;sheet=U0&amp;row=1280&amp;col=6&amp;number=4.6&amp;sourceID=14","4.6")</f>
        <v>4.6</v>
      </c>
      <c r="G1280" s="4" t="str">
        <f>HYPERLINK("http://141.218.60.56/~jnz1568/getInfo.php?workbook=06_02.xlsx&amp;sheet=U0&amp;row=1280&amp;col=7&amp;number=0.00962&amp;sourceID=14","0.00962")</f>
        <v>0.00962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HYPERLINK("http://141.218.60.56/~jnz1568/getInfo.php?workbook=06_02.xlsx&amp;sheet=U0&amp;row=1281&amp;col=6&amp;number=4.7&amp;sourceID=14","4.7")</f>
        <v>4.7</v>
      </c>
      <c r="G1281" s="4" t="str">
        <f>HYPERLINK("http://141.218.60.56/~jnz1568/getInfo.php?workbook=06_02.xlsx&amp;sheet=U0&amp;row=1281&amp;col=7&amp;number=0.0095&amp;sourceID=14","0.0095")</f>
        <v>0.0095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HYPERLINK("http://141.218.60.56/~jnz1568/getInfo.php?workbook=06_02.xlsx&amp;sheet=U0&amp;row=1282&amp;col=6&amp;number=4.8&amp;sourceID=14","4.8")</f>
        <v>4.8</v>
      </c>
      <c r="G1282" s="4" t="str">
        <f>HYPERLINK("http://141.218.60.56/~jnz1568/getInfo.php?workbook=06_02.xlsx&amp;sheet=U0&amp;row=1282&amp;col=7&amp;number=0.00935&amp;sourceID=14","0.00935")</f>
        <v>0.00935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HYPERLINK("http://141.218.60.56/~jnz1568/getInfo.php?workbook=06_02.xlsx&amp;sheet=U0&amp;row=1283&amp;col=6&amp;number=4.9&amp;sourceID=14","4.9")</f>
        <v>4.9</v>
      </c>
      <c r="G1283" s="4" t="str">
        <f>HYPERLINK("http://141.218.60.56/~jnz1568/getInfo.php?workbook=06_02.xlsx&amp;sheet=U0&amp;row=1283&amp;col=7&amp;number=0.00918&amp;sourceID=14","0.00918")</f>
        <v>0.00918</v>
      </c>
    </row>
    <row r="1284" spans="1:7">
      <c r="A1284" s="3">
        <v>6</v>
      </c>
      <c r="B1284" s="3">
        <v>2</v>
      </c>
      <c r="C1284" s="3">
        <v>2</v>
      </c>
      <c r="D1284" s="3">
        <v>24</v>
      </c>
      <c r="E1284" s="3">
        <v>1</v>
      </c>
      <c r="F1284" s="4" t="str">
        <f>HYPERLINK("http://141.218.60.56/~jnz1568/getInfo.php?workbook=06_02.xlsx&amp;sheet=U0&amp;row=1284&amp;col=6&amp;number=3&amp;sourceID=14","3")</f>
        <v>3</v>
      </c>
      <c r="G1284" s="4" t="str">
        <f>HYPERLINK("http://141.218.60.56/~jnz1568/getInfo.php?workbook=06_02.xlsx&amp;sheet=U0&amp;row=1284&amp;col=7&amp;number=0.0217&amp;sourceID=14","0.0217")</f>
        <v>0.0217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HYPERLINK("http://141.218.60.56/~jnz1568/getInfo.php?workbook=06_02.xlsx&amp;sheet=U0&amp;row=1285&amp;col=6&amp;number=3.1&amp;sourceID=14","3.1")</f>
        <v>3.1</v>
      </c>
      <c r="G1285" s="4" t="str">
        <f>HYPERLINK("http://141.218.60.56/~jnz1568/getInfo.php?workbook=06_02.xlsx&amp;sheet=U0&amp;row=1285&amp;col=7&amp;number=0.0217&amp;sourceID=14","0.0217")</f>
        <v>0.0217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HYPERLINK("http://141.218.60.56/~jnz1568/getInfo.php?workbook=06_02.xlsx&amp;sheet=U0&amp;row=1286&amp;col=6&amp;number=3.2&amp;sourceID=14","3.2")</f>
        <v>3.2</v>
      </c>
      <c r="G1286" s="4" t="str">
        <f>HYPERLINK("http://141.218.60.56/~jnz1568/getInfo.php?workbook=06_02.xlsx&amp;sheet=U0&amp;row=1286&amp;col=7&amp;number=0.0217&amp;sourceID=14","0.0217")</f>
        <v>0.0217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HYPERLINK("http://141.218.60.56/~jnz1568/getInfo.php?workbook=06_02.xlsx&amp;sheet=U0&amp;row=1287&amp;col=6&amp;number=3.3&amp;sourceID=14","3.3")</f>
        <v>3.3</v>
      </c>
      <c r="G1287" s="4" t="str">
        <f>HYPERLINK("http://141.218.60.56/~jnz1568/getInfo.php?workbook=06_02.xlsx&amp;sheet=U0&amp;row=1287&amp;col=7&amp;number=0.0217&amp;sourceID=14","0.0217")</f>
        <v>0.0217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HYPERLINK("http://141.218.60.56/~jnz1568/getInfo.php?workbook=06_02.xlsx&amp;sheet=U0&amp;row=1288&amp;col=6&amp;number=3.4&amp;sourceID=14","3.4")</f>
        <v>3.4</v>
      </c>
      <c r="G1288" s="4" t="str">
        <f>HYPERLINK("http://141.218.60.56/~jnz1568/getInfo.php?workbook=06_02.xlsx&amp;sheet=U0&amp;row=1288&amp;col=7&amp;number=0.0217&amp;sourceID=14","0.0217")</f>
        <v>0.0217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HYPERLINK("http://141.218.60.56/~jnz1568/getInfo.php?workbook=06_02.xlsx&amp;sheet=U0&amp;row=1289&amp;col=6&amp;number=3.5&amp;sourceID=14","3.5")</f>
        <v>3.5</v>
      </c>
      <c r="G1289" s="4" t="str">
        <f>HYPERLINK("http://141.218.60.56/~jnz1568/getInfo.php?workbook=06_02.xlsx&amp;sheet=U0&amp;row=1289&amp;col=7&amp;number=0.0217&amp;sourceID=14","0.0217")</f>
        <v>0.0217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HYPERLINK("http://141.218.60.56/~jnz1568/getInfo.php?workbook=06_02.xlsx&amp;sheet=U0&amp;row=1290&amp;col=6&amp;number=3.6&amp;sourceID=14","3.6")</f>
        <v>3.6</v>
      </c>
      <c r="G1290" s="4" t="str">
        <f>HYPERLINK("http://141.218.60.56/~jnz1568/getInfo.php?workbook=06_02.xlsx&amp;sheet=U0&amp;row=1290&amp;col=7&amp;number=0.0217&amp;sourceID=14","0.0217")</f>
        <v>0.0217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HYPERLINK("http://141.218.60.56/~jnz1568/getInfo.php?workbook=06_02.xlsx&amp;sheet=U0&amp;row=1291&amp;col=6&amp;number=3.7&amp;sourceID=14","3.7")</f>
        <v>3.7</v>
      </c>
      <c r="G1291" s="4" t="str">
        <f>HYPERLINK("http://141.218.60.56/~jnz1568/getInfo.php?workbook=06_02.xlsx&amp;sheet=U0&amp;row=1291&amp;col=7&amp;number=0.0217&amp;sourceID=14","0.0217")</f>
        <v>0.0217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HYPERLINK("http://141.218.60.56/~jnz1568/getInfo.php?workbook=06_02.xlsx&amp;sheet=U0&amp;row=1292&amp;col=6&amp;number=3.8&amp;sourceID=14","3.8")</f>
        <v>3.8</v>
      </c>
      <c r="G1292" s="4" t="str">
        <f>HYPERLINK("http://141.218.60.56/~jnz1568/getInfo.php?workbook=06_02.xlsx&amp;sheet=U0&amp;row=1292&amp;col=7&amp;number=0.0217&amp;sourceID=14","0.0217")</f>
        <v>0.0217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HYPERLINK("http://141.218.60.56/~jnz1568/getInfo.php?workbook=06_02.xlsx&amp;sheet=U0&amp;row=1293&amp;col=6&amp;number=3.9&amp;sourceID=14","3.9")</f>
        <v>3.9</v>
      </c>
      <c r="G1293" s="4" t="str">
        <f>HYPERLINK("http://141.218.60.56/~jnz1568/getInfo.php?workbook=06_02.xlsx&amp;sheet=U0&amp;row=1293&amp;col=7&amp;number=0.0217&amp;sourceID=14","0.0217")</f>
        <v>0.0217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HYPERLINK("http://141.218.60.56/~jnz1568/getInfo.php?workbook=06_02.xlsx&amp;sheet=U0&amp;row=1294&amp;col=6&amp;number=4&amp;sourceID=14","4")</f>
        <v>4</v>
      </c>
      <c r="G1294" s="4" t="str">
        <f>HYPERLINK("http://141.218.60.56/~jnz1568/getInfo.php?workbook=06_02.xlsx&amp;sheet=U0&amp;row=1294&amp;col=7&amp;number=0.0217&amp;sourceID=14","0.0217")</f>
        <v>0.0217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HYPERLINK("http://141.218.60.56/~jnz1568/getInfo.php?workbook=06_02.xlsx&amp;sheet=U0&amp;row=1295&amp;col=6&amp;number=4.1&amp;sourceID=14","4.1")</f>
        <v>4.1</v>
      </c>
      <c r="G1295" s="4" t="str">
        <f>HYPERLINK("http://141.218.60.56/~jnz1568/getInfo.php?workbook=06_02.xlsx&amp;sheet=U0&amp;row=1295&amp;col=7&amp;number=0.0217&amp;sourceID=14","0.0217")</f>
        <v>0.0217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HYPERLINK("http://141.218.60.56/~jnz1568/getInfo.php?workbook=06_02.xlsx&amp;sheet=U0&amp;row=1296&amp;col=6&amp;number=4.2&amp;sourceID=14","4.2")</f>
        <v>4.2</v>
      </c>
      <c r="G1296" s="4" t="str">
        <f>HYPERLINK("http://141.218.60.56/~jnz1568/getInfo.php?workbook=06_02.xlsx&amp;sheet=U0&amp;row=1296&amp;col=7&amp;number=0.0217&amp;sourceID=14","0.0217")</f>
        <v>0.0217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HYPERLINK("http://141.218.60.56/~jnz1568/getInfo.php?workbook=06_02.xlsx&amp;sheet=U0&amp;row=1297&amp;col=6&amp;number=4.3&amp;sourceID=14","4.3")</f>
        <v>4.3</v>
      </c>
      <c r="G1297" s="4" t="str">
        <f>HYPERLINK("http://141.218.60.56/~jnz1568/getInfo.php?workbook=06_02.xlsx&amp;sheet=U0&amp;row=1297&amp;col=7&amp;number=0.0217&amp;sourceID=14","0.0217")</f>
        <v>0.0217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HYPERLINK("http://141.218.60.56/~jnz1568/getInfo.php?workbook=06_02.xlsx&amp;sheet=U0&amp;row=1298&amp;col=6&amp;number=4.4&amp;sourceID=14","4.4")</f>
        <v>4.4</v>
      </c>
      <c r="G1298" s="4" t="str">
        <f>HYPERLINK("http://141.218.60.56/~jnz1568/getInfo.php?workbook=06_02.xlsx&amp;sheet=U0&amp;row=1298&amp;col=7&amp;number=0.0217&amp;sourceID=14","0.0217")</f>
        <v>0.0217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HYPERLINK("http://141.218.60.56/~jnz1568/getInfo.php?workbook=06_02.xlsx&amp;sheet=U0&amp;row=1299&amp;col=6&amp;number=4.5&amp;sourceID=14","4.5")</f>
        <v>4.5</v>
      </c>
      <c r="G1299" s="4" t="str">
        <f>HYPERLINK("http://141.218.60.56/~jnz1568/getInfo.php?workbook=06_02.xlsx&amp;sheet=U0&amp;row=1299&amp;col=7&amp;number=0.0218&amp;sourceID=14","0.0218")</f>
        <v>0.0218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HYPERLINK("http://141.218.60.56/~jnz1568/getInfo.php?workbook=06_02.xlsx&amp;sheet=U0&amp;row=1300&amp;col=6&amp;number=4.6&amp;sourceID=14","4.6")</f>
        <v>4.6</v>
      </c>
      <c r="G1300" s="4" t="str">
        <f>HYPERLINK("http://141.218.60.56/~jnz1568/getInfo.php?workbook=06_02.xlsx&amp;sheet=U0&amp;row=1300&amp;col=7&amp;number=0.0218&amp;sourceID=14","0.0218")</f>
        <v>0.0218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HYPERLINK("http://141.218.60.56/~jnz1568/getInfo.php?workbook=06_02.xlsx&amp;sheet=U0&amp;row=1301&amp;col=6&amp;number=4.7&amp;sourceID=14","4.7")</f>
        <v>4.7</v>
      </c>
      <c r="G1301" s="4" t="str">
        <f>HYPERLINK("http://141.218.60.56/~jnz1568/getInfo.php?workbook=06_02.xlsx&amp;sheet=U0&amp;row=1301&amp;col=7&amp;number=0.0218&amp;sourceID=14","0.0218")</f>
        <v>0.0218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HYPERLINK("http://141.218.60.56/~jnz1568/getInfo.php?workbook=06_02.xlsx&amp;sheet=U0&amp;row=1302&amp;col=6&amp;number=4.8&amp;sourceID=14","4.8")</f>
        <v>4.8</v>
      </c>
      <c r="G1302" s="4" t="str">
        <f>HYPERLINK("http://141.218.60.56/~jnz1568/getInfo.php?workbook=06_02.xlsx&amp;sheet=U0&amp;row=1302&amp;col=7&amp;number=0.0219&amp;sourceID=14","0.0219")</f>
        <v>0.0219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HYPERLINK("http://141.218.60.56/~jnz1568/getInfo.php?workbook=06_02.xlsx&amp;sheet=U0&amp;row=1303&amp;col=6&amp;number=4.9&amp;sourceID=14","4.9")</f>
        <v>4.9</v>
      </c>
      <c r="G1303" s="4" t="str">
        <f>HYPERLINK("http://141.218.60.56/~jnz1568/getInfo.php?workbook=06_02.xlsx&amp;sheet=U0&amp;row=1303&amp;col=7&amp;number=0.0219&amp;sourceID=14","0.0219")</f>
        <v>0.0219</v>
      </c>
    </row>
    <row r="1304" spans="1:7">
      <c r="A1304" s="3">
        <v>6</v>
      </c>
      <c r="B1304" s="3">
        <v>2</v>
      </c>
      <c r="C1304" s="3">
        <v>2</v>
      </c>
      <c r="D1304" s="3">
        <v>25</v>
      </c>
      <c r="E1304" s="3">
        <v>1</v>
      </c>
      <c r="F1304" s="4" t="str">
        <f>HYPERLINK("http://141.218.60.56/~jnz1568/getInfo.php?workbook=06_02.xlsx&amp;sheet=U0&amp;row=1304&amp;col=6&amp;number=3&amp;sourceID=14","3")</f>
        <v>3</v>
      </c>
      <c r="G1304" s="4" t="str">
        <f>HYPERLINK("http://141.218.60.56/~jnz1568/getInfo.php?workbook=06_02.xlsx&amp;sheet=U0&amp;row=1304&amp;col=7&amp;number=0.0505&amp;sourceID=14","0.0505")</f>
        <v>0.0505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HYPERLINK("http://141.218.60.56/~jnz1568/getInfo.php?workbook=06_02.xlsx&amp;sheet=U0&amp;row=1305&amp;col=6&amp;number=3.1&amp;sourceID=14","3.1")</f>
        <v>3.1</v>
      </c>
      <c r="G1305" s="4" t="str">
        <f>HYPERLINK("http://141.218.60.56/~jnz1568/getInfo.php?workbook=06_02.xlsx&amp;sheet=U0&amp;row=1305&amp;col=7&amp;number=0.0505&amp;sourceID=14","0.0505")</f>
        <v>0.0505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HYPERLINK("http://141.218.60.56/~jnz1568/getInfo.php?workbook=06_02.xlsx&amp;sheet=U0&amp;row=1306&amp;col=6&amp;number=3.2&amp;sourceID=14","3.2")</f>
        <v>3.2</v>
      </c>
      <c r="G1306" s="4" t="str">
        <f>HYPERLINK("http://141.218.60.56/~jnz1568/getInfo.php?workbook=06_02.xlsx&amp;sheet=U0&amp;row=1306&amp;col=7&amp;number=0.0505&amp;sourceID=14","0.0505")</f>
        <v>0.0505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HYPERLINK("http://141.218.60.56/~jnz1568/getInfo.php?workbook=06_02.xlsx&amp;sheet=U0&amp;row=1307&amp;col=6&amp;number=3.3&amp;sourceID=14","3.3")</f>
        <v>3.3</v>
      </c>
      <c r="G1307" s="4" t="str">
        <f>HYPERLINK("http://141.218.60.56/~jnz1568/getInfo.php?workbook=06_02.xlsx&amp;sheet=U0&amp;row=1307&amp;col=7&amp;number=0.0505&amp;sourceID=14","0.0505")</f>
        <v>0.0505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HYPERLINK("http://141.218.60.56/~jnz1568/getInfo.php?workbook=06_02.xlsx&amp;sheet=U0&amp;row=1308&amp;col=6&amp;number=3.4&amp;sourceID=14","3.4")</f>
        <v>3.4</v>
      </c>
      <c r="G1308" s="4" t="str">
        <f>HYPERLINK("http://141.218.60.56/~jnz1568/getInfo.php?workbook=06_02.xlsx&amp;sheet=U0&amp;row=1308&amp;col=7&amp;number=0.0505&amp;sourceID=14","0.0505")</f>
        <v>0.0505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HYPERLINK("http://141.218.60.56/~jnz1568/getInfo.php?workbook=06_02.xlsx&amp;sheet=U0&amp;row=1309&amp;col=6&amp;number=3.5&amp;sourceID=14","3.5")</f>
        <v>3.5</v>
      </c>
      <c r="G1309" s="4" t="str">
        <f>HYPERLINK("http://141.218.60.56/~jnz1568/getInfo.php?workbook=06_02.xlsx&amp;sheet=U0&amp;row=1309&amp;col=7&amp;number=0.0505&amp;sourceID=14","0.0505")</f>
        <v>0.0505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HYPERLINK("http://141.218.60.56/~jnz1568/getInfo.php?workbook=06_02.xlsx&amp;sheet=U0&amp;row=1310&amp;col=6&amp;number=3.6&amp;sourceID=14","3.6")</f>
        <v>3.6</v>
      </c>
      <c r="G1310" s="4" t="str">
        <f>HYPERLINK("http://141.218.60.56/~jnz1568/getInfo.php?workbook=06_02.xlsx&amp;sheet=U0&amp;row=1310&amp;col=7&amp;number=0.0505&amp;sourceID=14","0.0505")</f>
        <v>0.0505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HYPERLINK("http://141.218.60.56/~jnz1568/getInfo.php?workbook=06_02.xlsx&amp;sheet=U0&amp;row=1311&amp;col=6&amp;number=3.7&amp;sourceID=14","3.7")</f>
        <v>3.7</v>
      </c>
      <c r="G1311" s="4" t="str">
        <f>HYPERLINK("http://141.218.60.56/~jnz1568/getInfo.php?workbook=06_02.xlsx&amp;sheet=U0&amp;row=1311&amp;col=7&amp;number=0.0505&amp;sourceID=14","0.0505")</f>
        <v>0.0505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HYPERLINK("http://141.218.60.56/~jnz1568/getInfo.php?workbook=06_02.xlsx&amp;sheet=U0&amp;row=1312&amp;col=6&amp;number=3.8&amp;sourceID=14","3.8")</f>
        <v>3.8</v>
      </c>
      <c r="G1312" s="4" t="str">
        <f>HYPERLINK("http://141.218.60.56/~jnz1568/getInfo.php?workbook=06_02.xlsx&amp;sheet=U0&amp;row=1312&amp;col=7&amp;number=0.0505&amp;sourceID=14","0.0505")</f>
        <v>0.0505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HYPERLINK("http://141.218.60.56/~jnz1568/getInfo.php?workbook=06_02.xlsx&amp;sheet=U0&amp;row=1313&amp;col=6&amp;number=3.9&amp;sourceID=14","3.9")</f>
        <v>3.9</v>
      </c>
      <c r="G1313" s="4" t="str">
        <f>HYPERLINK("http://141.218.60.56/~jnz1568/getInfo.php?workbook=06_02.xlsx&amp;sheet=U0&amp;row=1313&amp;col=7&amp;number=0.0505&amp;sourceID=14","0.0505")</f>
        <v>0.0505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HYPERLINK("http://141.218.60.56/~jnz1568/getInfo.php?workbook=06_02.xlsx&amp;sheet=U0&amp;row=1314&amp;col=6&amp;number=4&amp;sourceID=14","4")</f>
        <v>4</v>
      </c>
      <c r="G1314" s="4" t="str">
        <f>HYPERLINK("http://141.218.60.56/~jnz1568/getInfo.php?workbook=06_02.xlsx&amp;sheet=U0&amp;row=1314&amp;col=7&amp;number=0.0506&amp;sourceID=14","0.0506")</f>
        <v>0.0506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HYPERLINK("http://141.218.60.56/~jnz1568/getInfo.php?workbook=06_02.xlsx&amp;sheet=U0&amp;row=1315&amp;col=6&amp;number=4.1&amp;sourceID=14","4.1")</f>
        <v>4.1</v>
      </c>
      <c r="G1315" s="4" t="str">
        <f>HYPERLINK("http://141.218.60.56/~jnz1568/getInfo.php?workbook=06_02.xlsx&amp;sheet=U0&amp;row=1315&amp;col=7&amp;number=0.0506&amp;sourceID=14","0.0506")</f>
        <v>0.0506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HYPERLINK("http://141.218.60.56/~jnz1568/getInfo.php?workbook=06_02.xlsx&amp;sheet=U0&amp;row=1316&amp;col=6&amp;number=4.2&amp;sourceID=14","4.2")</f>
        <v>4.2</v>
      </c>
      <c r="G1316" s="4" t="str">
        <f>HYPERLINK("http://141.218.60.56/~jnz1568/getInfo.php?workbook=06_02.xlsx&amp;sheet=U0&amp;row=1316&amp;col=7&amp;number=0.0506&amp;sourceID=14","0.0506")</f>
        <v>0.0506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HYPERLINK("http://141.218.60.56/~jnz1568/getInfo.php?workbook=06_02.xlsx&amp;sheet=U0&amp;row=1317&amp;col=6&amp;number=4.3&amp;sourceID=14","4.3")</f>
        <v>4.3</v>
      </c>
      <c r="G1317" s="4" t="str">
        <f>HYPERLINK("http://141.218.60.56/~jnz1568/getInfo.php?workbook=06_02.xlsx&amp;sheet=U0&amp;row=1317&amp;col=7&amp;number=0.0506&amp;sourceID=14","0.0506")</f>
        <v>0.0506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HYPERLINK("http://141.218.60.56/~jnz1568/getInfo.php?workbook=06_02.xlsx&amp;sheet=U0&amp;row=1318&amp;col=6&amp;number=4.4&amp;sourceID=14","4.4")</f>
        <v>4.4</v>
      </c>
      <c r="G1318" s="4" t="str">
        <f>HYPERLINK("http://141.218.60.56/~jnz1568/getInfo.php?workbook=06_02.xlsx&amp;sheet=U0&amp;row=1318&amp;col=7&amp;number=0.0507&amp;sourceID=14","0.0507")</f>
        <v>0.0507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HYPERLINK("http://141.218.60.56/~jnz1568/getInfo.php?workbook=06_02.xlsx&amp;sheet=U0&amp;row=1319&amp;col=6&amp;number=4.5&amp;sourceID=14","4.5")</f>
        <v>4.5</v>
      </c>
      <c r="G1319" s="4" t="str">
        <f>HYPERLINK("http://141.218.60.56/~jnz1568/getInfo.php?workbook=06_02.xlsx&amp;sheet=U0&amp;row=1319&amp;col=7&amp;number=0.0507&amp;sourceID=14","0.0507")</f>
        <v>0.0507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HYPERLINK("http://141.218.60.56/~jnz1568/getInfo.php?workbook=06_02.xlsx&amp;sheet=U0&amp;row=1320&amp;col=6&amp;number=4.6&amp;sourceID=14","4.6")</f>
        <v>4.6</v>
      </c>
      <c r="G1320" s="4" t="str">
        <f>HYPERLINK("http://141.218.60.56/~jnz1568/getInfo.php?workbook=06_02.xlsx&amp;sheet=U0&amp;row=1320&amp;col=7&amp;number=0.0508&amp;sourceID=14","0.0508")</f>
        <v>0.0508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HYPERLINK("http://141.218.60.56/~jnz1568/getInfo.php?workbook=06_02.xlsx&amp;sheet=U0&amp;row=1321&amp;col=6&amp;number=4.7&amp;sourceID=14","4.7")</f>
        <v>4.7</v>
      </c>
      <c r="G1321" s="4" t="str">
        <f>HYPERLINK("http://141.218.60.56/~jnz1568/getInfo.php?workbook=06_02.xlsx&amp;sheet=U0&amp;row=1321&amp;col=7&amp;number=0.0509&amp;sourceID=14","0.0509")</f>
        <v>0.0509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HYPERLINK("http://141.218.60.56/~jnz1568/getInfo.php?workbook=06_02.xlsx&amp;sheet=U0&amp;row=1322&amp;col=6&amp;number=4.8&amp;sourceID=14","4.8")</f>
        <v>4.8</v>
      </c>
      <c r="G1322" s="4" t="str">
        <f>HYPERLINK("http://141.218.60.56/~jnz1568/getInfo.php?workbook=06_02.xlsx&amp;sheet=U0&amp;row=1322&amp;col=7&amp;number=0.051&amp;sourceID=14","0.051")</f>
        <v>0.051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HYPERLINK("http://141.218.60.56/~jnz1568/getInfo.php?workbook=06_02.xlsx&amp;sheet=U0&amp;row=1323&amp;col=6&amp;number=4.9&amp;sourceID=14","4.9")</f>
        <v>4.9</v>
      </c>
      <c r="G1323" s="4" t="str">
        <f>HYPERLINK("http://141.218.60.56/~jnz1568/getInfo.php?workbook=06_02.xlsx&amp;sheet=U0&amp;row=1323&amp;col=7&amp;number=0.0511&amp;sourceID=14","0.0511")</f>
        <v>0.0511</v>
      </c>
    </row>
    <row r="1324" spans="1:7">
      <c r="A1324" s="3">
        <v>6</v>
      </c>
      <c r="B1324" s="3">
        <v>2</v>
      </c>
      <c r="C1324" s="3">
        <v>2</v>
      </c>
      <c r="D1324" s="3">
        <v>26</v>
      </c>
      <c r="E1324" s="3">
        <v>1</v>
      </c>
      <c r="F1324" s="4" t="str">
        <f>HYPERLINK("http://141.218.60.56/~jnz1568/getInfo.php?workbook=06_02.xlsx&amp;sheet=U0&amp;row=1324&amp;col=6&amp;number=3&amp;sourceID=14","3")</f>
        <v>3</v>
      </c>
      <c r="G1324" s="4" t="str">
        <f>HYPERLINK("http://141.218.60.56/~jnz1568/getInfo.php?workbook=06_02.xlsx&amp;sheet=U0&amp;row=1324&amp;col=7&amp;number=0.0707&amp;sourceID=14","0.0707")</f>
        <v>0.0707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HYPERLINK("http://141.218.60.56/~jnz1568/getInfo.php?workbook=06_02.xlsx&amp;sheet=U0&amp;row=1325&amp;col=6&amp;number=3.1&amp;sourceID=14","3.1")</f>
        <v>3.1</v>
      </c>
      <c r="G1325" s="4" t="str">
        <f>HYPERLINK("http://141.218.60.56/~jnz1568/getInfo.php?workbook=06_02.xlsx&amp;sheet=U0&amp;row=1325&amp;col=7&amp;number=0.0707&amp;sourceID=14","0.0707")</f>
        <v>0.0707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HYPERLINK("http://141.218.60.56/~jnz1568/getInfo.php?workbook=06_02.xlsx&amp;sheet=U0&amp;row=1326&amp;col=6&amp;number=3.2&amp;sourceID=14","3.2")</f>
        <v>3.2</v>
      </c>
      <c r="G1326" s="4" t="str">
        <f>HYPERLINK("http://141.218.60.56/~jnz1568/getInfo.php?workbook=06_02.xlsx&amp;sheet=U0&amp;row=1326&amp;col=7&amp;number=0.0707&amp;sourceID=14","0.0707")</f>
        <v>0.0707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HYPERLINK("http://141.218.60.56/~jnz1568/getInfo.php?workbook=06_02.xlsx&amp;sheet=U0&amp;row=1327&amp;col=6&amp;number=3.3&amp;sourceID=14","3.3")</f>
        <v>3.3</v>
      </c>
      <c r="G1327" s="4" t="str">
        <f>HYPERLINK("http://141.218.60.56/~jnz1568/getInfo.php?workbook=06_02.xlsx&amp;sheet=U0&amp;row=1327&amp;col=7&amp;number=0.0707&amp;sourceID=14","0.0707")</f>
        <v>0.0707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HYPERLINK("http://141.218.60.56/~jnz1568/getInfo.php?workbook=06_02.xlsx&amp;sheet=U0&amp;row=1328&amp;col=6&amp;number=3.4&amp;sourceID=14","3.4")</f>
        <v>3.4</v>
      </c>
      <c r="G1328" s="4" t="str">
        <f>HYPERLINK("http://141.218.60.56/~jnz1568/getInfo.php?workbook=06_02.xlsx&amp;sheet=U0&amp;row=1328&amp;col=7&amp;number=0.0707&amp;sourceID=14","0.0707")</f>
        <v>0.0707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HYPERLINK("http://141.218.60.56/~jnz1568/getInfo.php?workbook=06_02.xlsx&amp;sheet=U0&amp;row=1329&amp;col=6&amp;number=3.5&amp;sourceID=14","3.5")</f>
        <v>3.5</v>
      </c>
      <c r="G1329" s="4" t="str">
        <f>HYPERLINK("http://141.218.60.56/~jnz1568/getInfo.php?workbook=06_02.xlsx&amp;sheet=U0&amp;row=1329&amp;col=7&amp;number=0.0707&amp;sourceID=14","0.0707")</f>
        <v>0.0707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HYPERLINK("http://141.218.60.56/~jnz1568/getInfo.php?workbook=06_02.xlsx&amp;sheet=U0&amp;row=1330&amp;col=6&amp;number=3.6&amp;sourceID=14","3.6")</f>
        <v>3.6</v>
      </c>
      <c r="G1330" s="4" t="str">
        <f>HYPERLINK("http://141.218.60.56/~jnz1568/getInfo.php?workbook=06_02.xlsx&amp;sheet=U0&amp;row=1330&amp;col=7&amp;number=0.0707&amp;sourceID=14","0.0707")</f>
        <v>0.0707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HYPERLINK("http://141.218.60.56/~jnz1568/getInfo.php?workbook=06_02.xlsx&amp;sheet=U0&amp;row=1331&amp;col=6&amp;number=3.7&amp;sourceID=14","3.7")</f>
        <v>3.7</v>
      </c>
      <c r="G1331" s="4" t="str">
        <f>HYPERLINK("http://141.218.60.56/~jnz1568/getInfo.php?workbook=06_02.xlsx&amp;sheet=U0&amp;row=1331&amp;col=7&amp;number=0.0708&amp;sourceID=14","0.0708")</f>
        <v>0.0708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HYPERLINK("http://141.218.60.56/~jnz1568/getInfo.php?workbook=06_02.xlsx&amp;sheet=U0&amp;row=1332&amp;col=6&amp;number=3.8&amp;sourceID=14","3.8")</f>
        <v>3.8</v>
      </c>
      <c r="G1332" s="4" t="str">
        <f>HYPERLINK("http://141.218.60.56/~jnz1568/getInfo.php?workbook=06_02.xlsx&amp;sheet=U0&amp;row=1332&amp;col=7&amp;number=0.0708&amp;sourceID=14","0.0708")</f>
        <v>0.0708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HYPERLINK("http://141.218.60.56/~jnz1568/getInfo.php?workbook=06_02.xlsx&amp;sheet=U0&amp;row=1333&amp;col=6&amp;number=3.9&amp;sourceID=14","3.9")</f>
        <v>3.9</v>
      </c>
      <c r="G1333" s="4" t="str">
        <f>HYPERLINK("http://141.218.60.56/~jnz1568/getInfo.php?workbook=06_02.xlsx&amp;sheet=U0&amp;row=1333&amp;col=7&amp;number=0.0708&amp;sourceID=14","0.0708")</f>
        <v>0.0708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HYPERLINK("http://141.218.60.56/~jnz1568/getInfo.php?workbook=06_02.xlsx&amp;sheet=U0&amp;row=1334&amp;col=6&amp;number=4&amp;sourceID=14","4")</f>
        <v>4</v>
      </c>
      <c r="G1334" s="4" t="str">
        <f>HYPERLINK("http://141.218.60.56/~jnz1568/getInfo.php?workbook=06_02.xlsx&amp;sheet=U0&amp;row=1334&amp;col=7&amp;number=0.0708&amp;sourceID=14","0.0708")</f>
        <v>0.0708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HYPERLINK("http://141.218.60.56/~jnz1568/getInfo.php?workbook=06_02.xlsx&amp;sheet=U0&amp;row=1335&amp;col=6&amp;number=4.1&amp;sourceID=14","4.1")</f>
        <v>4.1</v>
      </c>
      <c r="G1335" s="4" t="str">
        <f>HYPERLINK("http://141.218.60.56/~jnz1568/getInfo.php?workbook=06_02.xlsx&amp;sheet=U0&amp;row=1335&amp;col=7&amp;number=0.0708&amp;sourceID=14","0.0708")</f>
        <v>0.0708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HYPERLINK("http://141.218.60.56/~jnz1568/getInfo.php?workbook=06_02.xlsx&amp;sheet=U0&amp;row=1336&amp;col=6&amp;number=4.2&amp;sourceID=14","4.2")</f>
        <v>4.2</v>
      </c>
      <c r="G1336" s="4" t="str">
        <f>HYPERLINK("http://141.218.60.56/~jnz1568/getInfo.php?workbook=06_02.xlsx&amp;sheet=U0&amp;row=1336&amp;col=7&amp;number=0.0709&amp;sourceID=14","0.0709")</f>
        <v>0.0709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HYPERLINK("http://141.218.60.56/~jnz1568/getInfo.php?workbook=06_02.xlsx&amp;sheet=U0&amp;row=1337&amp;col=6&amp;number=4.3&amp;sourceID=14","4.3")</f>
        <v>4.3</v>
      </c>
      <c r="G1337" s="4" t="str">
        <f>HYPERLINK("http://141.218.60.56/~jnz1568/getInfo.php?workbook=06_02.xlsx&amp;sheet=U0&amp;row=1337&amp;col=7&amp;number=0.0709&amp;sourceID=14","0.0709")</f>
        <v>0.0709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HYPERLINK("http://141.218.60.56/~jnz1568/getInfo.php?workbook=06_02.xlsx&amp;sheet=U0&amp;row=1338&amp;col=6&amp;number=4.4&amp;sourceID=14","4.4")</f>
        <v>4.4</v>
      </c>
      <c r="G1338" s="4" t="str">
        <f>HYPERLINK("http://141.218.60.56/~jnz1568/getInfo.php?workbook=06_02.xlsx&amp;sheet=U0&amp;row=1338&amp;col=7&amp;number=0.071&amp;sourceID=14","0.071")</f>
        <v>0.071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HYPERLINK("http://141.218.60.56/~jnz1568/getInfo.php?workbook=06_02.xlsx&amp;sheet=U0&amp;row=1339&amp;col=6&amp;number=4.5&amp;sourceID=14","4.5")</f>
        <v>4.5</v>
      </c>
      <c r="G1339" s="4" t="str">
        <f>HYPERLINK("http://141.218.60.56/~jnz1568/getInfo.php?workbook=06_02.xlsx&amp;sheet=U0&amp;row=1339&amp;col=7&amp;number=0.071&amp;sourceID=14","0.071")</f>
        <v>0.071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HYPERLINK("http://141.218.60.56/~jnz1568/getInfo.php?workbook=06_02.xlsx&amp;sheet=U0&amp;row=1340&amp;col=6&amp;number=4.6&amp;sourceID=14","4.6")</f>
        <v>4.6</v>
      </c>
      <c r="G1340" s="4" t="str">
        <f>HYPERLINK("http://141.218.60.56/~jnz1568/getInfo.php?workbook=06_02.xlsx&amp;sheet=U0&amp;row=1340&amp;col=7&amp;number=0.0711&amp;sourceID=14","0.0711")</f>
        <v>0.0711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HYPERLINK("http://141.218.60.56/~jnz1568/getInfo.php?workbook=06_02.xlsx&amp;sheet=U0&amp;row=1341&amp;col=6&amp;number=4.7&amp;sourceID=14","4.7")</f>
        <v>4.7</v>
      </c>
      <c r="G1341" s="4" t="str">
        <f>HYPERLINK("http://141.218.60.56/~jnz1568/getInfo.php?workbook=06_02.xlsx&amp;sheet=U0&amp;row=1341&amp;col=7&amp;number=0.0712&amp;sourceID=14","0.0712")</f>
        <v>0.0712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HYPERLINK("http://141.218.60.56/~jnz1568/getInfo.php?workbook=06_02.xlsx&amp;sheet=U0&amp;row=1342&amp;col=6&amp;number=4.8&amp;sourceID=14","4.8")</f>
        <v>4.8</v>
      </c>
      <c r="G1342" s="4" t="str">
        <f>HYPERLINK("http://141.218.60.56/~jnz1568/getInfo.php?workbook=06_02.xlsx&amp;sheet=U0&amp;row=1342&amp;col=7&amp;number=0.0714&amp;sourceID=14","0.0714")</f>
        <v>0.0714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HYPERLINK("http://141.218.60.56/~jnz1568/getInfo.php?workbook=06_02.xlsx&amp;sheet=U0&amp;row=1343&amp;col=6&amp;number=4.9&amp;sourceID=14","4.9")</f>
        <v>4.9</v>
      </c>
      <c r="G1343" s="4" t="str">
        <f>HYPERLINK("http://141.218.60.56/~jnz1568/getInfo.php?workbook=06_02.xlsx&amp;sheet=U0&amp;row=1343&amp;col=7&amp;number=0.0716&amp;sourceID=14","0.0716")</f>
        <v>0.0716</v>
      </c>
    </row>
    <row r="1344" spans="1:7">
      <c r="A1344" s="3">
        <v>6</v>
      </c>
      <c r="B1344" s="3">
        <v>2</v>
      </c>
      <c r="C1344" s="3">
        <v>2</v>
      </c>
      <c r="D1344" s="3">
        <v>27</v>
      </c>
      <c r="E1344" s="3">
        <v>1</v>
      </c>
      <c r="F1344" s="4" t="str">
        <f>HYPERLINK("http://141.218.60.56/~jnz1568/getInfo.php?workbook=06_02.xlsx&amp;sheet=U0&amp;row=1344&amp;col=6&amp;number=3&amp;sourceID=14","3")</f>
        <v>3</v>
      </c>
      <c r="G1344" s="4" t="str">
        <f>HYPERLINK("http://141.218.60.56/~jnz1568/getInfo.php?workbook=06_02.xlsx&amp;sheet=U0&amp;row=1344&amp;col=7&amp;number=0.025&amp;sourceID=14","0.025")</f>
        <v>0.025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HYPERLINK("http://141.218.60.56/~jnz1568/getInfo.php?workbook=06_02.xlsx&amp;sheet=U0&amp;row=1345&amp;col=6&amp;number=3.1&amp;sourceID=14","3.1")</f>
        <v>3.1</v>
      </c>
      <c r="G1345" s="4" t="str">
        <f>HYPERLINK("http://141.218.60.56/~jnz1568/getInfo.php?workbook=06_02.xlsx&amp;sheet=U0&amp;row=1345&amp;col=7&amp;number=0.025&amp;sourceID=14","0.025")</f>
        <v>0.025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HYPERLINK("http://141.218.60.56/~jnz1568/getInfo.php?workbook=06_02.xlsx&amp;sheet=U0&amp;row=1346&amp;col=6&amp;number=3.2&amp;sourceID=14","3.2")</f>
        <v>3.2</v>
      </c>
      <c r="G1346" s="4" t="str">
        <f>HYPERLINK("http://141.218.60.56/~jnz1568/getInfo.php?workbook=06_02.xlsx&amp;sheet=U0&amp;row=1346&amp;col=7&amp;number=0.025&amp;sourceID=14","0.025")</f>
        <v>0.025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HYPERLINK("http://141.218.60.56/~jnz1568/getInfo.php?workbook=06_02.xlsx&amp;sheet=U0&amp;row=1347&amp;col=6&amp;number=3.3&amp;sourceID=14","3.3")</f>
        <v>3.3</v>
      </c>
      <c r="G1347" s="4" t="str">
        <f>HYPERLINK("http://141.218.60.56/~jnz1568/getInfo.php?workbook=06_02.xlsx&amp;sheet=U0&amp;row=1347&amp;col=7&amp;number=0.025&amp;sourceID=14","0.025")</f>
        <v>0.025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HYPERLINK("http://141.218.60.56/~jnz1568/getInfo.php?workbook=06_02.xlsx&amp;sheet=U0&amp;row=1348&amp;col=6&amp;number=3.4&amp;sourceID=14","3.4")</f>
        <v>3.4</v>
      </c>
      <c r="G1348" s="4" t="str">
        <f>HYPERLINK("http://141.218.60.56/~jnz1568/getInfo.php?workbook=06_02.xlsx&amp;sheet=U0&amp;row=1348&amp;col=7&amp;number=0.0249&amp;sourceID=14","0.0249")</f>
        <v>0.0249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HYPERLINK("http://141.218.60.56/~jnz1568/getInfo.php?workbook=06_02.xlsx&amp;sheet=U0&amp;row=1349&amp;col=6&amp;number=3.5&amp;sourceID=14","3.5")</f>
        <v>3.5</v>
      </c>
      <c r="G1349" s="4" t="str">
        <f>HYPERLINK("http://141.218.60.56/~jnz1568/getInfo.php?workbook=06_02.xlsx&amp;sheet=U0&amp;row=1349&amp;col=7&amp;number=0.0249&amp;sourceID=14","0.0249")</f>
        <v>0.0249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HYPERLINK("http://141.218.60.56/~jnz1568/getInfo.php?workbook=06_02.xlsx&amp;sheet=U0&amp;row=1350&amp;col=6&amp;number=3.6&amp;sourceID=14","3.6")</f>
        <v>3.6</v>
      </c>
      <c r="G1350" s="4" t="str">
        <f>HYPERLINK("http://141.218.60.56/~jnz1568/getInfo.php?workbook=06_02.xlsx&amp;sheet=U0&amp;row=1350&amp;col=7&amp;number=0.0249&amp;sourceID=14","0.0249")</f>
        <v>0.0249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HYPERLINK("http://141.218.60.56/~jnz1568/getInfo.php?workbook=06_02.xlsx&amp;sheet=U0&amp;row=1351&amp;col=6&amp;number=3.7&amp;sourceID=14","3.7")</f>
        <v>3.7</v>
      </c>
      <c r="G1351" s="4" t="str">
        <f>HYPERLINK("http://141.218.60.56/~jnz1568/getInfo.php?workbook=06_02.xlsx&amp;sheet=U0&amp;row=1351&amp;col=7&amp;number=0.0249&amp;sourceID=14","0.0249")</f>
        <v>0.0249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HYPERLINK("http://141.218.60.56/~jnz1568/getInfo.php?workbook=06_02.xlsx&amp;sheet=U0&amp;row=1352&amp;col=6&amp;number=3.8&amp;sourceID=14","3.8")</f>
        <v>3.8</v>
      </c>
      <c r="G1352" s="4" t="str">
        <f>HYPERLINK("http://141.218.60.56/~jnz1568/getInfo.php?workbook=06_02.xlsx&amp;sheet=U0&amp;row=1352&amp;col=7&amp;number=0.0248&amp;sourceID=14","0.0248")</f>
        <v>0.0248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HYPERLINK("http://141.218.60.56/~jnz1568/getInfo.php?workbook=06_02.xlsx&amp;sheet=U0&amp;row=1353&amp;col=6&amp;number=3.9&amp;sourceID=14","3.9")</f>
        <v>3.9</v>
      </c>
      <c r="G1353" s="4" t="str">
        <f>HYPERLINK("http://141.218.60.56/~jnz1568/getInfo.php?workbook=06_02.xlsx&amp;sheet=U0&amp;row=1353&amp;col=7&amp;number=0.0248&amp;sourceID=14","0.0248")</f>
        <v>0.0248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HYPERLINK("http://141.218.60.56/~jnz1568/getInfo.php?workbook=06_02.xlsx&amp;sheet=U0&amp;row=1354&amp;col=6&amp;number=4&amp;sourceID=14","4")</f>
        <v>4</v>
      </c>
      <c r="G1354" s="4" t="str">
        <f>HYPERLINK("http://141.218.60.56/~jnz1568/getInfo.php?workbook=06_02.xlsx&amp;sheet=U0&amp;row=1354&amp;col=7&amp;number=0.0247&amp;sourceID=14","0.0247")</f>
        <v>0.0247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HYPERLINK("http://141.218.60.56/~jnz1568/getInfo.php?workbook=06_02.xlsx&amp;sheet=U0&amp;row=1355&amp;col=6&amp;number=4.1&amp;sourceID=14","4.1")</f>
        <v>4.1</v>
      </c>
      <c r="G1355" s="4" t="str">
        <f>HYPERLINK("http://141.218.60.56/~jnz1568/getInfo.php?workbook=06_02.xlsx&amp;sheet=U0&amp;row=1355&amp;col=7&amp;number=0.0246&amp;sourceID=14","0.0246")</f>
        <v>0.0246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HYPERLINK("http://141.218.60.56/~jnz1568/getInfo.php?workbook=06_02.xlsx&amp;sheet=U0&amp;row=1356&amp;col=6&amp;number=4.2&amp;sourceID=14","4.2")</f>
        <v>4.2</v>
      </c>
      <c r="G1356" s="4" t="str">
        <f>HYPERLINK("http://141.218.60.56/~jnz1568/getInfo.php?workbook=06_02.xlsx&amp;sheet=U0&amp;row=1356&amp;col=7&amp;number=0.0246&amp;sourceID=14","0.0246")</f>
        <v>0.0246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HYPERLINK("http://141.218.60.56/~jnz1568/getInfo.php?workbook=06_02.xlsx&amp;sheet=U0&amp;row=1357&amp;col=6&amp;number=4.3&amp;sourceID=14","4.3")</f>
        <v>4.3</v>
      </c>
      <c r="G1357" s="4" t="str">
        <f>HYPERLINK("http://141.218.60.56/~jnz1568/getInfo.php?workbook=06_02.xlsx&amp;sheet=U0&amp;row=1357&amp;col=7&amp;number=0.0244&amp;sourceID=14","0.0244")</f>
        <v>0.0244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HYPERLINK("http://141.218.60.56/~jnz1568/getInfo.php?workbook=06_02.xlsx&amp;sheet=U0&amp;row=1358&amp;col=6&amp;number=4.4&amp;sourceID=14","4.4")</f>
        <v>4.4</v>
      </c>
      <c r="G1358" s="4" t="str">
        <f>HYPERLINK("http://141.218.60.56/~jnz1568/getInfo.php?workbook=06_02.xlsx&amp;sheet=U0&amp;row=1358&amp;col=7&amp;number=0.0243&amp;sourceID=14","0.0243")</f>
        <v>0.0243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HYPERLINK("http://141.218.60.56/~jnz1568/getInfo.php?workbook=06_02.xlsx&amp;sheet=U0&amp;row=1359&amp;col=6&amp;number=4.5&amp;sourceID=14","4.5")</f>
        <v>4.5</v>
      </c>
      <c r="G1359" s="4" t="str">
        <f>HYPERLINK("http://141.218.60.56/~jnz1568/getInfo.php?workbook=06_02.xlsx&amp;sheet=U0&amp;row=1359&amp;col=7&amp;number=0.0241&amp;sourceID=14","0.0241")</f>
        <v>0.0241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HYPERLINK("http://141.218.60.56/~jnz1568/getInfo.php?workbook=06_02.xlsx&amp;sheet=U0&amp;row=1360&amp;col=6&amp;number=4.6&amp;sourceID=14","4.6")</f>
        <v>4.6</v>
      </c>
      <c r="G1360" s="4" t="str">
        <f>HYPERLINK("http://141.218.60.56/~jnz1568/getInfo.php?workbook=06_02.xlsx&amp;sheet=U0&amp;row=1360&amp;col=7&amp;number=0.0239&amp;sourceID=14","0.0239")</f>
        <v>0.0239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HYPERLINK("http://141.218.60.56/~jnz1568/getInfo.php?workbook=06_02.xlsx&amp;sheet=U0&amp;row=1361&amp;col=6&amp;number=4.7&amp;sourceID=14","4.7")</f>
        <v>4.7</v>
      </c>
      <c r="G1361" s="4" t="str">
        <f>HYPERLINK("http://141.218.60.56/~jnz1568/getInfo.php?workbook=06_02.xlsx&amp;sheet=U0&amp;row=1361&amp;col=7&amp;number=0.0236&amp;sourceID=14","0.0236")</f>
        <v>0.0236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HYPERLINK("http://141.218.60.56/~jnz1568/getInfo.php?workbook=06_02.xlsx&amp;sheet=U0&amp;row=1362&amp;col=6&amp;number=4.8&amp;sourceID=14","4.8")</f>
        <v>4.8</v>
      </c>
      <c r="G1362" s="4" t="str">
        <f>HYPERLINK("http://141.218.60.56/~jnz1568/getInfo.php?workbook=06_02.xlsx&amp;sheet=U0&amp;row=1362&amp;col=7&amp;number=0.0232&amp;sourceID=14","0.0232")</f>
        <v>0.0232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HYPERLINK("http://141.218.60.56/~jnz1568/getInfo.php?workbook=06_02.xlsx&amp;sheet=U0&amp;row=1363&amp;col=6&amp;number=4.9&amp;sourceID=14","4.9")</f>
        <v>4.9</v>
      </c>
      <c r="G1363" s="4" t="str">
        <f>HYPERLINK("http://141.218.60.56/~jnz1568/getInfo.php?workbook=06_02.xlsx&amp;sheet=U0&amp;row=1363&amp;col=7&amp;number=0.0228&amp;sourceID=14","0.0228")</f>
        <v>0.0228</v>
      </c>
    </row>
    <row r="1364" spans="1:7">
      <c r="A1364" s="3">
        <v>6</v>
      </c>
      <c r="B1364" s="3">
        <v>2</v>
      </c>
      <c r="C1364" s="3">
        <v>2</v>
      </c>
      <c r="D1364" s="3">
        <v>28</v>
      </c>
      <c r="E1364" s="3">
        <v>1</v>
      </c>
      <c r="F1364" s="4" t="str">
        <f>HYPERLINK("http://141.218.60.56/~jnz1568/getInfo.php?workbook=06_02.xlsx&amp;sheet=U0&amp;row=1364&amp;col=6&amp;number=3&amp;sourceID=14","3")</f>
        <v>3</v>
      </c>
      <c r="G1364" s="4" t="str">
        <f>HYPERLINK("http://141.218.60.56/~jnz1568/getInfo.php?workbook=06_02.xlsx&amp;sheet=U0&amp;row=1364&amp;col=7&amp;number=0.0138&amp;sourceID=14","0.0138")</f>
        <v>0.0138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HYPERLINK("http://141.218.60.56/~jnz1568/getInfo.php?workbook=06_02.xlsx&amp;sheet=U0&amp;row=1365&amp;col=6&amp;number=3.1&amp;sourceID=14","3.1")</f>
        <v>3.1</v>
      </c>
      <c r="G1365" s="4" t="str">
        <f>HYPERLINK("http://141.218.60.56/~jnz1568/getInfo.php?workbook=06_02.xlsx&amp;sheet=U0&amp;row=1365&amp;col=7&amp;number=0.0138&amp;sourceID=14","0.0138")</f>
        <v>0.0138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HYPERLINK("http://141.218.60.56/~jnz1568/getInfo.php?workbook=06_02.xlsx&amp;sheet=U0&amp;row=1366&amp;col=6&amp;number=3.2&amp;sourceID=14","3.2")</f>
        <v>3.2</v>
      </c>
      <c r="G1366" s="4" t="str">
        <f>HYPERLINK("http://141.218.60.56/~jnz1568/getInfo.php?workbook=06_02.xlsx&amp;sheet=U0&amp;row=1366&amp;col=7&amp;number=0.0138&amp;sourceID=14","0.0138")</f>
        <v>0.0138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HYPERLINK("http://141.218.60.56/~jnz1568/getInfo.php?workbook=06_02.xlsx&amp;sheet=U0&amp;row=1367&amp;col=6&amp;number=3.3&amp;sourceID=14","3.3")</f>
        <v>3.3</v>
      </c>
      <c r="G1367" s="4" t="str">
        <f>HYPERLINK("http://141.218.60.56/~jnz1568/getInfo.php?workbook=06_02.xlsx&amp;sheet=U0&amp;row=1367&amp;col=7&amp;number=0.0138&amp;sourceID=14","0.0138")</f>
        <v>0.0138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HYPERLINK("http://141.218.60.56/~jnz1568/getInfo.php?workbook=06_02.xlsx&amp;sheet=U0&amp;row=1368&amp;col=6&amp;number=3.4&amp;sourceID=14","3.4")</f>
        <v>3.4</v>
      </c>
      <c r="G1368" s="4" t="str">
        <f>HYPERLINK("http://141.218.60.56/~jnz1568/getInfo.php?workbook=06_02.xlsx&amp;sheet=U0&amp;row=1368&amp;col=7&amp;number=0.0138&amp;sourceID=14","0.0138")</f>
        <v>0.0138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HYPERLINK("http://141.218.60.56/~jnz1568/getInfo.php?workbook=06_02.xlsx&amp;sheet=U0&amp;row=1369&amp;col=6&amp;number=3.5&amp;sourceID=14","3.5")</f>
        <v>3.5</v>
      </c>
      <c r="G1369" s="4" t="str">
        <f>HYPERLINK("http://141.218.60.56/~jnz1568/getInfo.php?workbook=06_02.xlsx&amp;sheet=U0&amp;row=1369&amp;col=7&amp;number=0.0138&amp;sourceID=14","0.0138")</f>
        <v>0.0138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HYPERLINK("http://141.218.60.56/~jnz1568/getInfo.php?workbook=06_02.xlsx&amp;sheet=U0&amp;row=1370&amp;col=6&amp;number=3.6&amp;sourceID=14","3.6")</f>
        <v>3.6</v>
      </c>
      <c r="G1370" s="4" t="str">
        <f>HYPERLINK("http://141.218.60.56/~jnz1568/getInfo.php?workbook=06_02.xlsx&amp;sheet=U0&amp;row=1370&amp;col=7&amp;number=0.0138&amp;sourceID=14","0.0138")</f>
        <v>0.0138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HYPERLINK("http://141.218.60.56/~jnz1568/getInfo.php?workbook=06_02.xlsx&amp;sheet=U0&amp;row=1371&amp;col=6&amp;number=3.7&amp;sourceID=14","3.7")</f>
        <v>3.7</v>
      </c>
      <c r="G1371" s="4" t="str">
        <f>HYPERLINK("http://141.218.60.56/~jnz1568/getInfo.php?workbook=06_02.xlsx&amp;sheet=U0&amp;row=1371&amp;col=7&amp;number=0.0138&amp;sourceID=14","0.0138")</f>
        <v>0.0138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HYPERLINK("http://141.218.60.56/~jnz1568/getInfo.php?workbook=06_02.xlsx&amp;sheet=U0&amp;row=1372&amp;col=6&amp;number=3.8&amp;sourceID=14","3.8")</f>
        <v>3.8</v>
      </c>
      <c r="G1372" s="4" t="str">
        <f>HYPERLINK("http://141.218.60.56/~jnz1568/getInfo.php?workbook=06_02.xlsx&amp;sheet=U0&amp;row=1372&amp;col=7&amp;number=0.0138&amp;sourceID=14","0.0138")</f>
        <v>0.0138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HYPERLINK("http://141.218.60.56/~jnz1568/getInfo.php?workbook=06_02.xlsx&amp;sheet=U0&amp;row=1373&amp;col=6&amp;number=3.9&amp;sourceID=14","3.9")</f>
        <v>3.9</v>
      </c>
      <c r="G1373" s="4" t="str">
        <f>HYPERLINK("http://141.218.60.56/~jnz1568/getInfo.php?workbook=06_02.xlsx&amp;sheet=U0&amp;row=1373&amp;col=7&amp;number=0.0138&amp;sourceID=14","0.0138")</f>
        <v>0.0138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HYPERLINK("http://141.218.60.56/~jnz1568/getInfo.php?workbook=06_02.xlsx&amp;sheet=U0&amp;row=1374&amp;col=6&amp;number=4&amp;sourceID=14","4")</f>
        <v>4</v>
      </c>
      <c r="G1374" s="4" t="str">
        <f>HYPERLINK("http://141.218.60.56/~jnz1568/getInfo.php?workbook=06_02.xlsx&amp;sheet=U0&amp;row=1374&amp;col=7&amp;number=0.0138&amp;sourceID=14","0.0138")</f>
        <v>0.0138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HYPERLINK("http://141.218.60.56/~jnz1568/getInfo.php?workbook=06_02.xlsx&amp;sheet=U0&amp;row=1375&amp;col=6&amp;number=4.1&amp;sourceID=14","4.1")</f>
        <v>4.1</v>
      </c>
      <c r="G1375" s="4" t="str">
        <f>HYPERLINK("http://141.218.60.56/~jnz1568/getInfo.php?workbook=06_02.xlsx&amp;sheet=U0&amp;row=1375&amp;col=7&amp;number=0.0138&amp;sourceID=14","0.0138")</f>
        <v>0.0138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HYPERLINK("http://141.218.60.56/~jnz1568/getInfo.php?workbook=06_02.xlsx&amp;sheet=U0&amp;row=1376&amp;col=6&amp;number=4.2&amp;sourceID=14","4.2")</f>
        <v>4.2</v>
      </c>
      <c r="G1376" s="4" t="str">
        <f>HYPERLINK("http://141.218.60.56/~jnz1568/getInfo.php?workbook=06_02.xlsx&amp;sheet=U0&amp;row=1376&amp;col=7&amp;number=0.0138&amp;sourceID=14","0.0138")</f>
        <v>0.0138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HYPERLINK("http://141.218.60.56/~jnz1568/getInfo.php?workbook=06_02.xlsx&amp;sheet=U0&amp;row=1377&amp;col=6&amp;number=4.3&amp;sourceID=14","4.3")</f>
        <v>4.3</v>
      </c>
      <c r="G1377" s="4" t="str">
        <f>HYPERLINK("http://141.218.60.56/~jnz1568/getInfo.php?workbook=06_02.xlsx&amp;sheet=U0&amp;row=1377&amp;col=7&amp;number=0.0138&amp;sourceID=14","0.0138")</f>
        <v>0.0138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HYPERLINK("http://141.218.60.56/~jnz1568/getInfo.php?workbook=06_02.xlsx&amp;sheet=U0&amp;row=1378&amp;col=6&amp;number=4.4&amp;sourceID=14","4.4")</f>
        <v>4.4</v>
      </c>
      <c r="G1378" s="4" t="str">
        <f>HYPERLINK("http://141.218.60.56/~jnz1568/getInfo.php?workbook=06_02.xlsx&amp;sheet=U0&amp;row=1378&amp;col=7&amp;number=0.0138&amp;sourceID=14","0.0138")</f>
        <v>0.0138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HYPERLINK("http://141.218.60.56/~jnz1568/getInfo.php?workbook=06_02.xlsx&amp;sheet=U0&amp;row=1379&amp;col=6&amp;number=4.5&amp;sourceID=14","4.5")</f>
        <v>4.5</v>
      </c>
      <c r="G1379" s="4" t="str">
        <f>HYPERLINK("http://141.218.60.56/~jnz1568/getInfo.php?workbook=06_02.xlsx&amp;sheet=U0&amp;row=1379&amp;col=7&amp;number=0.0138&amp;sourceID=14","0.0138")</f>
        <v>0.0138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HYPERLINK("http://141.218.60.56/~jnz1568/getInfo.php?workbook=06_02.xlsx&amp;sheet=U0&amp;row=1380&amp;col=6&amp;number=4.6&amp;sourceID=14","4.6")</f>
        <v>4.6</v>
      </c>
      <c r="G1380" s="4" t="str">
        <f>HYPERLINK("http://141.218.60.56/~jnz1568/getInfo.php?workbook=06_02.xlsx&amp;sheet=U0&amp;row=1380&amp;col=7&amp;number=0.0139&amp;sourceID=14","0.0139")</f>
        <v>0.0139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HYPERLINK("http://141.218.60.56/~jnz1568/getInfo.php?workbook=06_02.xlsx&amp;sheet=U0&amp;row=1381&amp;col=6&amp;number=4.7&amp;sourceID=14","4.7")</f>
        <v>4.7</v>
      </c>
      <c r="G1381" s="4" t="str">
        <f>HYPERLINK("http://141.218.60.56/~jnz1568/getInfo.php?workbook=06_02.xlsx&amp;sheet=U0&amp;row=1381&amp;col=7&amp;number=0.0139&amp;sourceID=14","0.0139")</f>
        <v>0.0139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HYPERLINK("http://141.218.60.56/~jnz1568/getInfo.php?workbook=06_02.xlsx&amp;sheet=U0&amp;row=1382&amp;col=6&amp;number=4.8&amp;sourceID=14","4.8")</f>
        <v>4.8</v>
      </c>
      <c r="G1382" s="4" t="str">
        <f>HYPERLINK("http://141.218.60.56/~jnz1568/getInfo.php?workbook=06_02.xlsx&amp;sheet=U0&amp;row=1382&amp;col=7&amp;number=0.0139&amp;sourceID=14","0.0139")</f>
        <v>0.0139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HYPERLINK("http://141.218.60.56/~jnz1568/getInfo.php?workbook=06_02.xlsx&amp;sheet=U0&amp;row=1383&amp;col=6&amp;number=4.9&amp;sourceID=14","4.9")</f>
        <v>4.9</v>
      </c>
      <c r="G1383" s="4" t="str">
        <f>HYPERLINK("http://141.218.60.56/~jnz1568/getInfo.php?workbook=06_02.xlsx&amp;sheet=U0&amp;row=1383&amp;col=7&amp;number=0.014&amp;sourceID=14","0.014")</f>
        <v>0.014</v>
      </c>
    </row>
    <row r="1384" spans="1:7">
      <c r="A1384" s="3">
        <v>6</v>
      </c>
      <c r="B1384" s="3">
        <v>2</v>
      </c>
      <c r="C1384" s="3">
        <v>2</v>
      </c>
      <c r="D1384" s="3">
        <v>29</v>
      </c>
      <c r="E1384" s="3">
        <v>1</v>
      </c>
      <c r="F1384" s="4" t="str">
        <f>HYPERLINK("http://141.218.60.56/~jnz1568/getInfo.php?workbook=06_02.xlsx&amp;sheet=U0&amp;row=1384&amp;col=6&amp;number=3&amp;sourceID=14","3")</f>
        <v>3</v>
      </c>
      <c r="G1384" s="4" t="str">
        <f>HYPERLINK("http://141.218.60.56/~jnz1568/getInfo.php?workbook=06_02.xlsx&amp;sheet=U0&amp;row=1384&amp;col=7&amp;number=0.0189&amp;sourceID=14","0.0189")</f>
        <v>0.0189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HYPERLINK("http://141.218.60.56/~jnz1568/getInfo.php?workbook=06_02.xlsx&amp;sheet=U0&amp;row=1385&amp;col=6&amp;number=3.1&amp;sourceID=14","3.1")</f>
        <v>3.1</v>
      </c>
      <c r="G1385" s="4" t="str">
        <f>HYPERLINK("http://141.218.60.56/~jnz1568/getInfo.php?workbook=06_02.xlsx&amp;sheet=U0&amp;row=1385&amp;col=7&amp;number=0.0189&amp;sourceID=14","0.0189")</f>
        <v>0.0189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HYPERLINK("http://141.218.60.56/~jnz1568/getInfo.php?workbook=06_02.xlsx&amp;sheet=U0&amp;row=1386&amp;col=6&amp;number=3.2&amp;sourceID=14","3.2")</f>
        <v>3.2</v>
      </c>
      <c r="G1386" s="4" t="str">
        <f>HYPERLINK("http://141.218.60.56/~jnz1568/getInfo.php?workbook=06_02.xlsx&amp;sheet=U0&amp;row=1386&amp;col=7&amp;number=0.0189&amp;sourceID=14","0.0189")</f>
        <v>0.0189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HYPERLINK("http://141.218.60.56/~jnz1568/getInfo.php?workbook=06_02.xlsx&amp;sheet=U0&amp;row=1387&amp;col=6&amp;number=3.3&amp;sourceID=14","3.3")</f>
        <v>3.3</v>
      </c>
      <c r="G1387" s="4" t="str">
        <f>HYPERLINK("http://141.218.60.56/~jnz1568/getInfo.php?workbook=06_02.xlsx&amp;sheet=U0&amp;row=1387&amp;col=7&amp;number=0.0189&amp;sourceID=14","0.0189")</f>
        <v>0.0189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HYPERLINK("http://141.218.60.56/~jnz1568/getInfo.php?workbook=06_02.xlsx&amp;sheet=U0&amp;row=1388&amp;col=6&amp;number=3.4&amp;sourceID=14","3.4")</f>
        <v>3.4</v>
      </c>
      <c r="G1388" s="4" t="str">
        <f>HYPERLINK("http://141.218.60.56/~jnz1568/getInfo.php?workbook=06_02.xlsx&amp;sheet=U0&amp;row=1388&amp;col=7&amp;number=0.0189&amp;sourceID=14","0.0189")</f>
        <v>0.0189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HYPERLINK("http://141.218.60.56/~jnz1568/getInfo.php?workbook=06_02.xlsx&amp;sheet=U0&amp;row=1389&amp;col=6&amp;number=3.5&amp;sourceID=14","3.5")</f>
        <v>3.5</v>
      </c>
      <c r="G1389" s="4" t="str">
        <f>HYPERLINK("http://141.218.60.56/~jnz1568/getInfo.php?workbook=06_02.xlsx&amp;sheet=U0&amp;row=1389&amp;col=7&amp;number=0.0189&amp;sourceID=14","0.0189")</f>
        <v>0.0189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HYPERLINK("http://141.218.60.56/~jnz1568/getInfo.php?workbook=06_02.xlsx&amp;sheet=U0&amp;row=1390&amp;col=6&amp;number=3.6&amp;sourceID=14","3.6")</f>
        <v>3.6</v>
      </c>
      <c r="G1390" s="4" t="str">
        <f>HYPERLINK("http://141.218.60.56/~jnz1568/getInfo.php?workbook=06_02.xlsx&amp;sheet=U0&amp;row=1390&amp;col=7&amp;number=0.0189&amp;sourceID=14","0.0189")</f>
        <v>0.0189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HYPERLINK("http://141.218.60.56/~jnz1568/getInfo.php?workbook=06_02.xlsx&amp;sheet=U0&amp;row=1391&amp;col=6&amp;number=3.7&amp;sourceID=14","3.7")</f>
        <v>3.7</v>
      </c>
      <c r="G1391" s="4" t="str">
        <f>HYPERLINK("http://141.218.60.56/~jnz1568/getInfo.php?workbook=06_02.xlsx&amp;sheet=U0&amp;row=1391&amp;col=7&amp;number=0.0189&amp;sourceID=14","0.0189")</f>
        <v>0.0189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HYPERLINK("http://141.218.60.56/~jnz1568/getInfo.php?workbook=06_02.xlsx&amp;sheet=U0&amp;row=1392&amp;col=6&amp;number=3.8&amp;sourceID=14","3.8")</f>
        <v>3.8</v>
      </c>
      <c r="G1392" s="4" t="str">
        <f>HYPERLINK("http://141.218.60.56/~jnz1568/getInfo.php?workbook=06_02.xlsx&amp;sheet=U0&amp;row=1392&amp;col=7&amp;number=0.0189&amp;sourceID=14","0.0189")</f>
        <v>0.0189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HYPERLINK("http://141.218.60.56/~jnz1568/getInfo.php?workbook=06_02.xlsx&amp;sheet=U0&amp;row=1393&amp;col=6&amp;number=3.9&amp;sourceID=14","3.9")</f>
        <v>3.9</v>
      </c>
      <c r="G1393" s="4" t="str">
        <f>HYPERLINK("http://141.218.60.56/~jnz1568/getInfo.php?workbook=06_02.xlsx&amp;sheet=U0&amp;row=1393&amp;col=7&amp;number=0.0189&amp;sourceID=14","0.0189")</f>
        <v>0.0189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HYPERLINK("http://141.218.60.56/~jnz1568/getInfo.php?workbook=06_02.xlsx&amp;sheet=U0&amp;row=1394&amp;col=6&amp;number=4&amp;sourceID=14","4")</f>
        <v>4</v>
      </c>
      <c r="G1394" s="4" t="str">
        <f>HYPERLINK("http://141.218.60.56/~jnz1568/getInfo.php?workbook=06_02.xlsx&amp;sheet=U0&amp;row=1394&amp;col=7&amp;number=0.0189&amp;sourceID=14","0.0189")</f>
        <v>0.0189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HYPERLINK("http://141.218.60.56/~jnz1568/getInfo.php?workbook=06_02.xlsx&amp;sheet=U0&amp;row=1395&amp;col=6&amp;number=4.1&amp;sourceID=14","4.1")</f>
        <v>4.1</v>
      </c>
      <c r="G1395" s="4" t="str">
        <f>HYPERLINK("http://141.218.60.56/~jnz1568/getInfo.php?workbook=06_02.xlsx&amp;sheet=U0&amp;row=1395&amp;col=7&amp;number=0.0189&amp;sourceID=14","0.0189")</f>
        <v>0.0189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HYPERLINK("http://141.218.60.56/~jnz1568/getInfo.php?workbook=06_02.xlsx&amp;sheet=U0&amp;row=1396&amp;col=6&amp;number=4.2&amp;sourceID=14","4.2")</f>
        <v>4.2</v>
      </c>
      <c r="G1396" s="4" t="str">
        <f>HYPERLINK("http://141.218.60.56/~jnz1568/getInfo.php?workbook=06_02.xlsx&amp;sheet=U0&amp;row=1396&amp;col=7&amp;number=0.0189&amp;sourceID=14","0.0189")</f>
        <v>0.0189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HYPERLINK("http://141.218.60.56/~jnz1568/getInfo.php?workbook=06_02.xlsx&amp;sheet=U0&amp;row=1397&amp;col=6&amp;number=4.3&amp;sourceID=14","4.3")</f>
        <v>4.3</v>
      </c>
      <c r="G1397" s="4" t="str">
        <f>HYPERLINK("http://141.218.60.56/~jnz1568/getInfo.php?workbook=06_02.xlsx&amp;sheet=U0&amp;row=1397&amp;col=7&amp;number=0.0189&amp;sourceID=14","0.0189")</f>
        <v>0.0189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HYPERLINK("http://141.218.60.56/~jnz1568/getInfo.php?workbook=06_02.xlsx&amp;sheet=U0&amp;row=1398&amp;col=6&amp;number=4.4&amp;sourceID=14","4.4")</f>
        <v>4.4</v>
      </c>
      <c r="G1398" s="4" t="str">
        <f>HYPERLINK("http://141.218.60.56/~jnz1568/getInfo.php?workbook=06_02.xlsx&amp;sheet=U0&amp;row=1398&amp;col=7&amp;number=0.0189&amp;sourceID=14","0.0189")</f>
        <v>0.0189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HYPERLINK("http://141.218.60.56/~jnz1568/getInfo.php?workbook=06_02.xlsx&amp;sheet=U0&amp;row=1399&amp;col=6&amp;number=4.5&amp;sourceID=14","4.5")</f>
        <v>4.5</v>
      </c>
      <c r="G1399" s="4" t="str">
        <f>HYPERLINK("http://141.218.60.56/~jnz1568/getInfo.php?workbook=06_02.xlsx&amp;sheet=U0&amp;row=1399&amp;col=7&amp;number=0.0189&amp;sourceID=14","0.0189")</f>
        <v>0.0189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HYPERLINK("http://141.218.60.56/~jnz1568/getInfo.php?workbook=06_02.xlsx&amp;sheet=U0&amp;row=1400&amp;col=6&amp;number=4.6&amp;sourceID=14","4.6")</f>
        <v>4.6</v>
      </c>
      <c r="G1400" s="4" t="str">
        <f>HYPERLINK("http://141.218.60.56/~jnz1568/getInfo.php?workbook=06_02.xlsx&amp;sheet=U0&amp;row=1400&amp;col=7&amp;number=0.0188&amp;sourceID=14","0.0188")</f>
        <v>0.0188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HYPERLINK("http://141.218.60.56/~jnz1568/getInfo.php?workbook=06_02.xlsx&amp;sheet=U0&amp;row=1401&amp;col=6&amp;number=4.7&amp;sourceID=14","4.7")</f>
        <v>4.7</v>
      </c>
      <c r="G1401" s="4" t="str">
        <f>HYPERLINK("http://141.218.60.56/~jnz1568/getInfo.php?workbook=06_02.xlsx&amp;sheet=U0&amp;row=1401&amp;col=7&amp;number=0.0188&amp;sourceID=14","0.0188")</f>
        <v>0.0188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HYPERLINK("http://141.218.60.56/~jnz1568/getInfo.php?workbook=06_02.xlsx&amp;sheet=U0&amp;row=1402&amp;col=6&amp;number=4.8&amp;sourceID=14","4.8")</f>
        <v>4.8</v>
      </c>
      <c r="G1402" s="4" t="str">
        <f>HYPERLINK("http://141.218.60.56/~jnz1568/getInfo.php?workbook=06_02.xlsx&amp;sheet=U0&amp;row=1402&amp;col=7&amp;number=0.0188&amp;sourceID=14","0.0188")</f>
        <v>0.0188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HYPERLINK("http://141.218.60.56/~jnz1568/getInfo.php?workbook=06_02.xlsx&amp;sheet=U0&amp;row=1403&amp;col=6&amp;number=4.9&amp;sourceID=14","4.9")</f>
        <v>4.9</v>
      </c>
      <c r="G1403" s="4" t="str">
        <f>HYPERLINK("http://141.218.60.56/~jnz1568/getInfo.php?workbook=06_02.xlsx&amp;sheet=U0&amp;row=1403&amp;col=7&amp;number=0.0188&amp;sourceID=14","0.0188")</f>
        <v>0.0188</v>
      </c>
    </row>
    <row r="1404" spans="1:7">
      <c r="A1404" s="3">
        <v>6</v>
      </c>
      <c r="B1404" s="3">
        <v>2</v>
      </c>
      <c r="C1404" s="3">
        <v>2</v>
      </c>
      <c r="D1404" s="3">
        <v>30</v>
      </c>
      <c r="E1404" s="3">
        <v>1</v>
      </c>
      <c r="F1404" s="4" t="str">
        <f>HYPERLINK("http://141.218.60.56/~jnz1568/getInfo.php?workbook=06_02.xlsx&amp;sheet=U0&amp;row=1404&amp;col=6&amp;number=3&amp;sourceID=14","3")</f>
        <v>3</v>
      </c>
      <c r="G1404" s="4" t="str">
        <f>HYPERLINK("http://141.218.60.56/~jnz1568/getInfo.php?workbook=06_02.xlsx&amp;sheet=U0&amp;row=1404&amp;col=7&amp;number=0.0248&amp;sourceID=14","0.0248")</f>
        <v>0.0248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HYPERLINK("http://141.218.60.56/~jnz1568/getInfo.php?workbook=06_02.xlsx&amp;sheet=U0&amp;row=1405&amp;col=6&amp;number=3.1&amp;sourceID=14","3.1")</f>
        <v>3.1</v>
      </c>
      <c r="G1405" s="4" t="str">
        <f>HYPERLINK("http://141.218.60.56/~jnz1568/getInfo.php?workbook=06_02.xlsx&amp;sheet=U0&amp;row=1405&amp;col=7&amp;number=0.0248&amp;sourceID=14","0.0248")</f>
        <v>0.0248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HYPERLINK("http://141.218.60.56/~jnz1568/getInfo.php?workbook=06_02.xlsx&amp;sheet=U0&amp;row=1406&amp;col=6&amp;number=3.2&amp;sourceID=14","3.2")</f>
        <v>3.2</v>
      </c>
      <c r="G1406" s="4" t="str">
        <f>HYPERLINK("http://141.218.60.56/~jnz1568/getInfo.php?workbook=06_02.xlsx&amp;sheet=U0&amp;row=1406&amp;col=7&amp;number=0.0248&amp;sourceID=14","0.0248")</f>
        <v>0.0248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HYPERLINK("http://141.218.60.56/~jnz1568/getInfo.php?workbook=06_02.xlsx&amp;sheet=U0&amp;row=1407&amp;col=6&amp;number=3.3&amp;sourceID=14","3.3")</f>
        <v>3.3</v>
      </c>
      <c r="G1407" s="4" t="str">
        <f>HYPERLINK("http://141.218.60.56/~jnz1568/getInfo.php?workbook=06_02.xlsx&amp;sheet=U0&amp;row=1407&amp;col=7&amp;number=0.0248&amp;sourceID=14","0.0248")</f>
        <v>0.0248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HYPERLINK("http://141.218.60.56/~jnz1568/getInfo.php?workbook=06_02.xlsx&amp;sheet=U0&amp;row=1408&amp;col=6&amp;number=3.4&amp;sourceID=14","3.4")</f>
        <v>3.4</v>
      </c>
      <c r="G1408" s="4" t="str">
        <f>HYPERLINK("http://141.218.60.56/~jnz1568/getInfo.php?workbook=06_02.xlsx&amp;sheet=U0&amp;row=1408&amp;col=7&amp;number=0.0248&amp;sourceID=14","0.0248")</f>
        <v>0.0248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HYPERLINK("http://141.218.60.56/~jnz1568/getInfo.php?workbook=06_02.xlsx&amp;sheet=U0&amp;row=1409&amp;col=6&amp;number=3.5&amp;sourceID=14","3.5")</f>
        <v>3.5</v>
      </c>
      <c r="G1409" s="4" t="str">
        <f>HYPERLINK("http://141.218.60.56/~jnz1568/getInfo.php?workbook=06_02.xlsx&amp;sheet=U0&amp;row=1409&amp;col=7&amp;number=0.0248&amp;sourceID=14","0.0248")</f>
        <v>0.0248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HYPERLINK("http://141.218.60.56/~jnz1568/getInfo.php?workbook=06_02.xlsx&amp;sheet=U0&amp;row=1410&amp;col=6&amp;number=3.6&amp;sourceID=14","3.6")</f>
        <v>3.6</v>
      </c>
      <c r="G1410" s="4" t="str">
        <f>HYPERLINK("http://141.218.60.56/~jnz1568/getInfo.php?workbook=06_02.xlsx&amp;sheet=U0&amp;row=1410&amp;col=7&amp;number=0.0248&amp;sourceID=14","0.0248")</f>
        <v>0.0248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HYPERLINK("http://141.218.60.56/~jnz1568/getInfo.php?workbook=06_02.xlsx&amp;sheet=U0&amp;row=1411&amp;col=6&amp;number=3.7&amp;sourceID=14","3.7")</f>
        <v>3.7</v>
      </c>
      <c r="G1411" s="4" t="str">
        <f>HYPERLINK("http://141.218.60.56/~jnz1568/getInfo.php?workbook=06_02.xlsx&amp;sheet=U0&amp;row=1411&amp;col=7&amp;number=0.0248&amp;sourceID=14","0.0248")</f>
        <v>0.0248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HYPERLINK("http://141.218.60.56/~jnz1568/getInfo.php?workbook=06_02.xlsx&amp;sheet=U0&amp;row=1412&amp;col=6&amp;number=3.8&amp;sourceID=14","3.8")</f>
        <v>3.8</v>
      </c>
      <c r="G1412" s="4" t="str">
        <f>HYPERLINK("http://141.218.60.56/~jnz1568/getInfo.php?workbook=06_02.xlsx&amp;sheet=U0&amp;row=1412&amp;col=7&amp;number=0.0248&amp;sourceID=14","0.0248")</f>
        <v>0.0248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HYPERLINK("http://141.218.60.56/~jnz1568/getInfo.php?workbook=06_02.xlsx&amp;sheet=U0&amp;row=1413&amp;col=6&amp;number=3.9&amp;sourceID=14","3.9")</f>
        <v>3.9</v>
      </c>
      <c r="G1413" s="4" t="str">
        <f>HYPERLINK("http://141.218.60.56/~jnz1568/getInfo.php?workbook=06_02.xlsx&amp;sheet=U0&amp;row=1413&amp;col=7&amp;number=0.0248&amp;sourceID=14","0.0248")</f>
        <v>0.0248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HYPERLINK("http://141.218.60.56/~jnz1568/getInfo.php?workbook=06_02.xlsx&amp;sheet=U0&amp;row=1414&amp;col=6&amp;number=4&amp;sourceID=14","4")</f>
        <v>4</v>
      </c>
      <c r="G1414" s="4" t="str">
        <f>HYPERLINK("http://141.218.60.56/~jnz1568/getInfo.php?workbook=06_02.xlsx&amp;sheet=U0&amp;row=1414&amp;col=7&amp;number=0.0248&amp;sourceID=14","0.0248")</f>
        <v>0.0248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HYPERLINK("http://141.218.60.56/~jnz1568/getInfo.php?workbook=06_02.xlsx&amp;sheet=U0&amp;row=1415&amp;col=6&amp;number=4.1&amp;sourceID=14","4.1")</f>
        <v>4.1</v>
      </c>
      <c r="G1415" s="4" t="str">
        <f>HYPERLINK("http://141.218.60.56/~jnz1568/getInfo.php?workbook=06_02.xlsx&amp;sheet=U0&amp;row=1415&amp;col=7&amp;number=0.0249&amp;sourceID=14","0.0249")</f>
        <v>0.0249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HYPERLINK("http://141.218.60.56/~jnz1568/getInfo.php?workbook=06_02.xlsx&amp;sheet=U0&amp;row=1416&amp;col=6&amp;number=4.2&amp;sourceID=14","4.2")</f>
        <v>4.2</v>
      </c>
      <c r="G1416" s="4" t="str">
        <f>HYPERLINK("http://141.218.60.56/~jnz1568/getInfo.php?workbook=06_02.xlsx&amp;sheet=U0&amp;row=1416&amp;col=7&amp;number=0.0249&amp;sourceID=14","0.0249")</f>
        <v>0.0249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HYPERLINK("http://141.218.60.56/~jnz1568/getInfo.php?workbook=06_02.xlsx&amp;sheet=U0&amp;row=1417&amp;col=6&amp;number=4.3&amp;sourceID=14","4.3")</f>
        <v>4.3</v>
      </c>
      <c r="G1417" s="4" t="str">
        <f>HYPERLINK("http://141.218.60.56/~jnz1568/getInfo.php?workbook=06_02.xlsx&amp;sheet=U0&amp;row=1417&amp;col=7&amp;number=0.0249&amp;sourceID=14","0.0249")</f>
        <v>0.0249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HYPERLINK("http://141.218.60.56/~jnz1568/getInfo.php?workbook=06_02.xlsx&amp;sheet=U0&amp;row=1418&amp;col=6&amp;number=4.4&amp;sourceID=14","4.4")</f>
        <v>4.4</v>
      </c>
      <c r="G1418" s="4" t="str">
        <f>HYPERLINK("http://141.218.60.56/~jnz1568/getInfo.php?workbook=06_02.xlsx&amp;sheet=U0&amp;row=1418&amp;col=7&amp;number=0.0249&amp;sourceID=14","0.0249")</f>
        <v>0.0249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HYPERLINK("http://141.218.60.56/~jnz1568/getInfo.php?workbook=06_02.xlsx&amp;sheet=U0&amp;row=1419&amp;col=6&amp;number=4.5&amp;sourceID=14","4.5")</f>
        <v>4.5</v>
      </c>
      <c r="G1419" s="4" t="str">
        <f>HYPERLINK("http://141.218.60.56/~jnz1568/getInfo.php?workbook=06_02.xlsx&amp;sheet=U0&amp;row=1419&amp;col=7&amp;number=0.0249&amp;sourceID=14","0.0249")</f>
        <v>0.0249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HYPERLINK("http://141.218.60.56/~jnz1568/getInfo.php?workbook=06_02.xlsx&amp;sheet=U0&amp;row=1420&amp;col=6&amp;number=4.6&amp;sourceID=14","4.6")</f>
        <v>4.6</v>
      </c>
      <c r="G1420" s="4" t="str">
        <f>HYPERLINK("http://141.218.60.56/~jnz1568/getInfo.php?workbook=06_02.xlsx&amp;sheet=U0&amp;row=1420&amp;col=7&amp;number=0.025&amp;sourceID=14","0.025")</f>
        <v>0.025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HYPERLINK("http://141.218.60.56/~jnz1568/getInfo.php?workbook=06_02.xlsx&amp;sheet=U0&amp;row=1421&amp;col=6&amp;number=4.7&amp;sourceID=14","4.7")</f>
        <v>4.7</v>
      </c>
      <c r="G1421" s="4" t="str">
        <f>HYPERLINK("http://141.218.60.56/~jnz1568/getInfo.php?workbook=06_02.xlsx&amp;sheet=U0&amp;row=1421&amp;col=7&amp;number=0.025&amp;sourceID=14","0.025")</f>
        <v>0.025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HYPERLINK("http://141.218.60.56/~jnz1568/getInfo.php?workbook=06_02.xlsx&amp;sheet=U0&amp;row=1422&amp;col=6&amp;number=4.8&amp;sourceID=14","4.8")</f>
        <v>4.8</v>
      </c>
      <c r="G1422" s="4" t="str">
        <f>HYPERLINK("http://141.218.60.56/~jnz1568/getInfo.php?workbook=06_02.xlsx&amp;sheet=U0&amp;row=1422&amp;col=7&amp;number=0.0251&amp;sourceID=14","0.0251")</f>
        <v>0.0251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HYPERLINK("http://141.218.60.56/~jnz1568/getInfo.php?workbook=06_02.xlsx&amp;sheet=U0&amp;row=1423&amp;col=6&amp;number=4.9&amp;sourceID=14","4.9")</f>
        <v>4.9</v>
      </c>
      <c r="G1423" s="4" t="str">
        <f>HYPERLINK("http://141.218.60.56/~jnz1568/getInfo.php?workbook=06_02.xlsx&amp;sheet=U0&amp;row=1423&amp;col=7&amp;number=0.0252&amp;sourceID=14","0.0252")</f>
        <v>0.0252</v>
      </c>
    </row>
    <row r="1424" spans="1:7">
      <c r="A1424" s="3">
        <v>6</v>
      </c>
      <c r="B1424" s="3">
        <v>2</v>
      </c>
      <c r="C1424" s="3">
        <v>2</v>
      </c>
      <c r="D1424" s="3">
        <v>31</v>
      </c>
      <c r="E1424" s="3">
        <v>1</v>
      </c>
      <c r="F1424" s="4" t="str">
        <f>HYPERLINK("http://141.218.60.56/~jnz1568/getInfo.php?workbook=06_02.xlsx&amp;sheet=U0&amp;row=1424&amp;col=6&amp;number=3&amp;sourceID=14","3")</f>
        <v>3</v>
      </c>
      <c r="G1424" s="4" t="str">
        <f>HYPERLINK("http://141.218.60.56/~jnz1568/getInfo.php?workbook=06_02.xlsx&amp;sheet=U0&amp;row=1424&amp;col=7&amp;number=0.0191&amp;sourceID=14","0.0191")</f>
        <v>0.0191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HYPERLINK("http://141.218.60.56/~jnz1568/getInfo.php?workbook=06_02.xlsx&amp;sheet=U0&amp;row=1425&amp;col=6&amp;number=3.1&amp;sourceID=14","3.1")</f>
        <v>3.1</v>
      </c>
      <c r="G1425" s="4" t="str">
        <f>HYPERLINK("http://141.218.60.56/~jnz1568/getInfo.php?workbook=06_02.xlsx&amp;sheet=U0&amp;row=1425&amp;col=7&amp;number=0.0191&amp;sourceID=14","0.0191")</f>
        <v>0.0191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HYPERLINK("http://141.218.60.56/~jnz1568/getInfo.php?workbook=06_02.xlsx&amp;sheet=U0&amp;row=1426&amp;col=6&amp;number=3.2&amp;sourceID=14","3.2")</f>
        <v>3.2</v>
      </c>
      <c r="G1426" s="4" t="str">
        <f>HYPERLINK("http://141.218.60.56/~jnz1568/getInfo.php?workbook=06_02.xlsx&amp;sheet=U0&amp;row=1426&amp;col=7&amp;number=0.0191&amp;sourceID=14","0.0191")</f>
        <v>0.0191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HYPERLINK("http://141.218.60.56/~jnz1568/getInfo.php?workbook=06_02.xlsx&amp;sheet=U0&amp;row=1427&amp;col=6&amp;number=3.3&amp;sourceID=14","3.3")</f>
        <v>3.3</v>
      </c>
      <c r="G1427" s="4" t="str">
        <f>HYPERLINK("http://141.218.60.56/~jnz1568/getInfo.php?workbook=06_02.xlsx&amp;sheet=U0&amp;row=1427&amp;col=7&amp;number=0.0191&amp;sourceID=14","0.0191")</f>
        <v>0.0191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HYPERLINK("http://141.218.60.56/~jnz1568/getInfo.php?workbook=06_02.xlsx&amp;sheet=U0&amp;row=1428&amp;col=6&amp;number=3.4&amp;sourceID=14","3.4")</f>
        <v>3.4</v>
      </c>
      <c r="G1428" s="4" t="str">
        <f>HYPERLINK("http://141.218.60.56/~jnz1568/getInfo.php?workbook=06_02.xlsx&amp;sheet=U0&amp;row=1428&amp;col=7&amp;number=0.0191&amp;sourceID=14","0.0191")</f>
        <v>0.0191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HYPERLINK("http://141.218.60.56/~jnz1568/getInfo.php?workbook=06_02.xlsx&amp;sheet=U0&amp;row=1429&amp;col=6&amp;number=3.5&amp;sourceID=14","3.5")</f>
        <v>3.5</v>
      </c>
      <c r="G1429" s="4" t="str">
        <f>HYPERLINK("http://141.218.60.56/~jnz1568/getInfo.php?workbook=06_02.xlsx&amp;sheet=U0&amp;row=1429&amp;col=7&amp;number=0.019&amp;sourceID=14","0.019")</f>
        <v>0.019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HYPERLINK("http://141.218.60.56/~jnz1568/getInfo.php?workbook=06_02.xlsx&amp;sheet=U0&amp;row=1430&amp;col=6&amp;number=3.6&amp;sourceID=14","3.6")</f>
        <v>3.6</v>
      </c>
      <c r="G1430" s="4" t="str">
        <f>HYPERLINK("http://141.218.60.56/~jnz1568/getInfo.php?workbook=06_02.xlsx&amp;sheet=U0&amp;row=1430&amp;col=7&amp;number=0.019&amp;sourceID=14","0.019")</f>
        <v>0.019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HYPERLINK("http://141.218.60.56/~jnz1568/getInfo.php?workbook=06_02.xlsx&amp;sheet=U0&amp;row=1431&amp;col=6&amp;number=3.7&amp;sourceID=14","3.7")</f>
        <v>3.7</v>
      </c>
      <c r="G1431" s="4" t="str">
        <f>HYPERLINK("http://141.218.60.56/~jnz1568/getInfo.php?workbook=06_02.xlsx&amp;sheet=U0&amp;row=1431&amp;col=7&amp;number=0.019&amp;sourceID=14","0.019")</f>
        <v>0.019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HYPERLINK("http://141.218.60.56/~jnz1568/getInfo.php?workbook=06_02.xlsx&amp;sheet=U0&amp;row=1432&amp;col=6&amp;number=3.8&amp;sourceID=14","3.8")</f>
        <v>3.8</v>
      </c>
      <c r="G1432" s="4" t="str">
        <f>HYPERLINK("http://141.218.60.56/~jnz1568/getInfo.php?workbook=06_02.xlsx&amp;sheet=U0&amp;row=1432&amp;col=7&amp;number=0.019&amp;sourceID=14","0.019")</f>
        <v>0.019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HYPERLINK("http://141.218.60.56/~jnz1568/getInfo.php?workbook=06_02.xlsx&amp;sheet=U0&amp;row=1433&amp;col=6&amp;number=3.9&amp;sourceID=14","3.9")</f>
        <v>3.9</v>
      </c>
      <c r="G1433" s="4" t="str">
        <f>HYPERLINK("http://141.218.60.56/~jnz1568/getInfo.php?workbook=06_02.xlsx&amp;sheet=U0&amp;row=1433&amp;col=7&amp;number=0.0189&amp;sourceID=14","0.0189")</f>
        <v>0.0189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HYPERLINK("http://141.218.60.56/~jnz1568/getInfo.php?workbook=06_02.xlsx&amp;sheet=U0&amp;row=1434&amp;col=6&amp;number=4&amp;sourceID=14","4")</f>
        <v>4</v>
      </c>
      <c r="G1434" s="4" t="str">
        <f>HYPERLINK("http://141.218.60.56/~jnz1568/getInfo.php?workbook=06_02.xlsx&amp;sheet=U0&amp;row=1434&amp;col=7&amp;number=0.0189&amp;sourceID=14","0.0189")</f>
        <v>0.0189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HYPERLINK("http://141.218.60.56/~jnz1568/getInfo.php?workbook=06_02.xlsx&amp;sheet=U0&amp;row=1435&amp;col=6&amp;number=4.1&amp;sourceID=14","4.1")</f>
        <v>4.1</v>
      </c>
      <c r="G1435" s="4" t="str">
        <f>HYPERLINK("http://141.218.60.56/~jnz1568/getInfo.php?workbook=06_02.xlsx&amp;sheet=U0&amp;row=1435&amp;col=7&amp;number=0.0188&amp;sourceID=14","0.0188")</f>
        <v>0.0188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HYPERLINK("http://141.218.60.56/~jnz1568/getInfo.php?workbook=06_02.xlsx&amp;sheet=U0&amp;row=1436&amp;col=6&amp;number=4.2&amp;sourceID=14","4.2")</f>
        <v>4.2</v>
      </c>
      <c r="G1436" s="4" t="str">
        <f>HYPERLINK("http://141.218.60.56/~jnz1568/getInfo.php?workbook=06_02.xlsx&amp;sheet=U0&amp;row=1436&amp;col=7&amp;number=0.0188&amp;sourceID=14","0.0188")</f>
        <v>0.0188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HYPERLINK("http://141.218.60.56/~jnz1568/getInfo.php?workbook=06_02.xlsx&amp;sheet=U0&amp;row=1437&amp;col=6&amp;number=4.3&amp;sourceID=14","4.3")</f>
        <v>4.3</v>
      </c>
      <c r="G1437" s="4" t="str">
        <f>HYPERLINK("http://141.218.60.56/~jnz1568/getInfo.php?workbook=06_02.xlsx&amp;sheet=U0&amp;row=1437&amp;col=7&amp;number=0.0187&amp;sourceID=14","0.0187")</f>
        <v>0.0187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HYPERLINK("http://141.218.60.56/~jnz1568/getInfo.php?workbook=06_02.xlsx&amp;sheet=U0&amp;row=1438&amp;col=6&amp;number=4.4&amp;sourceID=14","4.4")</f>
        <v>4.4</v>
      </c>
      <c r="G1438" s="4" t="str">
        <f>HYPERLINK("http://141.218.60.56/~jnz1568/getInfo.php?workbook=06_02.xlsx&amp;sheet=U0&amp;row=1438&amp;col=7&amp;number=0.0186&amp;sourceID=14","0.0186")</f>
        <v>0.0186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HYPERLINK("http://141.218.60.56/~jnz1568/getInfo.php?workbook=06_02.xlsx&amp;sheet=U0&amp;row=1439&amp;col=6&amp;number=4.5&amp;sourceID=14","4.5")</f>
        <v>4.5</v>
      </c>
      <c r="G1439" s="4" t="str">
        <f>HYPERLINK("http://141.218.60.56/~jnz1568/getInfo.php?workbook=06_02.xlsx&amp;sheet=U0&amp;row=1439&amp;col=7&amp;number=0.0184&amp;sourceID=14","0.0184")</f>
        <v>0.0184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HYPERLINK("http://141.218.60.56/~jnz1568/getInfo.php?workbook=06_02.xlsx&amp;sheet=U0&amp;row=1440&amp;col=6&amp;number=4.6&amp;sourceID=14","4.6")</f>
        <v>4.6</v>
      </c>
      <c r="G1440" s="4" t="str">
        <f>HYPERLINK("http://141.218.60.56/~jnz1568/getInfo.php?workbook=06_02.xlsx&amp;sheet=U0&amp;row=1440&amp;col=7&amp;number=0.0183&amp;sourceID=14","0.0183")</f>
        <v>0.0183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HYPERLINK("http://141.218.60.56/~jnz1568/getInfo.php?workbook=06_02.xlsx&amp;sheet=U0&amp;row=1441&amp;col=6&amp;number=4.7&amp;sourceID=14","4.7")</f>
        <v>4.7</v>
      </c>
      <c r="G1441" s="4" t="str">
        <f>HYPERLINK("http://141.218.60.56/~jnz1568/getInfo.php?workbook=06_02.xlsx&amp;sheet=U0&amp;row=1441&amp;col=7&amp;number=0.018&amp;sourceID=14","0.018")</f>
        <v>0.018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HYPERLINK("http://141.218.60.56/~jnz1568/getInfo.php?workbook=06_02.xlsx&amp;sheet=U0&amp;row=1442&amp;col=6&amp;number=4.8&amp;sourceID=14","4.8")</f>
        <v>4.8</v>
      </c>
      <c r="G1442" s="4" t="str">
        <f>HYPERLINK("http://141.218.60.56/~jnz1568/getInfo.php?workbook=06_02.xlsx&amp;sheet=U0&amp;row=1442&amp;col=7&amp;number=0.0178&amp;sourceID=14","0.0178")</f>
        <v>0.0178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HYPERLINK("http://141.218.60.56/~jnz1568/getInfo.php?workbook=06_02.xlsx&amp;sheet=U0&amp;row=1443&amp;col=6&amp;number=4.9&amp;sourceID=14","4.9")</f>
        <v>4.9</v>
      </c>
      <c r="G1443" s="4" t="str">
        <f>HYPERLINK("http://141.218.60.56/~jnz1568/getInfo.php?workbook=06_02.xlsx&amp;sheet=U0&amp;row=1443&amp;col=7&amp;number=0.0175&amp;sourceID=14","0.0175")</f>
        <v>0.0175</v>
      </c>
    </row>
    <row r="1444" spans="1:7">
      <c r="A1444" s="3">
        <v>6</v>
      </c>
      <c r="B1444" s="3">
        <v>2</v>
      </c>
      <c r="C1444" s="3">
        <v>2</v>
      </c>
      <c r="D1444" s="3">
        <v>32</v>
      </c>
      <c r="E1444" s="3">
        <v>1</v>
      </c>
      <c r="F1444" s="4" t="str">
        <f>HYPERLINK("http://141.218.60.56/~jnz1568/getInfo.php?workbook=06_02.xlsx&amp;sheet=U0&amp;row=1444&amp;col=6&amp;number=3&amp;sourceID=14","3")</f>
        <v>3</v>
      </c>
      <c r="G1444" s="4" t="str">
        <f>HYPERLINK("http://141.218.60.56/~jnz1568/getInfo.php?workbook=06_02.xlsx&amp;sheet=U0&amp;row=1444&amp;col=7&amp;number=0.0337&amp;sourceID=14","0.0337")</f>
        <v>0.0337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HYPERLINK("http://141.218.60.56/~jnz1568/getInfo.php?workbook=06_02.xlsx&amp;sheet=U0&amp;row=1445&amp;col=6&amp;number=3.1&amp;sourceID=14","3.1")</f>
        <v>3.1</v>
      </c>
      <c r="G1445" s="4" t="str">
        <f>HYPERLINK("http://141.218.60.56/~jnz1568/getInfo.php?workbook=06_02.xlsx&amp;sheet=U0&amp;row=1445&amp;col=7&amp;number=0.0337&amp;sourceID=14","0.0337")</f>
        <v>0.0337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HYPERLINK("http://141.218.60.56/~jnz1568/getInfo.php?workbook=06_02.xlsx&amp;sheet=U0&amp;row=1446&amp;col=6&amp;number=3.2&amp;sourceID=14","3.2")</f>
        <v>3.2</v>
      </c>
      <c r="G1446" s="4" t="str">
        <f>HYPERLINK("http://141.218.60.56/~jnz1568/getInfo.php?workbook=06_02.xlsx&amp;sheet=U0&amp;row=1446&amp;col=7&amp;number=0.0337&amp;sourceID=14","0.0337")</f>
        <v>0.0337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HYPERLINK("http://141.218.60.56/~jnz1568/getInfo.php?workbook=06_02.xlsx&amp;sheet=U0&amp;row=1447&amp;col=6&amp;number=3.3&amp;sourceID=14","3.3")</f>
        <v>3.3</v>
      </c>
      <c r="G1447" s="4" t="str">
        <f>HYPERLINK("http://141.218.60.56/~jnz1568/getInfo.php?workbook=06_02.xlsx&amp;sheet=U0&amp;row=1447&amp;col=7&amp;number=0.0337&amp;sourceID=14","0.0337")</f>
        <v>0.0337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HYPERLINK("http://141.218.60.56/~jnz1568/getInfo.php?workbook=06_02.xlsx&amp;sheet=U0&amp;row=1448&amp;col=6&amp;number=3.4&amp;sourceID=14","3.4")</f>
        <v>3.4</v>
      </c>
      <c r="G1448" s="4" t="str">
        <f>HYPERLINK("http://141.218.60.56/~jnz1568/getInfo.php?workbook=06_02.xlsx&amp;sheet=U0&amp;row=1448&amp;col=7&amp;number=0.0337&amp;sourceID=14","0.0337")</f>
        <v>0.0337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HYPERLINK("http://141.218.60.56/~jnz1568/getInfo.php?workbook=06_02.xlsx&amp;sheet=U0&amp;row=1449&amp;col=6&amp;number=3.5&amp;sourceID=14","3.5")</f>
        <v>3.5</v>
      </c>
      <c r="G1449" s="4" t="str">
        <f>HYPERLINK("http://141.218.60.56/~jnz1568/getInfo.php?workbook=06_02.xlsx&amp;sheet=U0&amp;row=1449&amp;col=7&amp;number=0.0337&amp;sourceID=14","0.0337")</f>
        <v>0.0337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HYPERLINK("http://141.218.60.56/~jnz1568/getInfo.php?workbook=06_02.xlsx&amp;sheet=U0&amp;row=1450&amp;col=6&amp;number=3.6&amp;sourceID=14","3.6")</f>
        <v>3.6</v>
      </c>
      <c r="G1450" s="4" t="str">
        <f>HYPERLINK("http://141.218.60.56/~jnz1568/getInfo.php?workbook=06_02.xlsx&amp;sheet=U0&amp;row=1450&amp;col=7&amp;number=0.0337&amp;sourceID=14","0.0337")</f>
        <v>0.0337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HYPERLINK("http://141.218.60.56/~jnz1568/getInfo.php?workbook=06_02.xlsx&amp;sheet=U0&amp;row=1451&amp;col=6&amp;number=3.7&amp;sourceID=14","3.7")</f>
        <v>3.7</v>
      </c>
      <c r="G1451" s="4" t="str">
        <f>HYPERLINK("http://141.218.60.56/~jnz1568/getInfo.php?workbook=06_02.xlsx&amp;sheet=U0&amp;row=1451&amp;col=7&amp;number=0.0337&amp;sourceID=14","0.0337")</f>
        <v>0.0337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HYPERLINK("http://141.218.60.56/~jnz1568/getInfo.php?workbook=06_02.xlsx&amp;sheet=U0&amp;row=1452&amp;col=6&amp;number=3.8&amp;sourceID=14","3.8")</f>
        <v>3.8</v>
      </c>
      <c r="G1452" s="4" t="str">
        <f>HYPERLINK("http://141.218.60.56/~jnz1568/getInfo.php?workbook=06_02.xlsx&amp;sheet=U0&amp;row=1452&amp;col=7&amp;number=0.0337&amp;sourceID=14","0.0337")</f>
        <v>0.0337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HYPERLINK("http://141.218.60.56/~jnz1568/getInfo.php?workbook=06_02.xlsx&amp;sheet=U0&amp;row=1453&amp;col=6&amp;number=3.9&amp;sourceID=14","3.9")</f>
        <v>3.9</v>
      </c>
      <c r="G1453" s="4" t="str">
        <f>HYPERLINK("http://141.218.60.56/~jnz1568/getInfo.php?workbook=06_02.xlsx&amp;sheet=U0&amp;row=1453&amp;col=7&amp;number=0.0337&amp;sourceID=14","0.0337")</f>
        <v>0.0337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HYPERLINK("http://141.218.60.56/~jnz1568/getInfo.php?workbook=06_02.xlsx&amp;sheet=U0&amp;row=1454&amp;col=6&amp;number=4&amp;sourceID=14","4")</f>
        <v>4</v>
      </c>
      <c r="G1454" s="4" t="str">
        <f>HYPERLINK("http://141.218.60.56/~jnz1568/getInfo.php?workbook=06_02.xlsx&amp;sheet=U0&amp;row=1454&amp;col=7&amp;number=0.0337&amp;sourceID=14","0.0337")</f>
        <v>0.0337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HYPERLINK("http://141.218.60.56/~jnz1568/getInfo.php?workbook=06_02.xlsx&amp;sheet=U0&amp;row=1455&amp;col=6&amp;number=4.1&amp;sourceID=14","4.1")</f>
        <v>4.1</v>
      </c>
      <c r="G1455" s="4" t="str">
        <f>HYPERLINK("http://141.218.60.56/~jnz1568/getInfo.php?workbook=06_02.xlsx&amp;sheet=U0&amp;row=1455&amp;col=7&amp;number=0.0337&amp;sourceID=14","0.0337")</f>
        <v>0.0337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HYPERLINK("http://141.218.60.56/~jnz1568/getInfo.php?workbook=06_02.xlsx&amp;sheet=U0&amp;row=1456&amp;col=6&amp;number=4.2&amp;sourceID=14","4.2")</f>
        <v>4.2</v>
      </c>
      <c r="G1456" s="4" t="str">
        <f>HYPERLINK("http://141.218.60.56/~jnz1568/getInfo.php?workbook=06_02.xlsx&amp;sheet=U0&amp;row=1456&amp;col=7&amp;number=0.0337&amp;sourceID=14","0.0337")</f>
        <v>0.0337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HYPERLINK("http://141.218.60.56/~jnz1568/getInfo.php?workbook=06_02.xlsx&amp;sheet=U0&amp;row=1457&amp;col=6&amp;number=4.3&amp;sourceID=14","4.3")</f>
        <v>4.3</v>
      </c>
      <c r="G1457" s="4" t="str">
        <f>HYPERLINK("http://141.218.60.56/~jnz1568/getInfo.php?workbook=06_02.xlsx&amp;sheet=U0&amp;row=1457&amp;col=7&amp;number=0.0338&amp;sourceID=14","0.0338")</f>
        <v>0.0338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HYPERLINK("http://141.218.60.56/~jnz1568/getInfo.php?workbook=06_02.xlsx&amp;sheet=U0&amp;row=1458&amp;col=6&amp;number=4.4&amp;sourceID=14","4.4")</f>
        <v>4.4</v>
      </c>
      <c r="G1458" s="4" t="str">
        <f>HYPERLINK("http://141.218.60.56/~jnz1568/getInfo.php?workbook=06_02.xlsx&amp;sheet=U0&amp;row=1458&amp;col=7&amp;number=0.0338&amp;sourceID=14","0.0338")</f>
        <v>0.0338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HYPERLINK("http://141.218.60.56/~jnz1568/getInfo.php?workbook=06_02.xlsx&amp;sheet=U0&amp;row=1459&amp;col=6&amp;number=4.5&amp;sourceID=14","4.5")</f>
        <v>4.5</v>
      </c>
      <c r="G1459" s="4" t="str">
        <f>HYPERLINK("http://141.218.60.56/~jnz1568/getInfo.php?workbook=06_02.xlsx&amp;sheet=U0&amp;row=1459&amp;col=7&amp;number=0.0338&amp;sourceID=14","0.0338")</f>
        <v>0.0338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HYPERLINK("http://141.218.60.56/~jnz1568/getInfo.php?workbook=06_02.xlsx&amp;sheet=U0&amp;row=1460&amp;col=6&amp;number=4.6&amp;sourceID=14","4.6")</f>
        <v>4.6</v>
      </c>
      <c r="G1460" s="4" t="str">
        <f>HYPERLINK("http://141.218.60.56/~jnz1568/getInfo.php?workbook=06_02.xlsx&amp;sheet=U0&amp;row=1460&amp;col=7&amp;number=0.0338&amp;sourceID=14","0.0338")</f>
        <v>0.0338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HYPERLINK("http://141.218.60.56/~jnz1568/getInfo.php?workbook=06_02.xlsx&amp;sheet=U0&amp;row=1461&amp;col=6&amp;number=4.7&amp;sourceID=14","4.7")</f>
        <v>4.7</v>
      </c>
      <c r="G1461" s="4" t="str">
        <f>HYPERLINK("http://141.218.60.56/~jnz1568/getInfo.php?workbook=06_02.xlsx&amp;sheet=U0&amp;row=1461&amp;col=7&amp;number=0.0339&amp;sourceID=14","0.0339")</f>
        <v>0.0339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HYPERLINK("http://141.218.60.56/~jnz1568/getInfo.php?workbook=06_02.xlsx&amp;sheet=U0&amp;row=1462&amp;col=6&amp;number=4.8&amp;sourceID=14","4.8")</f>
        <v>4.8</v>
      </c>
      <c r="G1462" s="4" t="str">
        <f>HYPERLINK("http://141.218.60.56/~jnz1568/getInfo.php?workbook=06_02.xlsx&amp;sheet=U0&amp;row=1462&amp;col=7&amp;number=0.0339&amp;sourceID=14","0.0339")</f>
        <v>0.0339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HYPERLINK("http://141.218.60.56/~jnz1568/getInfo.php?workbook=06_02.xlsx&amp;sheet=U0&amp;row=1463&amp;col=6&amp;number=4.9&amp;sourceID=14","4.9")</f>
        <v>4.9</v>
      </c>
      <c r="G1463" s="4" t="str">
        <f>HYPERLINK("http://141.218.60.56/~jnz1568/getInfo.php?workbook=06_02.xlsx&amp;sheet=U0&amp;row=1463&amp;col=7&amp;number=0.034&amp;sourceID=14","0.034")</f>
        <v>0.034</v>
      </c>
    </row>
    <row r="1464" spans="1:7">
      <c r="A1464" s="3">
        <v>6</v>
      </c>
      <c r="B1464" s="3">
        <v>2</v>
      </c>
      <c r="C1464" s="3">
        <v>2</v>
      </c>
      <c r="D1464" s="3">
        <v>33</v>
      </c>
      <c r="E1464" s="3">
        <v>1</v>
      </c>
      <c r="F1464" s="4" t="str">
        <f>HYPERLINK("http://141.218.60.56/~jnz1568/getInfo.php?workbook=06_02.xlsx&amp;sheet=U0&amp;row=1464&amp;col=6&amp;number=3&amp;sourceID=14","3")</f>
        <v>3</v>
      </c>
      <c r="G1464" s="4" t="str">
        <f>HYPERLINK("http://141.218.60.56/~jnz1568/getInfo.php?workbook=06_02.xlsx&amp;sheet=U0&amp;row=1464&amp;col=7&amp;number=0.00204&amp;sourceID=14","0.00204")</f>
        <v>0.00204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HYPERLINK("http://141.218.60.56/~jnz1568/getInfo.php?workbook=06_02.xlsx&amp;sheet=U0&amp;row=1465&amp;col=6&amp;number=3.1&amp;sourceID=14","3.1")</f>
        <v>3.1</v>
      </c>
      <c r="G1465" s="4" t="str">
        <f>HYPERLINK("http://141.218.60.56/~jnz1568/getInfo.php?workbook=06_02.xlsx&amp;sheet=U0&amp;row=1465&amp;col=7&amp;number=0.00204&amp;sourceID=14","0.00204")</f>
        <v>0.00204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HYPERLINK("http://141.218.60.56/~jnz1568/getInfo.php?workbook=06_02.xlsx&amp;sheet=U0&amp;row=1466&amp;col=6&amp;number=3.2&amp;sourceID=14","3.2")</f>
        <v>3.2</v>
      </c>
      <c r="G1466" s="4" t="str">
        <f>HYPERLINK("http://141.218.60.56/~jnz1568/getInfo.php?workbook=06_02.xlsx&amp;sheet=U0&amp;row=1466&amp;col=7&amp;number=0.00204&amp;sourceID=14","0.00204")</f>
        <v>0.00204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HYPERLINK("http://141.218.60.56/~jnz1568/getInfo.php?workbook=06_02.xlsx&amp;sheet=U0&amp;row=1467&amp;col=6&amp;number=3.3&amp;sourceID=14","3.3")</f>
        <v>3.3</v>
      </c>
      <c r="G1467" s="4" t="str">
        <f>HYPERLINK("http://141.218.60.56/~jnz1568/getInfo.php?workbook=06_02.xlsx&amp;sheet=U0&amp;row=1467&amp;col=7&amp;number=0.00204&amp;sourceID=14","0.00204")</f>
        <v>0.00204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HYPERLINK("http://141.218.60.56/~jnz1568/getInfo.php?workbook=06_02.xlsx&amp;sheet=U0&amp;row=1468&amp;col=6&amp;number=3.4&amp;sourceID=14","3.4")</f>
        <v>3.4</v>
      </c>
      <c r="G1468" s="4" t="str">
        <f>HYPERLINK("http://141.218.60.56/~jnz1568/getInfo.php?workbook=06_02.xlsx&amp;sheet=U0&amp;row=1468&amp;col=7&amp;number=0.00204&amp;sourceID=14","0.00204")</f>
        <v>0.00204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HYPERLINK("http://141.218.60.56/~jnz1568/getInfo.php?workbook=06_02.xlsx&amp;sheet=U0&amp;row=1469&amp;col=6&amp;number=3.5&amp;sourceID=14","3.5")</f>
        <v>3.5</v>
      </c>
      <c r="G1469" s="4" t="str">
        <f>HYPERLINK("http://141.218.60.56/~jnz1568/getInfo.php?workbook=06_02.xlsx&amp;sheet=U0&amp;row=1469&amp;col=7&amp;number=0.00204&amp;sourceID=14","0.00204")</f>
        <v>0.00204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HYPERLINK("http://141.218.60.56/~jnz1568/getInfo.php?workbook=06_02.xlsx&amp;sheet=U0&amp;row=1470&amp;col=6&amp;number=3.6&amp;sourceID=14","3.6")</f>
        <v>3.6</v>
      </c>
      <c r="G1470" s="4" t="str">
        <f>HYPERLINK("http://141.218.60.56/~jnz1568/getInfo.php?workbook=06_02.xlsx&amp;sheet=U0&amp;row=1470&amp;col=7&amp;number=0.00203&amp;sourceID=14","0.00203")</f>
        <v>0.00203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HYPERLINK("http://141.218.60.56/~jnz1568/getInfo.php?workbook=06_02.xlsx&amp;sheet=U0&amp;row=1471&amp;col=6&amp;number=3.7&amp;sourceID=14","3.7")</f>
        <v>3.7</v>
      </c>
      <c r="G1471" s="4" t="str">
        <f>HYPERLINK("http://141.218.60.56/~jnz1568/getInfo.php?workbook=06_02.xlsx&amp;sheet=U0&amp;row=1471&amp;col=7&amp;number=0.00203&amp;sourceID=14","0.00203")</f>
        <v>0.00203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HYPERLINK("http://141.218.60.56/~jnz1568/getInfo.php?workbook=06_02.xlsx&amp;sheet=U0&amp;row=1472&amp;col=6&amp;number=3.8&amp;sourceID=14","3.8")</f>
        <v>3.8</v>
      </c>
      <c r="G1472" s="4" t="str">
        <f>HYPERLINK("http://141.218.60.56/~jnz1568/getInfo.php?workbook=06_02.xlsx&amp;sheet=U0&amp;row=1472&amp;col=7&amp;number=0.00203&amp;sourceID=14","0.00203")</f>
        <v>0.00203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HYPERLINK("http://141.218.60.56/~jnz1568/getInfo.php?workbook=06_02.xlsx&amp;sheet=U0&amp;row=1473&amp;col=6&amp;number=3.9&amp;sourceID=14","3.9")</f>
        <v>3.9</v>
      </c>
      <c r="G1473" s="4" t="str">
        <f>HYPERLINK("http://141.218.60.56/~jnz1568/getInfo.php?workbook=06_02.xlsx&amp;sheet=U0&amp;row=1473&amp;col=7&amp;number=0.00202&amp;sourceID=14","0.00202")</f>
        <v>0.00202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HYPERLINK("http://141.218.60.56/~jnz1568/getInfo.php?workbook=06_02.xlsx&amp;sheet=U0&amp;row=1474&amp;col=6&amp;number=4&amp;sourceID=14","4")</f>
        <v>4</v>
      </c>
      <c r="G1474" s="4" t="str">
        <f>HYPERLINK("http://141.218.60.56/~jnz1568/getInfo.php?workbook=06_02.xlsx&amp;sheet=U0&amp;row=1474&amp;col=7&amp;number=0.00202&amp;sourceID=14","0.00202")</f>
        <v>0.00202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HYPERLINK("http://141.218.60.56/~jnz1568/getInfo.php?workbook=06_02.xlsx&amp;sheet=U0&amp;row=1475&amp;col=6&amp;number=4.1&amp;sourceID=14","4.1")</f>
        <v>4.1</v>
      </c>
      <c r="G1475" s="4" t="str">
        <f>HYPERLINK("http://141.218.60.56/~jnz1568/getInfo.php?workbook=06_02.xlsx&amp;sheet=U0&amp;row=1475&amp;col=7&amp;number=0.00201&amp;sourceID=14","0.00201")</f>
        <v>0.00201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HYPERLINK("http://141.218.60.56/~jnz1568/getInfo.php?workbook=06_02.xlsx&amp;sheet=U0&amp;row=1476&amp;col=6&amp;number=4.2&amp;sourceID=14","4.2")</f>
        <v>4.2</v>
      </c>
      <c r="G1476" s="4" t="str">
        <f>HYPERLINK("http://141.218.60.56/~jnz1568/getInfo.php?workbook=06_02.xlsx&amp;sheet=U0&amp;row=1476&amp;col=7&amp;number=0.002&amp;sourceID=14","0.002")</f>
        <v>0.002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HYPERLINK("http://141.218.60.56/~jnz1568/getInfo.php?workbook=06_02.xlsx&amp;sheet=U0&amp;row=1477&amp;col=6&amp;number=4.3&amp;sourceID=14","4.3")</f>
        <v>4.3</v>
      </c>
      <c r="G1477" s="4" t="str">
        <f>HYPERLINK("http://141.218.60.56/~jnz1568/getInfo.php?workbook=06_02.xlsx&amp;sheet=U0&amp;row=1477&amp;col=7&amp;number=0.00199&amp;sourceID=14","0.00199")</f>
        <v>0.00199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HYPERLINK("http://141.218.60.56/~jnz1568/getInfo.php?workbook=06_02.xlsx&amp;sheet=U0&amp;row=1478&amp;col=6&amp;number=4.4&amp;sourceID=14","4.4")</f>
        <v>4.4</v>
      </c>
      <c r="G1478" s="4" t="str">
        <f>HYPERLINK("http://141.218.60.56/~jnz1568/getInfo.php?workbook=06_02.xlsx&amp;sheet=U0&amp;row=1478&amp;col=7&amp;number=0.00198&amp;sourceID=14","0.00198")</f>
        <v>0.00198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HYPERLINK("http://141.218.60.56/~jnz1568/getInfo.php?workbook=06_02.xlsx&amp;sheet=U0&amp;row=1479&amp;col=6&amp;number=4.5&amp;sourceID=14","4.5")</f>
        <v>4.5</v>
      </c>
      <c r="G1479" s="4" t="str">
        <f>HYPERLINK("http://141.218.60.56/~jnz1568/getInfo.php?workbook=06_02.xlsx&amp;sheet=U0&amp;row=1479&amp;col=7&amp;number=0.00196&amp;sourceID=14","0.00196")</f>
        <v>0.00196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HYPERLINK("http://141.218.60.56/~jnz1568/getInfo.php?workbook=06_02.xlsx&amp;sheet=U0&amp;row=1480&amp;col=6&amp;number=4.6&amp;sourceID=14","4.6")</f>
        <v>4.6</v>
      </c>
      <c r="G1480" s="4" t="str">
        <f>HYPERLINK("http://141.218.60.56/~jnz1568/getInfo.php?workbook=06_02.xlsx&amp;sheet=U0&amp;row=1480&amp;col=7&amp;number=0.00194&amp;sourceID=14","0.00194")</f>
        <v>0.00194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HYPERLINK("http://141.218.60.56/~jnz1568/getInfo.php?workbook=06_02.xlsx&amp;sheet=U0&amp;row=1481&amp;col=6&amp;number=4.7&amp;sourceID=14","4.7")</f>
        <v>4.7</v>
      </c>
      <c r="G1481" s="4" t="str">
        <f>HYPERLINK("http://141.218.60.56/~jnz1568/getInfo.php?workbook=06_02.xlsx&amp;sheet=U0&amp;row=1481&amp;col=7&amp;number=0.00192&amp;sourceID=14","0.00192")</f>
        <v>0.00192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HYPERLINK("http://141.218.60.56/~jnz1568/getInfo.php?workbook=06_02.xlsx&amp;sheet=U0&amp;row=1482&amp;col=6&amp;number=4.8&amp;sourceID=14","4.8")</f>
        <v>4.8</v>
      </c>
      <c r="G1482" s="4" t="str">
        <f>HYPERLINK("http://141.218.60.56/~jnz1568/getInfo.php?workbook=06_02.xlsx&amp;sheet=U0&amp;row=1482&amp;col=7&amp;number=0.00189&amp;sourceID=14","0.00189")</f>
        <v>0.00189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HYPERLINK("http://141.218.60.56/~jnz1568/getInfo.php?workbook=06_02.xlsx&amp;sheet=U0&amp;row=1483&amp;col=6&amp;number=4.9&amp;sourceID=14","4.9")</f>
        <v>4.9</v>
      </c>
      <c r="G1483" s="4" t="str">
        <f>HYPERLINK("http://141.218.60.56/~jnz1568/getInfo.php?workbook=06_02.xlsx&amp;sheet=U0&amp;row=1483&amp;col=7&amp;number=0.00185&amp;sourceID=14","0.00185")</f>
        <v>0.00185</v>
      </c>
    </row>
    <row r="1484" spans="1:7">
      <c r="A1484" s="3">
        <v>6</v>
      </c>
      <c r="B1484" s="3">
        <v>2</v>
      </c>
      <c r="C1484" s="3">
        <v>2</v>
      </c>
      <c r="D1484" s="3">
        <v>34</v>
      </c>
      <c r="E1484" s="3">
        <v>1</v>
      </c>
      <c r="F1484" s="4" t="str">
        <f>HYPERLINK("http://141.218.60.56/~jnz1568/getInfo.php?workbook=06_02.xlsx&amp;sheet=U0&amp;row=1484&amp;col=6&amp;number=3&amp;sourceID=14","3")</f>
        <v>3</v>
      </c>
      <c r="G1484" s="4" t="str">
        <f>HYPERLINK("http://141.218.60.56/~jnz1568/getInfo.php?workbook=06_02.xlsx&amp;sheet=U0&amp;row=1484&amp;col=7&amp;number=0.00296&amp;sourceID=14","0.00296")</f>
        <v>0.00296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HYPERLINK("http://141.218.60.56/~jnz1568/getInfo.php?workbook=06_02.xlsx&amp;sheet=U0&amp;row=1485&amp;col=6&amp;number=3.1&amp;sourceID=14","3.1")</f>
        <v>3.1</v>
      </c>
      <c r="G1485" s="4" t="str">
        <f>HYPERLINK("http://141.218.60.56/~jnz1568/getInfo.php?workbook=06_02.xlsx&amp;sheet=U0&amp;row=1485&amp;col=7&amp;number=0.00296&amp;sourceID=14","0.00296")</f>
        <v>0.00296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HYPERLINK("http://141.218.60.56/~jnz1568/getInfo.php?workbook=06_02.xlsx&amp;sheet=U0&amp;row=1486&amp;col=6&amp;number=3.2&amp;sourceID=14","3.2")</f>
        <v>3.2</v>
      </c>
      <c r="G1486" s="4" t="str">
        <f>HYPERLINK("http://141.218.60.56/~jnz1568/getInfo.php?workbook=06_02.xlsx&amp;sheet=U0&amp;row=1486&amp;col=7&amp;number=0.00296&amp;sourceID=14","0.00296")</f>
        <v>0.00296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HYPERLINK("http://141.218.60.56/~jnz1568/getInfo.php?workbook=06_02.xlsx&amp;sheet=U0&amp;row=1487&amp;col=6&amp;number=3.3&amp;sourceID=14","3.3")</f>
        <v>3.3</v>
      </c>
      <c r="G1487" s="4" t="str">
        <f>HYPERLINK("http://141.218.60.56/~jnz1568/getInfo.php?workbook=06_02.xlsx&amp;sheet=U0&amp;row=1487&amp;col=7&amp;number=0.00296&amp;sourceID=14","0.00296")</f>
        <v>0.00296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HYPERLINK("http://141.218.60.56/~jnz1568/getInfo.php?workbook=06_02.xlsx&amp;sheet=U0&amp;row=1488&amp;col=6&amp;number=3.4&amp;sourceID=14","3.4")</f>
        <v>3.4</v>
      </c>
      <c r="G1488" s="4" t="str">
        <f>HYPERLINK("http://141.218.60.56/~jnz1568/getInfo.php?workbook=06_02.xlsx&amp;sheet=U0&amp;row=1488&amp;col=7&amp;number=0.00296&amp;sourceID=14","0.00296")</f>
        <v>0.00296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HYPERLINK("http://141.218.60.56/~jnz1568/getInfo.php?workbook=06_02.xlsx&amp;sheet=U0&amp;row=1489&amp;col=6&amp;number=3.5&amp;sourceID=14","3.5")</f>
        <v>3.5</v>
      </c>
      <c r="G1489" s="4" t="str">
        <f>HYPERLINK("http://141.218.60.56/~jnz1568/getInfo.php?workbook=06_02.xlsx&amp;sheet=U0&amp;row=1489&amp;col=7&amp;number=0.00297&amp;sourceID=14","0.00297")</f>
        <v>0.00297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HYPERLINK("http://141.218.60.56/~jnz1568/getInfo.php?workbook=06_02.xlsx&amp;sheet=U0&amp;row=1490&amp;col=6&amp;number=3.6&amp;sourceID=14","3.6")</f>
        <v>3.6</v>
      </c>
      <c r="G1490" s="4" t="str">
        <f>HYPERLINK("http://141.218.60.56/~jnz1568/getInfo.php?workbook=06_02.xlsx&amp;sheet=U0&amp;row=1490&amp;col=7&amp;number=0.00297&amp;sourceID=14","0.00297")</f>
        <v>0.00297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HYPERLINK("http://141.218.60.56/~jnz1568/getInfo.php?workbook=06_02.xlsx&amp;sheet=U0&amp;row=1491&amp;col=6&amp;number=3.7&amp;sourceID=14","3.7")</f>
        <v>3.7</v>
      </c>
      <c r="G1491" s="4" t="str">
        <f>HYPERLINK("http://141.218.60.56/~jnz1568/getInfo.php?workbook=06_02.xlsx&amp;sheet=U0&amp;row=1491&amp;col=7&amp;number=0.00297&amp;sourceID=14","0.00297")</f>
        <v>0.00297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HYPERLINK("http://141.218.60.56/~jnz1568/getInfo.php?workbook=06_02.xlsx&amp;sheet=U0&amp;row=1492&amp;col=6&amp;number=3.8&amp;sourceID=14","3.8")</f>
        <v>3.8</v>
      </c>
      <c r="G1492" s="4" t="str">
        <f>HYPERLINK("http://141.218.60.56/~jnz1568/getInfo.php?workbook=06_02.xlsx&amp;sheet=U0&amp;row=1492&amp;col=7&amp;number=0.00298&amp;sourceID=14","0.00298")</f>
        <v>0.00298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HYPERLINK("http://141.218.60.56/~jnz1568/getInfo.php?workbook=06_02.xlsx&amp;sheet=U0&amp;row=1493&amp;col=6&amp;number=3.9&amp;sourceID=14","3.9")</f>
        <v>3.9</v>
      </c>
      <c r="G1493" s="4" t="str">
        <f>HYPERLINK("http://141.218.60.56/~jnz1568/getInfo.php?workbook=06_02.xlsx&amp;sheet=U0&amp;row=1493&amp;col=7&amp;number=0.00298&amp;sourceID=14","0.00298")</f>
        <v>0.00298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HYPERLINK("http://141.218.60.56/~jnz1568/getInfo.php?workbook=06_02.xlsx&amp;sheet=U0&amp;row=1494&amp;col=6&amp;number=4&amp;sourceID=14","4")</f>
        <v>4</v>
      </c>
      <c r="G1494" s="4" t="str">
        <f>HYPERLINK("http://141.218.60.56/~jnz1568/getInfo.php?workbook=06_02.xlsx&amp;sheet=U0&amp;row=1494&amp;col=7&amp;number=0.00299&amp;sourceID=14","0.00299")</f>
        <v>0.00299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HYPERLINK("http://141.218.60.56/~jnz1568/getInfo.php?workbook=06_02.xlsx&amp;sheet=U0&amp;row=1495&amp;col=6&amp;number=4.1&amp;sourceID=14","4.1")</f>
        <v>4.1</v>
      </c>
      <c r="G1495" s="4" t="str">
        <f>HYPERLINK("http://141.218.60.56/~jnz1568/getInfo.php?workbook=06_02.xlsx&amp;sheet=U0&amp;row=1495&amp;col=7&amp;number=0.003&amp;sourceID=14","0.003")</f>
        <v>0.003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HYPERLINK("http://141.218.60.56/~jnz1568/getInfo.php?workbook=06_02.xlsx&amp;sheet=U0&amp;row=1496&amp;col=6&amp;number=4.2&amp;sourceID=14","4.2")</f>
        <v>4.2</v>
      </c>
      <c r="G1496" s="4" t="str">
        <f>HYPERLINK("http://141.218.60.56/~jnz1568/getInfo.php?workbook=06_02.xlsx&amp;sheet=U0&amp;row=1496&amp;col=7&amp;number=0.00301&amp;sourceID=14","0.00301")</f>
        <v>0.00301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HYPERLINK("http://141.218.60.56/~jnz1568/getInfo.php?workbook=06_02.xlsx&amp;sheet=U0&amp;row=1497&amp;col=6&amp;number=4.3&amp;sourceID=14","4.3")</f>
        <v>4.3</v>
      </c>
      <c r="G1497" s="4" t="str">
        <f>HYPERLINK("http://141.218.60.56/~jnz1568/getInfo.php?workbook=06_02.xlsx&amp;sheet=U0&amp;row=1497&amp;col=7&amp;number=0.00302&amp;sourceID=14","0.00302")</f>
        <v>0.00302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HYPERLINK("http://141.218.60.56/~jnz1568/getInfo.php?workbook=06_02.xlsx&amp;sheet=U0&amp;row=1498&amp;col=6&amp;number=4.4&amp;sourceID=14","4.4")</f>
        <v>4.4</v>
      </c>
      <c r="G1498" s="4" t="str">
        <f>HYPERLINK("http://141.218.60.56/~jnz1568/getInfo.php?workbook=06_02.xlsx&amp;sheet=U0&amp;row=1498&amp;col=7&amp;number=0.00304&amp;sourceID=14","0.00304")</f>
        <v>0.00304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HYPERLINK("http://141.218.60.56/~jnz1568/getInfo.php?workbook=06_02.xlsx&amp;sheet=U0&amp;row=1499&amp;col=6&amp;number=4.5&amp;sourceID=14","4.5")</f>
        <v>4.5</v>
      </c>
      <c r="G1499" s="4" t="str">
        <f>HYPERLINK("http://141.218.60.56/~jnz1568/getInfo.php?workbook=06_02.xlsx&amp;sheet=U0&amp;row=1499&amp;col=7&amp;number=0.00306&amp;sourceID=14","0.00306")</f>
        <v>0.00306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HYPERLINK("http://141.218.60.56/~jnz1568/getInfo.php?workbook=06_02.xlsx&amp;sheet=U0&amp;row=1500&amp;col=6&amp;number=4.6&amp;sourceID=14","4.6")</f>
        <v>4.6</v>
      </c>
      <c r="G1500" s="4" t="str">
        <f>HYPERLINK("http://141.218.60.56/~jnz1568/getInfo.php?workbook=06_02.xlsx&amp;sheet=U0&amp;row=1500&amp;col=7&amp;number=0.00309&amp;sourceID=14","0.00309")</f>
        <v>0.00309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HYPERLINK("http://141.218.60.56/~jnz1568/getInfo.php?workbook=06_02.xlsx&amp;sheet=U0&amp;row=1501&amp;col=6&amp;number=4.7&amp;sourceID=14","4.7")</f>
        <v>4.7</v>
      </c>
      <c r="G1501" s="4" t="str">
        <f>HYPERLINK("http://141.218.60.56/~jnz1568/getInfo.php?workbook=06_02.xlsx&amp;sheet=U0&amp;row=1501&amp;col=7&amp;number=0.00312&amp;sourceID=14","0.00312")</f>
        <v>0.00312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HYPERLINK("http://141.218.60.56/~jnz1568/getInfo.php?workbook=06_02.xlsx&amp;sheet=U0&amp;row=1502&amp;col=6&amp;number=4.8&amp;sourceID=14","4.8")</f>
        <v>4.8</v>
      </c>
      <c r="G1502" s="4" t="str">
        <f>HYPERLINK("http://141.218.60.56/~jnz1568/getInfo.php?workbook=06_02.xlsx&amp;sheet=U0&amp;row=1502&amp;col=7&amp;number=0.00316&amp;sourceID=14","0.00316")</f>
        <v>0.00316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HYPERLINK("http://141.218.60.56/~jnz1568/getInfo.php?workbook=06_02.xlsx&amp;sheet=U0&amp;row=1503&amp;col=6&amp;number=4.9&amp;sourceID=14","4.9")</f>
        <v>4.9</v>
      </c>
      <c r="G1503" s="4" t="str">
        <f>HYPERLINK("http://141.218.60.56/~jnz1568/getInfo.php?workbook=06_02.xlsx&amp;sheet=U0&amp;row=1503&amp;col=7&amp;number=0.00321&amp;sourceID=14","0.00321")</f>
        <v>0.00321</v>
      </c>
    </row>
    <row r="1504" spans="1:7">
      <c r="A1504" s="3">
        <v>6</v>
      </c>
      <c r="B1504" s="3">
        <v>2</v>
      </c>
      <c r="C1504" s="3">
        <v>2</v>
      </c>
      <c r="D1504" s="3">
        <v>35</v>
      </c>
      <c r="E1504" s="3">
        <v>1</v>
      </c>
      <c r="F1504" s="4" t="str">
        <f>HYPERLINK("http://141.218.60.56/~jnz1568/getInfo.php?workbook=06_02.xlsx&amp;sheet=U0&amp;row=1504&amp;col=6&amp;number=3&amp;sourceID=14","3")</f>
        <v>3</v>
      </c>
      <c r="G1504" s="4" t="str">
        <f>HYPERLINK("http://141.218.60.56/~jnz1568/getInfo.php?workbook=06_02.xlsx&amp;sheet=U0&amp;row=1504&amp;col=7&amp;number=0.00888&amp;sourceID=14","0.00888")</f>
        <v>0.00888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HYPERLINK("http://141.218.60.56/~jnz1568/getInfo.php?workbook=06_02.xlsx&amp;sheet=U0&amp;row=1505&amp;col=6&amp;number=3.1&amp;sourceID=14","3.1")</f>
        <v>3.1</v>
      </c>
      <c r="G1505" s="4" t="str">
        <f>HYPERLINK("http://141.218.60.56/~jnz1568/getInfo.php?workbook=06_02.xlsx&amp;sheet=U0&amp;row=1505&amp;col=7&amp;number=0.00888&amp;sourceID=14","0.00888")</f>
        <v>0.00888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HYPERLINK("http://141.218.60.56/~jnz1568/getInfo.php?workbook=06_02.xlsx&amp;sheet=U0&amp;row=1506&amp;col=6&amp;number=3.2&amp;sourceID=14","3.2")</f>
        <v>3.2</v>
      </c>
      <c r="G1506" s="4" t="str">
        <f>HYPERLINK("http://141.218.60.56/~jnz1568/getInfo.php?workbook=06_02.xlsx&amp;sheet=U0&amp;row=1506&amp;col=7&amp;number=0.00888&amp;sourceID=14","0.00888")</f>
        <v>0.00888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HYPERLINK("http://141.218.60.56/~jnz1568/getInfo.php?workbook=06_02.xlsx&amp;sheet=U0&amp;row=1507&amp;col=6&amp;number=3.3&amp;sourceID=14","3.3")</f>
        <v>3.3</v>
      </c>
      <c r="G1507" s="4" t="str">
        <f>HYPERLINK("http://141.218.60.56/~jnz1568/getInfo.php?workbook=06_02.xlsx&amp;sheet=U0&amp;row=1507&amp;col=7&amp;number=0.00889&amp;sourceID=14","0.00889")</f>
        <v>0.00889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HYPERLINK("http://141.218.60.56/~jnz1568/getInfo.php?workbook=06_02.xlsx&amp;sheet=U0&amp;row=1508&amp;col=6&amp;number=3.4&amp;sourceID=14","3.4")</f>
        <v>3.4</v>
      </c>
      <c r="G1508" s="4" t="str">
        <f>HYPERLINK("http://141.218.60.56/~jnz1568/getInfo.php?workbook=06_02.xlsx&amp;sheet=U0&amp;row=1508&amp;col=7&amp;number=0.00889&amp;sourceID=14","0.00889")</f>
        <v>0.00889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HYPERLINK("http://141.218.60.56/~jnz1568/getInfo.php?workbook=06_02.xlsx&amp;sheet=U0&amp;row=1509&amp;col=6&amp;number=3.5&amp;sourceID=14","3.5")</f>
        <v>3.5</v>
      </c>
      <c r="G1509" s="4" t="str">
        <f>HYPERLINK("http://141.218.60.56/~jnz1568/getInfo.php?workbook=06_02.xlsx&amp;sheet=U0&amp;row=1509&amp;col=7&amp;number=0.0089&amp;sourceID=14","0.0089")</f>
        <v>0.0089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HYPERLINK("http://141.218.60.56/~jnz1568/getInfo.php?workbook=06_02.xlsx&amp;sheet=U0&amp;row=1510&amp;col=6&amp;number=3.6&amp;sourceID=14","3.6")</f>
        <v>3.6</v>
      </c>
      <c r="G1510" s="4" t="str">
        <f>HYPERLINK("http://141.218.60.56/~jnz1568/getInfo.php?workbook=06_02.xlsx&amp;sheet=U0&amp;row=1510&amp;col=7&amp;number=0.00891&amp;sourceID=14","0.00891")</f>
        <v>0.00891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HYPERLINK("http://141.218.60.56/~jnz1568/getInfo.php?workbook=06_02.xlsx&amp;sheet=U0&amp;row=1511&amp;col=6&amp;number=3.7&amp;sourceID=14","3.7")</f>
        <v>3.7</v>
      </c>
      <c r="G1511" s="4" t="str">
        <f>HYPERLINK("http://141.218.60.56/~jnz1568/getInfo.php?workbook=06_02.xlsx&amp;sheet=U0&amp;row=1511&amp;col=7&amp;number=0.00892&amp;sourceID=14","0.00892")</f>
        <v>0.00892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HYPERLINK("http://141.218.60.56/~jnz1568/getInfo.php?workbook=06_02.xlsx&amp;sheet=U0&amp;row=1512&amp;col=6&amp;number=3.8&amp;sourceID=14","3.8")</f>
        <v>3.8</v>
      </c>
      <c r="G1512" s="4" t="str">
        <f>HYPERLINK("http://141.218.60.56/~jnz1568/getInfo.php?workbook=06_02.xlsx&amp;sheet=U0&amp;row=1512&amp;col=7&amp;number=0.00893&amp;sourceID=14","0.00893")</f>
        <v>0.00893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HYPERLINK("http://141.218.60.56/~jnz1568/getInfo.php?workbook=06_02.xlsx&amp;sheet=U0&amp;row=1513&amp;col=6&amp;number=3.9&amp;sourceID=14","3.9")</f>
        <v>3.9</v>
      </c>
      <c r="G1513" s="4" t="str">
        <f>HYPERLINK("http://141.218.60.56/~jnz1568/getInfo.php?workbook=06_02.xlsx&amp;sheet=U0&amp;row=1513&amp;col=7&amp;number=0.00895&amp;sourceID=14","0.00895")</f>
        <v>0.00895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HYPERLINK("http://141.218.60.56/~jnz1568/getInfo.php?workbook=06_02.xlsx&amp;sheet=U0&amp;row=1514&amp;col=6&amp;number=4&amp;sourceID=14","4")</f>
        <v>4</v>
      </c>
      <c r="G1514" s="4" t="str">
        <f>HYPERLINK("http://141.218.60.56/~jnz1568/getInfo.php?workbook=06_02.xlsx&amp;sheet=U0&amp;row=1514&amp;col=7&amp;number=0.00897&amp;sourceID=14","0.00897")</f>
        <v>0.00897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HYPERLINK("http://141.218.60.56/~jnz1568/getInfo.php?workbook=06_02.xlsx&amp;sheet=U0&amp;row=1515&amp;col=6&amp;number=4.1&amp;sourceID=14","4.1")</f>
        <v>4.1</v>
      </c>
      <c r="G1515" s="4" t="str">
        <f>HYPERLINK("http://141.218.60.56/~jnz1568/getInfo.php?workbook=06_02.xlsx&amp;sheet=U0&amp;row=1515&amp;col=7&amp;number=0.00899&amp;sourceID=14","0.00899")</f>
        <v>0.00899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HYPERLINK("http://141.218.60.56/~jnz1568/getInfo.php?workbook=06_02.xlsx&amp;sheet=U0&amp;row=1516&amp;col=6&amp;number=4.2&amp;sourceID=14","4.2")</f>
        <v>4.2</v>
      </c>
      <c r="G1516" s="4" t="str">
        <f>HYPERLINK("http://141.218.60.56/~jnz1568/getInfo.php?workbook=06_02.xlsx&amp;sheet=U0&amp;row=1516&amp;col=7&amp;number=0.00902&amp;sourceID=14","0.00902")</f>
        <v>0.00902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HYPERLINK("http://141.218.60.56/~jnz1568/getInfo.php?workbook=06_02.xlsx&amp;sheet=U0&amp;row=1517&amp;col=6&amp;number=4.3&amp;sourceID=14","4.3")</f>
        <v>4.3</v>
      </c>
      <c r="G1517" s="4" t="str">
        <f>HYPERLINK("http://141.218.60.56/~jnz1568/getInfo.php?workbook=06_02.xlsx&amp;sheet=U0&amp;row=1517&amp;col=7&amp;number=0.00906&amp;sourceID=14","0.00906")</f>
        <v>0.00906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HYPERLINK("http://141.218.60.56/~jnz1568/getInfo.php?workbook=06_02.xlsx&amp;sheet=U0&amp;row=1518&amp;col=6&amp;number=4.4&amp;sourceID=14","4.4")</f>
        <v>4.4</v>
      </c>
      <c r="G1518" s="4" t="str">
        <f>HYPERLINK("http://141.218.60.56/~jnz1568/getInfo.php?workbook=06_02.xlsx&amp;sheet=U0&amp;row=1518&amp;col=7&amp;number=0.00912&amp;sourceID=14","0.00912")</f>
        <v>0.00912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HYPERLINK("http://141.218.60.56/~jnz1568/getInfo.php?workbook=06_02.xlsx&amp;sheet=U0&amp;row=1519&amp;col=6&amp;number=4.5&amp;sourceID=14","4.5")</f>
        <v>4.5</v>
      </c>
      <c r="G1519" s="4" t="str">
        <f>HYPERLINK("http://141.218.60.56/~jnz1568/getInfo.php?workbook=06_02.xlsx&amp;sheet=U0&amp;row=1519&amp;col=7&amp;number=0.00918&amp;sourceID=14","0.00918")</f>
        <v>0.00918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HYPERLINK("http://141.218.60.56/~jnz1568/getInfo.php?workbook=06_02.xlsx&amp;sheet=U0&amp;row=1520&amp;col=6&amp;number=4.6&amp;sourceID=14","4.6")</f>
        <v>4.6</v>
      </c>
      <c r="G1520" s="4" t="str">
        <f>HYPERLINK("http://141.218.60.56/~jnz1568/getInfo.php?workbook=06_02.xlsx&amp;sheet=U0&amp;row=1520&amp;col=7&amp;number=0.00926&amp;sourceID=14","0.00926")</f>
        <v>0.00926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HYPERLINK("http://141.218.60.56/~jnz1568/getInfo.php?workbook=06_02.xlsx&amp;sheet=U0&amp;row=1521&amp;col=6&amp;number=4.7&amp;sourceID=14","4.7")</f>
        <v>4.7</v>
      </c>
      <c r="G1521" s="4" t="str">
        <f>HYPERLINK("http://141.218.60.56/~jnz1568/getInfo.php?workbook=06_02.xlsx&amp;sheet=U0&amp;row=1521&amp;col=7&amp;number=0.00936&amp;sourceID=14","0.00936")</f>
        <v>0.00936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HYPERLINK("http://141.218.60.56/~jnz1568/getInfo.php?workbook=06_02.xlsx&amp;sheet=U0&amp;row=1522&amp;col=6&amp;number=4.8&amp;sourceID=14","4.8")</f>
        <v>4.8</v>
      </c>
      <c r="G1522" s="4" t="str">
        <f>HYPERLINK("http://141.218.60.56/~jnz1568/getInfo.php?workbook=06_02.xlsx&amp;sheet=U0&amp;row=1522&amp;col=7&amp;number=0.00948&amp;sourceID=14","0.00948")</f>
        <v>0.00948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HYPERLINK("http://141.218.60.56/~jnz1568/getInfo.php?workbook=06_02.xlsx&amp;sheet=U0&amp;row=1523&amp;col=6&amp;number=4.9&amp;sourceID=14","4.9")</f>
        <v>4.9</v>
      </c>
      <c r="G1523" s="4" t="str">
        <f>HYPERLINK("http://141.218.60.56/~jnz1568/getInfo.php?workbook=06_02.xlsx&amp;sheet=U0&amp;row=1523&amp;col=7&amp;number=0.00964&amp;sourceID=14","0.00964")</f>
        <v>0.00964</v>
      </c>
    </row>
    <row r="1524" spans="1:7">
      <c r="A1524" s="3">
        <v>6</v>
      </c>
      <c r="B1524" s="3">
        <v>2</v>
      </c>
      <c r="C1524" s="3">
        <v>2</v>
      </c>
      <c r="D1524" s="3">
        <v>36</v>
      </c>
      <c r="E1524" s="3">
        <v>1</v>
      </c>
      <c r="F1524" s="4" t="str">
        <f>HYPERLINK("http://141.218.60.56/~jnz1568/getInfo.php?workbook=06_02.xlsx&amp;sheet=U0&amp;row=1524&amp;col=6&amp;number=3&amp;sourceID=14","3")</f>
        <v>3</v>
      </c>
      <c r="G1524" s="4" t="str">
        <f>HYPERLINK("http://141.218.60.56/~jnz1568/getInfo.php?workbook=06_02.xlsx&amp;sheet=U0&amp;row=1524&amp;col=7&amp;number=0.0148&amp;sourceID=14","0.0148")</f>
        <v>0.0148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HYPERLINK("http://141.218.60.56/~jnz1568/getInfo.php?workbook=06_02.xlsx&amp;sheet=U0&amp;row=1525&amp;col=6&amp;number=3.1&amp;sourceID=14","3.1")</f>
        <v>3.1</v>
      </c>
      <c r="G1525" s="4" t="str">
        <f>HYPERLINK("http://141.218.60.56/~jnz1568/getInfo.php?workbook=06_02.xlsx&amp;sheet=U0&amp;row=1525&amp;col=7&amp;number=0.0148&amp;sourceID=14","0.0148")</f>
        <v>0.0148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HYPERLINK("http://141.218.60.56/~jnz1568/getInfo.php?workbook=06_02.xlsx&amp;sheet=U0&amp;row=1526&amp;col=6&amp;number=3.2&amp;sourceID=14","3.2")</f>
        <v>3.2</v>
      </c>
      <c r="G1526" s="4" t="str">
        <f>HYPERLINK("http://141.218.60.56/~jnz1568/getInfo.php?workbook=06_02.xlsx&amp;sheet=U0&amp;row=1526&amp;col=7&amp;number=0.0148&amp;sourceID=14","0.0148")</f>
        <v>0.0148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HYPERLINK("http://141.218.60.56/~jnz1568/getInfo.php?workbook=06_02.xlsx&amp;sheet=U0&amp;row=1527&amp;col=6&amp;number=3.3&amp;sourceID=14","3.3")</f>
        <v>3.3</v>
      </c>
      <c r="G1527" s="4" t="str">
        <f>HYPERLINK("http://141.218.60.56/~jnz1568/getInfo.php?workbook=06_02.xlsx&amp;sheet=U0&amp;row=1527&amp;col=7&amp;number=0.0148&amp;sourceID=14","0.0148")</f>
        <v>0.0148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HYPERLINK("http://141.218.60.56/~jnz1568/getInfo.php?workbook=06_02.xlsx&amp;sheet=U0&amp;row=1528&amp;col=6&amp;number=3.4&amp;sourceID=14","3.4")</f>
        <v>3.4</v>
      </c>
      <c r="G1528" s="4" t="str">
        <f>HYPERLINK("http://141.218.60.56/~jnz1568/getInfo.php?workbook=06_02.xlsx&amp;sheet=U0&amp;row=1528&amp;col=7&amp;number=0.0148&amp;sourceID=14","0.0148")</f>
        <v>0.0148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HYPERLINK("http://141.218.60.56/~jnz1568/getInfo.php?workbook=06_02.xlsx&amp;sheet=U0&amp;row=1529&amp;col=6&amp;number=3.5&amp;sourceID=14","3.5")</f>
        <v>3.5</v>
      </c>
      <c r="G1529" s="4" t="str">
        <f>HYPERLINK("http://141.218.60.56/~jnz1568/getInfo.php?workbook=06_02.xlsx&amp;sheet=U0&amp;row=1529&amp;col=7&amp;number=0.0148&amp;sourceID=14","0.0148")</f>
        <v>0.0148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HYPERLINK("http://141.218.60.56/~jnz1568/getInfo.php?workbook=06_02.xlsx&amp;sheet=U0&amp;row=1530&amp;col=6&amp;number=3.6&amp;sourceID=14","3.6")</f>
        <v>3.6</v>
      </c>
      <c r="G1530" s="4" t="str">
        <f>HYPERLINK("http://141.218.60.56/~jnz1568/getInfo.php?workbook=06_02.xlsx&amp;sheet=U0&amp;row=1530&amp;col=7&amp;number=0.0148&amp;sourceID=14","0.0148")</f>
        <v>0.0148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HYPERLINK("http://141.218.60.56/~jnz1568/getInfo.php?workbook=06_02.xlsx&amp;sheet=U0&amp;row=1531&amp;col=6&amp;number=3.7&amp;sourceID=14","3.7")</f>
        <v>3.7</v>
      </c>
      <c r="G1531" s="4" t="str">
        <f>HYPERLINK("http://141.218.60.56/~jnz1568/getInfo.php?workbook=06_02.xlsx&amp;sheet=U0&amp;row=1531&amp;col=7&amp;number=0.0149&amp;sourceID=14","0.0149")</f>
        <v>0.0149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HYPERLINK("http://141.218.60.56/~jnz1568/getInfo.php?workbook=06_02.xlsx&amp;sheet=U0&amp;row=1532&amp;col=6&amp;number=3.8&amp;sourceID=14","3.8")</f>
        <v>3.8</v>
      </c>
      <c r="G1532" s="4" t="str">
        <f>HYPERLINK("http://141.218.60.56/~jnz1568/getInfo.php?workbook=06_02.xlsx&amp;sheet=U0&amp;row=1532&amp;col=7&amp;number=0.0149&amp;sourceID=14","0.0149")</f>
        <v>0.0149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HYPERLINK("http://141.218.60.56/~jnz1568/getInfo.php?workbook=06_02.xlsx&amp;sheet=U0&amp;row=1533&amp;col=6&amp;number=3.9&amp;sourceID=14","3.9")</f>
        <v>3.9</v>
      </c>
      <c r="G1533" s="4" t="str">
        <f>HYPERLINK("http://141.218.60.56/~jnz1568/getInfo.php?workbook=06_02.xlsx&amp;sheet=U0&amp;row=1533&amp;col=7&amp;number=0.0149&amp;sourceID=14","0.0149")</f>
        <v>0.0149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HYPERLINK("http://141.218.60.56/~jnz1568/getInfo.php?workbook=06_02.xlsx&amp;sheet=U0&amp;row=1534&amp;col=6&amp;number=4&amp;sourceID=14","4")</f>
        <v>4</v>
      </c>
      <c r="G1534" s="4" t="str">
        <f>HYPERLINK("http://141.218.60.56/~jnz1568/getInfo.php?workbook=06_02.xlsx&amp;sheet=U0&amp;row=1534&amp;col=7&amp;number=0.0149&amp;sourceID=14","0.0149")</f>
        <v>0.0149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HYPERLINK("http://141.218.60.56/~jnz1568/getInfo.php?workbook=06_02.xlsx&amp;sheet=U0&amp;row=1535&amp;col=6&amp;number=4.1&amp;sourceID=14","4.1")</f>
        <v>4.1</v>
      </c>
      <c r="G1535" s="4" t="str">
        <f>HYPERLINK("http://141.218.60.56/~jnz1568/getInfo.php?workbook=06_02.xlsx&amp;sheet=U0&amp;row=1535&amp;col=7&amp;number=0.015&amp;sourceID=14","0.015")</f>
        <v>0.015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HYPERLINK("http://141.218.60.56/~jnz1568/getInfo.php?workbook=06_02.xlsx&amp;sheet=U0&amp;row=1536&amp;col=6&amp;number=4.2&amp;sourceID=14","4.2")</f>
        <v>4.2</v>
      </c>
      <c r="G1536" s="4" t="str">
        <f>HYPERLINK("http://141.218.60.56/~jnz1568/getInfo.php?workbook=06_02.xlsx&amp;sheet=U0&amp;row=1536&amp;col=7&amp;number=0.015&amp;sourceID=14","0.015")</f>
        <v>0.015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HYPERLINK("http://141.218.60.56/~jnz1568/getInfo.php?workbook=06_02.xlsx&amp;sheet=U0&amp;row=1537&amp;col=6&amp;number=4.3&amp;sourceID=14","4.3")</f>
        <v>4.3</v>
      </c>
      <c r="G1537" s="4" t="str">
        <f>HYPERLINK("http://141.218.60.56/~jnz1568/getInfo.php?workbook=06_02.xlsx&amp;sheet=U0&amp;row=1537&amp;col=7&amp;number=0.0151&amp;sourceID=14","0.0151")</f>
        <v>0.0151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HYPERLINK("http://141.218.60.56/~jnz1568/getInfo.php?workbook=06_02.xlsx&amp;sheet=U0&amp;row=1538&amp;col=6&amp;number=4.4&amp;sourceID=14","4.4")</f>
        <v>4.4</v>
      </c>
      <c r="G1538" s="4" t="str">
        <f>HYPERLINK("http://141.218.60.56/~jnz1568/getInfo.php?workbook=06_02.xlsx&amp;sheet=U0&amp;row=1538&amp;col=7&amp;number=0.0152&amp;sourceID=14","0.0152")</f>
        <v>0.0152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HYPERLINK("http://141.218.60.56/~jnz1568/getInfo.php?workbook=06_02.xlsx&amp;sheet=U0&amp;row=1539&amp;col=6&amp;number=4.5&amp;sourceID=14","4.5")</f>
        <v>4.5</v>
      </c>
      <c r="G1539" s="4" t="str">
        <f>HYPERLINK("http://141.218.60.56/~jnz1568/getInfo.php?workbook=06_02.xlsx&amp;sheet=U0&amp;row=1539&amp;col=7&amp;number=0.0153&amp;sourceID=14","0.0153")</f>
        <v>0.0153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HYPERLINK("http://141.218.60.56/~jnz1568/getInfo.php?workbook=06_02.xlsx&amp;sheet=U0&amp;row=1540&amp;col=6&amp;number=4.6&amp;sourceID=14","4.6")</f>
        <v>4.6</v>
      </c>
      <c r="G1540" s="4" t="str">
        <f>HYPERLINK("http://141.218.60.56/~jnz1568/getInfo.php?workbook=06_02.xlsx&amp;sheet=U0&amp;row=1540&amp;col=7&amp;number=0.0154&amp;sourceID=14","0.0154")</f>
        <v>0.0154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HYPERLINK("http://141.218.60.56/~jnz1568/getInfo.php?workbook=06_02.xlsx&amp;sheet=U0&amp;row=1541&amp;col=6&amp;number=4.7&amp;sourceID=14","4.7")</f>
        <v>4.7</v>
      </c>
      <c r="G1541" s="4" t="str">
        <f>HYPERLINK("http://141.218.60.56/~jnz1568/getInfo.php?workbook=06_02.xlsx&amp;sheet=U0&amp;row=1541&amp;col=7&amp;number=0.0156&amp;sourceID=14","0.0156")</f>
        <v>0.0156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HYPERLINK("http://141.218.60.56/~jnz1568/getInfo.php?workbook=06_02.xlsx&amp;sheet=U0&amp;row=1542&amp;col=6&amp;number=4.8&amp;sourceID=14","4.8")</f>
        <v>4.8</v>
      </c>
      <c r="G1542" s="4" t="str">
        <f>HYPERLINK("http://141.218.60.56/~jnz1568/getInfo.php?workbook=06_02.xlsx&amp;sheet=U0&amp;row=1542&amp;col=7&amp;number=0.0158&amp;sourceID=14","0.0158")</f>
        <v>0.0158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HYPERLINK("http://141.218.60.56/~jnz1568/getInfo.php?workbook=06_02.xlsx&amp;sheet=U0&amp;row=1543&amp;col=6&amp;number=4.9&amp;sourceID=14","4.9")</f>
        <v>4.9</v>
      </c>
      <c r="G1543" s="4" t="str">
        <f>HYPERLINK("http://141.218.60.56/~jnz1568/getInfo.php?workbook=06_02.xlsx&amp;sheet=U0&amp;row=1543&amp;col=7&amp;number=0.0161&amp;sourceID=14","0.0161")</f>
        <v>0.0161</v>
      </c>
    </row>
    <row r="1544" spans="1:7">
      <c r="A1544" s="3">
        <v>6</v>
      </c>
      <c r="B1544" s="3">
        <v>2</v>
      </c>
      <c r="C1544" s="3">
        <v>2</v>
      </c>
      <c r="D1544" s="3">
        <v>37</v>
      </c>
      <c r="E1544" s="3">
        <v>1</v>
      </c>
      <c r="F1544" s="4" t="str">
        <f>HYPERLINK("http://141.218.60.56/~jnz1568/getInfo.php?workbook=06_02.xlsx&amp;sheet=U0&amp;row=1544&amp;col=6&amp;number=3&amp;sourceID=14","3")</f>
        <v>3</v>
      </c>
      <c r="G1544" s="4" t="str">
        <f>HYPERLINK("http://141.218.60.56/~jnz1568/getInfo.php?workbook=06_02.xlsx&amp;sheet=U0&amp;row=1544&amp;col=7&amp;number=0.00494&amp;sourceID=14","0.00494")</f>
        <v>0.00494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HYPERLINK("http://141.218.60.56/~jnz1568/getInfo.php?workbook=06_02.xlsx&amp;sheet=U0&amp;row=1545&amp;col=6&amp;number=3.1&amp;sourceID=14","3.1")</f>
        <v>3.1</v>
      </c>
      <c r="G1545" s="4" t="str">
        <f>HYPERLINK("http://141.218.60.56/~jnz1568/getInfo.php?workbook=06_02.xlsx&amp;sheet=U0&amp;row=1545&amp;col=7&amp;number=0.00494&amp;sourceID=14","0.00494")</f>
        <v>0.00494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HYPERLINK("http://141.218.60.56/~jnz1568/getInfo.php?workbook=06_02.xlsx&amp;sheet=U0&amp;row=1546&amp;col=6&amp;number=3.2&amp;sourceID=14","3.2")</f>
        <v>3.2</v>
      </c>
      <c r="G1546" s="4" t="str">
        <f>HYPERLINK("http://141.218.60.56/~jnz1568/getInfo.php?workbook=06_02.xlsx&amp;sheet=U0&amp;row=1546&amp;col=7&amp;number=0.00494&amp;sourceID=14","0.00494")</f>
        <v>0.00494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HYPERLINK("http://141.218.60.56/~jnz1568/getInfo.php?workbook=06_02.xlsx&amp;sheet=U0&amp;row=1547&amp;col=6&amp;number=3.3&amp;sourceID=14","3.3")</f>
        <v>3.3</v>
      </c>
      <c r="G1547" s="4" t="str">
        <f>HYPERLINK("http://141.218.60.56/~jnz1568/getInfo.php?workbook=06_02.xlsx&amp;sheet=U0&amp;row=1547&amp;col=7&amp;number=0.00493&amp;sourceID=14","0.00493")</f>
        <v>0.00493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HYPERLINK("http://141.218.60.56/~jnz1568/getInfo.php?workbook=06_02.xlsx&amp;sheet=U0&amp;row=1548&amp;col=6&amp;number=3.4&amp;sourceID=14","3.4")</f>
        <v>3.4</v>
      </c>
      <c r="G1548" s="4" t="str">
        <f>HYPERLINK("http://141.218.60.56/~jnz1568/getInfo.php?workbook=06_02.xlsx&amp;sheet=U0&amp;row=1548&amp;col=7&amp;number=0.00493&amp;sourceID=14","0.00493")</f>
        <v>0.00493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HYPERLINK("http://141.218.60.56/~jnz1568/getInfo.php?workbook=06_02.xlsx&amp;sheet=U0&amp;row=1549&amp;col=6&amp;number=3.5&amp;sourceID=14","3.5")</f>
        <v>3.5</v>
      </c>
      <c r="G1549" s="4" t="str">
        <f>HYPERLINK("http://141.218.60.56/~jnz1568/getInfo.php?workbook=06_02.xlsx&amp;sheet=U0&amp;row=1549&amp;col=7&amp;number=0.00493&amp;sourceID=14","0.00493")</f>
        <v>0.00493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HYPERLINK("http://141.218.60.56/~jnz1568/getInfo.php?workbook=06_02.xlsx&amp;sheet=U0&amp;row=1550&amp;col=6&amp;number=3.6&amp;sourceID=14","3.6")</f>
        <v>3.6</v>
      </c>
      <c r="G1550" s="4" t="str">
        <f>HYPERLINK("http://141.218.60.56/~jnz1568/getInfo.php?workbook=06_02.xlsx&amp;sheet=U0&amp;row=1550&amp;col=7&amp;number=0.00492&amp;sourceID=14","0.00492")</f>
        <v>0.00492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HYPERLINK("http://141.218.60.56/~jnz1568/getInfo.php?workbook=06_02.xlsx&amp;sheet=U0&amp;row=1551&amp;col=6&amp;number=3.7&amp;sourceID=14","3.7")</f>
        <v>3.7</v>
      </c>
      <c r="G1551" s="4" t="str">
        <f>HYPERLINK("http://141.218.60.56/~jnz1568/getInfo.php?workbook=06_02.xlsx&amp;sheet=U0&amp;row=1551&amp;col=7&amp;number=0.00492&amp;sourceID=14","0.00492")</f>
        <v>0.00492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HYPERLINK("http://141.218.60.56/~jnz1568/getInfo.php?workbook=06_02.xlsx&amp;sheet=U0&amp;row=1552&amp;col=6&amp;number=3.8&amp;sourceID=14","3.8")</f>
        <v>3.8</v>
      </c>
      <c r="G1552" s="4" t="str">
        <f>HYPERLINK("http://141.218.60.56/~jnz1568/getInfo.php?workbook=06_02.xlsx&amp;sheet=U0&amp;row=1552&amp;col=7&amp;number=0.00491&amp;sourceID=14","0.00491")</f>
        <v>0.00491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HYPERLINK("http://141.218.60.56/~jnz1568/getInfo.php?workbook=06_02.xlsx&amp;sheet=U0&amp;row=1553&amp;col=6&amp;number=3.9&amp;sourceID=14","3.9")</f>
        <v>3.9</v>
      </c>
      <c r="G1553" s="4" t="str">
        <f>HYPERLINK("http://141.218.60.56/~jnz1568/getInfo.php?workbook=06_02.xlsx&amp;sheet=U0&amp;row=1553&amp;col=7&amp;number=0.0049&amp;sourceID=14","0.0049")</f>
        <v>0.0049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HYPERLINK("http://141.218.60.56/~jnz1568/getInfo.php?workbook=06_02.xlsx&amp;sheet=U0&amp;row=1554&amp;col=6&amp;number=4&amp;sourceID=14","4")</f>
        <v>4</v>
      </c>
      <c r="G1554" s="4" t="str">
        <f>HYPERLINK("http://141.218.60.56/~jnz1568/getInfo.php?workbook=06_02.xlsx&amp;sheet=U0&amp;row=1554&amp;col=7&amp;number=0.00489&amp;sourceID=14","0.00489")</f>
        <v>0.00489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HYPERLINK("http://141.218.60.56/~jnz1568/getInfo.php?workbook=06_02.xlsx&amp;sheet=U0&amp;row=1555&amp;col=6&amp;number=4.1&amp;sourceID=14","4.1")</f>
        <v>4.1</v>
      </c>
      <c r="G1555" s="4" t="str">
        <f>HYPERLINK("http://141.218.60.56/~jnz1568/getInfo.php?workbook=06_02.xlsx&amp;sheet=U0&amp;row=1555&amp;col=7&amp;number=0.00487&amp;sourceID=14","0.00487")</f>
        <v>0.00487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HYPERLINK("http://141.218.60.56/~jnz1568/getInfo.php?workbook=06_02.xlsx&amp;sheet=U0&amp;row=1556&amp;col=6&amp;number=4.2&amp;sourceID=14","4.2")</f>
        <v>4.2</v>
      </c>
      <c r="G1556" s="4" t="str">
        <f>HYPERLINK("http://141.218.60.56/~jnz1568/getInfo.php?workbook=06_02.xlsx&amp;sheet=U0&amp;row=1556&amp;col=7&amp;number=0.00485&amp;sourceID=14","0.00485")</f>
        <v>0.00485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HYPERLINK("http://141.218.60.56/~jnz1568/getInfo.php?workbook=06_02.xlsx&amp;sheet=U0&amp;row=1557&amp;col=6&amp;number=4.3&amp;sourceID=14","4.3")</f>
        <v>4.3</v>
      </c>
      <c r="G1557" s="4" t="str">
        <f>HYPERLINK("http://141.218.60.56/~jnz1568/getInfo.php?workbook=06_02.xlsx&amp;sheet=U0&amp;row=1557&amp;col=7&amp;number=0.00483&amp;sourceID=14","0.00483")</f>
        <v>0.00483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HYPERLINK("http://141.218.60.56/~jnz1568/getInfo.php?workbook=06_02.xlsx&amp;sheet=U0&amp;row=1558&amp;col=6&amp;number=4.4&amp;sourceID=14","4.4")</f>
        <v>4.4</v>
      </c>
      <c r="G1558" s="4" t="str">
        <f>HYPERLINK("http://141.218.60.56/~jnz1568/getInfo.php?workbook=06_02.xlsx&amp;sheet=U0&amp;row=1558&amp;col=7&amp;number=0.0048&amp;sourceID=14","0.0048")</f>
        <v>0.0048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HYPERLINK("http://141.218.60.56/~jnz1568/getInfo.php?workbook=06_02.xlsx&amp;sheet=U0&amp;row=1559&amp;col=6&amp;number=4.5&amp;sourceID=14","4.5")</f>
        <v>4.5</v>
      </c>
      <c r="G1559" s="4" t="str">
        <f>HYPERLINK("http://141.218.60.56/~jnz1568/getInfo.php?workbook=06_02.xlsx&amp;sheet=U0&amp;row=1559&amp;col=7&amp;number=0.00476&amp;sourceID=14","0.00476")</f>
        <v>0.00476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HYPERLINK("http://141.218.60.56/~jnz1568/getInfo.php?workbook=06_02.xlsx&amp;sheet=U0&amp;row=1560&amp;col=6&amp;number=4.6&amp;sourceID=14","4.6")</f>
        <v>4.6</v>
      </c>
      <c r="G1560" s="4" t="str">
        <f>HYPERLINK("http://141.218.60.56/~jnz1568/getInfo.php?workbook=06_02.xlsx&amp;sheet=U0&amp;row=1560&amp;col=7&amp;number=0.00472&amp;sourceID=14","0.00472")</f>
        <v>0.00472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HYPERLINK("http://141.218.60.56/~jnz1568/getInfo.php?workbook=06_02.xlsx&amp;sheet=U0&amp;row=1561&amp;col=6&amp;number=4.7&amp;sourceID=14","4.7")</f>
        <v>4.7</v>
      </c>
      <c r="G1561" s="4" t="str">
        <f>HYPERLINK("http://141.218.60.56/~jnz1568/getInfo.php?workbook=06_02.xlsx&amp;sheet=U0&amp;row=1561&amp;col=7&amp;number=0.00466&amp;sourceID=14","0.00466")</f>
        <v>0.00466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HYPERLINK("http://141.218.60.56/~jnz1568/getInfo.php?workbook=06_02.xlsx&amp;sheet=U0&amp;row=1562&amp;col=6&amp;number=4.8&amp;sourceID=14","4.8")</f>
        <v>4.8</v>
      </c>
      <c r="G1562" s="4" t="str">
        <f>HYPERLINK("http://141.218.60.56/~jnz1568/getInfo.php?workbook=06_02.xlsx&amp;sheet=U0&amp;row=1562&amp;col=7&amp;number=0.00459&amp;sourceID=14","0.00459")</f>
        <v>0.00459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HYPERLINK("http://141.218.60.56/~jnz1568/getInfo.php?workbook=06_02.xlsx&amp;sheet=U0&amp;row=1563&amp;col=6&amp;number=4.9&amp;sourceID=14","4.9")</f>
        <v>4.9</v>
      </c>
      <c r="G1563" s="4" t="str">
        <f>HYPERLINK("http://141.218.60.56/~jnz1568/getInfo.php?workbook=06_02.xlsx&amp;sheet=U0&amp;row=1563&amp;col=7&amp;number=0.00451&amp;sourceID=14","0.00451")</f>
        <v>0.00451</v>
      </c>
    </row>
    <row r="1564" spans="1:7">
      <c r="A1564" s="3">
        <v>6</v>
      </c>
      <c r="B1564" s="3">
        <v>2</v>
      </c>
      <c r="C1564" s="3">
        <v>2</v>
      </c>
      <c r="D1564" s="3">
        <v>38</v>
      </c>
      <c r="E1564" s="3">
        <v>1</v>
      </c>
      <c r="F1564" s="4" t="str">
        <f>HYPERLINK("http://141.218.60.56/~jnz1568/getInfo.php?workbook=06_02.xlsx&amp;sheet=U0&amp;row=1564&amp;col=6&amp;number=3&amp;sourceID=14","3")</f>
        <v>3</v>
      </c>
      <c r="G1564" s="4" t="str">
        <f>HYPERLINK("http://141.218.60.56/~jnz1568/getInfo.php?workbook=06_02.xlsx&amp;sheet=U0&amp;row=1564&amp;col=7&amp;number=0.00792&amp;sourceID=14","0.00792")</f>
        <v>0.00792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HYPERLINK("http://141.218.60.56/~jnz1568/getInfo.php?workbook=06_02.xlsx&amp;sheet=U0&amp;row=1565&amp;col=6&amp;number=3.1&amp;sourceID=14","3.1")</f>
        <v>3.1</v>
      </c>
      <c r="G1565" s="4" t="str">
        <f>HYPERLINK("http://141.218.60.56/~jnz1568/getInfo.php?workbook=06_02.xlsx&amp;sheet=U0&amp;row=1565&amp;col=7&amp;number=0.00792&amp;sourceID=14","0.00792")</f>
        <v>0.00792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HYPERLINK("http://141.218.60.56/~jnz1568/getInfo.php?workbook=06_02.xlsx&amp;sheet=U0&amp;row=1566&amp;col=6&amp;number=3.2&amp;sourceID=14","3.2")</f>
        <v>3.2</v>
      </c>
      <c r="G1566" s="4" t="str">
        <f>HYPERLINK("http://141.218.60.56/~jnz1568/getInfo.php?workbook=06_02.xlsx&amp;sheet=U0&amp;row=1566&amp;col=7&amp;number=0.00792&amp;sourceID=14","0.00792")</f>
        <v>0.00792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HYPERLINK("http://141.218.60.56/~jnz1568/getInfo.php?workbook=06_02.xlsx&amp;sheet=U0&amp;row=1567&amp;col=6&amp;number=3.3&amp;sourceID=14","3.3")</f>
        <v>3.3</v>
      </c>
      <c r="G1567" s="4" t="str">
        <f>HYPERLINK("http://141.218.60.56/~jnz1568/getInfo.php?workbook=06_02.xlsx&amp;sheet=U0&amp;row=1567&amp;col=7&amp;number=0.00792&amp;sourceID=14","0.00792")</f>
        <v>0.00792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HYPERLINK("http://141.218.60.56/~jnz1568/getInfo.php?workbook=06_02.xlsx&amp;sheet=U0&amp;row=1568&amp;col=6&amp;number=3.4&amp;sourceID=14","3.4")</f>
        <v>3.4</v>
      </c>
      <c r="G1568" s="4" t="str">
        <f>HYPERLINK("http://141.218.60.56/~jnz1568/getInfo.php?workbook=06_02.xlsx&amp;sheet=U0&amp;row=1568&amp;col=7&amp;number=0.00792&amp;sourceID=14","0.00792")</f>
        <v>0.00792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HYPERLINK("http://141.218.60.56/~jnz1568/getInfo.php?workbook=06_02.xlsx&amp;sheet=U0&amp;row=1569&amp;col=6&amp;number=3.5&amp;sourceID=14","3.5")</f>
        <v>3.5</v>
      </c>
      <c r="G1569" s="4" t="str">
        <f>HYPERLINK("http://141.218.60.56/~jnz1568/getInfo.php?workbook=06_02.xlsx&amp;sheet=U0&amp;row=1569&amp;col=7&amp;number=0.00792&amp;sourceID=14","0.00792")</f>
        <v>0.00792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HYPERLINK("http://141.218.60.56/~jnz1568/getInfo.php?workbook=06_02.xlsx&amp;sheet=U0&amp;row=1570&amp;col=6&amp;number=3.6&amp;sourceID=14","3.6")</f>
        <v>3.6</v>
      </c>
      <c r="G1570" s="4" t="str">
        <f>HYPERLINK("http://141.218.60.56/~jnz1568/getInfo.php?workbook=06_02.xlsx&amp;sheet=U0&amp;row=1570&amp;col=7&amp;number=0.00792&amp;sourceID=14","0.00792")</f>
        <v>0.00792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HYPERLINK("http://141.218.60.56/~jnz1568/getInfo.php?workbook=06_02.xlsx&amp;sheet=U0&amp;row=1571&amp;col=6&amp;number=3.7&amp;sourceID=14","3.7")</f>
        <v>3.7</v>
      </c>
      <c r="G1571" s="4" t="str">
        <f>HYPERLINK("http://141.218.60.56/~jnz1568/getInfo.php?workbook=06_02.xlsx&amp;sheet=U0&amp;row=1571&amp;col=7&amp;number=0.00792&amp;sourceID=14","0.00792")</f>
        <v>0.00792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HYPERLINK("http://141.218.60.56/~jnz1568/getInfo.php?workbook=06_02.xlsx&amp;sheet=U0&amp;row=1572&amp;col=6&amp;number=3.8&amp;sourceID=14","3.8")</f>
        <v>3.8</v>
      </c>
      <c r="G1572" s="4" t="str">
        <f>HYPERLINK("http://141.218.60.56/~jnz1568/getInfo.php?workbook=06_02.xlsx&amp;sheet=U0&amp;row=1572&amp;col=7&amp;number=0.00792&amp;sourceID=14","0.00792")</f>
        <v>0.00792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HYPERLINK("http://141.218.60.56/~jnz1568/getInfo.php?workbook=06_02.xlsx&amp;sheet=U0&amp;row=1573&amp;col=6&amp;number=3.9&amp;sourceID=14","3.9")</f>
        <v>3.9</v>
      </c>
      <c r="G1573" s="4" t="str">
        <f>HYPERLINK("http://141.218.60.56/~jnz1568/getInfo.php?workbook=06_02.xlsx&amp;sheet=U0&amp;row=1573&amp;col=7&amp;number=0.00793&amp;sourceID=14","0.00793")</f>
        <v>0.00793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HYPERLINK("http://141.218.60.56/~jnz1568/getInfo.php?workbook=06_02.xlsx&amp;sheet=U0&amp;row=1574&amp;col=6&amp;number=4&amp;sourceID=14","4")</f>
        <v>4</v>
      </c>
      <c r="G1574" s="4" t="str">
        <f>HYPERLINK("http://141.218.60.56/~jnz1568/getInfo.php?workbook=06_02.xlsx&amp;sheet=U0&amp;row=1574&amp;col=7&amp;number=0.00793&amp;sourceID=14","0.00793")</f>
        <v>0.00793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HYPERLINK("http://141.218.60.56/~jnz1568/getInfo.php?workbook=06_02.xlsx&amp;sheet=U0&amp;row=1575&amp;col=6&amp;number=4.1&amp;sourceID=14","4.1")</f>
        <v>4.1</v>
      </c>
      <c r="G1575" s="4" t="str">
        <f>HYPERLINK("http://141.218.60.56/~jnz1568/getInfo.php?workbook=06_02.xlsx&amp;sheet=U0&amp;row=1575&amp;col=7&amp;number=0.00793&amp;sourceID=14","0.00793")</f>
        <v>0.00793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HYPERLINK("http://141.218.60.56/~jnz1568/getInfo.php?workbook=06_02.xlsx&amp;sheet=U0&amp;row=1576&amp;col=6&amp;number=4.2&amp;sourceID=14","4.2")</f>
        <v>4.2</v>
      </c>
      <c r="G1576" s="4" t="str">
        <f>HYPERLINK("http://141.218.60.56/~jnz1568/getInfo.php?workbook=06_02.xlsx&amp;sheet=U0&amp;row=1576&amp;col=7&amp;number=0.00793&amp;sourceID=14","0.00793")</f>
        <v>0.00793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HYPERLINK("http://141.218.60.56/~jnz1568/getInfo.php?workbook=06_02.xlsx&amp;sheet=U0&amp;row=1577&amp;col=6&amp;number=4.3&amp;sourceID=14","4.3")</f>
        <v>4.3</v>
      </c>
      <c r="G1577" s="4" t="str">
        <f>HYPERLINK("http://141.218.60.56/~jnz1568/getInfo.php?workbook=06_02.xlsx&amp;sheet=U0&amp;row=1577&amp;col=7&amp;number=0.00793&amp;sourceID=14","0.00793")</f>
        <v>0.00793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HYPERLINK("http://141.218.60.56/~jnz1568/getInfo.php?workbook=06_02.xlsx&amp;sheet=U0&amp;row=1578&amp;col=6&amp;number=4.4&amp;sourceID=14","4.4")</f>
        <v>4.4</v>
      </c>
      <c r="G1578" s="4" t="str">
        <f>HYPERLINK("http://141.218.60.56/~jnz1568/getInfo.php?workbook=06_02.xlsx&amp;sheet=U0&amp;row=1578&amp;col=7&amp;number=0.00793&amp;sourceID=14","0.00793")</f>
        <v>0.00793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HYPERLINK("http://141.218.60.56/~jnz1568/getInfo.php?workbook=06_02.xlsx&amp;sheet=U0&amp;row=1579&amp;col=6&amp;number=4.5&amp;sourceID=14","4.5")</f>
        <v>4.5</v>
      </c>
      <c r="G1579" s="4" t="str">
        <f>HYPERLINK("http://141.218.60.56/~jnz1568/getInfo.php?workbook=06_02.xlsx&amp;sheet=U0&amp;row=1579&amp;col=7&amp;number=0.00793&amp;sourceID=14","0.00793")</f>
        <v>0.00793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HYPERLINK("http://141.218.60.56/~jnz1568/getInfo.php?workbook=06_02.xlsx&amp;sheet=U0&amp;row=1580&amp;col=6&amp;number=4.6&amp;sourceID=14","4.6")</f>
        <v>4.6</v>
      </c>
      <c r="G1580" s="4" t="str">
        <f>HYPERLINK("http://141.218.60.56/~jnz1568/getInfo.php?workbook=06_02.xlsx&amp;sheet=U0&amp;row=1580&amp;col=7&amp;number=0.00794&amp;sourceID=14","0.00794")</f>
        <v>0.00794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HYPERLINK("http://141.218.60.56/~jnz1568/getInfo.php?workbook=06_02.xlsx&amp;sheet=U0&amp;row=1581&amp;col=6&amp;number=4.7&amp;sourceID=14","4.7")</f>
        <v>4.7</v>
      </c>
      <c r="G1581" s="4" t="str">
        <f>HYPERLINK("http://141.218.60.56/~jnz1568/getInfo.php?workbook=06_02.xlsx&amp;sheet=U0&amp;row=1581&amp;col=7&amp;number=0.00794&amp;sourceID=14","0.00794")</f>
        <v>0.00794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HYPERLINK("http://141.218.60.56/~jnz1568/getInfo.php?workbook=06_02.xlsx&amp;sheet=U0&amp;row=1582&amp;col=6&amp;number=4.8&amp;sourceID=14","4.8")</f>
        <v>4.8</v>
      </c>
      <c r="G1582" s="4" t="str">
        <f>HYPERLINK("http://141.218.60.56/~jnz1568/getInfo.php?workbook=06_02.xlsx&amp;sheet=U0&amp;row=1582&amp;col=7&amp;number=0.00794&amp;sourceID=14","0.00794")</f>
        <v>0.00794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HYPERLINK("http://141.218.60.56/~jnz1568/getInfo.php?workbook=06_02.xlsx&amp;sheet=U0&amp;row=1583&amp;col=6&amp;number=4.9&amp;sourceID=14","4.9")</f>
        <v>4.9</v>
      </c>
      <c r="G1583" s="4" t="str">
        <f>HYPERLINK("http://141.218.60.56/~jnz1568/getInfo.php?workbook=06_02.xlsx&amp;sheet=U0&amp;row=1583&amp;col=7&amp;number=0.00795&amp;sourceID=14","0.00795")</f>
        <v>0.00795</v>
      </c>
    </row>
    <row r="1584" spans="1:7">
      <c r="A1584" s="3">
        <v>6</v>
      </c>
      <c r="B1584" s="3">
        <v>2</v>
      </c>
      <c r="C1584" s="3">
        <v>2</v>
      </c>
      <c r="D1584" s="3">
        <v>39</v>
      </c>
      <c r="E1584" s="3">
        <v>1</v>
      </c>
      <c r="F1584" s="4" t="str">
        <f>HYPERLINK("http://141.218.60.56/~jnz1568/getInfo.php?workbook=06_02.xlsx&amp;sheet=U0&amp;row=1584&amp;col=6&amp;number=3&amp;sourceID=14","3")</f>
        <v>3</v>
      </c>
      <c r="G1584" s="4" t="str">
        <f>HYPERLINK("http://141.218.60.56/~jnz1568/getInfo.php?workbook=06_02.xlsx&amp;sheet=U0&amp;row=1584&amp;col=7&amp;number=0.0185&amp;sourceID=14","0.0185")</f>
        <v>0.0185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HYPERLINK("http://141.218.60.56/~jnz1568/getInfo.php?workbook=06_02.xlsx&amp;sheet=U0&amp;row=1585&amp;col=6&amp;number=3.1&amp;sourceID=14","3.1")</f>
        <v>3.1</v>
      </c>
      <c r="G1585" s="4" t="str">
        <f>HYPERLINK("http://141.218.60.56/~jnz1568/getInfo.php?workbook=06_02.xlsx&amp;sheet=U0&amp;row=1585&amp;col=7&amp;number=0.0185&amp;sourceID=14","0.0185")</f>
        <v>0.0185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HYPERLINK("http://141.218.60.56/~jnz1568/getInfo.php?workbook=06_02.xlsx&amp;sheet=U0&amp;row=1586&amp;col=6&amp;number=3.2&amp;sourceID=14","3.2")</f>
        <v>3.2</v>
      </c>
      <c r="G1586" s="4" t="str">
        <f>HYPERLINK("http://141.218.60.56/~jnz1568/getInfo.php?workbook=06_02.xlsx&amp;sheet=U0&amp;row=1586&amp;col=7&amp;number=0.0185&amp;sourceID=14","0.0185")</f>
        <v>0.0185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HYPERLINK("http://141.218.60.56/~jnz1568/getInfo.php?workbook=06_02.xlsx&amp;sheet=U0&amp;row=1587&amp;col=6&amp;number=3.3&amp;sourceID=14","3.3")</f>
        <v>3.3</v>
      </c>
      <c r="G1587" s="4" t="str">
        <f>HYPERLINK("http://141.218.60.56/~jnz1568/getInfo.php?workbook=06_02.xlsx&amp;sheet=U0&amp;row=1587&amp;col=7&amp;number=0.0185&amp;sourceID=14","0.0185")</f>
        <v>0.0185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HYPERLINK("http://141.218.60.56/~jnz1568/getInfo.php?workbook=06_02.xlsx&amp;sheet=U0&amp;row=1588&amp;col=6&amp;number=3.4&amp;sourceID=14","3.4")</f>
        <v>3.4</v>
      </c>
      <c r="G1588" s="4" t="str">
        <f>HYPERLINK("http://141.218.60.56/~jnz1568/getInfo.php?workbook=06_02.xlsx&amp;sheet=U0&amp;row=1588&amp;col=7&amp;number=0.0185&amp;sourceID=14","0.0185")</f>
        <v>0.0185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HYPERLINK("http://141.218.60.56/~jnz1568/getInfo.php?workbook=06_02.xlsx&amp;sheet=U0&amp;row=1589&amp;col=6&amp;number=3.5&amp;sourceID=14","3.5")</f>
        <v>3.5</v>
      </c>
      <c r="G1589" s="4" t="str">
        <f>HYPERLINK("http://141.218.60.56/~jnz1568/getInfo.php?workbook=06_02.xlsx&amp;sheet=U0&amp;row=1589&amp;col=7&amp;number=0.0185&amp;sourceID=14","0.0185")</f>
        <v>0.0185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HYPERLINK("http://141.218.60.56/~jnz1568/getInfo.php?workbook=06_02.xlsx&amp;sheet=U0&amp;row=1590&amp;col=6&amp;number=3.6&amp;sourceID=14","3.6")</f>
        <v>3.6</v>
      </c>
      <c r="G1590" s="4" t="str">
        <f>HYPERLINK("http://141.218.60.56/~jnz1568/getInfo.php?workbook=06_02.xlsx&amp;sheet=U0&amp;row=1590&amp;col=7&amp;number=0.0185&amp;sourceID=14","0.0185")</f>
        <v>0.0185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HYPERLINK("http://141.218.60.56/~jnz1568/getInfo.php?workbook=06_02.xlsx&amp;sheet=U0&amp;row=1591&amp;col=6&amp;number=3.7&amp;sourceID=14","3.7")</f>
        <v>3.7</v>
      </c>
      <c r="G1591" s="4" t="str">
        <f>HYPERLINK("http://141.218.60.56/~jnz1568/getInfo.php?workbook=06_02.xlsx&amp;sheet=U0&amp;row=1591&amp;col=7&amp;number=0.0185&amp;sourceID=14","0.0185")</f>
        <v>0.0185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HYPERLINK("http://141.218.60.56/~jnz1568/getInfo.php?workbook=06_02.xlsx&amp;sheet=U0&amp;row=1592&amp;col=6&amp;number=3.8&amp;sourceID=14","3.8")</f>
        <v>3.8</v>
      </c>
      <c r="G1592" s="4" t="str">
        <f>HYPERLINK("http://141.218.60.56/~jnz1568/getInfo.php?workbook=06_02.xlsx&amp;sheet=U0&amp;row=1592&amp;col=7&amp;number=0.0185&amp;sourceID=14","0.0185")</f>
        <v>0.0185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HYPERLINK("http://141.218.60.56/~jnz1568/getInfo.php?workbook=06_02.xlsx&amp;sheet=U0&amp;row=1593&amp;col=6&amp;number=3.9&amp;sourceID=14","3.9")</f>
        <v>3.9</v>
      </c>
      <c r="G1593" s="4" t="str">
        <f>HYPERLINK("http://141.218.60.56/~jnz1568/getInfo.php?workbook=06_02.xlsx&amp;sheet=U0&amp;row=1593&amp;col=7&amp;number=0.0185&amp;sourceID=14","0.0185")</f>
        <v>0.0185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HYPERLINK("http://141.218.60.56/~jnz1568/getInfo.php?workbook=06_02.xlsx&amp;sheet=U0&amp;row=1594&amp;col=6&amp;number=4&amp;sourceID=14","4")</f>
        <v>4</v>
      </c>
      <c r="G1594" s="4" t="str">
        <f>HYPERLINK("http://141.218.60.56/~jnz1568/getInfo.php?workbook=06_02.xlsx&amp;sheet=U0&amp;row=1594&amp;col=7&amp;number=0.0185&amp;sourceID=14","0.0185")</f>
        <v>0.0185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HYPERLINK("http://141.218.60.56/~jnz1568/getInfo.php?workbook=06_02.xlsx&amp;sheet=U0&amp;row=1595&amp;col=6&amp;number=4.1&amp;sourceID=14","4.1")</f>
        <v>4.1</v>
      </c>
      <c r="G1595" s="4" t="str">
        <f>HYPERLINK("http://141.218.60.56/~jnz1568/getInfo.php?workbook=06_02.xlsx&amp;sheet=U0&amp;row=1595&amp;col=7&amp;number=0.0185&amp;sourceID=14","0.0185")</f>
        <v>0.0185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HYPERLINK("http://141.218.60.56/~jnz1568/getInfo.php?workbook=06_02.xlsx&amp;sheet=U0&amp;row=1596&amp;col=6&amp;number=4.2&amp;sourceID=14","4.2")</f>
        <v>4.2</v>
      </c>
      <c r="G1596" s="4" t="str">
        <f>HYPERLINK("http://141.218.60.56/~jnz1568/getInfo.php?workbook=06_02.xlsx&amp;sheet=U0&amp;row=1596&amp;col=7&amp;number=0.0185&amp;sourceID=14","0.0185")</f>
        <v>0.0185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HYPERLINK("http://141.218.60.56/~jnz1568/getInfo.php?workbook=06_02.xlsx&amp;sheet=U0&amp;row=1597&amp;col=6&amp;number=4.3&amp;sourceID=14","4.3")</f>
        <v>4.3</v>
      </c>
      <c r="G1597" s="4" t="str">
        <f>HYPERLINK("http://141.218.60.56/~jnz1568/getInfo.php?workbook=06_02.xlsx&amp;sheet=U0&amp;row=1597&amp;col=7&amp;number=0.0185&amp;sourceID=14","0.0185")</f>
        <v>0.0185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HYPERLINK("http://141.218.60.56/~jnz1568/getInfo.php?workbook=06_02.xlsx&amp;sheet=U0&amp;row=1598&amp;col=6&amp;number=4.4&amp;sourceID=14","4.4")</f>
        <v>4.4</v>
      </c>
      <c r="G1598" s="4" t="str">
        <f>HYPERLINK("http://141.218.60.56/~jnz1568/getInfo.php?workbook=06_02.xlsx&amp;sheet=U0&amp;row=1598&amp;col=7&amp;number=0.0185&amp;sourceID=14","0.0185")</f>
        <v>0.0185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HYPERLINK("http://141.218.60.56/~jnz1568/getInfo.php?workbook=06_02.xlsx&amp;sheet=U0&amp;row=1599&amp;col=6&amp;number=4.5&amp;sourceID=14","4.5")</f>
        <v>4.5</v>
      </c>
      <c r="G1599" s="4" t="str">
        <f>HYPERLINK("http://141.218.60.56/~jnz1568/getInfo.php?workbook=06_02.xlsx&amp;sheet=U0&amp;row=1599&amp;col=7&amp;number=0.0185&amp;sourceID=14","0.0185")</f>
        <v>0.0185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HYPERLINK("http://141.218.60.56/~jnz1568/getInfo.php?workbook=06_02.xlsx&amp;sheet=U0&amp;row=1600&amp;col=6&amp;number=4.6&amp;sourceID=14","4.6")</f>
        <v>4.6</v>
      </c>
      <c r="G1600" s="4" t="str">
        <f>HYPERLINK("http://141.218.60.56/~jnz1568/getInfo.php?workbook=06_02.xlsx&amp;sheet=U0&amp;row=1600&amp;col=7&amp;number=0.0185&amp;sourceID=14","0.0185")</f>
        <v>0.0185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HYPERLINK("http://141.218.60.56/~jnz1568/getInfo.php?workbook=06_02.xlsx&amp;sheet=U0&amp;row=1601&amp;col=6&amp;number=4.7&amp;sourceID=14","4.7")</f>
        <v>4.7</v>
      </c>
      <c r="G1601" s="4" t="str">
        <f>HYPERLINK("http://141.218.60.56/~jnz1568/getInfo.php?workbook=06_02.xlsx&amp;sheet=U0&amp;row=1601&amp;col=7&amp;number=0.0185&amp;sourceID=14","0.0185")</f>
        <v>0.0185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HYPERLINK("http://141.218.60.56/~jnz1568/getInfo.php?workbook=06_02.xlsx&amp;sheet=U0&amp;row=1602&amp;col=6&amp;number=4.8&amp;sourceID=14","4.8")</f>
        <v>4.8</v>
      </c>
      <c r="G1602" s="4" t="str">
        <f>HYPERLINK("http://141.218.60.56/~jnz1568/getInfo.php?workbook=06_02.xlsx&amp;sheet=U0&amp;row=1602&amp;col=7&amp;number=0.0185&amp;sourceID=14","0.0185")</f>
        <v>0.0185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HYPERLINK("http://141.218.60.56/~jnz1568/getInfo.php?workbook=06_02.xlsx&amp;sheet=U0&amp;row=1603&amp;col=6&amp;number=4.9&amp;sourceID=14","4.9")</f>
        <v>4.9</v>
      </c>
      <c r="G1603" s="4" t="str">
        <f>HYPERLINK("http://141.218.60.56/~jnz1568/getInfo.php?workbook=06_02.xlsx&amp;sheet=U0&amp;row=1603&amp;col=7&amp;number=0.0185&amp;sourceID=14","0.0185")</f>
        <v>0.0185</v>
      </c>
    </row>
    <row r="1604" spans="1:7">
      <c r="A1604" s="3">
        <v>6</v>
      </c>
      <c r="B1604" s="3">
        <v>2</v>
      </c>
      <c r="C1604" s="3">
        <v>2</v>
      </c>
      <c r="D1604" s="3">
        <v>40</v>
      </c>
      <c r="E1604" s="3">
        <v>1</v>
      </c>
      <c r="F1604" s="4" t="str">
        <f>HYPERLINK("http://141.218.60.56/~jnz1568/getInfo.php?workbook=06_02.xlsx&amp;sheet=U0&amp;row=1604&amp;col=6&amp;number=3&amp;sourceID=14","3")</f>
        <v>3</v>
      </c>
      <c r="G1604" s="4" t="str">
        <f>HYPERLINK("http://141.218.60.56/~jnz1568/getInfo.php?workbook=06_02.xlsx&amp;sheet=U0&amp;row=1604&amp;col=7&amp;number=0.0259&amp;sourceID=14","0.0259")</f>
        <v>0.0259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HYPERLINK("http://141.218.60.56/~jnz1568/getInfo.php?workbook=06_02.xlsx&amp;sheet=U0&amp;row=1605&amp;col=6&amp;number=3.1&amp;sourceID=14","3.1")</f>
        <v>3.1</v>
      </c>
      <c r="G1605" s="4" t="str">
        <f>HYPERLINK("http://141.218.60.56/~jnz1568/getInfo.php?workbook=06_02.xlsx&amp;sheet=U0&amp;row=1605&amp;col=7&amp;number=0.0259&amp;sourceID=14","0.0259")</f>
        <v>0.0259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HYPERLINK("http://141.218.60.56/~jnz1568/getInfo.php?workbook=06_02.xlsx&amp;sheet=U0&amp;row=1606&amp;col=6&amp;number=3.2&amp;sourceID=14","3.2")</f>
        <v>3.2</v>
      </c>
      <c r="G1606" s="4" t="str">
        <f>HYPERLINK("http://141.218.60.56/~jnz1568/getInfo.php?workbook=06_02.xlsx&amp;sheet=U0&amp;row=1606&amp;col=7&amp;number=0.0259&amp;sourceID=14","0.0259")</f>
        <v>0.0259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HYPERLINK("http://141.218.60.56/~jnz1568/getInfo.php?workbook=06_02.xlsx&amp;sheet=U0&amp;row=1607&amp;col=6&amp;number=3.3&amp;sourceID=14","3.3")</f>
        <v>3.3</v>
      </c>
      <c r="G1607" s="4" t="str">
        <f>HYPERLINK("http://141.218.60.56/~jnz1568/getInfo.php?workbook=06_02.xlsx&amp;sheet=U0&amp;row=1607&amp;col=7&amp;number=0.0259&amp;sourceID=14","0.0259")</f>
        <v>0.0259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HYPERLINK("http://141.218.60.56/~jnz1568/getInfo.php?workbook=06_02.xlsx&amp;sheet=U0&amp;row=1608&amp;col=6&amp;number=3.4&amp;sourceID=14","3.4")</f>
        <v>3.4</v>
      </c>
      <c r="G1608" s="4" t="str">
        <f>HYPERLINK("http://141.218.60.56/~jnz1568/getInfo.php?workbook=06_02.xlsx&amp;sheet=U0&amp;row=1608&amp;col=7&amp;number=0.0259&amp;sourceID=14","0.0259")</f>
        <v>0.0259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HYPERLINK("http://141.218.60.56/~jnz1568/getInfo.php?workbook=06_02.xlsx&amp;sheet=U0&amp;row=1609&amp;col=6&amp;number=3.5&amp;sourceID=14","3.5")</f>
        <v>3.5</v>
      </c>
      <c r="G1609" s="4" t="str">
        <f>HYPERLINK("http://141.218.60.56/~jnz1568/getInfo.php?workbook=06_02.xlsx&amp;sheet=U0&amp;row=1609&amp;col=7&amp;number=0.0259&amp;sourceID=14","0.0259")</f>
        <v>0.0259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HYPERLINK("http://141.218.60.56/~jnz1568/getInfo.php?workbook=06_02.xlsx&amp;sheet=U0&amp;row=1610&amp;col=6&amp;number=3.6&amp;sourceID=14","3.6")</f>
        <v>3.6</v>
      </c>
      <c r="G1610" s="4" t="str">
        <f>HYPERLINK("http://141.218.60.56/~jnz1568/getInfo.php?workbook=06_02.xlsx&amp;sheet=U0&amp;row=1610&amp;col=7&amp;number=0.0259&amp;sourceID=14","0.0259")</f>
        <v>0.0259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HYPERLINK("http://141.218.60.56/~jnz1568/getInfo.php?workbook=06_02.xlsx&amp;sheet=U0&amp;row=1611&amp;col=6&amp;number=3.7&amp;sourceID=14","3.7")</f>
        <v>3.7</v>
      </c>
      <c r="G1611" s="4" t="str">
        <f>HYPERLINK("http://141.218.60.56/~jnz1568/getInfo.php?workbook=06_02.xlsx&amp;sheet=U0&amp;row=1611&amp;col=7&amp;number=0.0259&amp;sourceID=14","0.0259")</f>
        <v>0.0259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HYPERLINK("http://141.218.60.56/~jnz1568/getInfo.php?workbook=06_02.xlsx&amp;sheet=U0&amp;row=1612&amp;col=6&amp;number=3.8&amp;sourceID=14","3.8")</f>
        <v>3.8</v>
      </c>
      <c r="G1612" s="4" t="str">
        <f>HYPERLINK("http://141.218.60.56/~jnz1568/getInfo.php?workbook=06_02.xlsx&amp;sheet=U0&amp;row=1612&amp;col=7&amp;number=0.0259&amp;sourceID=14","0.0259")</f>
        <v>0.0259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HYPERLINK("http://141.218.60.56/~jnz1568/getInfo.php?workbook=06_02.xlsx&amp;sheet=U0&amp;row=1613&amp;col=6&amp;number=3.9&amp;sourceID=14","3.9")</f>
        <v>3.9</v>
      </c>
      <c r="G1613" s="4" t="str">
        <f>HYPERLINK("http://141.218.60.56/~jnz1568/getInfo.php?workbook=06_02.xlsx&amp;sheet=U0&amp;row=1613&amp;col=7&amp;number=0.0259&amp;sourceID=14","0.0259")</f>
        <v>0.0259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HYPERLINK("http://141.218.60.56/~jnz1568/getInfo.php?workbook=06_02.xlsx&amp;sheet=U0&amp;row=1614&amp;col=6&amp;number=4&amp;sourceID=14","4")</f>
        <v>4</v>
      </c>
      <c r="G1614" s="4" t="str">
        <f>HYPERLINK("http://141.218.60.56/~jnz1568/getInfo.php?workbook=06_02.xlsx&amp;sheet=U0&amp;row=1614&amp;col=7&amp;number=0.0259&amp;sourceID=14","0.0259")</f>
        <v>0.0259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HYPERLINK("http://141.218.60.56/~jnz1568/getInfo.php?workbook=06_02.xlsx&amp;sheet=U0&amp;row=1615&amp;col=6&amp;number=4.1&amp;sourceID=14","4.1")</f>
        <v>4.1</v>
      </c>
      <c r="G1615" s="4" t="str">
        <f>HYPERLINK("http://141.218.60.56/~jnz1568/getInfo.php?workbook=06_02.xlsx&amp;sheet=U0&amp;row=1615&amp;col=7&amp;number=0.0259&amp;sourceID=14","0.0259")</f>
        <v>0.0259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HYPERLINK("http://141.218.60.56/~jnz1568/getInfo.php?workbook=06_02.xlsx&amp;sheet=U0&amp;row=1616&amp;col=6&amp;number=4.2&amp;sourceID=14","4.2")</f>
        <v>4.2</v>
      </c>
      <c r="G1616" s="4" t="str">
        <f>HYPERLINK("http://141.218.60.56/~jnz1568/getInfo.php?workbook=06_02.xlsx&amp;sheet=U0&amp;row=1616&amp;col=7&amp;number=0.0259&amp;sourceID=14","0.0259")</f>
        <v>0.0259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HYPERLINK("http://141.218.60.56/~jnz1568/getInfo.php?workbook=06_02.xlsx&amp;sheet=U0&amp;row=1617&amp;col=6&amp;number=4.3&amp;sourceID=14","4.3")</f>
        <v>4.3</v>
      </c>
      <c r="G1617" s="4" t="str">
        <f>HYPERLINK("http://141.218.60.56/~jnz1568/getInfo.php?workbook=06_02.xlsx&amp;sheet=U0&amp;row=1617&amp;col=7&amp;number=0.0259&amp;sourceID=14","0.0259")</f>
        <v>0.0259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HYPERLINK("http://141.218.60.56/~jnz1568/getInfo.php?workbook=06_02.xlsx&amp;sheet=U0&amp;row=1618&amp;col=6&amp;number=4.4&amp;sourceID=14","4.4")</f>
        <v>4.4</v>
      </c>
      <c r="G1618" s="4" t="str">
        <f>HYPERLINK("http://141.218.60.56/~jnz1568/getInfo.php?workbook=06_02.xlsx&amp;sheet=U0&amp;row=1618&amp;col=7&amp;number=0.0259&amp;sourceID=14","0.0259")</f>
        <v>0.0259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HYPERLINK("http://141.218.60.56/~jnz1568/getInfo.php?workbook=06_02.xlsx&amp;sheet=U0&amp;row=1619&amp;col=6&amp;number=4.5&amp;sourceID=14","4.5")</f>
        <v>4.5</v>
      </c>
      <c r="G1619" s="4" t="str">
        <f>HYPERLINK("http://141.218.60.56/~jnz1568/getInfo.php?workbook=06_02.xlsx&amp;sheet=U0&amp;row=1619&amp;col=7&amp;number=0.0259&amp;sourceID=14","0.0259")</f>
        <v>0.0259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HYPERLINK("http://141.218.60.56/~jnz1568/getInfo.php?workbook=06_02.xlsx&amp;sheet=U0&amp;row=1620&amp;col=6&amp;number=4.6&amp;sourceID=14","4.6")</f>
        <v>4.6</v>
      </c>
      <c r="G1620" s="4" t="str">
        <f>HYPERLINK("http://141.218.60.56/~jnz1568/getInfo.php?workbook=06_02.xlsx&amp;sheet=U0&amp;row=1620&amp;col=7&amp;number=0.0259&amp;sourceID=14","0.0259")</f>
        <v>0.0259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HYPERLINK("http://141.218.60.56/~jnz1568/getInfo.php?workbook=06_02.xlsx&amp;sheet=U0&amp;row=1621&amp;col=6&amp;number=4.7&amp;sourceID=14","4.7")</f>
        <v>4.7</v>
      </c>
      <c r="G1621" s="4" t="str">
        <f>HYPERLINK("http://141.218.60.56/~jnz1568/getInfo.php?workbook=06_02.xlsx&amp;sheet=U0&amp;row=1621&amp;col=7&amp;number=0.0259&amp;sourceID=14","0.0259")</f>
        <v>0.0259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HYPERLINK("http://141.218.60.56/~jnz1568/getInfo.php?workbook=06_02.xlsx&amp;sheet=U0&amp;row=1622&amp;col=6&amp;number=4.8&amp;sourceID=14","4.8")</f>
        <v>4.8</v>
      </c>
      <c r="G1622" s="4" t="str">
        <f>HYPERLINK("http://141.218.60.56/~jnz1568/getInfo.php?workbook=06_02.xlsx&amp;sheet=U0&amp;row=1622&amp;col=7&amp;number=0.0259&amp;sourceID=14","0.0259")</f>
        <v>0.0259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HYPERLINK("http://141.218.60.56/~jnz1568/getInfo.php?workbook=06_02.xlsx&amp;sheet=U0&amp;row=1623&amp;col=6&amp;number=4.9&amp;sourceID=14","4.9")</f>
        <v>4.9</v>
      </c>
      <c r="G1623" s="4" t="str">
        <f>HYPERLINK("http://141.218.60.56/~jnz1568/getInfo.php?workbook=06_02.xlsx&amp;sheet=U0&amp;row=1623&amp;col=7&amp;number=0.026&amp;sourceID=14","0.026")</f>
        <v>0.026</v>
      </c>
    </row>
    <row r="1624" spans="1:7">
      <c r="A1624" s="3">
        <v>6</v>
      </c>
      <c r="B1624" s="3">
        <v>2</v>
      </c>
      <c r="C1624" s="3">
        <v>2</v>
      </c>
      <c r="D1624" s="3">
        <v>41</v>
      </c>
      <c r="E1624" s="3">
        <v>1</v>
      </c>
      <c r="F1624" s="4" t="str">
        <f>HYPERLINK("http://141.218.60.56/~jnz1568/getInfo.php?workbook=06_02.xlsx&amp;sheet=U0&amp;row=1624&amp;col=6&amp;number=3&amp;sourceID=14","3")</f>
        <v>3</v>
      </c>
      <c r="G1624" s="4" t="str">
        <f>HYPERLINK("http://141.218.60.56/~jnz1568/getInfo.php?workbook=06_02.xlsx&amp;sheet=U0&amp;row=1624&amp;col=7&amp;number=0.0113&amp;sourceID=14","0.0113")</f>
        <v>0.0113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HYPERLINK("http://141.218.60.56/~jnz1568/getInfo.php?workbook=06_02.xlsx&amp;sheet=U0&amp;row=1625&amp;col=6&amp;number=3.1&amp;sourceID=14","3.1")</f>
        <v>3.1</v>
      </c>
      <c r="G1625" s="4" t="str">
        <f>HYPERLINK("http://141.218.60.56/~jnz1568/getInfo.php?workbook=06_02.xlsx&amp;sheet=U0&amp;row=1625&amp;col=7&amp;number=0.0113&amp;sourceID=14","0.0113")</f>
        <v>0.0113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HYPERLINK("http://141.218.60.56/~jnz1568/getInfo.php?workbook=06_02.xlsx&amp;sheet=U0&amp;row=1626&amp;col=6&amp;number=3.2&amp;sourceID=14","3.2")</f>
        <v>3.2</v>
      </c>
      <c r="G1626" s="4" t="str">
        <f>HYPERLINK("http://141.218.60.56/~jnz1568/getInfo.php?workbook=06_02.xlsx&amp;sheet=U0&amp;row=1626&amp;col=7&amp;number=0.0113&amp;sourceID=14","0.0113")</f>
        <v>0.0113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HYPERLINK("http://141.218.60.56/~jnz1568/getInfo.php?workbook=06_02.xlsx&amp;sheet=U0&amp;row=1627&amp;col=6&amp;number=3.3&amp;sourceID=14","3.3")</f>
        <v>3.3</v>
      </c>
      <c r="G1627" s="4" t="str">
        <f>HYPERLINK("http://141.218.60.56/~jnz1568/getInfo.php?workbook=06_02.xlsx&amp;sheet=U0&amp;row=1627&amp;col=7&amp;number=0.0113&amp;sourceID=14","0.0113")</f>
        <v>0.0113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HYPERLINK("http://141.218.60.56/~jnz1568/getInfo.php?workbook=06_02.xlsx&amp;sheet=U0&amp;row=1628&amp;col=6&amp;number=3.4&amp;sourceID=14","3.4")</f>
        <v>3.4</v>
      </c>
      <c r="G1628" s="4" t="str">
        <f>HYPERLINK("http://141.218.60.56/~jnz1568/getInfo.php?workbook=06_02.xlsx&amp;sheet=U0&amp;row=1628&amp;col=7&amp;number=0.0113&amp;sourceID=14","0.0113")</f>
        <v>0.0113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HYPERLINK("http://141.218.60.56/~jnz1568/getInfo.php?workbook=06_02.xlsx&amp;sheet=U0&amp;row=1629&amp;col=6&amp;number=3.5&amp;sourceID=14","3.5")</f>
        <v>3.5</v>
      </c>
      <c r="G1629" s="4" t="str">
        <f>HYPERLINK("http://141.218.60.56/~jnz1568/getInfo.php?workbook=06_02.xlsx&amp;sheet=U0&amp;row=1629&amp;col=7&amp;number=0.0113&amp;sourceID=14","0.0113")</f>
        <v>0.0113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HYPERLINK("http://141.218.60.56/~jnz1568/getInfo.php?workbook=06_02.xlsx&amp;sheet=U0&amp;row=1630&amp;col=6&amp;number=3.6&amp;sourceID=14","3.6")</f>
        <v>3.6</v>
      </c>
      <c r="G1630" s="4" t="str">
        <f>HYPERLINK("http://141.218.60.56/~jnz1568/getInfo.php?workbook=06_02.xlsx&amp;sheet=U0&amp;row=1630&amp;col=7&amp;number=0.0113&amp;sourceID=14","0.0113")</f>
        <v>0.0113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HYPERLINK("http://141.218.60.56/~jnz1568/getInfo.php?workbook=06_02.xlsx&amp;sheet=U0&amp;row=1631&amp;col=6&amp;number=3.7&amp;sourceID=14","3.7")</f>
        <v>3.7</v>
      </c>
      <c r="G1631" s="4" t="str">
        <f>HYPERLINK("http://141.218.60.56/~jnz1568/getInfo.php?workbook=06_02.xlsx&amp;sheet=U0&amp;row=1631&amp;col=7&amp;number=0.0113&amp;sourceID=14","0.0113")</f>
        <v>0.0113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HYPERLINK("http://141.218.60.56/~jnz1568/getInfo.php?workbook=06_02.xlsx&amp;sheet=U0&amp;row=1632&amp;col=6&amp;number=3.8&amp;sourceID=14","3.8")</f>
        <v>3.8</v>
      </c>
      <c r="G1632" s="4" t="str">
        <f>HYPERLINK("http://141.218.60.56/~jnz1568/getInfo.php?workbook=06_02.xlsx&amp;sheet=U0&amp;row=1632&amp;col=7&amp;number=0.0112&amp;sourceID=14","0.0112")</f>
        <v>0.0112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HYPERLINK("http://141.218.60.56/~jnz1568/getInfo.php?workbook=06_02.xlsx&amp;sheet=U0&amp;row=1633&amp;col=6&amp;number=3.9&amp;sourceID=14","3.9")</f>
        <v>3.9</v>
      </c>
      <c r="G1633" s="4" t="str">
        <f>HYPERLINK("http://141.218.60.56/~jnz1568/getInfo.php?workbook=06_02.xlsx&amp;sheet=U0&amp;row=1633&amp;col=7&amp;number=0.0112&amp;sourceID=14","0.0112")</f>
        <v>0.0112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HYPERLINK("http://141.218.60.56/~jnz1568/getInfo.php?workbook=06_02.xlsx&amp;sheet=U0&amp;row=1634&amp;col=6&amp;number=4&amp;sourceID=14","4")</f>
        <v>4</v>
      </c>
      <c r="G1634" s="4" t="str">
        <f>HYPERLINK("http://141.218.60.56/~jnz1568/getInfo.php?workbook=06_02.xlsx&amp;sheet=U0&amp;row=1634&amp;col=7&amp;number=0.0112&amp;sourceID=14","0.0112")</f>
        <v>0.0112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HYPERLINK("http://141.218.60.56/~jnz1568/getInfo.php?workbook=06_02.xlsx&amp;sheet=U0&amp;row=1635&amp;col=6&amp;number=4.1&amp;sourceID=14","4.1")</f>
        <v>4.1</v>
      </c>
      <c r="G1635" s="4" t="str">
        <f>HYPERLINK("http://141.218.60.56/~jnz1568/getInfo.php?workbook=06_02.xlsx&amp;sheet=U0&amp;row=1635&amp;col=7&amp;number=0.0112&amp;sourceID=14","0.0112")</f>
        <v>0.0112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HYPERLINK("http://141.218.60.56/~jnz1568/getInfo.php?workbook=06_02.xlsx&amp;sheet=U0&amp;row=1636&amp;col=6&amp;number=4.2&amp;sourceID=14","4.2")</f>
        <v>4.2</v>
      </c>
      <c r="G1636" s="4" t="str">
        <f>HYPERLINK("http://141.218.60.56/~jnz1568/getInfo.php?workbook=06_02.xlsx&amp;sheet=U0&amp;row=1636&amp;col=7&amp;number=0.0111&amp;sourceID=14","0.0111")</f>
        <v>0.0111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HYPERLINK("http://141.218.60.56/~jnz1568/getInfo.php?workbook=06_02.xlsx&amp;sheet=U0&amp;row=1637&amp;col=6&amp;number=4.3&amp;sourceID=14","4.3")</f>
        <v>4.3</v>
      </c>
      <c r="G1637" s="4" t="str">
        <f>HYPERLINK("http://141.218.60.56/~jnz1568/getInfo.php?workbook=06_02.xlsx&amp;sheet=U0&amp;row=1637&amp;col=7&amp;number=0.0111&amp;sourceID=14","0.0111")</f>
        <v>0.0111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HYPERLINK("http://141.218.60.56/~jnz1568/getInfo.php?workbook=06_02.xlsx&amp;sheet=U0&amp;row=1638&amp;col=6&amp;number=4.4&amp;sourceID=14","4.4")</f>
        <v>4.4</v>
      </c>
      <c r="G1638" s="4" t="str">
        <f>HYPERLINK("http://141.218.60.56/~jnz1568/getInfo.php?workbook=06_02.xlsx&amp;sheet=U0&amp;row=1638&amp;col=7&amp;number=0.011&amp;sourceID=14","0.011")</f>
        <v>0.011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HYPERLINK("http://141.218.60.56/~jnz1568/getInfo.php?workbook=06_02.xlsx&amp;sheet=U0&amp;row=1639&amp;col=6&amp;number=4.5&amp;sourceID=14","4.5")</f>
        <v>4.5</v>
      </c>
      <c r="G1639" s="4" t="str">
        <f>HYPERLINK("http://141.218.60.56/~jnz1568/getInfo.php?workbook=06_02.xlsx&amp;sheet=U0&amp;row=1639&amp;col=7&amp;number=0.0109&amp;sourceID=14","0.0109")</f>
        <v>0.0109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HYPERLINK("http://141.218.60.56/~jnz1568/getInfo.php?workbook=06_02.xlsx&amp;sheet=U0&amp;row=1640&amp;col=6&amp;number=4.6&amp;sourceID=14","4.6")</f>
        <v>4.6</v>
      </c>
      <c r="G1640" s="4" t="str">
        <f>HYPERLINK("http://141.218.60.56/~jnz1568/getInfo.php?workbook=06_02.xlsx&amp;sheet=U0&amp;row=1640&amp;col=7&amp;number=0.0108&amp;sourceID=14","0.0108")</f>
        <v>0.0108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HYPERLINK("http://141.218.60.56/~jnz1568/getInfo.php?workbook=06_02.xlsx&amp;sheet=U0&amp;row=1641&amp;col=6&amp;number=4.7&amp;sourceID=14","4.7")</f>
        <v>4.7</v>
      </c>
      <c r="G1641" s="4" t="str">
        <f>HYPERLINK("http://141.218.60.56/~jnz1568/getInfo.php?workbook=06_02.xlsx&amp;sheet=U0&amp;row=1641&amp;col=7&amp;number=0.0107&amp;sourceID=14","0.0107")</f>
        <v>0.0107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HYPERLINK("http://141.218.60.56/~jnz1568/getInfo.php?workbook=06_02.xlsx&amp;sheet=U0&amp;row=1642&amp;col=6&amp;number=4.8&amp;sourceID=14","4.8")</f>
        <v>4.8</v>
      </c>
      <c r="G1642" s="4" t="str">
        <f>HYPERLINK("http://141.218.60.56/~jnz1568/getInfo.php?workbook=06_02.xlsx&amp;sheet=U0&amp;row=1642&amp;col=7&amp;number=0.0105&amp;sourceID=14","0.0105")</f>
        <v>0.0105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HYPERLINK("http://141.218.60.56/~jnz1568/getInfo.php?workbook=06_02.xlsx&amp;sheet=U0&amp;row=1643&amp;col=6&amp;number=4.9&amp;sourceID=14","4.9")</f>
        <v>4.9</v>
      </c>
      <c r="G1643" s="4" t="str">
        <f>HYPERLINK("http://141.218.60.56/~jnz1568/getInfo.php?workbook=06_02.xlsx&amp;sheet=U0&amp;row=1643&amp;col=7&amp;number=0.0103&amp;sourceID=14","0.0103")</f>
        <v>0.0103</v>
      </c>
    </row>
    <row r="1644" spans="1:7">
      <c r="A1644" s="3">
        <v>6</v>
      </c>
      <c r="B1644" s="3">
        <v>2</v>
      </c>
      <c r="C1644" s="3">
        <v>2</v>
      </c>
      <c r="D1644" s="3">
        <v>42</v>
      </c>
      <c r="E1644" s="3">
        <v>1</v>
      </c>
      <c r="F1644" s="4" t="str">
        <f>HYPERLINK("http://141.218.60.56/~jnz1568/getInfo.php?workbook=06_02.xlsx&amp;sheet=U0&amp;row=1644&amp;col=6&amp;number=3&amp;sourceID=14","3")</f>
        <v>3</v>
      </c>
      <c r="G1644" s="4" t="str">
        <f>HYPERLINK("http://141.218.60.56/~jnz1568/getInfo.php?workbook=06_02.xlsx&amp;sheet=U0&amp;row=1644&amp;col=7&amp;number=0.0079&amp;sourceID=14","0.0079")</f>
        <v>0.0079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HYPERLINK("http://141.218.60.56/~jnz1568/getInfo.php?workbook=06_02.xlsx&amp;sheet=U0&amp;row=1645&amp;col=6&amp;number=3.1&amp;sourceID=14","3.1")</f>
        <v>3.1</v>
      </c>
      <c r="G1645" s="4" t="str">
        <f>HYPERLINK("http://141.218.60.56/~jnz1568/getInfo.php?workbook=06_02.xlsx&amp;sheet=U0&amp;row=1645&amp;col=7&amp;number=0.0079&amp;sourceID=14","0.0079")</f>
        <v>0.0079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HYPERLINK("http://141.218.60.56/~jnz1568/getInfo.php?workbook=06_02.xlsx&amp;sheet=U0&amp;row=1646&amp;col=6&amp;number=3.2&amp;sourceID=14","3.2")</f>
        <v>3.2</v>
      </c>
      <c r="G1646" s="4" t="str">
        <f>HYPERLINK("http://141.218.60.56/~jnz1568/getInfo.php?workbook=06_02.xlsx&amp;sheet=U0&amp;row=1646&amp;col=7&amp;number=0.0079&amp;sourceID=14","0.0079")</f>
        <v>0.0079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HYPERLINK("http://141.218.60.56/~jnz1568/getInfo.php?workbook=06_02.xlsx&amp;sheet=U0&amp;row=1647&amp;col=6&amp;number=3.3&amp;sourceID=14","3.3")</f>
        <v>3.3</v>
      </c>
      <c r="G1647" s="4" t="str">
        <f>HYPERLINK("http://141.218.60.56/~jnz1568/getInfo.php?workbook=06_02.xlsx&amp;sheet=U0&amp;row=1647&amp;col=7&amp;number=0.0079&amp;sourceID=14","0.0079")</f>
        <v>0.0079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HYPERLINK("http://141.218.60.56/~jnz1568/getInfo.php?workbook=06_02.xlsx&amp;sheet=U0&amp;row=1648&amp;col=6&amp;number=3.4&amp;sourceID=14","3.4")</f>
        <v>3.4</v>
      </c>
      <c r="G1648" s="4" t="str">
        <f>HYPERLINK("http://141.218.60.56/~jnz1568/getInfo.php?workbook=06_02.xlsx&amp;sheet=U0&amp;row=1648&amp;col=7&amp;number=0.0079&amp;sourceID=14","0.0079")</f>
        <v>0.0079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HYPERLINK("http://141.218.60.56/~jnz1568/getInfo.php?workbook=06_02.xlsx&amp;sheet=U0&amp;row=1649&amp;col=6&amp;number=3.5&amp;sourceID=14","3.5")</f>
        <v>3.5</v>
      </c>
      <c r="G1649" s="4" t="str">
        <f>HYPERLINK("http://141.218.60.56/~jnz1568/getInfo.php?workbook=06_02.xlsx&amp;sheet=U0&amp;row=1649&amp;col=7&amp;number=0.0079&amp;sourceID=14","0.0079")</f>
        <v>0.0079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HYPERLINK("http://141.218.60.56/~jnz1568/getInfo.php?workbook=06_02.xlsx&amp;sheet=U0&amp;row=1650&amp;col=6&amp;number=3.6&amp;sourceID=14","3.6")</f>
        <v>3.6</v>
      </c>
      <c r="G1650" s="4" t="str">
        <f>HYPERLINK("http://141.218.60.56/~jnz1568/getInfo.php?workbook=06_02.xlsx&amp;sheet=U0&amp;row=1650&amp;col=7&amp;number=0.0079&amp;sourceID=14","0.0079")</f>
        <v>0.0079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HYPERLINK("http://141.218.60.56/~jnz1568/getInfo.php?workbook=06_02.xlsx&amp;sheet=U0&amp;row=1651&amp;col=6&amp;number=3.7&amp;sourceID=14","3.7")</f>
        <v>3.7</v>
      </c>
      <c r="G1651" s="4" t="str">
        <f>HYPERLINK("http://141.218.60.56/~jnz1568/getInfo.php?workbook=06_02.xlsx&amp;sheet=U0&amp;row=1651&amp;col=7&amp;number=0.0079&amp;sourceID=14","0.0079")</f>
        <v>0.0079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HYPERLINK("http://141.218.60.56/~jnz1568/getInfo.php?workbook=06_02.xlsx&amp;sheet=U0&amp;row=1652&amp;col=6&amp;number=3.8&amp;sourceID=14","3.8")</f>
        <v>3.8</v>
      </c>
      <c r="G1652" s="4" t="str">
        <f>HYPERLINK("http://141.218.60.56/~jnz1568/getInfo.php?workbook=06_02.xlsx&amp;sheet=U0&amp;row=1652&amp;col=7&amp;number=0.0079&amp;sourceID=14","0.0079")</f>
        <v>0.0079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HYPERLINK("http://141.218.60.56/~jnz1568/getInfo.php?workbook=06_02.xlsx&amp;sheet=U0&amp;row=1653&amp;col=6&amp;number=3.9&amp;sourceID=14","3.9")</f>
        <v>3.9</v>
      </c>
      <c r="G1653" s="4" t="str">
        <f>HYPERLINK("http://141.218.60.56/~jnz1568/getInfo.php?workbook=06_02.xlsx&amp;sheet=U0&amp;row=1653&amp;col=7&amp;number=0.0079&amp;sourceID=14","0.0079")</f>
        <v>0.0079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HYPERLINK("http://141.218.60.56/~jnz1568/getInfo.php?workbook=06_02.xlsx&amp;sheet=U0&amp;row=1654&amp;col=6&amp;number=4&amp;sourceID=14","4")</f>
        <v>4</v>
      </c>
      <c r="G1654" s="4" t="str">
        <f>HYPERLINK("http://141.218.60.56/~jnz1568/getInfo.php?workbook=06_02.xlsx&amp;sheet=U0&amp;row=1654&amp;col=7&amp;number=0.0079&amp;sourceID=14","0.0079")</f>
        <v>0.0079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HYPERLINK("http://141.218.60.56/~jnz1568/getInfo.php?workbook=06_02.xlsx&amp;sheet=U0&amp;row=1655&amp;col=6&amp;number=4.1&amp;sourceID=14","4.1")</f>
        <v>4.1</v>
      </c>
      <c r="G1655" s="4" t="str">
        <f>HYPERLINK("http://141.218.60.56/~jnz1568/getInfo.php?workbook=06_02.xlsx&amp;sheet=U0&amp;row=1655&amp;col=7&amp;number=0.0079&amp;sourceID=14","0.0079")</f>
        <v>0.0079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HYPERLINK("http://141.218.60.56/~jnz1568/getInfo.php?workbook=06_02.xlsx&amp;sheet=U0&amp;row=1656&amp;col=6&amp;number=4.2&amp;sourceID=14","4.2")</f>
        <v>4.2</v>
      </c>
      <c r="G1656" s="4" t="str">
        <f>HYPERLINK("http://141.218.60.56/~jnz1568/getInfo.php?workbook=06_02.xlsx&amp;sheet=U0&amp;row=1656&amp;col=7&amp;number=0.0079&amp;sourceID=14","0.0079")</f>
        <v>0.0079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HYPERLINK("http://141.218.60.56/~jnz1568/getInfo.php?workbook=06_02.xlsx&amp;sheet=U0&amp;row=1657&amp;col=6&amp;number=4.3&amp;sourceID=14","4.3")</f>
        <v>4.3</v>
      </c>
      <c r="G1657" s="4" t="str">
        <f>HYPERLINK("http://141.218.60.56/~jnz1568/getInfo.php?workbook=06_02.xlsx&amp;sheet=U0&amp;row=1657&amp;col=7&amp;number=0.0079&amp;sourceID=14","0.0079")</f>
        <v>0.0079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HYPERLINK("http://141.218.60.56/~jnz1568/getInfo.php?workbook=06_02.xlsx&amp;sheet=U0&amp;row=1658&amp;col=6&amp;number=4.4&amp;sourceID=14","4.4")</f>
        <v>4.4</v>
      </c>
      <c r="G1658" s="4" t="str">
        <f>HYPERLINK("http://141.218.60.56/~jnz1568/getInfo.php?workbook=06_02.xlsx&amp;sheet=U0&amp;row=1658&amp;col=7&amp;number=0.0079&amp;sourceID=14","0.0079")</f>
        <v>0.0079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HYPERLINK("http://141.218.60.56/~jnz1568/getInfo.php?workbook=06_02.xlsx&amp;sheet=U0&amp;row=1659&amp;col=6&amp;number=4.5&amp;sourceID=14","4.5")</f>
        <v>4.5</v>
      </c>
      <c r="G1659" s="4" t="str">
        <f>HYPERLINK("http://141.218.60.56/~jnz1568/getInfo.php?workbook=06_02.xlsx&amp;sheet=U0&amp;row=1659&amp;col=7&amp;number=0.00791&amp;sourceID=14","0.00791")</f>
        <v>0.00791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HYPERLINK("http://141.218.60.56/~jnz1568/getInfo.php?workbook=06_02.xlsx&amp;sheet=U0&amp;row=1660&amp;col=6&amp;number=4.6&amp;sourceID=14","4.6")</f>
        <v>4.6</v>
      </c>
      <c r="G1660" s="4" t="str">
        <f>HYPERLINK("http://141.218.60.56/~jnz1568/getInfo.php?workbook=06_02.xlsx&amp;sheet=U0&amp;row=1660&amp;col=7&amp;number=0.00791&amp;sourceID=14","0.00791")</f>
        <v>0.00791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HYPERLINK("http://141.218.60.56/~jnz1568/getInfo.php?workbook=06_02.xlsx&amp;sheet=U0&amp;row=1661&amp;col=6&amp;number=4.7&amp;sourceID=14","4.7")</f>
        <v>4.7</v>
      </c>
      <c r="G1661" s="4" t="str">
        <f>HYPERLINK("http://141.218.60.56/~jnz1568/getInfo.php?workbook=06_02.xlsx&amp;sheet=U0&amp;row=1661&amp;col=7&amp;number=0.00791&amp;sourceID=14","0.00791")</f>
        <v>0.00791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HYPERLINK("http://141.218.60.56/~jnz1568/getInfo.php?workbook=06_02.xlsx&amp;sheet=U0&amp;row=1662&amp;col=6&amp;number=4.8&amp;sourceID=14","4.8")</f>
        <v>4.8</v>
      </c>
      <c r="G1662" s="4" t="str">
        <f>HYPERLINK("http://141.218.60.56/~jnz1568/getInfo.php?workbook=06_02.xlsx&amp;sheet=U0&amp;row=1662&amp;col=7&amp;number=0.00791&amp;sourceID=14","0.00791")</f>
        <v>0.00791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HYPERLINK("http://141.218.60.56/~jnz1568/getInfo.php?workbook=06_02.xlsx&amp;sheet=U0&amp;row=1663&amp;col=6&amp;number=4.9&amp;sourceID=14","4.9")</f>
        <v>4.9</v>
      </c>
      <c r="G1663" s="4" t="str">
        <f>HYPERLINK("http://141.218.60.56/~jnz1568/getInfo.php?workbook=06_02.xlsx&amp;sheet=U0&amp;row=1663&amp;col=7&amp;number=0.00792&amp;sourceID=14","0.00792")</f>
        <v>0.00792</v>
      </c>
    </row>
    <row r="1664" spans="1:7">
      <c r="A1664" s="3">
        <v>6</v>
      </c>
      <c r="B1664" s="3">
        <v>2</v>
      </c>
      <c r="C1664" s="3">
        <v>2</v>
      </c>
      <c r="D1664" s="3">
        <v>43</v>
      </c>
      <c r="E1664" s="3">
        <v>1</v>
      </c>
      <c r="F1664" s="4" t="str">
        <f>HYPERLINK("http://141.218.60.56/~jnz1568/getInfo.php?workbook=06_02.xlsx&amp;sheet=U0&amp;row=1664&amp;col=6&amp;number=3&amp;sourceID=14","3")</f>
        <v>3</v>
      </c>
      <c r="G1664" s="4" t="str">
        <f>HYPERLINK("http://141.218.60.56/~jnz1568/getInfo.php?workbook=06_02.xlsx&amp;sheet=U0&amp;row=1664&amp;col=7&amp;number=0.0107&amp;sourceID=14","0.0107")</f>
        <v>0.0107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HYPERLINK("http://141.218.60.56/~jnz1568/getInfo.php?workbook=06_02.xlsx&amp;sheet=U0&amp;row=1665&amp;col=6&amp;number=3.1&amp;sourceID=14","3.1")</f>
        <v>3.1</v>
      </c>
      <c r="G1665" s="4" t="str">
        <f>HYPERLINK("http://141.218.60.56/~jnz1568/getInfo.php?workbook=06_02.xlsx&amp;sheet=U0&amp;row=1665&amp;col=7&amp;number=0.0107&amp;sourceID=14","0.0107")</f>
        <v>0.0107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HYPERLINK("http://141.218.60.56/~jnz1568/getInfo.php?workbook=06_02.xlsx&amp;sheet=U0&amp;row=1666&amp;col=6&amp;number=3.2&amp;sourceID=14","3.2")</f>
        <v>3.2</v>
      </c>
      <c r="G1666" s="4" t="str">
        <f>HYPERLINK("http://141.218.60.56/~jnz1568/getInfo.php?workbook=06_02.xlsx&amp;sheet=U0&amp;row=1666&amp;col=7&amp;number=0.0107&amp;sourceID=14","0.0107")</f>
        <v>0.0107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HYPERLINK("http://141.218.60.56/~jnz1568/getInfo.php?workbook=06_02.xlsx&amp;sheet=U0&amp;row=1667&amp;col=6&amp;number=3.3&amp;sourceID=14","3.3")</f>
        <v>3.3</v>
      </c>
      <c r="G1667" s="4" t="str">
        <f>HYPERLINK("http://141.218.60.56/~jnz1568/getInfo.php?workbook=06_02.xlsx&amp;sheet=U0&amp;row=1667&amp;col=7&amp;number=0.0107&amp;sourceID=14","0.0107")</f>
        <v>0.0107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HYPERLINK("http://141.218.60.56/~jnz1568/getInfo.php?workbook=06_02.xlsx&amp;sheet=U0&amp;row=1668&amp;col=6&amp;number=3.4&amp;sourceID=14","3.4")</f>
        <v>3.4</v>
      </c>
      <c r="G1668" s="4" t="str">
        <f>HYPERLINK("http://141.218.60.56/~jnz1568/getInfo.php?workbook=06_02.xlsx&amp;sheet=U0&amp;row=1668&amp;col=7&amp;number=0.0107&amp;sourceID=14","0.0107")</f>
        <v>0.0107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HYPERLINK("http://141.218.60.56/~jnz1568/getInfo.php?workbook=06_02.xlsx&amp;sheet=U0&amp;row=1669&amp;col=6&amp;number=3.5&amp;sourceID=14","3.5")</f>
        <v>3.5</v>
      </c>
      <c r="G1669" s="4" t="str">
        <f>HYPERLINK("http://141.218.60.56/~jnz1568/getInfo.php?workbook=06_02.xlsx&amp;sheet=U0&amp;row=1669&amp;col=7&amp;number=0.0107&amp;sourceID=14","0.0107")</f>
        <v>0.0107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HYPERLINK("http://141.218.60.56/~jnz1568/getInfo.php?workbook=06_02.xlsx&amp;sheet=U0&amp;row=1670&amp;col=6&amp;number=3.6&amp;sourceID=14","3.6")</f>
        <v>3.6</v>
      </c>
      <c r="G1670" s="4" t="str">
        <f>HYPERLINK("http://141.218.60.56/~jnz1568/getInfo.php?workbook=06_02.xlsx&amp;sheet=U0&amp;row=1670&amp;col=7&amp;number=0.0107&amp;sourceID=14","0.0107")</f>
        <v>0.0107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HYPERLINK("http://141.218.60.56/~jnz1568/getInfo.php?workbook=06_02.xlsx&amp;sheet=U0&amp;row=1671&amp;col=6&amp;number=3.7&amp;sourceID=14","3.7")</f>
        <v>3.7</v>
      </c>
      <c r="G1671" s="4" t="str">
        <f>HYPERLINK("http://141.218.60.56/~jnz1568/getInfo.php?workbook=06_02.xlsx&amp;sheet=U0&amp;row=1671&amp;col=7&amp;number=0.0107&amp;sourceID=14","0.0107")</f>
        <v>0.0107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HYPERLINK("http://141.218.60.56/~jnz1568/getInfo.php?workbook=06_02.xlsx&amp;sheet=U0&amp;row=1672&amp;col=6&amp;number=3.8&amp;sourceID=14","3.8")</f>
        <v>3.8</v>
      </c>
      <c r="G1672" s="4" t="str">
        <f>HYPERLINK("http://141.218.60.56/~jnz1568/getInfo.php?workbook=06_02.xlsx&amp;sheet=U0&amp;row=1672&amp;col=7&amp;number=0.0107&amp;sourceID=14","0.0107")</f>
        <v>0.0107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HYPERLINK("http://141.218.60.56/~jnz1568/getInfo.php?workbook=06_02.xlsx&amp;sheet=U0&amp;row=1673&amp;col=6&amp;number=3.9&amp;sourceID=14","3.9")</f>
        <v>3.9</v>
      </c>
      <c r="G1673" s="4" t="str">
        <f>HYPERLINK("http://141.218.60.56/~jnz1568/getInfo.php?workbook=06_02.xlsx&amp;sheet=U0&amp;row=1673&amp;col=7&amp;number=0.0107&amp;sourceID=14","0.0107")</f>
        <v>0.0107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HYPERLINK("http://141.218.60.56/~jnz1568/getInfo.php?workbook=06_02.xlsx&amp;sheet=U0&amp;row=1674&amp;col=6&amp;number=4&amp;sourceID=14","4")</f>
        <v>4</v>
      </c>
      <c r="G1674" s="4" t="str">
        <f>HYPERLINK("http://141.218.60.56/~jnz1568/getInfo.php?workbook=06_02.xlsx&amp;sheet=U0&amp;row=1674&amp;col=7&amp;number=0.0107&amp;sourceID=14","0.0107")</f>
        <v>0.0107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HYPERLINK("http://141.218.60.56/~jnz1568/getInfo.php?workbook=06_02.xlsx&amp;sheet=U0&amp;row=1675&amp;col=6&amp;number=4.1&amp;sourceID=14","4.1")</f>
        <v>4.1</v>
      </c>
      <c r="G1675" s="4" t="str">
        <f>HYPERLINK("http://141.218.60.56/~jnz1568/getInfo.php?workbook=06_02.xlsx&amp;sheet=U0&amp;row=1675&amp;col=7&amp;number=0.0107&amp;sourceID=14","0.0107")</f>
        <v>0.0107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HYPERLINK("http://141.218.60.56/~jnz1568/getInfo.php?workbook=06_02.xlsx&amp;sheet=U0&amp;row=1676&amp;col=6&amp;number=4.2&amp;sourceID=14","4.2")</f>
        <v>4.2</v>
      </c>
      <c r="G1676" s="4" t="str">
        <f>HYPERLINK("http://141.218.60.56/~jnz1568/getInfo.php?workbook=06_02.xlsx&amp;sheet=U0&amp;row=1676&amp;col=7&amp;number=0.0106&amp;sourceID=14","0.0106")</f>
        <v>0.0106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HYPERLINK("http://141.218.60.56/~jnz1568/getInfo.php?workbook=06_02.xlsx&amp;sheet=U0&amp;row=1677&amp;col=6&amp;number=4.3&amp;sourceID=14","4.3")</f>
        <v>4.3</v>
      </c>
      <c r="G1677" s="4" t="str">
        <f>HYPERLINK("http://141.218.60.56/~jnz1568/getInfo.php?workbook=06_02.xlsx&amp;sheet=U0&amp;row=1677&amp;col=7&amp;number=0.0106&amp;sourceID=14","0.0106")</f>
        <v>0.0106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HYPERLINK("http://141.218.60.56/~jnz1568/getInfo.php?workbook=06_02.xlsx&amp;sheet=U0&amp;row=1678&amp;col=6&amp;number=4.4&amp;sourceID=14","4.4")</f>
        <v>4.4</v>
      </c>
      <c r="G1678" s="4" t="str">
        <f>HYPERLINK("http://141.218.60.56/~jnz1568/getInfo.php?workbook=06_02.xlsx&amp;sheet=U0&amp;row=1678&amp;col=7&amp;number=0.0106&amp;sourceID=14","0.0106")</f>
        <v>0.0106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HYPERLINK("http://141.218.60.56/~jnz1568/getInfo.php?workbook=06_02.xlsx&amp;sheet=U0&amp;row=1679&amp;col=6&amp;number=4.5&amp;sourceID=14","4.5")</f>
        <v>4.5</v>
      </c>
      <c r="G1679" s="4" t="str">
        <f>HYPERLINK("http://141.218.60.56/~jnz1568/getInfo.php?workbook=06_02.xlsx&amp;sheet=U0&amp;row=1679&amp;col=7&amp;number=0.0106&amp;sourceID=14","0.0106")</f>
        <v>0.0106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HYPERLINK("http://141.218.60.56/~jnz1568/getInfo.php?workbook=06_02.xlsx&amp;sheet=U0&amp;row=1680&amp;col=6&amp;number=4.6&amp;sourceID=14","4.6")</f>
        <v>4.6</v>
      </c>
      <c r="G1680" s="4" t="str">
        <f>HYPERLINK("http://141.218.60.56/~jnz1568/getInfo.php?workbook=06_02.xlsx&amp;sheet=U0&amp;row=1680&amp;col=7&amp;number=0.0106&amp;sourceID=14","0.0106")</f>
        <v>0.0106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HYPERLINK("http://141.218.60.56/~jnz1568/getInfo.php?workbook=06_02.xlsx&amp;sheet=U0&amp;row=1681&amp;col=6&amp;number=4.7&amp;sourceID=14","4.7")</f>
        <v>4.7</v>
      </c>
      <c r="G1681" s="4" t="str">
        <f>HYPERLINK("http://141.218.60.56/~jnz1568/getInfo.php?workbook=06_02.xlsx&amp;sheet=U0&amp;row=1681&amp;col=7&amp;number=0.0106&amp;sourceID=14","0.0106")</f>
        <v>0.0106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HYPERLINK("http://141.218.60.56/~jnz1568/getInfo.php?workbook=06_02.xlsx&amp;sheet=U0&amp;row=1682&amp;col=6&amp;number=4.8&amp;sourceID=14","4.8")</f>
        <v>4.8</v>
      </c>
      <c r="G1682" s="4" t="str">
        <f>HYPERLINK("http://141.218.60.56/~jnz1568/getInfo.php?workbook=06_02.xlsx&amp;sheet=U0&amp;row=1682&amp;col=7&amp;number=0.0106&amp;sourceID=14","0.0106")</f>
        <v>0.0106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HYPERLINK("http://141.218.60.56/~jnz1568/getInfo.php?workbook=06_02.xlsx&amp;sheet=U0&amp;row=1683&amp;col=6&amp;number=4.9&amp;sourceID=14","4.9")</f>
        <v>4.9</v>
      </c>
      <c r="G1683" s="4" t="str">
        <f>HYPERLINK("http://141.218.60.56/~jnz1568/getInfo.php?workbook=06_02.xlsx&amp;sheet=U0&amp;row=1683&amp;col=7&amp;number=0.0106&amp;sourceID=14","0.0106")</f>
        <v>0.0106</v>
      </c>
    </row>
    <row r="1684" spans="1:7">
      <c r="A1684" s="3">
        <v>6</v>
      </c>
      <c r="B1684" s="3">
        <v>2</v>
      </c>
      <c r="C1684" s="3">
        <v>2</v>
      </c>
      <c r="D1684" s="3">
        <v>44</v>
      </c>
      <c r="E1684" s="3">
        <v>1</v>
      </c>
      <c r="F1684" s="4" t="str">
        <f>HYPERLINK("http://141.218.60.56/~jnz1568/getInfo.php?workbook=06_02.xlsx&amp;sheet=U0&amp;row=1684&amp;col=6&amp;number=3&amp;sourceID=14","3")</f>
        <v>3</v>
      </c>
      <c r="G1684" s="4" t="str">
        <f>HYPERLINK("http://141.218.60.56/~jnz1568/getInfo.php?workbook=06_02.xlsx&amp;sheet=U0&amp;row=1684&amp;col=7&amp;number=0.0142&amp;sourceID=14","0.0142")</f>
        <v>0.0142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HYPERLINK("http://141.218.60.56/~jnz1568/getInfo.php?workbook=06_02.xlsx&amp;sheet=U0&amp;row=1685&amp;col=6&amp;number=3.1&amp;sourceID=14","3.1")</f>
        <v>3.1</v>
      </c>
      <c r="G1685" s="4" t="str">
        <f>HYPERLINK("http://141.218.60.56/~jnz1568/getInfo.php?workbook=06_02.xlsx&amp;sheet=U0&amp;row=1685&amp;col=7&amp;number=0.0142&amp;sourceID=14","0.0142")</f>
        <v>0.0142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HYPERLINK("http://141.218.60.56/~jnz1568/getInfo.php?workbook=06_02.xlsx&amp;sheet=U0&amp;row=1686&amp;col=6&amp;number=3.2&amp;sourceID=14","3.2")</f>
        <v>3.2</v>
      </c>
      <c r="G1686" s="4" t="str">
        <f>HYPERLINK("http://141.218.60.56/~jnz1568/getInfo.php?workbook=06_02.xlsx&amp;sheet=U0&amp;row=1686&amp;col=7&amp;number=0.0142&amp;sourceID=14","0.0142")</f>
        <v>0.0142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HYPERLINK("http://141.218.60.56/~jnz1568/getInfo.php?workbook=06_02.xlsx&amp;sheet=U0&amp;row=1687&amp;col=6&amp;number=3.3&amp;sourceID=14","3.3")</f>
        <v>3.3</v>
      </c>
      <c r="G1687" s="4" t="str">
        <f>HYPERLINK("http://141.218.60.56/~jnz1568/getInfo.php?workbook=06_02.xlsx&amp;sheet=U0&amp;row=1687&amp;col=7&amp;number=0.0142&amp;sourceID=14","0.0142")</f>
        <v>0.0142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HYPERLINK("http://141.218.60.56/~jnz1568/getInfo.php?workbook=06_02.xlsx&amp;sheet=U0&amp;row=1688&amp;col=6&amp;number=3.4&amp;sourceID=14","3.4")</f>
        <v>3.4</v>
      </c>
      <c r="G1688" s="4" t="str">
        <f>HYPERLINK("http://141.218.60.56/~jnz1568/getInfo.php?workbook=06_02.xlsx&amp;sheet=U0&amp;row=1688&amp;col=7&amp;number=0.0142&amp;sourceID=14","0.0142")</f>
        <v>0.0142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HYPERLINK("http://141.218.60.56/~jnz1568/getInfo.php?workbook=06_02.xlsx&amp;sheet=U0&amp;row=1689&amp;col=6&amp;number=3.5&amp;sourceID=14","3.5")</f>
        <v>3.5</v>
      </c>
      <c r="G1689" s="4" t="str">
        <f>HYPERLINK("http://141.218.60.56/~jnz1568/getInfo.php?workbook=06_02.xlsx&amp;sheet=U0&amp;row=1689&amp;col=7&amp;number=0.0142&amp;sourceID=14","0.0142")</f>
        <v>0.0142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HYPERLINK("http://141.218.60.56/~jnz1568/getInfo.php?workbook=06_02.xlsx&amp;sheet=U0&amp;row=1690&amp;col=6&amp;number=3.6&amp;sourceID=14","3.6")</f>
        <v>3.6</v>
      </c>
      <c r="G1690" s="4" t="str">
        <f>HYPERLINK("http://141.218.60.56/~jnz1568/getInfo.php?workbook=06_02.xlsx&amp;sheet=U0&amp;row=1690&amp;col=7&amp;number=0.0142&amp;sourceID=14","0.0142")</f>
        <v>0.0142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HYPERLINK("http://141.218.60.56/~jnz1568/getInfo.php?workbook=06_02.xlsx&amp;sheet=U0&amp;row=1691&amp;col=6&amp;number=3.7&amp;sourceID=14","3.7")</f>
        <v>3.7</v>
      </c>
      <c r="G1691" s="4" t="str">
        <f>HYPERLINK("http://141.218.60.56/~jnz1568/getInfo.php?workbook=06_02.xlsx&amp;sheet=U0&amp;row=1691&amp;col=7&amp;number=0.0142&amp;sourceID=14","0.0142")</f>
        <v>0.0142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HYPERLINK("http://141.218.60.56/~jnz1568/getInfo.php?workbook=06_02.xlsx&amp;sheet=U0&amp;row=1692&amp;col=6&amp;number=3.8&amp;sourceID=14","3.8")</f>
        <v>3.8</v>
      </c>
      <c r="G1692" s="4" t="str">
        <f>HYPERLINK("http://141.218.60.56/~jnz1568/getInfo.php?workbook=06_02.xlsx&amp;sheet=U0&amp;row=1692&amp;col=7&amp;number=0.0142&amp;sourceID=14","0.0142")</f>
        <v>0.0142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HYPERLINK("http://141.218.60.56/~jnz1568/getInfo.php?workbook=06_02.xlsx&amp;sheet=U0&amp;row=1693&amp;col=6&amp;number=3.9&amp;sourceID=14","3.9")</f>
        <v>3.9</v>
      </c>
      <c r="G1693" s="4" t="str">
        <f>HYPERLINK("http://141.218.60.56/~jnz1568/getInfo.php?workbook=06_02.xlsx&amp;sheet=U0&amp;row=1693&amp;col=7&amp;number=0.0142&amp;sourceID=14","0.0142")</f>
        <v>0.0142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HYPERLINK("http://141.218.60.56/~jnz1568/getInfo.php?workbook=06_02.xlsx&amp;sheet=U0&amp;row=1694&amp;col=6&amp;number=4&amp;sourceID=14","4")</f>
        <v>4</v>
      </c>
      <c r="G1694" s="4" t="str">
        <f>HYPERLINK("http://141.218.60.56/~jnz1568/getInfo.php?workbook=06_02.xlsx&amp;sheet=U0&amp;row=1694&amp;col=7&amp;number=0.0142&amp;sourceID=14","0.0142")</f>
        <v>0.0142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HYPERLINK("http://141.218.60.56/~jnz1568/getInfo.php?workbook=06_02.xlsx&amp;sheet=U0&amp;row=1695&amp;col=6&amp;number=4.1&amp;sourceID=14","4.1")</f>
        <v>4.1</v>
      </c>
      <c r="G1695" s="4" t="str">
        <f>HYPERLINK("http://141.218.60.56/~jnz1568/getInfo.php?workbook=06_02.xlsx&amp;sheet=U0&amp;row=1695&amp;col=7&amp;number=0.0142&amp;sourceID=14","0.0142")</f>
        <v>0.0142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HYPERLINK("http://141.218.60.56/~jnz1568/getInfo.php?workbook=06_02.xlsx&amp;sheet=U0&amp;row=1696&amp;col=6&amp;number=4.2&amp;sourceID=14","4.2")</f>
        <v>4.2</v>
      </c>
      <c r="G1696" s="4" t="str">
        <f>HYPERLINK("http://141.218.60.56/~jnz1568/getInfo.php?workbook=06_02.xlsx&amp;sheet=U0&amp;row=1696&amp;col=7&amp;number=0.0142&amp;sourceID=14","0.0142")</f>
        <v>0.0142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HYPERLINK("http://141.218.60.56/~jnz1568/getInfo.php?workbook=06_02.xlsx&amp;sheet=U0&amp;row=1697&amp;col=6&amp;number=4.3&amp;sourceID=14","4.3")</f>
        <v>4.3</v>
      </c>
      <c r="G1697" s="4" t="str">
        <f>HYPERLINK("http://141.218.60.56/~jnz1568/getInfo.php?workbook=06_02.xlsx&amp;sheet=U0&amp;row=1697&amp;col=7&amp;number=0.0142&amp;sourceID=14","0.0142")</f>
        <v>0.0142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HYPERLINK("http://141.218.60.56/~jnz1568/getInfo.php?workbook=06_02.xlsx&amp;sheet=U0&amp;row=1698&amp;col=6&amp;number=4.4&amp;sourceID=14","4.4")</f>
        <v>4.4</v>
      </c>
      <c r="G1698" s="4" t="str">
        <f>HYPERLINK("http://141.218.60.56/~jnz1568/getInfo.php?workbook=06_02.xlsx&amp;sheet=U0&amp;row=1698&amp;col=7&amp;number=0.0142&amp;sourceID=14","0.0142")</f>
        <v>0.0142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HYPERLINK("http://141.218.60.56/~jnz1568/getInfo.php?workbook=06_02.xlsx&amp;sheet=U0&amp;row=1699&amp;col=6&amp;number=4.5&amp;sourceID=14","4.5")</f>
        <v>4.5</v>
      </c>
      <c r="G1699" s="4" t="str">
        <f>HYPERLINK("http://141.218.60.56/~jnz1568/getInfo.php?workbook=06_02.xlsx&amp;sheet=U0&amp;row=1699&amp;col=7&amp;number=0.0142&amp;sourceID=14","0.0142")</f>
        <v>0.0142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HYPERLINK("http://141.218.60.56/~jnz1568/getInfo.php?workbook=06_02.xlsx&amp;sheet=U0&amp;row=1700&amp;col=6&amp;number=4.6&amp;sourceID=14","4.6")</f>
        <v>4.6</v>
      </c>
      <c r="G1700" s="4" t="str">
        <f>HYPERLINK("http://141.218.60.56/~jnz1568/getInfo.php?workbook=06_02.xlsx&amp;sheet=U0&amp;row=1700&amp;col=7&amp;number=0.0142&amp;sourceID=14","0.0142")</f>
        <v>0.0142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HYPERLINK("http://141.218.60.56/~jnz1568/getInfo.php?workbook=06_02.xlsx&amp;sheet=U0&amp;row=1701&amp;col=6&amp;number=4.7&amp;sourceID=14","4.7")</f>
        <v>4.7</v>
      </c>
      <c r="G1701" s="4" t="str">
        <f>HYPERLINK("http://141.218.60.56/~jnz1568/getInfo.php?workbook=06_02.xlsx&amp;sheet=U0&amp;row=1701&amp;col=7&amp;number=0.0142&amp;sourceID=14","0.0142")</f>
        <v>0.0142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HYPERLINK("http://141.218.60.56/~jnz1568/getInfo.php?workbook=06_02.xlsx&amp;sheet=U0&amp;row=1702&amp;col=6&amp;number=4.8&amp;sourceID=14","4.8")</f>
        <v>4.8</v>
      </c>
      <c r="G1702" s="4" t="str">
        <f>HYPERLINK("http://141.218.60.56/~jnz1568/getInfo.php?workbook=06_02.xlsx&amp;sheet=U0&amp;row=1702&amp;col=7&amp;number=0.0142&amp;sourceID=14","0.0142")</f>
        <v>0.0142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HYPERLINK("http://141.218.60.56/~jnz1568/getInfo.php?workbook=06_02.xlsx&amp;sheet=U0&amp;row=1703&amp;col=6&amp;number=4.9&amp;sourceID=14","4.9")</f>
        <v>4.9</v>
      </c>
      <c r="G1703" s="4" t="str">
        <f>HYPERLINK("http://141.218.60.56/~jnz1568/getInfo.php?workbook=06_02.xlsx&amp;sheet=U0&amp;row=1703&amp;col=7&amp;number=0.0143&amp;sourceID=14","0.0143")</f>
        <v>0.0143</v>
      </c>
    </row>
    <row r="1704" spans="1:7">
      <c r="A1704" s="3">
        <v>6</v>
      </c>
      <c r="B1704" s="3">
        <v>2</v>
      </c>
      <c r="C1704" s="3">
        <v>2</v>
      </c>
      <c r="D1704" s="3">
        <v>45</v>
      </c>
      <c r="E1704" s="3">
        <v>1</v>
      </c>
      <c r="F1704" s="4" t="str">
        <f>HYPERLINK("http://141.218.60.56/~jnz1568/getInfo.php?workbook=06_02.xlsx&amp;sheet=U0&amp;row=1704&amp;col=6&amp;number=3&amp;sourceID=14","3")</f>
        <v>3</v>
      </c>
      <c r="G1704" s="4" t="str">
        <f>HYPERLINK("http://141.218.60.56/~jnz1568/getInfo.php?workbook=06_02.xlsx&amp;sheet=U0&amp;row=1704&amp;col=7&amp;number=0.00965&amp;sourceID=14","0.00965")</f>
        <v>0.00965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HYPERLINK("http://141.218.60.56/~jnz1568/getInfo.php?workbook=06_02.xlsx&amp;sheet=U0&amp;row=1705&amp;col=6&amp;number=3.1&amp;sourceID=14","3.1")</f>
        <v>3.1</v>
      </c>
      <c r="G1705" s="4" t="str">
        <f>HYPERLINK("http://141.218.60.56/~jnz1568/getInfo.php?workbook=06_02.xlsx&amp;sheet=U0&amp;row=1705&amp;col=7&amp;number=0.00965&amp;sourceID=14","0.00965")</f>
        <v>0.00965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HYPERLINK("http://141.218.60.56/~jnz1568/getInfo.php?workbook=06_02.xlsx&amp;sheet=U0&amp;row=1706&amp;col=6&amp;number=3.2&amp;sourceID=14","3.2")</f>
        <v>3.2</v>
      </c>
      <c r="G1706" s="4" t="str">
        <f>HYPERLINK("http://141.218.60.56/~jnz1568/getInfo.php?workbook=06_02.xlsx&amp;sheet=U0&amp;row=1706&amp;col=7&amp;number=0.00964&amp;sourceID=14","0.00964")</f>
        <v>0.00964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HYPERLINK("http://141.218.60.56/~jnz1568/getInfo.php?workbook=06_02.xlsx&amp;sheet=U0&amp;row=1707&amp;col=6&amp;number=3.3&amp;sourceID=14","3.3")</f>
        <v>3.3</v>
      </c>
      <c r="G1707" s="4" t="str">
        <f>HYPERLINK("http://141.218.60.56/~jnz1568/getInfo.php?workbook=06_02.xlsx&amp;sheet=U0&amp;row=1707&amp;col=7&amp;number=0.00964&amp;sourceID=14","0.00964")</f>
        <v>0.00964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HYPERLINK("http://141.218.60.56/~jnz1568/getInfo.php?workbook=06_02.xlsx&amp;sheet=U0&amp;row=1708&amp;col=6&amp;number=3.4&amp;sourceID=14","3.4")</f>
        <v>3.4</v>
      </c>
      <c r="G1708" s="4" t="str">
        <f>HYPERLINK("http://141.218.60.56/~jnz1568/getInfo.php?workbook=06_02.xlsx&amp;sheet=U0&amp;row=1708&amp;col=7&amp;number=0.00963&amp;sourceID=14","0.00963")</f>
        <v>0.00963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HYPERLINK("http://141.218.60.56/~jnz1568/getInfo.php?workbook=06_02.xlsx&amp;sheet=U0&amp;row=1709&amp;col=6&amp;number=3.5&amp;sourceID=14","3.5")</f>
        <v>3.5</v>
      </c>
      <c r="G1709" s="4" t="str">
        <f>HYPERLINK("http://141.218.60.56/~jnz1568/getInfo.php?workbook=06_02.xlsx&amp;sheet=U0&amp;row=1709&amp;col=7&amp;number=0.00962&amp;sourceID=14","0.00962")</f>
        <v>0.00962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HYPERLINK("http://141.218.60.56/~jnz1568/getInfo.php?workbook=06_02.xlsx&amp;sheet=U0&amp;row=1710&amp;col=6&amp;number=3.6&amp;sourceID=14","3.6")</f>
        <v>3.6</v>
      </c>
      <c r="G1710" s="4" t="str">
        <f>HYPERLINK("http://141.218.60.56/~jnz1568/getInfo.php?workbook=06_02.xlsx&amp;sheet=U0&amp;row=1710&amp;col=7&amp;number=0.00961&amp;sourceID=14","0.00961")</f>
        <v>0.00961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HYPERLINK("http://141.218.60.56/~jnz1568/getInfo.php?workbook=06_02.xlsx&amp;sheet=U0&amp;row=1711&amp;col=6&amp;number=3.7&amp;sourceID=14","3.7")</f>
        <v>3.7</v>
      </c>
      <c r="G1711" s="4" t="str">
        <f>HYPERLINK("http://141.218.60.56/~jnz1568/getInfo.php?workbook=06_02.xlsx&amp;sheet=U0&amp;row=1711&amp;col=7&amp;number=0.0096&amp;sourceID=14","0.0096")</f>
        <v>0.0096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HYPERLINK("http://141.218.60.56/~jnz1568/getInfo.php?workbook=06_02.xlsx&amp;sheet=U0&amp;row=1712&amp;col=6&amp;number=3.8&amp;sourceID=14","3.8")</f>
        <v>3.8</v>
      </c>
      <c r="G1712" s="4" t="str">
        <f>HYPERLINK("http://141.218.60.56/~jnz1568/getInfo.php?workbook=06_02.xlsx&amp;sheet=U0&amp;row=1712&amp;col=7&amp;number=0.00958&amp;sourceID=14","0.00958")</f>
        <v>0.00958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HYPERLINK("http://141.218.60.56/~jnz1568/getInfo.php?workbook=06_02.xlsx&amp;sheet=U0&amp;row=1713&amp;col=6&amp;number=3.9&amp;sourceID=14","3.9")</f>
        <v>3.9</v>
      </c>
      <c r="G1713" s="4" t="str">
        <f>HYPERLINK("http://141.218.60.56/~jnz1568/getInfo.php?workbook=06_02.xlsx&amp;sheet=U0&amp;row=1713&amp;col=7&amp;number=0.00955&amp;sourceID=14","0.00955")</f>
        <v>0.00955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HYPERLINK("http://141.218.60.56/~jnz1568/getInfo.php?workbook=06_02.xlsx&amp;sheet=U0&amp;row=1714&amp;col=6&amp;number=4&amp;sourceID=14","4")</f>
        <v>4</v>
      </c>
      <c r="G1714" s="4" t="str">
        <f>HYPERLINK("http://141.218.60.56/~jnz1568/getInfo.php?workbook=06_02.xlsx&amp;sheet=U0&amp;row=1714&amp;col=7&amp;number=0.00952&amp;sourceID=14","0.00952")</f>
        <v>0.00952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HYPERLINK("http://141.218.60.56/~jnz1568/getInfo.php?workbook=06_02.xlsx&amp;sheet=U0&amp;row=1715&amp;col=6&amp;number=4.1&amp;sourceID=14","4.1")</f>
        <v>4.1</v>
      </c>
      <c r="G1715" s="4" t="str">
        <f>HYPERLINK("http://141.218.60.56/~jnz1568/getInfo.php?workbook=06_02.xlsx&amp;sheet=U0&amp;row=1715&amp;col=7&amp;number=0.00949&amp;sourceID=14","0.00949")</f>
        <v>0.00949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HYPERLINK("http://141.218.60.56/~jnz1568/getInfo.php?workbook=06_02.xlsx&amp;sheet=U0&amp;row=1716&amp;col=6&amp;number=4.2&amp;sourceID=14","4.2")</f>
        <v>4.2</v>
      </c>
      <c r="G1716" s="4" t="str">
        <f>HYPERLINK("http://141.218.60.56/~jnz1568/getInfo.php?workbook=06_02.xlsx&amp;sheet=U0&amp;row=1716&amp;col=7&amp;number=0.00944&amp;sourceID=14","0.00944")</f>
        <v>0.00944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HYPERLINK("http://141.218.60.56/~jnz1568/getInfo.php?workbook=06_02.xlsx&amp;sheet=U0&amp;row=1717&amp;col=6&amp;number=4.3&amp;sourceID=14","4.3")</f>
        <v>4.3</v>
      </c>
      <c r="G1717" s="4" t="str">
        <f>HYPERLINK("http://141.218.60.56/~jnz1568/getInfo.php?workbook=06_02.xlsx&amp;sheet=U0&amp;row=1717&amp;col=7&amp;number=0.00939&amp;sourceID=14","0.00939")</f>
        <v>0.00939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HYPERLINK("http://141.218.60.56/~jnz1568/getInfo.php?workbook=06_02.xlsx&amp;sheet=U0&amp;row=1718&amp;col=6&amp;number=4.4&amp;sourceID=14","4.4")</f>
        <v>4.4</v>
      </c>
      <c r="G1718" s="4" t="str">
        <f>HYPERLINK("http://141.218.60.56/~jnz1568/getInfo.php?workbook=06_02.xlsx&amp;sheet=U0&amp;row=1718&amp;col=7&amp;number=0.00931&amp;sourceID=14","0.00931")</f>
        <v>0.00931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HYPERLINK("http://141.218.60.56/~jnz1568/getInfo.php?workbook=06_02.xlsx&amp;sheet=U0&amp;row=1719&amp;col=6&amp;number=4.5&amp;sourceID=14","4.5")</f>
        <v>4.5</v>
      </c>
      <c r="G1719" s="4" t="str">
        <f>HYPERLINK("http://141.218.60.56/~jnz1568/getInfo.php?workbook=06_02.xlsx&amp;sheet=U0&amp;row=1719&amp;col=7&amp;number=0.00923&amp;sourceID=14","0.00923")</f>
        <v>0.00923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HYPERLINK("http://141.218.60.56/~jnz1568/getInfo.php?workbook=06_02.xlsx&amp;sheet=U0&amp;row=1720&amp;col=6&amp;number=4.6&amp;sourceID=14","4.6")</f>
        <v>4.6</v>
      </c>
      <c r="G1720" s="4" t="str">
        <f>HYPERLINK("http://141.218.60.56/~jnz1568/getInfo.php?workbook=06_02.xlsx&amp;sheet=U0&amp;row=1720&amp;col=7&amp;number=0.00912&amp;sourceID=14","0.00912")</f>
        <v>0.00912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HYPERLINK("http://141.218.60.56/~jnz1568/getInfo.php?workbook=06_02.xlsx&amp;sheet=U0&amp;row=1721&amp;col=6&amp;number=4.7&amp;sourceID=14","4.7")</f>
        <v>4.7</v>
      </c>
      <c r="G1721" s="4" t="str">
        <f>HYPERLINK("http://141.218.60.56/~jnz1568/getInfo.php?workbook=06_02.xlsx&amp;sheet=U0&amp;row=1721&amp;col=7&amp;number=0.00899&amp;sourceID=14","0.00899")</f>
        <v>0.00899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HYPERLINK("http://141.218.60.56/~jnz1568/getInfo.php?workbook=06_02.xlsx&amp;sheet=U0&amp;row=1722&amp;col=6&amp;number=4.8&amp;sourceID=14","4.8")</f>
        <v>4.8</v>
      </c>
      <c r="G1722" s="4" t="str">
        <f>HYPERLINK("http://141.218.60.56/~jnz1568/getInfo.php?workbook=06_02.xlsx&amp;sheet=U0&amp;row=1722&amp;col=7&amp;number=0.00883&amp;sourceID=14","0.00883")</f>
        <v>0.00883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HYPERLINK("http://141.218.60.56/~jnz1568/getInfo.php?workbook=06_02.xlsx&amp;sheet=U0&amp;row=1723&amp;col=6&amp;number=4.9&amp;sourceID=14","4.9")</f>
        <v>4.9</v>
      </c>
      <c r="G1723" s="4" t="str">
        <f>HYPERLINK("http://141.218.60.56/~jnz1568/getInfo.php?workbook=06_02.xlsx&amp;sheet=U0&amp;row=1723&amp;col=7&amp;number=0.00864&amp;sourceID=14","0.00864")</f>
        <v>0.00864</v>
      </c>
    </row>
    <row r="1724" spans="1:7">
      <c r="A1724" s="3">
        <v>6</v>
      </c>
      <c r="B1724" s="3">
        <v>2</v>
      </c>
      <c r="C1724" s="3">
        <v>2</v>
      </c>
      <c r="D1724" s="3">
        <v>46</v>
      </c>
      <c r="E1724" s="3">
        <v>1</v>
      </c>
      <c r="F1724" s="4" t="str">
        <f>HYPERLINK("http://141.218.60.56/~jnz1568/getInfo.php?workbook=06_02.xlsx&amp;sheet=U0&amp;row=1724&amp;col=6&amp;number=3&amp;sourceID=14","3")</f>
        <v>3</v>
      </c>
      <c r="G1724" s="4" t="str">
        <f>HYPERLINK("http://141.218.60.56/~jnz1568/getInfo.php?workbook=06_02.xlsx&amp;sheet=U0&amp;row=1724&amp;col=7&amp;number=0.00113&amp;sourceID=14","0.00113")</f>
        <v>0.00113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HYPERLINK("http://141.218.60.56/~jnz1568/getInfo.php?workbook=06_02.xlsx&amp;sheet=U0&amp;row=1725&amp;col=6&amp;number=3.1&amp;sourceID=14","3.1")</f>
        <v>3.1</v>
      </c>
      <c r="G1725" s="4" t="str">
        <f>HYPERLINK("http://141.218.60.56/~jnz1568/getInfo.php?workbook=06_02.xlsx&amp;sheet=U0&amp;row=1725&amp;col=7&amp;number=0.00113&amp;sourceID=14","0.00113")</f>
        <v>0.00113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HYPERLINK("http://141.218.60.56/~jnz1568/getInfo.php?workbook=06_02.xlsx&amp;sheet=U0&amp;row=1726&amp;col=6&amp;number=3.2&amp;sourceID=14","3.2")</f>
        <v>3.2</v>
      </c>
      <c r="G1726" s="4" t="str">
        <f>HYPERLINK("http://141.218.60.56/~jnz1568/getInfo.php?workbook=06_02.xlsx&amp;sheet=U0&amp;row=1726&amp;col=7&amp;number=0.00113&amp;sourceID=14","0.00113")</f>
        <v>0.00113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HYPERLINK("http://141.218.60.56/~jnz1568/getInfo.php?workbook=06_02.xlsx&amp;sheet=U0&amp;row=1727&amp;col=6&amp;number=3.3&amp;sourceID=14","3.3")</f>
        <v>3.3</v>
      </c>
      <c r="G1727" s="4" t="str">
        <f>HYPERLINK("http://141.218.60.56/~jnz1568/getInfo.php?workbook=06_02.xlsx&amp;sheet=U0&amp;row=1727&amp;col=7&amp;number=0.00113&amp;sourceID=14","0.00113")</f>
        <v>0.00113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HYPERLINK("http://141.218.60.56/~jnz1568/getInfo.php?workbook=06_02.xlsx&amp;sheet=U0&amp;row=1728&amp;col=6&amp;number=3.4&amp;sourceID=14","3.4")</f>
        <v>3.4</v>
      </c>
      <c r="G1728" s="4" t="str">
        <f>HYPERLINK("http://141.218.60.56/~jnz1568/getInfo.php?workbook=06_02.xlsx&amp;sheet=U0&amp;row=1728&amp;col=7&amp;number=0.00113&amp;sourceID=14","0.00113")</f>
        <v>0.00113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HYPERLINK("http://141.218.60.56/~jnz1568/getInfo.php?workbook=06_02.xlsx&amp;sheet=U0&amp;row=1729&amp;col=6&amp;number=3.5&amp;sourceID=14","3.5")</f>
        <v>3.5</v>
      </c>
      <c r="G1729" s="4" t="str">
        <f>HYPERLINK("http://141.218.60.56/~jnz1568/getInfo.php?workbook=06_02.xlsx&amp;sheet=U0&amp;row=1729&amp;col=7&amp;number=0.00113&amp;sourceID=14","0.00113")</f>
        <v>0.00113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HYPERLINK("http://141.218.60.56/~jnz1568/getInfo.php?workbook=06_02.xlsx&amp;sheet=U0&amp;row=1730&amp;col=6&amp;number=3.6&amp;sourceID=14","3.6")</f>
        <v>3.6</v>
      </c>
      <c r="G1730" s="4" t="str">
        <f>HYPERLINK("http://141.218.60.56/~jnz1568/getInfo.php?workbook=06_02.xlsx&amp;sheet=U0&amp;row=1730&amp;col=7&amp;number=0.00113&amp;sourceID=14","0.00113")</f>
        <v>0.00113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HYPERLINK("http://141.218.60.56/~jnz1568/getInfo.php?workbook=06_02.xlsx&amp;sheet=U0&amp;row=1731&amp;col=6&amp;number=3.7&amp;sourceID=14","3.7")</f>
        <v>3.7</v>
      </c>
      <c r="G1731" s="4" t="str">
        <f>HYPERLINK("http://141.218.60.56/~jnz1568/getInfo.php?workbook=06_02.xlsx&amp;sheet=U0&amp;row=1731&amp;col=7&amp;number=0.00113&amp;sourceID=14","0.00113")</f>
        <v>0.00113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HYPERLINK("http://141.218.60.56/~jnz1568/getInfo.php?workbook=06_02.xlsx&amp;sheet=U0&amp;row=1732&amp;col=6&amp;number=3.8&amp;sourceID=14","3.8")</f>
        <v>3.8</v>
      </c>
      <c r="G1732" s="4" t="str">
        <f>HYPERLINK("http://141.218.60.56/~jnz1568/getInfo.php?workbook=06_02.xlsx&amp;sheet=U0&amp;row=1732&amp;col=7&amp;number=0.00113&amp;sourceID=14","0.00113")</f>
        <v>0.00113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HYPERLINK("http://141.218.60.56/~jnz1568/getInfo.php?workbook=06_02.xlsx&amp;sheet=U0&amp;row=1733&amp;col=6&amp;number=3.9&amp;sourceID=14","3.9")</f>
        <v>3.9</v>
      </c>
      <c r="G1733" s="4" t="str">
        <f>HYPERLINK("http://141.218.60.56/~jnz1568/getInfo.php?workbook=06_02.xlsx&amp;sheet=U0&amp;row=1733&amp;col=7&amp;number=0.00113&amp;sourceID=14","0.00113")</f>
        <v>0.00113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HYPERLINK("http://141.218.60.56/~jnz1568/getInfo.php?workbook=06_02.xlsx&amp;sheet=U0&amp;row=1734&amp;col=6&amp;number=4&amp;sourceID=14","4")</f>
        <v>4</v>
      </c>
      <c r="G1734" s="4" t="str">
        <f>HYPERLINK("http://141.218.60.56/~jnz1568/getInfo.php?workbook=06_02.xlsx&amp;sheet=U0&amp;row=1734&amp;col=7&amp;number=0.00113&amp;sourceID=14","0.00113")</f>
        <v>0.00113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HYPERLINK("http://141.218.60.56/~jnz1568/getInfo.php?workbook=06_02.xlsx&amp;sheet=U0&amp;row=1735&amp;col=6&amp;number=4.1&amp;sourceID=14","4.1")</f>
        <v>4.1</v>
      </c>
      <c r="G1735" s="4" t="str">
        <f>HYPERLINK("http://141.218.60.56/~jnz1568/getInfo.php?workbook=06_02.xlsx&amp;sheet=U0&amp;row=1735&amp;col=7&amp;number=0.00112&amp;sourceID=14","0.00112")</f>
        <v>0.00112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HYPERLINK("http://141.218.60.56/~jnz1568/getInfo.php?workbook=06_02.xlsx&amp;sheet=U0&amp;row=1736&amp;col=6&amp;number=4.2&amp;sourceID=14","4.2")</f>
        <v>4.2</v>
      </c>
      <c r="G1736" s="4" t="str">
        <f>HYPERLINK("http://141.218.60.56/~jnz1568/getInfo.php?workbook=06_02.xlsx&amp;sheet=U0&amp;row=1736&amp;col=7&amp;number=0.00112&amp;sourceID=14","0.00112")</f>
        <v>0.00112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HYPERLINK("http://141.218.60.56/~jnz1568/getInfo.php?workbook=06_02.xlsx&amp;sheet=U0&amp;row=1737&amp;col=6&amp;number=4.3&amp;sourceID=14","4.3")</f>
        <v>4.3</v>
      </c>
      <c r="G1737" s="4" t="str">
        <f>HYPERLINK("http://141.218.60.56/~jnz1568/getInfo.php?workbook=06_02.xlsx&amp;sheet=U0&amp;row=1737&amp;col=7&amp;number=0.00112&amp;sourceID=14","0.00112")</f>
        <v>0.00112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HYPERLINK("http://141.218.60.56/~jnz1568/getInfo.php?workbook=06_02.xlsx&amp;sheet=U0&amp;row=1738&amp;col=6&amp;number=4.4&amp;sourceID=14","4.4")</f>
        <v>4.4</v>
      </c>
      <c r="G1738" s="4" t="str">
        <f>HYPERLINK("http://141.218.60.56/~jnz1568/getInfo.php?workbook=06_02.xlsx&amp;sheet=U0&amp;row=1738&amp;col=7&amp;number=0.00112&amp;sourceID=14","0.00112")</f>
        <v>0.00112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HYPERLINK("http://141.218.60.56/~jnz1568/getInfo.php?workbook=06_02.xlsx&amp;sheet=U0&amp;row=1739&amp;col=6&amp;number=4.5&amp;sourceID=14","4.5")</f>
        <v>4.5</v>
      </c>
      <c r="G1739" s="4" t="str">
        <f>HYPERLINK("http://141.218.60.56/~jnz1568/getInfo.php?workbook=06_02.xlsx&amp;sheet=U0&amp;row=1739&amp;col=7&amp;number=0.00111&amp;sourceID=14","0.00111")</f>
        <v>0.00111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HYPERLINK("http://141.218.60.56/~jnz1568/getInfo.php?workbook=06_02.xlsx&amp;sheet=U0&amp;row=1740&amp;col=6&amp;number=4.6&amp;sourceID=14","4.6")</f>
        <v>4.6</v>
      </c>
      <c r="G1740" s="4" t="str">
        <f>HYPERLINK("http://141.218.60.56/~jnz1568/getInfo.php?workbook=06_02.xlsx&amp;sheet=U0&amp;row=1740&amp;col=7&amp;number=0.00111&amp;sourceID=14","0.00111")</f>
        <v>0.00111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HYPERLINK("http://141.218.60.56/~jnz1568/getInfo.php?workbook=06_02.xlsx&amp;sheet=U0&amp;row=1741&amp;col=6&amp;number=4.7&amp;sourceID=14","4.7")</f>
        <v>4.7</v>
      </c>
      <c r="G1741" s="4" t="str">
        <f>HYPERLINK("http://141.218.60.56/~jnz1568/getInfo.php?workbook=06_02.xlsx&amp;sheet=U0&amp;row=1741&amp;col=7&amp;number=0.0011&amp;sourceID=14","0.0011")</f>
        <v>0.0011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HYPERLINK("http://141.218.60.56/~jnz1568/getInfo.php?workbook=06_02.xlsx&amp;sheet=U0&amp;row=1742&amp;col=6&amp;number=4.8&amp;sourceID=14","4.8")</f>
        <v>4.8</v>
      </c>
      <c r="G1742" s="4" t="str">
        <f>HYPERLINK("http://141.218.60.56/~jnz1568/getInfo.php?workbook=06_02.xlsx&amp;sheet=U0&amp;row=1742&amp;col=7&amp;number=0.00109&amp;sourceID=14","0.00109")</f>
        <v>0.00109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HYPERLINK("http://141.218.60.56/~jnz1568/getInfo.php?workbook=06_02.xlsx&amp;sheet=U0&amp;row=1743&amp;col=6&amp;number=4.9&amp;sourceID=14","4.9")</f>
        <v>4.9</v>
      </c>
      <c r="G1743" s="4" t="str">
        <f>HYPERLINK("http://141.218.60.56/~jnz1568/getInfo.php?workbook=06_02.xlsx&amp;sheet=U0&amp;row=1743&amp;col=7&amp;number=0.00108&amp;sourceID=14","0.00108")</f>
        <v>0.00108</v>
      </c>
    </row>
    <row r="1744" spans="1:7">
      <c r="A1744" s="3">
        <v>6</v>
      </c>
      <c r="B1744" s="3">
        <v>2</v>
      </c>
      <c r="C1744" s="3">
        <v>2</v>
      </c>
      <c r="D1744" s="3">
        <v>47</v>
      </c>
      <c r="E1744" s="3">
        <v>1</v>
      </c>
      <c r="F1744" s="4" t="str">
        <f>HYPERLINK("http://141.218.60.56/~jnz1568/getInfo.php?workbook=06_02.xlsx&amp;sheet=U0&amp;row=1744&amp;col=6&amp;number=3&amp;sourceID=14","3")</f>
        <v>3</v>
      </c>
      <c r="G1744" s="4" t="str">
        <f>HYPERLINK("http://141.218.60.56/~jnz1568/getInfo.php?workbook=06_02.xlsx&amp;sheet=U0&amp;row=1744&amp;col=7&amp;number=0.00144&amp;sourceID=14","0.00144")</f>
        <v>0.00144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HYPERLINK("http://141.218.60.56/~jnz1568/getInfo.php?workbook=06_02.xlsx&amp;sheet=U0&amp;row=1745&amp;col=6&amp;number=3.1&amp;sourceID=14","3.1")</f>
        <v>3.1</v>
      </c>
      <c r="G1745" s="4" t="str">
        <f>HYPERLINK("http://141.218.60.56/~jnz1568/getInfo.php?workbook=06_02.xlsx&amp;sheet=U0&amp;row=1745&amp;col=7&amp;number=0.00144&amp;sourceID=14","0.00144")</f>
        <v>0.00144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HYPERLINK("http://141.218.60.56/~jnz1568/getInfo.php?workbook=06_02.xlsx&amp;sheet=U0&amp;row=1746&amp;col=6&amp;number=3.2&amp;sourceID=14","3.2")</f>
        <v>3.2</v>
      </c>
      <c r="G1746" s="4" t="str">
        <f>HYPERLINK("http://141.218.60.56/~jnz1568/getInfo.php?workbook=06_02.xlsx&amp;sheet=U0&amp;row=1746&amp;col=7&amp;number=0.00143&amp;sourceID=14","0.00143")</f>
        <v>0.00143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HYPERLINK("http://141.218.60.56/~jnz1568/getInfo.php?workbook=06_02.xlsx&amp;sheet=U0&amp;row=1747&amp;col=6&amp;number=3.3&amp;sourceID=14","3.3")</f>
        <v>3.3</v>
      </c>
      <c r="G1747" s="4" t="str">
        <f>HYPERLINK("http://141.218.60.56/~jnz1568/getInfo.php?workbook=06_02.xlsx&amp;sheet=U0&amp;row=1747&amp;col=7&amp;number=0.00143&amp;sourceID=14","0.00143")</f>
        <v>0.00143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HYPERLINK("http://141.218.60.56/~jnz1568/getInfo.php?workbook=06_02.xlsx&amp;sheet=U0&amp;row=1748&amp;col=6&amp;number=3.4&amp;sourceID=14","3.4")</f>
        <v>3.4</v>
      </c>
      <c r="G1748" s="4" t="str">
        <f>HYPERLINK("http://141.218.60.56/~jnz1568/getInfo.php?workbook=06_02.xlsx&amp;sheet=U0&amp;row=1748&amp;col=7&amp;number=0.00143&amp;sourceID=14","0.00143")</f>
        <v>0.00143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HYPERLINK("http://141.218.60.56/~jnz1568/getInfo.php?workbook=06_02.xlsx&amp;sheet=U0&amp;row=1749&amp;col=6&amp;number=3.5&amp;sourceID=14","3.5")</f>
        <v>3.5</v>
      </c>
      <c r="G1749" s="4" t="str">
        <f>HYPERLINK("http://141.218.60.56/~jnz1568/getInfo.php?workbook=06_02.xlsx&amp;sheet=U0&amp;row=1749&amp;col=7&amp;number=0.00143&amp;sourceID=14","0.00143")</f>
        <v>0.00143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HYPERLINK("http://141.218.60.56/~jnz1568/getInfo.php?workbook=06_02.xlsx&amp;sheet=U0&amp;row=1750&amp;col=6&amp;number=3.6&amp;sourceID=14","3.6")</f>
        <v>3.6</v>
      </c>
      <c r="G1750" s="4" t="str">
        <f>HYPERLINK("http://141.218.60.56/~jnz1568/getInfo.php?workbook=06_02.xlsx&amp;sheet=U0&amp;row=1750&amp;col=7&amp;number=0.00143&amp;sourceID=14","0.00143")</f>
        <v>0.00143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HYPERLINK("http://141.218.60.56/~jnz1568/getInfo.php?workbook=06_02.xlsx&amp;sheet=U0&amp;row=1751&amp;col=6&amp;number=3.7&amp;sourceID=14","3.7")</f>
        <v>3.7</v>
      </c>
      <c r="G1751" s="4" t="str">
        <f>HYPERLINK("http://141.218.60.56/~jnz1568/getInfo.php?workbook=06_02.xlsx&amp;sheet=U0&amp;row=1751&amp;col=7&amp;number=0.00143&amp;sourceID=14","0.00143")</f>
        <v>0.00143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HYPERLINK("http://141.218.60.56/~jnz1568/getInfo.php?workbook=06_02.xlsx&amp;sheet=U0&amp;row=1752&amp;col=6&amp;number=3.8&amp;sourceID=14","3.8")</f>
        <v>3.8</v>
      </c>
      <c r="G1752" s="4" t="str">
        <f>HYPERLINK("http://141.218.60.56/~jnz1568/getInfo.php?workbook=06_02.xlsx&amp;sheet=U0&amp;row=1752&amp;col=7&amp;number=0.00143&amp;sourceID=14","0.00143")</f>
        <v>0.00143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HYPERLINK("http://141.218.60.56/~jnz1568/getInfo.php?workbook=06_02.xlsx&amp;sheet=U0&amp;row=1753&amp;col=6&amp;number=3.9&amp;sourceID=14","3.9")</f>
        <v>3.9</v>
      </c>
      <c r="G1753" s="4" t="str">
        <f>HYPERLINK("http://141.218.60.56/~jnz1568/getInfo.php?workbook=06_02.xlsx&amp;sheet=U0&amp;row=1753&amp;col=7&amp;number=0.00143&amp;sourceID=14","0.00143")</f>
        <v>0.00143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HYPERLINK("http://141.218.60.56/~jnz1568/getInfo.php?workbook=06_02.xlsx&amp;sheet=U0&amp;row=1754&amp;col=6&amp;number=4&amp;sourceID=14","4")</f>
        <v>4</v>
      </c>
      <c r="G1754" s="4" t="str">
        <f>HYPERLINK("http://141.218.60.56/~jnz1568/getInfo.php?workbook=06_02.xlsx&amp;sheet=U0&amp;row=1754&amp;col=7&amp;number=0.00142&amp;sourceID=14","0.00142")</f>
        <v>0.00142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HYPERLINK("http://141.218.60.56/~jnz1568/getInfo.php?workbook=06_02.xlsx&amp;sheet=U0&amp;row=1755&amp;col=6&amp;number=4.1&amp;sourceID=14","4.1")</f>
        <v>4.1</v>
      </c>
      <c r="G1755" s="4" t="str">
        <f>HYPERLINK("http://141.218.60.56/~jnz1568/getInfo.php?workbook=06_02.xlsx&amp;sheet=U0&amp;row=1755&amp;col=7&amp;number=0.00142&amp;sourceID=14","0.00142")</f>
        <v>0.00142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HYPERLINK("http://141.218.60.56/~jnz1568/getInfo.php?workbook=06_02.xlsx&amp;sheet=U0&amp;row=1756&amp;col=6&amp;number=4.2&amp;sourceID=14","4.2")</f>
        <v>4.2</v>
      </c>
      <c r="G1756" s="4" t="str">
        <f>HYPERLINK("http://141.218.60.56/~jnz1568/getInfo.php?workbook=06_02.xlsx&amp;sheet=U0&amp;row=1756&amp;col=7&amp;number=0.00142&amp;sourceID=14","0.00142")</f>
        <v>0.00142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HYPERLINK("http://141.218.60.56/~jnz1568/getInfo.php?workbook=06_02.xlsx&amp;sheet=U0&amp;row=1757&amp;col=6&amp;number=4.3&amp;sourceID=14","4.3")</f>
        <v>4.3</v>
      </c>
      <c r="G1757" s="4" t="str">
        <f>HYPERLINK("http://141.218.60.56/~jnz1568/getInfo.php?workbook=06_02.xlsx&amp;sheet=U0&amp;row=1757&amp;col=7&amp;number=0.00141&amp;sourceID=14","0.00141")</f>
        <v>0.00141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HYPERLINK("http://141.218.60.56/~jnz1568/getInfo.php?workbook=06_02.xlsx&amp;sheet=U0&amp;row=1758&amp;col=6&amp;number=4.4&amp;sourceID=14","4.4")</f>
        <v>4.4</v>
      </c>
      <c r="G1758" s="4" t="str">
        <f>HYPERLINK("http://141.218.60.56/~jnz1568/getInfo.php?workbook=06_02.xlsx&amp;sheet=U0&amp;row=1758&amp;col=7&amp;number=0.00141&amp;sourceID=14","0.00141")</f>
        <v>0.00141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HYPERLINK("http://141.218.60.56/~jnz1568/getInfo.php?workbook=06_02.xlsx&amp;sheet=U0&amp;row=1759&amp;col=6&amp;number=4.5&amp;sourceID=14","4.5")</f>
        <v>4.5</v>
      </c>
      <c r="G1759" s="4" t="str">
        <f>HYPERLINK("http://141.218.60.56/~jnz1568/getInfo.php?workbook=06_02.xlsx&amp;sheet=U0&amp;row=1759&amp;col=7&amp;number=0.0014&amp;sourceID=14","0.0014")</f>
        <v>0.0014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HYPERLINK("http://141.218.60.56/~jnz1568/getInfo.php?workbook=06_02.xlsx&amp;sheet=U0&amp;row=1760&amp;col=6&amp;number=4.6&amp;sourceID=14","4.6")</f>
        <v>4.6</v>
      </c>
      <c r="G1760" s="4" t="str">
        <f>HYPERLINK("http://141.218.60.56/~jnz1568/getInfo.php?workbook=06_02.xlsx&amp;sheet=U0&amp;row=1760&amp;col=7&amp;number=0.00139&amp;sourceID=14","0.00139")</f>
        <v>0.00139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HYPERLINK("http://141.218.60.56/~jnz1568/getInfo.php?workbook=06_02.xlsx&amp;sheet=U0&amp;row=1761&amp;col=6&amp;number=4.7&amp;sourceID=14","4.7")</f>
        <v>4.7</v>
      </c>
      <c r="G1761" s="4" t="str">
        <f>HYPERLINK("http://141.218.60.56/~jnz1568/getInfo.php?workbook=06_02.xlsx&amp;sheet=U0&amp;row=1761&amp;col=7&amp;number=0.00138&amp;sourceID=14","0.00138")</f>
        <v>0.00138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HYPERLINK("http://141.218.60.56/~jnz1568/getInfo.php?workbook=06_02.xlsx&amp;sheet=U0&amp;row=1762&amp;col=6&amp;number=4.8&amp;sourceID=14","4.8")</f>
        <v>4.8</v>
      </c>
      <c r="G1762" s="4" t="str">
        <f>HYPERLINK("http://141.218.60.56/~jnz1568/getInfo.php?workbook=06_02.xlsx&amp;sheet=U0&amp;row=1762&amp;col=7&amp;number=0.00136&amp;sourceID=14","0.00136")</f>
        <v>0.00136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HYPERLINK("http://141.218.60.56/~jnz1568/getInfo.php?workbook=06_02.xlsx&amp;sheet=U0&amp;row=1763&amp;col=6&amp;number=4.9&amp;sourceID=14","4.9")</f>
        <v>4.9</v>
      </c>
      <c r="G1763" s="4" t="str">
        <f>HYPERLINK("http://141.218.60.56/~jnz1568/getInfo.php?workbook=06_02.xlsx&amp;sheet=U0&amp;row=1763&amp;col=7&amp;number=0.00134&amp;sourceID=14","0.00134")</f>
        <v>0.00134</v>
      </c>
    </row>
    <row r="1764" spans="1:7">
      <c r="A1764" s="3">
        <v>6</v>
      </c>
      <c r="B1764" s="3">
        <v>2</v>
      </c>
      <c r="C1764" s="3">
        <v>2</v>
      </c>
      <c r="D1764" s="3">
        <v>48</v>
      </c>
      <c r="E1764" s="3">
        <v>1</v>
      </c>
      <c r="F1764" s="4" t="str">
        <f>HYPERLINK("http://141.218.60.56/~jnz1568/getInfo.php?workbook=06_02.xlsx&amp;sheet=U0&amp;row=1764&amp;col=6&amp;number=3&amp;sourceID=14","3")</f>
        <v>3</v>
      </c>
      <c r="G1764" s="4" t="str">
        <f>HYPERLINK("http://141.218.60.56/~jnz1568/getInfo.php?workbook=06_02.xlsx&amp;sheet=U0&amp;row=1764&amp;col=7&amp;number=0.00178&amp;sourceID=14","0.00178")</f>
        <v>0.00178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HYPERLINK("http://141.218.60.56/~jnz1568/getInfo.php?workbook=06_02.xlsx&amp;sheet=U0&amp;row=1765&amp;col=6&amp;number=3.1&amp;sourceID=14","3.1")</f>
        <v>3.1</v>
      </c>
      <c r="G1765" s="4" t="str">
        <f>HYPERLINK("http://141.218.60.56/~jnz1568/getInfo.php?workbook=06_02.xlsx&amp;sheet=U0&amp;row=1765&amp;col=7&amp;number=0.00178&amp;sourceID=14","0.00178")</f>
        <v>0.00178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HYPERLINK("http://141.218.60.56/~jnz1568/getInfo.php?workbook=06_02.xlsx&amp;sheet=U0&amp;row=1766&amp;col=6&amp;number=3.2&amp;sourceID=14","3.2")</f>
        <v>3.2</v>
      </c>
      <c r="G1766" s="4" t="str">
        <f>HYPERLINK("http://141.218.60.56/~jnz1568/getInfo.php?workbook=06_02.xlsx&amp;sheet=U0&amp;row=1766&amp;col=7&amp;number=0.00178&amp;sourceID=14","0.00178")</f>
        <v>0.00178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HYPERLINK("http://141.218.60.56/~jnz1568/getInfo.php?workbook=06_02.xlsx&amp;sheet=U0&amp;row=1767&amp;col=6&amp;number=3.3&amp;sourceID=14","3.3")</f>
        <v>3.3</v>
      </c>
      <c r="G1767" s="4" t="str">
        <f>HYPERLINK("http://141.218.60.56/~jnz1568/getInfo.php?workbook=06_02.xlsx&amp;sheet=U0&amp;row=1767&amp;col=7&amp;number=0.00178&amp;sourceID=14","0.00178")</f>
        <v>0.00178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HYPERLINK("http://141.218.60.56/~jnz1568/getInfo.php?workbook=06_02.xlsx&amp;sheet=U0&amp;row=1768&amp;col=6&amp;number=3.4&amp;sourceID=14","3.4")</f>
        <v>3.4</v>
      </c>
      <c r="G1768" s="4" t="str">
        <f>HYPERLINK("http://141.218.60.56/~jnz1568/getInfo.php?workbook=06_02.xlsx&amp;sheet=U0&amp;row=1768&amp;col=7&amp;number=0.00178&amp;sourceID=14","0.00178")</f>
        <v>0.00178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HYPERLINK("http://141.218.60.56/~jnz1568/getInfo.php?workbook=06_02.xlsx&amp;sheet=U0&amp;row=1769&amp;col=6&amp;number=3.5&amp;sourceID=14","3.5")</f>
        <v>3.5</v>
      </c>
      <c r="G1769" s="4" t="str">
        <f>HYPERLINK("http://141.218.60.56/~jnz1568/getInfo.php?workbook=06_02.xlsx&amp;sheet=U0&amp;row=1769&amp;col=7&amp;number=0.00178&amp;sourceID=14","0.00178")</f>
        <v>0.00178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HYPERLINK("http://141.218.60.56/~jnz1568/getInfo.php?workbook=06_02.xlsx&amp;sheet=U0&amp;row=1770&amp;col=6&amp;number=3.6&amp;sourceID=14","3.6")</f>
        <v>3.6</v>
      </c>
      <c r="G1770" s="4" t="str">
        <f>HYPERLINK("http://141.218.60.56/~jnz1568/getInfo.php?workbook=06_02.xlsx&amp;sheet=U0&amp;row=1770&amp;col=7&amp;number=0.00178&amp;sourceID=14","0.00178")</f>
        <v>0.00178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HYPERLINK("http://141.218.60.56/~jnz1568/getInfo.php?workbook=06_02.xlsx&amp;sheet=U0&amp;row=1771&amp;col=6&amp;number=3.7&amp;sourceID=14","3.7")</f>
        <v>3.7</v>
      </c>
      <c r="G1771" s="4" t="str">
        <f>HYPERLINK("http://141.218.60.56/~jnz1568/getInfo.php?workbook=06_02.xlsx&amp;sheet=U0&amp;row=1771&amp;col=7&amp;number=0.00178&amp;sourceID=14","0.00178")</f>
        <v>0.00178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HYPERLINK("http://141.218.60.56/~jnz1568/getInfo.php?workbook=06_02.xlsx&amp;sheet=U0&amp;row=1772&amp;col=6&amp;number=3.8&amp;sourceID=14","3.8")</f>
        <v>3.8</v>
      </c>
      <c r="G1772" s="4" t="str">
        <f>HYPERLINK("http://141.218.60.56/~jnz1568/getInfo.php?workbook=06_02.xlsx&amp;sheet=U0&amp;row=1772&amp;col=7&amp;number=0.00178&amp;sourceID=14","0.00178")</f>
        <v>0.00178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HYPERLINK("http://141.218.60.56/~jnz1568/getInfo.php?workbook=06_02.xlsx&amp;sheet=U0&amp;row=1773&amp;col=6&amp;number=3.9&amp;sourceID=14","3.9")</f>
        <v>3.9</v>
      </c>
      <c r="G1773" s="4" t="str">
        <f>HYPERLINK("http://141.218.60.56/~jnz1568/getInfo.php?workbook=06_02.xlsx&amp;sheet=U0&amp;row=1773&amp;col=7&amp;number=0.00178&amp;sourceID=14","0.00178")</f>
        <v>0.00178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HYPERLINK("http://141.218.60.56/~jnz1568/getInfo.php?workbook=06_02.xlsx&amp;sheet=U0&amp;row=1774&amp;col=6&amp;number=4&amp;sourceID=14","4")</f>
        <v>4</v>
      </c>
      <c r="G1774" s="4" t="str">
        <f>HYPERLINK("http://141.218.60.56/~jnz1568/getInfo.php?workbook=06_02.xlsx&amp;sheet=U0&amp;row=1774&amp;col=7&amp;number=0.00178&amp;sourceID=14","0.00178")</f>
        <v>0.00178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HYPERLINK("http://141.218.60.56/~jnz1568/getInfo.php?workbook=06_02.xlsx&amp;sheet=U0&amp;row=1775&amp;col=6&amp;number=4.1&amp;sourceID=14","4.1")</f>
        <v>4.1</v>
      </c>
      <c r="G1775" s="4" t="str">
        <f>HYPERLINK("http://141.218.60.56/~jnz1568/getInfo.php?workbook=06_02.xlsx&amp;sheet=U0&amp;row=1775&amp;col=7&amp;number=0.00177&amp;sourceID=14","0.00177")</f>
        <v>0.00177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HYPERLINK("http://141.218.60.56/~jnz1568/getInfo.php?workbook=06_02.xlsx&amp;sheet=U0&amp;row=1776&amp;col=6&amp;number=4.2&amp;sourceID=14","4.2")</f>
        <v>4.2</v>
      </c>
      <c r="G1776" s="4" t="str">
        <f>HYPERLINK("http://141.218.60.56/~jnz1568/getInfo.php?workbook=06_02.xlsx&amp;sheet=U0&amp;row=1776&amp;col=7&amp;number=0.00177&amp;sourceID=14","0.00177")</f>
        <v>0.00177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HYPERLINK("http://141.218.60.56/~jnz1568/getInfo.php?workbook=06_02.xlsx&amp;sheet=U0&amp;row=1777&amp;col=6&amp;number=4.3&amp;sourceID=14","4.3")</f>
        <v>4.3</v>
      </c>
      <c r="G1777" s="4" t="str">
        <f>HYPERLINK("http://141.218.60.56/~jnz1568/getInfo.php?workbook=06_02.xlsx&amp;sheet=U0&amp;row=1777&amp;col=7&amp;number=0.00176&amp;sourceID=14","0.00176")</f>
        <v>0.00176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HYPERLINK("http://141.218.60.56/~jnz1568/getInfo.php?workbook=06_02.xlsx&amp;sheet=U0&amp;row=1778&amp;col=6&amp;number=4.4&amp;sourceID=14","4.4")</f>
        <v>4.4</v>
      </c>
      <c r="G1778" s="4" t="str">
        <f>HYPERLINK("http://141.218.60.56/~jnz1568/getInfo.php?workbook=06_02.xlsx&amp;sheet=U0&amp;row=1778&amp;col=7&amp;number=0.00176&amp;sourceID=14","0.00176")</f>
        <v>0.00176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HYPERLINK("http://141.218.60.56/~jnz1568/getInfo.php?workbook=06_02.xlsx&amp;sheet=U0&amp;row=1779&amp;col=6&amp;number=4.5&amp;sourceID=14","4.5")</f>
        <v>4.5</v>
      </c>
      <c r="G1779" s="4" t="str">
        <f>HYPERLINK("http://141.218.60.56/~jnz1568/getInfo.php?workbook=06_02.xlsx&amp;sheet=U0&amp;row=1779&amp;col=7&amp;number=0.00175&amp;sourceID=14","0.00175")</f>
        <v>0.00175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HYPERLINK("http://141.218.60.56/~jnz1568/getInfo.php?workbook=06_02.xlsx&amp;sheet=U0&amp;row=1780&amp;col=6&amp;number=4.6&amp;sourceID=14","4.6")</f>
        <v>4.6</v>
      </c>
      <c r="G1780" s="4" t="str">
        <f>HYPERLINK("http://141.218.60.56/~jnz1568/getInfo.php?workbook=06_02.xlsx&amp;sheet=U0&amp;row=1780&amp;col=7&amp;number=0.00174&amp;sourceID=14","0.00174")</f>
        <v>0.00174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HYPERLINK("http://141.218.60.56/~jnz1568/getInfo.php?workbook=06_02.xlsx&amp;sheet=U0&amp;row=1781&amp;col=6&amp;number=4.7&amp;sourceID=14","4.7")</f>
        <v>4.7</v>
      </c>
      <c r="G1781" s="4" t="str">
        <f>HYPERLINK("http://141.218.60.56/~jnz1568/getInfo.php?workbook=06_02.xlsx&amp;sheet=U0&amp;row=1781&amp;col=7&amp;number=0.00173&amp;sourceID=14","0.00173")</f>
        <v>0.00173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HYPERLINK("http://141.218.60.56/~jnz1568/getInfo.php?workbook=06_02.xlsx&amp;sheet=U0&amp;row=1782&amp;col=6&amp;number=4.8&amp;sourceID=14","4.8")</f>
        <v>4.8</v>
      </c>
      <c r="G1782" s="4" t="str">
        <f>HYPERLINK("http://141.218.60.56/~jnz1568/getInfo.php?workbook=06_02.xlsx&amp;sheet=U0&amp;row=1782&amp;col=7&amp;number=0.00172&amp;sourceID=14","0.00172")</f>
        <v>0.00172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HYPERLINK("http://141.218.60.56/~jnz1568/getInfo.php?workbook=06_02.xlsx&amp;sheet=U0&amp;row=1783&amp;col=6&amp;number=4.9&amp;sourceID=14","4.9")</f>
        <v>4.9</v>
      </c>
      <c r="G1783" s="4" t="str">
        <f>HYPERLINK("http://141.218.60.56/~jnz1568/getInfo.php?workbook=06_02.xlsx&amp;sheet=U0&amp;row=1783&amp;col=7&amp;number=0.0017&amp;sourceID=14","0.0017")</f>
        <v>0.0017</v>
      </c>
    </row>
    <row r="1784" spans="1:7">
      <c r="A1784" s="3">
        <v>6</v>
      </c>
      <c r="B1784" s="3">
        <v>2</v>
      </c>
      <c r="C1784" s="3">
        <v>2</v>
      </c>
      <c r="D1784" s="3">
        <v>49</v>
      </c>
      <c r="E1784" s="3">
        <v>1</v>
      </c>
      <c r="F1784" s="4" t="str">
        <f>HYPERLINK("http://141.218.60.56/~jnz1568/getInfo.php?workbook=06_02.xlsx&amp;sheet=U0&amp;row=1784&amp;col=6&amp;number=3&amp;sourceID=14","3")</f>
        <v>3</v>
      </c>
      <c r="G1784" s="4" t="str">
        <f>HYPERLINK("http://141.218.60.56/~jnz1568/getInfo.php?workbook=06_02.xlsx&amp;sheet=U0&amp;row=1784&amp;col=7&amp;number=0.00147&amp;sourceID=14","0.00147")</f>
        <v>0.00147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HYPERLINK("http://141.218.60.56/~jnz1568/getInfo.php?workbook=06_02.xlsx&amp;sheet=U0&amp;row=1785&amp;col=6&amp;number=3.1&amp;sourceID=14","3.1")</f>
        <v>3.1</v>
      </c>
      <c r="G1785" s="4" t="str">
        <f>HYPERLINK("http://141.218.60.56/~jnz1568/getInfo.php?workbook=06_02.xlsx&amp;sheet=U0&amp;row=1785&amp;col=7&amp;number=0.00147&amp;sourceID=14","0.00147")</f>
        <v>0.00147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HYPERLINK("http://141.218.60.56/~jnz1568/getInfo.php?workbook=06_02.xlsx&amp;sheet=U0&amp;row=1786&amp;col=6&amp;number=3.2&amp;sourceID=14","3.2")</f>
        <v>3.2</v>
      </c>
      <c r="G1786" s="4" t="str">
        <f>HYPERLINK("http://141.218.60.56/~jnz1568/getInfo.php?workbook=06_02.xlsx&amp;sheet=U0&amp;row=1786&amp;col=7&amp;number=0.00147&amp;sourceID=14","0.00147")</f>
        <v>0.00147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HYPERLINK("http://141.218.60.56/~jnz1568/getInfo.php?workbook=06_02.xlsx&amp;sheet=U0&amp;row=1787&amp;col=6&amp;number=3.3&amp;sourceID=14","3.3")</f>
        <v>3.3</v>
      </c>
      <c r="G1787" s="4" t="str">
        <f>HYPERLINK("http://141.218.60.56/~jnz1568/getInfo.php?workbook=06_02.xlsx&amp;sheet=U0&amp;row=1787&amp;col=7&amp;number=0.00147&amp;sourceID=14","0.00147")</f>
        <v>0.00147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HYPERLINK("http://141.218.60.56/~jnz1568/getInfo.php?workbook=06_02.xlsx&amp;sheet=U0&amp;row=1788&amp;col=6&amp;number=3.4&amp;sourceID=14","3.4")</f>
        <v>3.4</v>
      </c>
      <c r="G1788" s="4" t="str">
        <f>HYPERLINK("http://141.218.60.56/~jnz1568/getInfo.php?workbook=06_02.xlsx&amp;sheet=U0&amp;row=1788&amp;col=7&amp;number=0.00147&amp;sourceID=14","0.00147")</f>
        <v>0.00147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HYPERLINK("http://141.218.60.56/~jnz1568/getInfo.php?workbook=06_02.xlsx&amp;sheet=U0&amp;row=1789&amp;col=6&amp;number=3.5&amp;sourceID=14","3.5")</f>
        <v>3.5</v>
      </c>
      <c r="G1789" s="4" t="str">
        <f>HYPERLINK("http://141.218.60.56/~jnz1568/getInfo.php?workbook=06_02.xlsx&amp;sheet=U0&amp;row=1789&amp;col=7&amp;number=0.00147&amp;sourceID=14","0.00147")</f>
        <v>0.00147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HYPERLINK("http://141.218.60.56/~jnz1568/getInfo.php?workbook=06_02.xlsx&amp;sheet=U0&amp;row=1790&amp;col=6&amp;number=3.6&amp;sourceID=14","3.6")</f>
        <v>3.6</v>
      </c>
      <c r="G1790" s="4" t="str">
        <f>HYPERLINK("http://141.218.60.56/~jnz1568/getInfo.php?workbook=06_02.xlsx&amp;sheet=U0&amp;row=1790&amp;col=7&amp;number=0.00147&amp;sourceID=14","0.00147")</f>
        <v>0.00147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HYPERLINK("http://141.218.60.56/~jnz1568/getInfo.php?workbook=06_02.xlsx&amp;sheet=U0&amp;row=1791&amp;col=6&amp;number=3.7&amp;sourceID=14","3.7")</f>
        <v>3.7</v>
      </c>
      <c r="G1791" s="4" t="str">
        <f>HYPERLINK("http://141.218.60.56/~jnz1568/getInfo.php?workbook=06_02.xlsx&amp;sheet=U0&amp;row=1791&amp;col=7&amp;number=0.00147&amp;sourceID=14","0.00147")</f>
        <v>0.00147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HYPERLINK("http://141.218.60.56/~jnz1568/getInfo.php?workbook=06_02.xlsx&amp;sheet=U0&amp;row=1792&amp;col=6&amp;number=3.8&amp;sourceID=14","3.8")</f>
        <v>3.8</v>
      </c>
      <c r="G1792" s="4" t="str">
        <f>HYPERLINK("http://141.218.60.56/~jnz1568/getInfo.php?workbook=06_02.xlsx&amp;sheet=U0&amp;row=1792&amp;col=7&amp;number=0.00146&amp;sourceID=14","0.00146")</f>
        <v>0.00146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HYPERLINK("http://141.218.60.56/~jnz1568/getInfo.php?workbook=06_02.xlsx&amp;sheet=U0&amp;row=1793&amp;col=6&amp;number=3.9&amp;sourceID=14","3.9")</f>
        <v>3.9</v>
      </c>
      <c r="G1793" s="4" t="str">
        <f>HYPERLINK("http://141.218.60.56/~jnz1568/getInfo.php?workbook=06_02.xlsx&amp;sheet=U0&amp;row=1793&amp;col=7&amp;number=0.00146&amp;sourceID=14","0.00146")</f>
        <v>0.00146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HYPERLINK("http://141.218.60.56/~jnz1568/getInfo.php?workbook=06_02.xlsx&amp;sheet=U0&amp;row=1794&amp;col=6&amp;number=4&amp;sourceID=14","4")</f>
        <v>4</v>
      </c>
      <c r="G1794" s="4" t="str">
        <f>HYPERLINK("http://141.218.60.56/~jnz1568/getInfo.php?workbook=06_02.xlsx&amp;sheet=U0&amp;row=1794&amp;col=7&amp;number=0.00146&amp;sourceID=14","0.00146")</f>
        <v>0.00146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HYPERLINK("http://141.218.60.56/~jnz1568/getInfo.php?workbook=06_02.xlsx&amp;sheet=U0&amp;row=1795&amp;col=6&amp;number=4.1&amp;sourceID=14","4.1")</f>
        <v>4.1</v>
      </c>
      <c r="G1795" s="4" t="str">
        <f>HYPERLINK("http://141.218.60.56/~jnz1568/getInfo.php?workbook=06_02.xlsx&amp;sheet=U0&amp;row=1795&amp;col=7&amp;number=0.00145&amp;sourceID=14","0.00145")</f>
        <v>0.00145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HYPERLINK("http://141.218.60.56/~jnz1568/getInfo.php?workbook=06_02.xlsx&amp;sheet=U0&amp;row=1796&amp;col=6&amp;number=4.2&amp;sourceID=14","4.2")</f>
        <v>4.2</v>
      </c>
      <c r="G1796" s="4" t="str">
        <f>HYPERLINK("http://141.218.60.56/~jnz1568/getInfo.php?workbook=06_02.xlsx&amp;sheet=U0&amp;row=1796&amp;col=7&amp;number=0.00145&amp;sourceID=14","0.00145")</f>
        <v>0.00145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HYPERLINK("http://141.218.60.56/~jnz1568/getInfo.php?workbook=06_02.xlsx&amp;sheet=U0&amp;row=1797&amp;col=6&amp;number=4.3&amp;sourceID=14","4.3")</f>
        <v>4.3</v>
      </c>
      <c r="G1797" s="4" t="str">
        <f>HYPERLINK("http://141.218.60.56/~jnz1568/getInfo.php?workbook=06_02.xlsx&amp;sheet=U0&amp;row=1797&amp;col=7&amp;number=0.00144&amp;sourceID=14","0.00144")</f>
        <v>0.00144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HYPERLINK("http://141.218.60.56/~jnz1568/getInfo.php?workbook=06_02.xlsx&amp;sheet=U0&amp;row=1798&amp;col=6&amp;number=4.4&amp;sourceID=14","4.4")</f>
        <v>4.4</v>
      </c>
      <c r="G1798" s="4" t="str">
        <f>HYPERLINK("http://141.218.60.56/~jnz1568/getInfo.php?workbook=06_02.xlsx&amp;sheet=U0&amp;row=1798&amp;col=7&amp;number=0.00143&amp;sourceID=14","0.00143")</f>
        <v>0.00143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HYPERLINK("http://141.218.60.56/~jnz1568/getInfo.php?workbook=06_02.xlsx&amp;sheet=U0&amp;row=1799&amp;col=6&amp;number=4.5&amp;sourceID=14","4.5")</f>
        <v>4.5</v>
      </c>
      <c r="G1799" s="4" t="str">
        <f>HYPERLINK("http://141.218.60.56/~jnz1568/getInfo.php?workbook=06_02.xlsx&amp;sheet=U0&amp;row=1799&amp;col=7&amp;number=0.00142&amp;sourceID=14","0.00142")</f>
        <v>0.00142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HYPERLINK("http://141.218.60.56/~jnz1568/getInfo.php?workbook=06_02.xlsx&amp;sheet=U0&amp;row=1800&amp;col=6&amp;number=4.6&amp;sourceID=14","4.6")</f>
        <v>4.6</v>
      </c>
      <c r="G1800" s="4" t="str">
        <f>HYPERLINK("http://141.218.60.56/~jnz1568/getInfo.php?workbook=06_02.xlsx&amp;sheet=U0&amp;row=1800&amp;col=7&amp;number=0.00141&amp;sourceID=14","0.00141")</f>
        <v>0.00141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HYPERLINK("http://141.218.60.56/~jnz1568/getInfo.php?workbook=06_02.xlsx&amp;sheet=U0&amp;row=1801&amp;col=6&amp;number=4.7&amp;sourceID=14","4.7")</f>
        <v>4.7</v>
      </c>
      <c r="G1801" s="4" t="str">
        <f>HYPERLINK("http://141.218.60.56/~jnz1568/getInfo.php?workbook=06_02.xlsx&amp;sheet=U0&amp;row=1801&amp;col=7&amp;number=0.00139&amp;sourceID=14","0.00139")</f>
        <v>0.00139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HYPERLINK("http://141.218.60.56/~jnz1568/getInfo.php?workbook=06_02.xlsx&amp;sheet=U0&amp;row=1802&amp;col=6&amp;number=4.8&amp;sourceID=14","4.8")</f>
        <v>4.8</v>
      </c>
      <c r="G1802" s="4" t="str">
        <f>HYPERLINK("http://141.218.60.56/~jnz1568/getInfo.php?workbook=06_02.xlsx&amp;sheet=U0&amp;row=1802&amp;col=7&amp;number=0.00137&amp;sourceID=14","0.00137")</f>
        <v>0.00137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HYPERLINK("http://141.218.60.56/~jnz1568/getInfo.php?workbook=06_02.xlsx&amp;sheet=U0&amp;row=1803&amp;col=6&amp;number=4.9&amp;sourceID=14","4.9")</f>
        <v>4.9</v>
      </c>
      <c r="G1803" s="4" t="str">
        <f>HYPERLINK("http://141.218.60.56/~jnz1568/getInfo.php?workbook=06_02.xlsx&amp;sheet=U0&amp;row=1803&amp;col=7&amp;number=0.00135&amp;sourceID=14","0.00135")</f>
        <v>0.00135</v>
      </c>
    </row>
    <row r="1804" spans="1:7">
      <c r="A1804" s="3">
        <v>6</v>
      </c>
      <c r="B1804" s="3">
        <v>2</v>
      </c>
      <c r="C1804" s="3">
        <v>3</v>
      </c>
      <c r="D1804" s="3">
        <v>8</v>
      </c>
      <c r="E1804" s="3">
        <v>1</v>
      </c>
      <c r="F1804" s="4" t="str">
        <f>HYPERLINK("http://141.218.60.56/~jnz1568/getInfo.php?workbook=06_02.xlsx&amp;sheet=U0&amp;row=1804&amp;col=6&amp;number=3&amp;sourceID=14","3")</f>
        <v>3</v>
      </c>
      <c r="G1804" s="4" t="str">
        <f>HYPERLINK("http://141.218.60.56/~jnz1568/getInfo.php?workbook=06_02.xlsx&amp;sheet=U0&amp;row=1804&amp;col=7&amp;number=0.0119&amp;sourceID=14","0.0119")</f>
        <v>0.0119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HYPERLINK("http://141.218.60.56/~jnz1568/getInfo.php?workbook=06_02.xlsx&amp;sheet=U0&amp;row=1805&amp;col=6&amp;number=3.1&amp;sourceID=14","3.1")</f>
        <v>3.1</v>
      </c>
      <c r="G1805" s="4" t="str">
        <f>HYPERLINK("http://141.218.60.56/~jnz1568/getInfo.php?workbook=06_02.xlsx&amp;sheet=U0&amp;row=1805&amp;col=7&amp;number=0.0119&amp;sourceID=14","0.0119")</f>
        <v>0.0119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HYPERLINK("http://141.218.60.56/~jnz1568/getInfo.php?workbook=06_02.xlsx&amp;sheet=U0&amp;row=1806&amp;col=6&amp;number=3.2&amp;sourceID=14","3.2")</f>
        <v>3.2</v>
      </c>
      <c r="G1806" s="4" t="str">
        <f>HYPERLINK("http://141.218.60.56/~jnz1568/getInfo.php?workbook=06_02.xlsx&amp;sheet=U0&amp;row=1806&amp;col=7&amp;number=0.0118&amp;sourceID=14","0.0118")</f>
        <v>0.0118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HYPERLINK("http://141.218.60.56/~jnz1568/getInfo.php?workbook=06_02.xlsx&amp;sheet=U0&amp;row=1807&amp;col=6&amp;number=3.3&amp;sourceID=14","3.3")</f>
        <v>3.3</v>
      </c>
      <c r="G1807" s="4" t="str">
        <f>HYPERLINK("http://141.218.60.56/~jnz1568/getInfo.php?workbook=06_02.xlsx&amp;sheet=U0&amp;row=1807&amp;col=7&amp;number=0.0118&amp;sourceID=14","0.0118")</f>
        <v>0.0118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HYPERLINK("http://141.218.60.56/~jnz1568/getInfo.php?workbook=06_02.xlsx&amp;sheet=U0&amp;row=1808&amp;col=6&amp;number=3.4&amp;sourceID=14","3.4")</f>
        <v>3.4</v>
      </c>
      <c r="G1808" s="4" t="str">
        <f>HYPERLINK("http://141.218.60.56/~jnz1568/getInfo.php?workbook=06_02.xlsx&amp;sheet=U0&amp;row=1808&amp;col=7&amp;number=0.0118&amp;sourceID=14","0.0118")</f>
        <v>0.0118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HYPERLINK("http://141.218.60.56/~jnz1568/getInfo.php?workbook=06_02.xlsx&amp;sheet=U0&amp;row=1809&amp;col=6&amp;number=3.5&amp;sourceID=14","3.5")</f>
        <v>3.5</v>
      </c>
      <c r="G1809" s="4" t="str">
        <f>HYPERLINK("http://141.218.60.56/~jnz1568/getInfo.php?workbook=06_02.xlsx&amp;sheet=U0&amp;row=1809&amp;col=7&amp;number=0.0118&amp;sourceID=14","0.0118")</f>
        <v>0.0118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HYPERLINK("http://141.218.60.56/~jnz1568/getInfo.php?workbook=06_02.xlsx&amp;sheet=U0&amp;row=1810&amp;col=6&amp;number=3.6&amp;sourceID=14","3.6")</f>
        <v>3.6</v>
      </c>
      <c r="G1810" s="4" t="str">
        <f>HYPERLINK("http://141.218.60.56/~jnz1568/getInfo.php?workbook=06_02.xlsx&amp;sheet=U0&amp;row=1810&amp;col=7&amp;number=0.0118&amp;sourceID=14","0.0118")</f>
        <v>0.0118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HYPERLINK("http://141.218.60.56/~jnz1568/getInfo.php?workbook=06_02.xlsx&amp;sheet=U0&amp;row=1811&amp;col=6&amp;number=3.7&amp;sourceID=14","3.7")</f>
        <v>3.7</v>
      </c>
      <c r="G1811" s="4" t="str">
        <f>HYPERLINK("http://141.218.60.56/~jnz1568/getInfo.php?workbook=06_02.xlsx&amp;sheet=U0&amp;row=1811&amp;col=7&amp;number=0.0118&amp;sourceID=14","0.0118")</f>
        <v>0.0118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HYPERLINK("http://141.218.60.56/~jnz1568/getInfo.php?workbook=06_02.xlsx&amp;sheet=U0&amp;row=1812&amp;col=6&amp;number=3.8&amp;sourceID=14","3.8")</f>
        <v>3.8</v>
      </c>
      <c r="G1812" s="4" t="str">
        <f>HYPERLINK("http://141.218.60.56/~jnz1568/getInfo.php?workbook=06_02.xlsx&amp;sheet=U0&amp;row=1812&amp;col=7&amp;number=0.0118&amp;sourceID=14","0.0118")</f>
        <v>0.0118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HYPERLINK("http://141.218.60.56/~jnz1568/getInfo.php?workbook=06_02.xlsx&amp;sheet=U0&amp;row=1813&amp;col=6&amp;number=3.9&amp;sourceID=14","3.9")</f>
        <v>3.9</v>
      </c>
      <c r="G1813" s="4" t="str">
        <f>HYPERLINK("http://141.218.60.56/~jnz1568/getInfo.php?workbook=06_02.xlsx&amp;sheet=U0&amp;row=1813&amp;col=7&amp;number=0.0117&amp;sourceID=14","0.0117")</f>
        <v>0.0117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HYPERLINK("http://141.218.60.56/~jnz1568/getInfo.php?workbook=06_02.xlsx&amp;sheet=U0&amp;row=1814&amp;col=6&amp;number=4&amp;sourceID=14","4")</f>
        <v>4</v>
      </c>
      <c r="G1814" s="4" t="str">
        <f>HYPERLINK("http://141.218.60.56/~jnz1568/getInfo.php?workbook=06_02.xlsx&amp;sheet=U0&amp;row=1814&amp;col=7&amp;number=0.0117&amp;sourceID=14","0.0117")</f>
        <v>0.0117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HYPERLINK("http://141.218.60.56/~jnz1568/getInfo.php?workbook=06_02.xlsx&amp;sheet=U0&amp;row=1815&amp;col=6&amp;number=4.1&amp;sourceID=14","4.1")</f>
        <v>4.1</v>
      </c>
      <c r="G1815" s="4" t="str">
        <f>HYPERLINK("http://141.218.60.56/~jnz1568/getInfo.php?workbook=06_02.xlsx&amp;sheet=U0&amp;row=1815&amp;col=7&amp;number=0.0116&amp;sourceID=14","0.0116")</f>
        <v>0.0116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HYPERLINK("http://141.218.60.56/~jnz1568/getInfo.php?workbook=06_02.xlsx&amp;sheet=U0&amp;row=1816&amp;col=6&amp;number=4.2&amp;sourceID=14","4.2")</f>
        <v>4.2</v>
      </c>
      <c r="G1816" s="4" t="str">
        <f>HYPERLINK("http://141.218.60.56/~jnz1568/getInfo.php?workbook=06_02.xlsx&amp;sheet=U0&amp;row=1816&amp;col=7&amp;number=0.0116&amp;sourceID=14","0.0116")</f>
        <v>0.0116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HYPERLINK("http://141.218.60.56/~jnz1568/getInfo.php?workbook=06_02.xlsx&amp;sheet=U0&amp;row=1817&amp;col=6&amp;number=4.3&amp;sourceID=14","4.3")</f>
        <v>4.3</v>
      </c>
      <c r="G1817" s="4" t="str">
        <f>HYPERLINK("http://141.218.60.56/~jnz1568/getInfo.php?workbook=06_02.xlsx&amp;sheet=U0&amp;row=1817&amp;col=7&amp;number=0.0115&amp;sourceID=14","0.0115")</f>
        <v>0.0115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HYPERLINK("http://141.218.60.56/~jnz1568/getInfo.php?workbook=06_02.xlsx&amp;sheet=U0&amp;row=1818&amp;col=6&amp;number=4.4&amp;sourceID=14","4.4")</f>
        <v>4.4</v>
      </c>
      <c r="G1818" s="4" t="str">
        <f>HYPERLINK("http://141.218.60.56/~jnz1568/getInfo.php?workbook=06_02.xlsx&amp;sheet=U0&amp;row=1818&amp;col=7&amp;number=0.0114&amp;sourceID=14","0.0114")</f>
        <v>0.0114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HYPERLINK("http://141.218.60.56/~jnz1568/getInfo.php?workbook=06_02.xlsx&amp;sheet=U0&amp;row=1819&amp;col=6&amp;number=4.5&amp;sourceID=14","4.5")</f>
        <v>4.5</v>
      </c>
      <c r="G1819" s="4" t="str">
        <f>HYPERLINK("http://141.218.60.56/~jnz1568/getInfo.php?workbook=06_02.xlsx&amp;sheet=U0&amp;row=1819&amp;col=7&amp;number=0.0113&amp;sourceID=14","0.0113")</f>
        <v>0.0113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HYPERLINK("http://141.218.60.56/~jnz1568/getInfo.php?workbook=06_02.xlsx&amp;sheet=U0&amp;row=1820&amp;col=6&amp;number=4.6&amp;sourceID=14","4.6")</f>
        <v>4.6</v>
      </c>
      <c r="G1820" s="4" t="str">
        <f>HYPERLINK("http://141.218.60.56/~jnz1568/getInfo.php?workbook=06_02.xlsx&amp;sheet=U0&amp;row=1820&amp;col=7&amp;number=0.0111&amp;sourceID=14","0.0111")</f>
        <v>0.0111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HYPERLINK("http://141.218.60.56/~jnz1568/getInfo.php?workbook=06_02.xlsx&amp;sheet=U0&amp;row=1821&amp;col=6&amp;number=4.7&amp;sourceID=14","4.7")</f>
        <v>4.7</v>
      </c>
      <c r="G1821" s="4" t="str">
        <f>HYPERLINK("http://141.218.60.56/~jnz1568/getInfo.php?workbook=06_02.xlsx&amp;sheet=U0&amp;row=1821&amp;col=7&amp;number=0.011&amp;sourceID=14","0.011")</f>
        <v>0.011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HYPERLINK("http://141.218.60.56/~jnz1568/getInfo.php?workbook=06_02.xlsx&amp;sheet=U0&amp;row=1822&amp;col=6&amp;number=4.8&amp;sourceID=14","4.8")</f>
        <v>4.8</v>
      </c>
      <c r="G1822" s="4" t="str">
        <f>HYPERLINK("http://141.218.60.56/~jnz1568/getInfo.php?workbook=06_02.xlsx&amp;sheet=U0&amp;row=1822&amp;col=7&amp;number=0.0108&amp;sourceID=14","0.0108")</f>
        <v>0.0108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HYPERLINK("http://141.218.60.56/~jnz1568/getInfo.php?workbook=06_02.xlsx&amp;sheet=U0&amp;row=1823&amp;col=6&amp;number=4.9&amp;sourceID=14","4.9")</f>
        <v>4.9</v>
      </c>
      <c r="G1823" s="4" t="str">
        <f>HYPERLINK("http://141.218.60.56/~jnz1568/getInfo.php?workbook=06_02.xlsx&amp;sheet=U0&amp;row=1823&amp;col=7&amp;number=0.0105&amp;sourceID=14","0.0105")</f>
        <v>0.0105</v>
      </c>
    </row>
    <row r="1824" spans="1:7">
      <c r="A1824" s="3">
        <v>6</v>
      </c>
      <c r="B1824" s="3">
        <v>2</v>
      </c>
      <c r="C1824" s="3">
        <v>3</v>
      </c>
      <c r="D1824" s="3">
        <v>9</v>
      </c>
      <c r="E1824" s="3">
        <v>1</v>
      </c>
      <c r="F1824" s="4" t="str">
        <f>HYPERLINK("http://141.218.60.56/~jnz1568/getInfo.php?workbook=06_02.xlsx&amp;sheet=U0&amp;row=1824&amp;col=6&amp;number=3&amp;sourceID=14","3")</f>
        <v>3</v>
      </c>
      <c r="G1824" s="4" t="str">
        <f>HYPERLINK("http://141.218.60.56/~jnz1568/getInfo.php?workbook=06_02.xlsx&amp;sheet=U0&amp;row=1824&amp;col=7&amp;number=0.146&amp;sourceID=14","0.146")</f>
        <v>0.146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HYPERLINK("http://141.218.60.56/~jnz1568/getInfo.php?workbook=06_02.xlsx&amp;sheet=U0&amp;row=1825&amp;col=6&amp;number=3.1&amp;sourceID=14","3.1")</f>
        <v>3.1</v>
      </c>
      <c r="G1825" s="4" t="str">
        <f>HYPERLINK("http://141.218.60.56/~jnz1568/getInfo.php?workbook=06_02.xlsx&amp;sheet=U0&amp;row=1825&amp;col=7&amp;number=0.146&amp;sourceID=14","0.146")</f>
        <v>0.146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HYPERLINK("http://141.218.60.56/~jnz1568/getInfo.php?workbook=06_02.xlsx&amp;sheet=U0&amp;row=1826&amp;col=6&amp;number=3.2&amp;sourceID=14","3.2")</f>
        <v>3.2</v>
      </c>
      <c r="G1826" s="4" t="str">
        <f>HYPERLINK("http://141.218.60.56/~jnz1568/getInfo.php?workbook=06_02.xlsx&amp;sheet=U0&amp;row=1826&amp;col=7&amp;number=0.146&amp;sourceID=14","0.146")</f>
        <v>0.146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HYPERLINK("http://141.218.60.56/~jnz1568/getInfo.php?workbook=06_02.xlsx&amp;sheet=U0&amp;row=1827&amp;col=6&amp;number=3.3&amp;sourceID=14","3.3")</f>
        <v>3.3</v>
      </c>
      <c r="G1827" s="4" t="str">
        <f>HYPERLINK("http://141.218.60.56/~jnz1568/getInfo.php?workbook=06_02.xlsx&amp;sheet=U0&amp;row=1827&amp;col=7&amp;number=0.146&amp;sourceID=14","0.146")</f>
        <v>0.146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HYPERLINK("http://141.218.60.56/~jnz1568/getInfo.php?workbook=06_02.xlsx&amp;sheet=U0&amp;row=1828&amp;col=6&amp;number=3.4&amp;sourceID=14","3.4")</f>
        <v>3.4</v>
      </c>
      <c r="G1828" s="4" t="str">
        <f>HYPERLINK("http://141.218.60.56/~jnz1568/getInfo.php?workbook=06_02.xlsx&amp;sheet=U0&amp;row=1828&amp;col=7&amp;number=0.146&amp;sourceID=14","0.146")</f>
        <v>0.146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HYPERLINK("http://141.218.60.56/~jnz1568/getInfo.php?workbook=06_02.xlsx&amp;sheet=U0&amp;row=1829&amp;col=6&amp;number=3.5&amp;sourceID=14","3.5")</f>
        <v>3.5</v>
      </c>
      <c r="G1829" s="4" t="str">
        <f>HYPERLINK("http://141.218.60.56/~jnz1568/getInfo.php?workbook=06_02.xlsx&amp;sheet=U0&amp;row=1829&amp;col=7&amp;number=0.146&amp;sourceID=14","0.146")</f>
        <v>0.146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HYPERLINK("http://141.218.60.56/~jnz1568/getInfo.php?workbook=06_02.xlsx&amp;sheet=U0&amp;row=1830&amp;col=6&amp;number=3.6&amp;sourceID=14","3.6")</f>
        <v>3.6</v>
      </c>
      <c r="G1830" s="4" t="str">
        <f>HYPERLINK("http://141.218.60.56/~jnz1568/getInfo.php?workbook=06_02.xlsx&amp;sheet=U0&amp;row=1830&amp;col=7&amp;number=0.146&amp;sourceID=14","0.146")</f>
        <v>0.146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HYPERLINK("http://141.218.60.56/~jnz1568/getInfo.php?workbook=06_02.xlsx&amp;sheet=U0&amp;row=1831&amp;col=6&amp;number=3.7&amp;sourceID=14","3.7")</f>
        <v>3.7</v>
      </c>
      <c r="G1831" s="4" t="str">
        <f>HYPERLINK("http://141.218.60.56/~jnz1568/getInfo.php?workbook=06_02.xlsx&amp;sheet=U0&amp;row=1831&amp;col=7&amp;number=0.146&amp;sourceID=14","0.146")</f>
        <v>0.146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HYPERLINK("http://141.218.60.56/~jnz1568/getInfo.php?workbook=06_02.xlsx&amp;sheet=U0&amp;row=1832&amp;col=6&amp;number=3.8&amp;sourceID=14","3.8")</f>
        <v>3.8</v>
      </c>
      <c r="G1832" s="4" t="str">
        <f>HYPERLINK("http://141.218.60.56/~jnz1568/getInfo.php?workbook=06_02.xlsx&amp;sheet=U0&amp;row=1832&amp;col=7&amp;number=0.146&amp;sourceID=14","0.146")</f>
        <v>0.146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HYPERLINK("http://141.218.60.56/~jnz1568/getInfo.php?workbook=06_02.xlsx&amp;sheet=U0&amp;row=1833&amp;col=6&amp;number=3.9&amp;sourceID=14","3.9")</f>
        <v>3.9</v>
      </c>
      <c r="G1833" s="4" t="str">
        <f>HYPERLINK("http://141.218.60.56/~jnz1568/getInfo.php?workbook=06_02.xlsx&amp;sheet=U0&amp;row=1833&amp;col=7&amp;number=0.146&amp;sourceID=14","0.146")</f>
        <v>0.146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HYPERLINK("http://141.218.60.56/~jnz1568/getInfo.php?workbook=06_02.xlsx&amp;sheet=U0&amp;row=1834&amp;col=6&amp;number=4&amp;sourceID=14","4")</f>
        <v>4</v>
      </c>
      <c r="G1834" s="4" t="str">
        <f>HYPERLINK("http://141.218.60.56/~jnz1568/getInfo.php?workbook=06_02.xlsx&amp;sheet=U0&amp;row=1834&amp;col=7&amp;number=0.146&amp;sourceID=14","0.146")</f>
        <v>0.146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HYPERLINK("http://141.218.60.56/~jnz1568/getInfo.php?workbook=06_02.xlsx&amp;sheet=U0&amp;row=1835&amp;col=6&amp;number=4.1&amp;sourceID=14","4.1")</f>
        <v>4.1</v>
      </c>
      <c r="G1835" s="4" t="str">
        <f>HYPERLINK("http://141.218.60.56/~jnz1568/getInfo.php?workbook=06_02.xlsx&amp;sheet=U0&amp;row=1835&amp;col=7&amp;number=0.146&amp;sourceID=14","0.146")</f>
        <v>0.146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HYPERLINK("http://141.218.60.56/~jnz1568/getInfo.php?workbook=06_02.xlsx&amp;sheet=U0&amp;row=1836&amp;col=6&amp;number=4.2&amp;sourceID=14","4.2")</f>
        <v>4.2</v>
      </c>
      <c r="G1836" s="4" t="str">
        <f>HYPERLINK("http://141.218.60.56/~jnz1568/getInfo.php?workbook=06_02.xlsx&amp;sheet=U0&amp;row=1836&amp;col=7&amp;number=0.146&amp;sourceID=14","0.146")</f>
        <v>0.146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HYPERLINK("http://141.218.60.56/~jnz1568/getInfo.php?workbook=06_02.xlsx&amp;sheet=U0&amp;row=1837&amp;col=6&amp;number=4.3&amp;sourceID=14","4.3")</f>
        <v>4.3</v>
      </c>
      <c r="G1837" s="4" t="str">
        <f>HYPERLINK("http://141.218.60.56/~jnz1568/getInfo.php?workbook=06_02.xlsx&amp;sheet=U0&amp;row=1837&amp;col=7&amp;number=0.146&amp;sourceID=14","0.146")</f>
        <v>0.146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HYPERLINK("http://141.218.60.56/~jnz1568/getInfo.php?workbook=06_02.xlsx&amp;sheet=U0&amp;row=1838&amp;col=6&amp;number=4.4&amp;sourceID=14","4.4")</f>
        <v>4.4</v>
      </c>
      <c r="G1838" s="4" t="str">
        <f>HYPERLINK("http://141.218.60.56/~jnz1568/getInfo.php?workbook=06_02.xlsx&amp;sheet=U0&amp;row=1838&amp;col=7&amp;number=0.146&amp;sourceID=14","0.146")</f>
        <v>0.146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HYPERLINK("http://141.218.60.56/~jnz1568/getInfo.php?workbook=06_02.xlsx&amp;sheet=U0&amp;row=1839&amp;col=6&amp;number=4.5&amp;sourceID=14","4.5")</f>
        <v>4.5</v>
      </c>
      <c r="G1839" s="4" t="str">
        <f>HYPERLINK("http://141.218.60.56/~jnz1568/getInfo.php?workbook=06_02.xlsx&amp;sheet=U0&amp;row=1839&amp;col=7&amp;number=0.147&amp;sourceID=14","0.147")</f>
        <v>0.147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HYPERLINK("http://141.218.60.56/~jnz1568/getInfo.php?workbook=06_02.xlsx&amp;sheet=U0&amp;row=1840&amp;col=6&amp;number=4.6&amp;sourceID=14","4.6")</f>
        <v>4.6</v>
      </c>
      <c r="G1840" s="4" t="str">
        <f>HYPERLINK("http://141.218.60.56/~jnz1568/getInfo.php?workbook=06_02.xlsx&amp;sheet=U0&amp;row=1840&amp;col=7&amp;number=0.147&amp;sourceID=14","0.147")</f>
        <v>0.147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HYPERLINK("http://141.218.60.56/~jnz1568/getInfo.php?workbook=06_02.xlsx&amp;sheet=U0&amp;row=1841&amp;col=6&amp;number=4.7&amp;sourceID=14","4.7")</f>
        <v>4.7</v>
      </c>
      <c r="G1841" s="4" t="str">
        <f>HYPERLINK("http://141.218.60.56/~jnz1568/getInfo.php?workbook=06_02.xlsx&amp;sheet=U0&amp;row=1841&amp;col=7&amp;number=0.147&amp;sourceID=14","0.147")</f>
        <v>0.147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HYPERLINK("http://141.218.60.56/~jnz1568/getInfo.php?workbook=06_02.xlsx&amp;sheet=U0&amp;row=1842&amp;col=6&amp;number=4.8&amp;sourceID=14","4.8")</f>
        <v>4.8</v>
      </c>
      <c r="G1842" s="4" t="str">
        <f>HYPERLINK("http://141.218.60.56/~jnz1568/getInfo.php?workbook=06_02.xlsx&amp;sheet=U0&amp;row=1842&amp;col=7&amp;number=0.148&amp;sourceID=14","0.148")</f>
        <v>0.148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HYPERLINK("http://141.218.60.56/~jnz1568/getInfo.php?workbook=06_02.xlsx&amp;sheet=U0&amp;row=1843&amp;col=6&amp;number=4.9&amp;sourceID=14","4.9")</f>
        <v>4.9</v>
      </c>
      <c r="G1843" s="4" t="str">
        <f>HYPERLINK("http://141.218.60.56/~jnz1568/getInfo.php?workbook=06_02.xlsx&amp;sheet=U0&amp;row=1843&amp;col=7&amp;number=0.148&amp;sourceID=14","0.148")</f>
        <v>0.148</v>
      </c>
    </row>
    <row r="1844" spans="1:7">
      <c r="A1844" s="3">
        <v>6</v>
      </c>
      <c r="B1844" s="3">
        <v>2</v>
      </c>
      <c r="C1844" s="3">
        <v>3</v>
      </c>
      <c r="D1844" s="3">
        <v>10</v>
      </c>
      <c r="E1844" s="3">
        <v>1</v>
      </c>
      <c r="F1844" s="4" t="str">
        <f>HYPERLINK("http://141.218.60.56/~jnz1568/getInfo.php?workbook=06_02.xlsx&amp;sheet=U0&amp;row=1844&amp;col=6&amp;number=3&amp;sourceID=14","3")</f>
        <v>3</v>
      </c>
      <c r="G1844" s="4" t="str">
        <f>HYPERLINK("http://141.218.60.56/~jnz1568/getInfo.php?workbook=06_02.xlsx&amp;sheet=U0&amp;row=1844&amp;col=7&amp;number=0.00309&amp;sourceID=14","0.00309")</f>
        <v>0.00309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HYPERLINK("http://141.218.60.56/~jnz1568/getInfo.php?workbook=06_02.xlsx&amp;sheet=U0&amp;row=1845&amp;col=6&amp;number=3.1&amp;sourceID=14","3.1")</f>
        <v>3.1</v>
      </c>
      <c r="G1845" s="4" t="str">
        <f>HYPERLINK("http://141.218.60.56/~jnz1568/getInfo.php?workbook=06_02.xlsx&amp;sheet=U0&amp;row=1845&amp;col=7&amp;number=0.00309&amp;sourceID=14","0.00309")</f>
        <v>0.00309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HYPERLINK("http://141.218.60.56/~jnz1568/getInfo.php?workbook=06_02.xlsx&amp;sheet=U0&amp;row=1846&amp;col=6&amp;number=3.2&amp;sourceID=14","3.2")</f>
        <v>3.2</v>
      </c>
      <c r="G1846" s="4" t="str">
        <f>HYPERLINK("http://141.218.60.56/~jnz1568/getInfo.php?workbook=06_02.xlsx&amp;sheet=U0&amp;row=1846&amp;col=7&amp;number=0.00309&amp;sourceID=14","0.00309")</f>
        <v>0.00309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HYPERLINK("http://141.218.60.56/~jnz1568/getInfo.php?workbook=06_02.xlsx&amp;sheet=U0&amp;row=1847&amp;col=6&amp;number=3.3&amp;sourceID=14","3.3")</f>
        <v>3.3</v>
      </c>
      <c r="G1847" s="4" t="str">
        <f>HYPERLINK("http://141.218.60.56/~jnz1568/getInfo.php?workbook=06_02.xlsx&amp;sheet=U0&amp;row=1847&amp;col=7&amp;number=0.00308&amp;sourceID=14","0.00308")</f>
        <v>0.00308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HYPERLINK("http://141.218.60.56/~jnz1568/getInfo.php?workbook=06_02.xlsx&amp;sheet=U0&amp;row=1848&amp;col=6&amp;number=3.4&amp;sourceID=14","3.4")</f>
        <v>3.4</v>
      </c>
      <c r="G1848" s="4" t="str">
        <f>HYPERLINK("http://141.218.60.56/~jnz1568/getInfo.php?workbook=06_02.xlsx&amp;sheet=U0&amp;row=1848&amp;col=7&amp;number=0.00308&amp;sourceID=14","0.00308")</f>
        <v>0.00308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HYPERLINK("http://141.218.60.56/~jnz1568/getInfo.php?workbook=06_02.xlsx&amp;sheet=U0&amp;row=1849&amp;col=6&amp;number=3.5&amp;sourceID=14","3.5")</f>
        <v>3.5</v>
      </c>
      <c r="G1849" s="4" t="str">
        <f>HYPERLINK("http://141.218.60.56/~jnz1568/getInfo.php?workbook=06_02.xlsx&amp;sheet=U0&amp;row=1849&amp;col=7&amp;number=0.00308&amp;sourceID=14","0.00308")</f>
        <v>0.00308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HYPERLINK("http://141.218.60.56/~jnz1568/getInfo.php?workbook=06_02.xlsx&amp;sheet=U0&amp;row=1850&amp;col=6&amp;number=3.6&amp;sourceID=14","3.6")</f>
        <v>3.6</v>
      </c>
      <c r="G1850" s="4" t="str">
        <f>HYPERLINK("http://141.218.60.56/~jnz1568/getInfo.php?workbook=06_02.xlsx&amp;sheet=U0&amp;row=1850&amp;col=7&amp;number=0.00307&amp;sourceID=14","0.00307")</f>
        <v>0.00307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HYPERLINK("http://141.218.60.56/~jnz1568/getInfo.php?workbook=06_02.xlsx&amp;sheet=U0&amp;row=1851&amp;col=6&amp;number=3.7&amp;sourceID=14","3.7")</f>
        <v>3.7</v>
      </c>
      <c r="G1851" s="4" t="str">
        <f>HYPERLINK("http://141.218.60.56/~jnz1568/getInfo.php?workbook=06_02.xlsx&amp;sheet=U0&amp;row=1851&amp;col=7&amp;number=0.00307&amp;sourceID=14","0.00307")</f>
        <v>0.00307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HYPERLINK("http://141.218.60.56/~jnz1568/getInfo.php?workbook=06_02.xlsx&amp;sheet=U0&amp;row=1852&amp;col=6&amp;number=3.8&amp;sourceID=14","3.8")</f>
        <v>3.8</v>
      </c>
      <c r="G1852" s="4" t="str">
        <f>HYPERLINK("http://141.218.60.56/~jnz1568/getInfo.php?workbook=06_02.xlsx&amp;sheet=U0&amp;row=1852&amp;col=7&amp;number=0.00306&amp;sourceID=14","0.00306")</f>
        <v>0.00306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HYPERLINK("http://141.218.60.56/~jnz1568/getInfo.php?workbook=06_02.xlsx&amp;sheet=U0&amp;row=1853&amp;col=6&amp;number=3.9&amp;sourceID=14","3.9")</f>
        <v>3.9</v>
      </c>
      <c r="G1853" s="4" t="str">
        <f>HYPERLINK("http://141.218.60.56/~jnz1568/getInfo.php?workbook=06_02.xlsx&amp;sheet=U0&amp;row=1853&amp;col=7&amp;number=0.00305&amp;sourceID=14","0.00305")</f>
        <v>0.00305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HYPERLINK("http://141.218.60.56/~jnz1568/getInfo.php?workbook=06_02.xlsx&amp;sheet=U0&amp;row=1854&amp;col=6&amp;number=4&amp;sourceID=14","4")</f>
        <v>4</v>
      </c>
      <c r="G1854" s="4" t="str">
        <f>HYPERLINK("http://141.218.60.56/~jnz1568/getInfo.php?workbook=06_02.xlsx&amp;sheet=U0&amp;row=1854&amp;col=7&amp;number=0.00305&amp;sourceID=14","0.00305")</f>
        <v>0.00305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HYPERLINK("http://141.218.60.56/~jnz1568/getInfo.php?workbook=06_02.xlsx&amp;sheet=U0&amp;row=1855&amp;col=6&amp;number=4.1&amp;sourceID=14","4.1")</f>
        <v>4.1</v>
      </c>
      <c r="G1855" s="4" t="str">
        <f>HYPERLINK("http://141.218.60.56/~jnz1568/getInfo.php?workbook=06_02.xlsx&amp;sheet=U0&amp;row=1855&amp;col=7&amp;number=0.00303&amp;sourceID=14","0.00303")</f>
        <v>0.00303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HYPERLINK("http://141.218.60.56/~jnz1568/getInfo.php?workbook=06_02.xlsx&amp;sheet=U0&amp;row=1856&amp;col=6&amp;number=4.2&amp;sourceID=14","4.2")</f>
        <v>4.2</v>
      </c>
      <c r="G1856" s="4" t="str">
        <f>HYPERLINK("http://141.218.60.56/~jnz1568/getInfo.php?workbook=06_02.xlsx&amp;sheet=U0&amp;row=1856&amp;col=7&amp;number=0.00302&amp;sourceID=14","0.00302")</f>
        <v>0.00302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HYPERLINK("http://141.218.60.56/~jnz1568/getInfo.php?workbook=06_02.xlsx&amp;sheet=U0&amp;row=1857&amp;col=6&amp;number=4.3&amp;sourceID=14","4.3")</f>
        <v>4.3</v>
      </c>
      <c r="G1857" s="4" t="str">
        <f>HYPERLINK("http://141.218.60.56/~jnz1568/getInfo.php?workbook=06_02.xlsx&amp;sheet=U0&amp;row=1857&amp;col=7&amp;number=0.003&amp;sourceID=14","0.003")</f>
        <v>0.003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HYPERLINK("http://141.218.60.56/~jnz1568/getInfo.php?workbook=06_02.xlsx&amp;sheet=U0&amp;row=1858&amp;col=6&amp;number=4.4&amp;sourceID=14","4.4")</f>
        <v>4.4</v>
      </c>
      <c r="G1858" s="4" t="str">
        <f>HYPERLINK("http://141.218.60.56/~jnz1568/getInfo.php?workbook=06_02.xlsx&amp;sheet=U0&amp;row=1858&amp;col=7&amp;number=0.00298&amp;sourceID=14","0.00298")</f>
        <v>0.00298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HYPERLINK("http://141.218.60.56/~jnz1568/getInfo.php?workbook=06_02.xlsx&amp;sheet=U0&amp;row=1859&amp;col=6&amp;number=4.5&amp;sourceID=14","4.5")</f>
        <v>4.5</v>
      </c>
      <c r="G1859" s="4" t="str">
        <f>HYPERLINK("http://141.218.60.56/~jnz1568/getInfo.php?workbook=06_02.xlsx&amp;sheet=U0&amp;row=1859&amp;col=7&amp;number=0.00295&amp;sourceID=14","0.00295")</f>
        <v>0.00295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HYPERLINK("http://141.218.60.56/~jnz1568/getInfo.php?workbook=06_02.xlsx&amp;sheet=U0&amp;row=1860&amp;col=6&amp;number=4.6&amp;sourceID=14","4.6")</f>
        <v>4.6</v>
      </c>
      <c r="G1860" s="4" t="str">
        <f>HYPERLINK("http://141.218.60.56/~jnz1568/getInfo.php?workbook=06_02.xlsx&amp;sheet=U0&amp;row=1860&amp;col=7&amp;number=0.00291&amp;sourceID=14","0.00291")</f>
        <v>0.00291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HYPERLINK("http://141.218.60.56/~jnz1568/getInfo.php?workbook=06_02.xlsx&amp;sheet=U0&amp;row=1861&amp;col=6&amp;number=4.7&amp;sourceID=14","4.7")</f>
        <v>4.7</v>
      </c>
      <c r="G1861" s="4" t="str">
        <f>HYPERLINK("http://141.218.60.56/~jnz1568/getInfo.php?workbook=06_02.xlsx&amp;sheet=U0&amp;row=1861&amp;col=7&amp;number=0.00287&amp;sourceID=14","0.00287")</f>
        <v>0.00287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HYPERLINK("http://141.218.60.56/~jnz1568/getInfo.php?workbook=06_02.xlsx&amp;sheet=U0&amp;row=1862&amp;col=6&amp;number=4.8&amp;sourceID=14","4.8")</f>
        <v>4.8</v>
      </c>
      <c r="G1862" s="4" t="str">
        <f>HYPERLINK("http://141.218.60.56/~jnz1568/getInfo.php?workbook=06_02.xlsx&amp;sheet=U0&amp;row=1862&amp;col=7&amp;number=0.00282&amp;sourceID=14","0.00282")</f>
        <v>0.00282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HYPERLINK("http://141.218.60.56/~jnz1568/getInfo.php?workbook=06_02.xlsx&amp;sheet=U0&amp;row=1863&amp;col=6&amp;number=4.9&amp;sourceID=14","4.9")</f>
        <v>4.9</v>
      </c>
      <c r="G1863" s="4" t="str">
        <f>HYPERLINK("http://141.218.60.56/~jnz1568/getInfo.php?workbook=06_02.xlsx&amp;sheet=U0&amp;row=1863&amp;col=7&amp;number=0.00275&amp;sourceID=14","0.00275")</f>
        <v>0.00275</v>
      </c>
    </row>
    <row r="1864" spans="1:7">
      <c r="A1864" s="3">
        <v>6</v>
      </c>
      <c r="B1864" s="3">
        <v>2</v>
      </c>
      <c r="C1864" s="3">
        <v>3</v>
      </c>
      <c r="D1864" s="3">
        <v>11</v>
      </c>
      <c r="E1864" s="3">
        <v>1</v>
      </c>
      <c r="F1864" s="4" t="str">
        <f>HYPERLINK("http://141.218.60.56/~jnz1568/getInfo.php?workbook=06_02.xlsx&amp;sheet=U0&amp;row=1864&amp;col=6&amp;number=3&amp;sourceID=14","3")</f>
        <v>3</v>
      </c>
      <c r="G1864" s="4" t="str">
        <f>HYPERLINK("http://141.218.60.56/~jnz1568/getInfo.php?workbook=06_02.xlsx&amp;sheet=U0&amp;row=1864&amp;col=7&amp;number=0.00926&amp;sourceID=14","0.00926")</f>
        <v>0.00926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HYPERLINK("http://141.218.60.56/~jnz1568/getInfo.php?workbook=06_02.xlsx&amp;sheet=U0&amp;row=1865&amp;col=6&amp;number=3.1&amp;sourceID=14","3.1")</f>
        <v>3.1</v>
      </c>
      <c r="G1865" s="4" t="str">
        <f>HYPERLINK("http://141.218.60.56/~jnz1568/getInfo.php?workbook=06_02.xlsx&amp;sheet=U0&amp;row=1865&amp;col=7&amp;number=0.00926&amp;sourceID=14","0.00926")</f>
        <v>0.00926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HYPERLINK("http://141.218.60.56/~jnz1568/getInfo.php?workbook=06_02.xlsx&amp;sheet=U0&amp;row=1866&amp;col=6&amp;number=3.2&amp;sourceID=14","3.2")</f>
        <v>3.2</v>
      </c>
      <c r="G1866" s="4" t="str">
        <f>HYPERLINK("http://141.218.60.56/~jnz1568/getInfo.php?workbook=06_02.xlsx&amp;sheet=U0&amp;row=1866&amp;col=7&amp;number=0.00926&amp;sourceID=14","0.00926")</f>
        <v>0.00926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HYPERLINK("http://141.218.60.56/~jnz1568/getInfo.php?workbook=06_02.xlsx&amp;sheet=U0&amp;row=1867&amp;col=6&amp;number=3.3&amp;sourceID=14","3.3")</f>
        <v>3.3</v>
      </c>
      <c r="G1867" s="4" t="str">
        <f>HYPERLINK("http://141.218.60.56/~jnz1568/getInfo.php?workbook=06_02.xlsx&amp;sheet=U0&amp;row=1867&amp;col=7&amp;number=0.00925&amp;sourceID=14","0.00925")</f>
        <v>0.00925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HYPERLINK("http://141.218.60.56/~jnz1568/getInfo.php?workbook=06_02.xlsx&amp;sheet=U0&amp;row=1868&amp;col=6&amp;number=3.4&amp;sourceID=14","3.4")</f>
        <v>3.4</v>
      </c>
      <c r="G1868" s="4" t="str">
        <f>HYPERLINK("http://141.218.60.56/~jnz1568/getInfo.php?workbook=06_02.xlsx&amp;sheet=U0&amp;row=1868&amp;col=7&amp;number=0.00924&amp;sourceID=14","0.00924")</f>
        <v>0.00924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HYPERLINK("http://141.218.60.56/~jnz1568/getInfo.php?workbook=06_02.xlsx&amp;sheet=U0&amp;row=1869&amp;col=6&amp;number=3.5&amp;sourceID=14","3.5")</f>
        <v>3.5</v>
      </c>
      <c r="G1869" s="4" t="str">
        <f>HYPERLINK("http://141.218.60.56/~jnz1568/getInfo.php?workbook=06_02.xlsx&amp;sheet=U0&amp;row=1869&amp;col=7&amp;number=0.00923&amp;sourceID=14","0.00923")</f>
        <v>0.00923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HYPERLINK("http://141.218.60.56/~jnz1568/getInfo.php?workbook=06_02.xlsx&amp;sheet=U0&amp;row=1870&amp;col=6&amp;number=3.6&amp;sourceID=14","3.6")</f>
        <v>3.6</v>
      </c>
      <c r="G1870" s="4" t="str">
        <f>HYPERLINK("http://141.218.60.56/~jnz1568/getInfo.php?workbook=06_02.xlsx&amp;sheet=U0&amp;row=1870&amp;col=7&amp;number=0.00922&amp;sourceID=14","0.00922")</f>
        <v>0.00922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HYPERLINK("http://141.218.60.56/~jnz1568/getInfo.php?workbook=06_02.xlsx&amp;sheet=U0&amp;row=1871&amp;col=6&amp;number=3.7&amp;sourceID=14","3.7")</f>
        <v>3.7</v>
      </c>
      <c r="G1871" s="4" t="str">
        <f>HYPERLINK("http://141.218.60.56/~jnz1568/getInfo.php?workbook=06_02.xlsx&amp;sheet=U0&amp;row=1871&amp;col=7&amp;number=0.00921&amp;sourceID=14","0.00921")</f>
        <v>0.00921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HYPERLINK("http://141.218.60.56/~jnz1568/getInfo.php?workbook=06_02.xlsx&amp;sheet=U0&amp;row=1872&amp;col=6&amp;number=3.8&amp;sourceID=14","3.8")</f>
        <v>3.8</v>
      </c>
      <c r="G1872" s="4" t="str">
        <f>HYPERLINK("http://141.218.60.56/~jnz1568/getInfo.php?workbook=06_02.xlsx&amp;sheet=U0&amp;row=1872&amp;col=7&amp;number=0.00919&amp;sourceID=14","0.00919")</f>
        <v>0.00919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HYPERLINK("http://141.218.60.56/~jnz1568/getInfo.php?workbook=06_02.xlsx&amp;sheet=U0&amp;row=1873&amp;col=6&amp;number=3.9&amp;sourceID=14","3.9")</f>
        <v>3.9</v>
      </c>
      <c r="G1873" s="4" t="str">
        <f>HYPERLINK("http://141.218.60.56/~jnz1568/getInfo.php?workbook=06_02.xlsx&amp;sheet=U0&amp;row=1873&amp;col=7&amp;number=0.00916&amp;sourceID=14","0.00916")</f>
        <v>0.00916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HYPERLINK("http://141.218.60.56/~jnz1568/getInfo.php?workbook=06_02.xlsx&amp;sheet=U0&amp;row=1874&amp;col=6&amp;number=4&amp;sourceID=14","4")</f>
        <v>4</v>
      </c>
      <c r="G1874" s="4" t="str">
        <f>HYPERLINK("http://141.218.60.56/~jnz1568/getInfo.php?workbook=06_02.xlsx&amp;sheet=U0&amp;row=1874&amp;col=7&amp;number=0.00914&amp;sourceID=14","0.00914")</f>
        <v>0.00914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HYPERLINK("http://141.218.60.56/~jnz1568/getInfo.php?workbook=06_02.xlsx&amp;sheet=U0&amp;row=1875&amp;col=6&amp;number=4.1&amp;sourceID=14","4.1")</f>
        <v>4.1</v>
      </c>
      <c r="G1875" s="4" t="str">
        <f>HYPERLINK("http://141.218.60.56/~jnz1568/getInfo.php?workbook=06_02.xlsx&amp;sheet=U0&amp;row=1875&amp;col=7&amp;number=0.0091&amp;sourceID=14","0.0091")</f>
        <v>0.0091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HYPERLINK("http://141.218.60.56/~jnz1568/getInfo.php?workbook=06_02.xlsx&amp;sheet=U0&amp;row=1876&amp;col=6&amp;number=4.2&amp;sourceID=14","4.2")</f>
        <v>4.2</v>
      </c>
      <c r="G1876" s="4" t="str">
        <f>HYPERLINK("http://141.218.60.56/~jnz1568/getInfo.php?workbook=06_02.xlsx&amp;sheet=U0&amp;row=1876&amp;col=7&amp;number=0.00905&amp;sourceID=14","0.00905")</f>
        <v>0.00905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HYPERLINK("http://141.218.60.56/~jnz1568/getInfo.php?workbook=06_02.xlsx&amp;sheet=U0&amp;row=1877&amp;col=6&amp;number=4.3&amp;sourceID=14","4.3")</f>
        <v>4.3</v>
      </c>
      <c r="G1877" s="4" t="str">
        <f>HYPERLINK("http://141.218.60.56/~jnz1568/getInfo.php?workbook=06_02.xlsx&amp;sheet=U0&amp;row=1877&amp;col=7&amp;number=0.009&amp;sourceID=14","0.009")</f>
        <v>0.009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HYPERLINK("http://141.218.60.56/~jnz1568/getInfo.php?workbook=06_02.xlsx&amp;sheet=U0&amp;row=1878&amp;col=6&amp;number=4.4&amp;sourceID=14","4.4")</f>
        <v>4.4</v>
      </c>
      <c r="G1878" s="4" t="str">
        <f>HYPERLINK("http://141.218.60.56/~jnz1568/getInfo.php?workbook=06_02.xlsx&amp;sheet=U0&amp;row=1878&amp;col=7&amp;number=0.00893&amp;sourceID=14","0.00893")</f>
        <v>0.00893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HYPERLINK("http://141.218.60.56/~jnz1568/getInfo.php?workbook=06_02.xlsx&amp;sheet=U0&amp;row=1879&amp;col=6&amp;number=4.5&amp;sourceID=14","4.5")</f>
        <v>4.5</v>
      </c>
      <c r="G1879" s="4" t="str">
        <f>HYPERLINK("http://141.218.60.56/~jnz1568/getInfo.php?workbook=06_02.xlsx&amp;sheet=U0&amp;row=1879&amp;col=7&amp;number=0.00884&amp;sourceID=14","0.00884")</f>
        <v>0.00884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HYPERLINK("http://141.218.60.56/~jnz1568/getInfo.php?workbook=06_02.xlsx&amp;sheet=U0&amp;row=1880&amp;col=6&amp;number=4.6&amp;sourceID=14","4.6")</f>
        <v>4.6</v>
      </c>
      <c r="G1880" s="4" t="str">
        <f>HYPERLINK("http://141.218.60.56/~jnz1568/getInfo.php?workbook=06_02.xlsx&amp;sheet=U0&amp;row=1880&amp;col=7&amp;number=0.00874&amp;sourceID=14","0.00874")</f>
        <v>0.00874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HYPERLINK("http://141.218.60.56/~jnz1568/getInfo.php?workbook=06_02.xlsx&amp;sheet=U0&amp;row=1881&amp;col=6&amp;number=4.7&amp;sourceID=14","4.7")</f>
        <v>4.7</v>
      </c>
      <c r="G1881" s="4" t="str">
        <f>HYPERLINK("http://141.218.60.56/~jnz1568/getInfo.php?workbook=06_02.xlsx&amp;sheet=U0&amp;row=1881&amp;col=7&amp;number=0.00861&amp;sourceID=14","0.00861")</f>
        <v>0.00861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HYPERLINK("http://141.218.60.56/~jnz1568/getInfo.php?workbook=06_02.xlsx&amp;sheet=U0&amp;row=1882&amp;col=6&amp;number=4.8&amp;sourceID=14","4.8")</f>
        <v>4.8</v>
      </c>
      <c r="G1882" s="4" t="str">
        <f>HYPERLINK("http://141.218.60.56/~jnz1568/getInfo.php?workbook=06_02.xlsx&amp;sheet=U0&amp;row=1882&amp;col=7&amp;number=0.00845&amp;sourceID=14","0.00845")</f>
        <v>0.00845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HYPERLINK("http://141.218.60.56/~jnz1568/getInfo.php?workbook=06_02.xlsx&amp;sheet=U0&amp;row=1883&amp;col=6&amp;number=4.9&amp;sourceID=14","4.9")</f>
        <v>4.9</v>
      </c>
      <c r="G1883" s="4" t="str">
        <f>HYPERLINK("http://141.218.60.56/~jnz1568/getInfo.php?workbook=06_02.xlsx&amp;sheet=U0&amp;row=1883&amp;col=7&amp;number=0.00826&amp;sourceID=14","0.00826")</f>
        <v>0.00826</v>
      </c>
    </row>
    <row r="1884" spans="1:7">
      <c r="A1884" s="3">
        <v>6</v>
      </c>
      <c r="B1884" s="3">
        <v>2</v>
      </c>
      <c r="C1884" s="3">
        <v>3</v>
      </c>
      <c r="D1884" s="3">
        <v>12</v>
      </c>
      <c r="E1884" s="3">
        <v>1</v>
      </c>
      <c r="F1884" s="4" t="str">
        <f>HYPERLINK("http://141.218.60.56/~jnz1568/getInfo.php?workbook=06_02.xlsx&amp;sheet=U0&amp;row=1884&amp;col=6&amp;number=3&amp;sourceID=14","3")</f>
        <v>3</v>
      </c>
      <c r="G1884" s="4" t="str">
        <f>HYPERLINK("http://141.218.60.56/~jnz1568/getInfo.php?workbook=06_02.xlsx&amp;sheet=U0&amp;row=1884&amp;col=7&amp;number=0.0154&amp;sourceID=14","0.0154")</f>
        <v>0.0154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HYPERLINK("http://141.218.60.56/~jnz1568/getInfo.php?workbook=06_02.xlsx&amp;sheet=U0&amp;row=1885&amp;col=6&amp;number=3.1&amp;sourceID=14","3.1")</f>
        <v>3.1</v>
      </c>
      <c r="G1885" s="4" t="str">
        <f>HYPERLINK("http://141.218.60.56/~jnz1568/getInfo.php?workbook=06_02.xlsx&amp;sheet=U0&amp;row=1885&amp;col=7&amp;number=0.0154&amp;sourceID=14","0.0154")</f>
        <v>0.0154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HYPERLINK("http://141.218.60.56/~jnz1568/getInfo.php?workbook=06_02.xlsx&amp;sheet=U0&amp;row=1886&amp;col=6&amp;number=3.2&amp;sourceID=14","3.2")</f>
        <v>3.2</v>
      </c>
      <c r="G1886" s="4" t="str">
        <f>HYPERLINK("http://141.218.60.56/~jnz1568/getInfo.php?workbook=06_02.xlsx&amp;sheet=U0&amp;row=1886&amp;col=7&amp;number=0.0154&amp;sourceID=14","0.0154")</f>
        <v>0.0154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HYPERLINK("http://141.218.60.56/~jnz1568/getInfo.php?workbook=06_02.xlsx&amp;sheet=U0&amp;row=1887&amp;col=6&amp;number=3.3&amp;sourceID=14","3.3")</f>
        <v>3.3</v>
      </c>
      <c r="G1887" s="4" t="str">
        <f>HYPERLINK("http://141.218.60.56/~jnz1568/getInfo.php?workbook=06_02.xlsx&amp;sheet=U0&amp;row=1887&amp;col=7&amp;number=0.0154&amp;sourceID=14","0.0154")</f>
        <v>0.0154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HYPERLINK("http://141.218.60.56/~jnz1568/getInfo.php?workbook=06_02.xlsx&amp;sheet=U0&amp;row=1888&amp;col=6&amp;number=3.4&amp;sourceID=14","3.4")</f>
        <v>3.4</v>
      </c>
      <c r="G1888" s="4" t="str">
        <f>HYPERLINK("http://141.218.60.56/~jnz1568/getInfo.php?workbook=06_02.xlsx&amp;sheet=U0&amp;row=1888&amp;col=7&amp;number=0.0154&amp;sourceID=14","0.0154")</f>
        <v>0.0154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HYPERLINK("http://141.218.60.56/~jnz1568/getInfo.php?workbook=06_02.xlsx&amp;sheet=U0&amp;row=1889&amp;col=6&amp;number=3.5&amp;sourceID=14","3.5")</f>
        <v>3.5</v>
      </c>
      <c r="G1889" s="4" t="str">
        <f>HYPERLINK("http://141.218.60.56/~jnz1568/getInfo.php?workbook=06_02.xlsx&amp;sheet=U0&amp;row=1889&amp;col=7&amp;number=0.0154&amp;sourceID=14","0.0154")</f>
        <v>0.0154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HYPERLINK("http://141.218.60.56/~jnz1568/getInfo.php?workbook=06_02.xlsx&amp;sheet=U0&amp;row=1890&amp;col=6&amp;number=3.6&amp;sourceID=14","3.6")</f>
        <v>3.6</v>
      </c>
      <c r="G1890" s="4" t="str">
        <f>HYPERLINK("http://141.218.60.56/~jnz1568/getInfo.php?workbook=06_02.xlsx&amp;sheet=U0&amp;row=1890&amp;col=7&amp;number=0.0154&amp;sourceID=14","0.0154")</f>
        <v>0.0154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HYPERLINK("http://141.218.60.56/~jnz1568/getInfo.php?workbook=06_02.xlsx&amp;sheet=U0&amp;row=1891&amp;col=6&amp;number=3.7&amp;sourceID=14","3.7")</f>
        <v>3.7</v>
      </c>
      <c r="G1891" s="4" t="str">
        <f>HYPERLINK("http://141.218.60.56/~jnz1568/getInfo.php?workbook=06_02.xlsx&amp;sheet=U0&amp;row=1891&amp;col=7&amp;number=0.0153&amp;sourceID=14","0.0153")</f>
        <v>0.0153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HYPERLINK("http://141.218.60.56/~jnz1568/getInfo.php?workbook=06_02.xlsx&amp;sheet=U0&amp;row=1892&amp;col=6&amp;number=3.8&amp;sourceID=14","3.8")</f>
        <v>3.8</v>
      </c>
      <c r="G1892" s="4" t="str">
        <f>HYPERLINK("http://141.218.60.56/~jnz1568/getInfo.php?workbook=06_02.xlsx&amp;sheet=U0&amp;row=1892&amp;col=7&amp;number=0.0153&amp;sourceID=14","0.0153")</f>
        <v>0.0153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HYPERLINK("http://141.218.60.56/~jnz1568/getInfo.php?workbook=06_02.xlsx&amp;sheet=U0&amp;row=1893&amp;col=6&amp;number=3.9&amp;sourceID=14","3.9")</f>
        <v>3.9</v>
      </c>
      <c r="G1893" s="4" t="str">
        <f>HYPERLINK("http://141.218.60.56/~jnz1568/getInfo.php?workbook=06_02.xlsx&amp;sheet=U0&amp;row=1893&amp;col=7&amp;number=0.0153&amp;sourceID=14","0.0153")</f>
        <v>0.0153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HYPERLINK("http://141.218.60.56/~jnz1568/getInfo.php?workbook=06_02.xlsx&amp;sheet=U0&amp;row=1894&amp;col=6&amp;number=4&amp;sourceID=14","4")</f>
        <v>4</v>
      </c>
      <c r="G1894" s="4" t="str">
        <f>HYPERLINK("http://141.218.60.56/~jnz1568/getInfo.php?workbook=06_02.xlsx&amp;sheet=U0&amp;row=1894&amp;col=7&amp;number=0.0152&amp;sourceID=14","0.0152")</f>
        <v>0.0152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HYPERLINK("http://141.218.60.56/~jnz1568/getInfo.php?workbook=06_02.xlsx&amp;sheet=U0&amp;row=1895&amp;col=6&amp;number=4.1&amp;sourceID=14","4.1")</f>
        <v>4.1</v>
      </c>
      <c r="G1895" s="4" t="str">
        <f>HYPERLINK("http://141.218.60.56/~jnz1568/getInfo.php?workbook=06_02.xlsx&amp;sheet=U0&amp;row=1895&amp;col=7&amp;number=0.0152&amp;sourceID=14","0.0152")</f>
        <v>0.0152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HYPERLINK("http://141.218.60.56/~jnz1568/getInfo.php?workbook=06_02.xlsx&amp;sheet=U0&amp;row=1896&amp;col=6&amp;number=4.2&amp;sourceID=14","4.2")</f>
        <v>4.2</v>
      </c>
      <c r="G1896" s="4" t="str">
        <f>HYPERLINK("http://141.218.60.56/~jnz1568/getInfo.php?workbook=06_02.xlsx&amp;sheet=U0&amp;row=1896&amp;col=7&amp;number=0.0151&amp;sourceID=14","0.0151")</f>
        <v>0.0151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HYPERLINK("http://141.218.60.56/~jnz1568/getInfo.php?workbook=06_02.xlsx&amp;sheet=U0&amp;row=1897&amp;col=6&amp;number=4.3&amp;sourceID=14","4.3")</f>
        <v>4.3</v>
      </c>
      <c r="G1897" s="4" t="str">
        <f>HYPERLINK("http://141.218.60.56/~jnz1568/getInfo.php?workbook=06_02.xlsx&amp;sheet=U0&amp;row=1897&amp;col=7&amp;number=0.015&amp;sourceID=14","0.015")</f>
        <v>0.015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HYPERLINK("http://141.218.60.56/~jnz1568/getInfo.php?workbook=06_02.xlsx&amp;sheet=U0&amp;row=1898&amp;col=6&amp;number=4.4&amp;sourceID=14","4.4")</f>
        <v>4.4</v>
      </c>
      <c r="G1898" s="4" t="str">
        <f>HYPERLINK("http://141.218.60.56/~jnz1568/getInfo.php?workbook=06_02.xlsx&amp;sheet=U0&amp;row=1898&amp;col=7&amp;number=0.0149&amp;sourceID=14","0.0149")</f>
        <v>0.0149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HYPERLINK("http://141.218.60.56/~jnz1568/getInfo.php?workbook=06_02.xlsx&amp;sheet=U0&amp;row=1899&amp;col=6&amp;number=4.5&amp;sourceID=14","4.5")</f>
        <v>4.5</v>
      </c>
      <c r="G1899" s="4" t="str">
        <f>HYPERLINK("http://141.218.60.56/~jnz1568/getInfo.php?workbook=06_02.xlsx&amp;sheet=U0&amp;row=1899&amp;col=7&amp;number=0.0147&amp;sourceID=14","0.0147")</f>
        <v>0.0147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HYPERLINK("http://141.218.60.56/~jnz1568/getInfo.php?workbook=06_02.xlsx&amp;sheet=U0&amp;row=1900&amp;col=6&amp;number=4.6&amp;sourceID=14","4.6")</f>
        <v>4.6</v>
      </c>
      <c r="G1900" s="4" t="str">
        <f>HYPERLINK("http://141.218.60.56/~jnz1568/getInfo.php?workbook=06_02.xlsx&amp;sheet=U0&amp;row=1900&amp;col=7&amp;number=0.0146&amp;sourceID=14","0.0146")</f>
        <v>0.0146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HYPERLINK("http://141.218.60.56/~jnz1568/getInfo.php?workbook=06_02.xlsx&amp;sheet=U0&amp;row=1901&amp;col=6&amp;number=4.7&amp;sourceID=14","4.7")</f>
        <v>4.7</v>
      </c>
      <c r="G1901" s="4" t="str">
        <f>HYPERLINK("http://141.218.60.56/~jnz1568/getInfo.php?workbook=06_02.xlsx&amp;sheet=U0&amp;row=1901&amp;col=7&amp;number=0.0143&amp;sourceID=14","0.0143")</f>
        <v>0.0143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HYPERLINK("http://141.218.60.56/~jnz1568/getInfo.php?workbook=06_02.xlsx&amp;sheet=U0&amp;row=1902&amp;col=6&amp;number=4.8&amp;sourceID=14","4.8")</f>
        <v>4.8</v>
      </c>
      <c r="G1902" s="4" t="str">
        <f>HYPERLINK("http://141.218.60.56/~jnz1568/getInfo.php?workbook=06_02.xlsx&amp;sheet=U0&amp;row=1902&amp;col=7&amp;number=0.0141&amp;sourceID=14","0.0141")</f>
        <v>0.0141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HYPERLINK("http://141.218.60.56/~jnz1568/getInfo.php?workbook=06_02.xlsx&amp;sheet=U0&amp;row=1903&amp;col=6&amp;number=4.9&amp;sourceID=14","4.9")</f>
        <v>4.9</v>
      </c>
      <c r="G1903" s="4" t="str">
        <f>HYPERLINK("http://141.218.60.56/~jnz1568/getInfo.php?workbook=06_02.xlsx&amp;sheet=U0&amp;row=1903&amp;col=7&amp;number=0.0138&amp;sourceID=14","0.0138")</f>
        <v>0.0138</v>
      </c>
    </row>
    <row r="1904" spans="1:7">
      <c r="A1904" s="3">
        <v>6</v>
      </c>
      <c r="B1904" s="3">
        <v>2</v>
      </c>
      <c r="C1904" s="3">
        <v>3</v>
      </c>
      <c r="D1904" s="3">
        <v>13</v>
      </c>
      <c r="E1904" s="3">
        <v>1</v>
      </c>
      <c r="F1904" s="4" t="str">
        <f>HYPERLINK("http://141.218.60.56/~jnz1568/getInfo.php?workbook=06_02.xlsx&amp;sheet=U0&amp;row=1904&amp;col=6&amp;number=3&amp;sourceID=14","3")</f>
        <v>3</v>
      </c>
      <c r="G1904" s="4" t="str">
        <f>HYPERLINK("http://141.218.60.56/~jnz1568/getInfo.php?workbook=06_02.xlsx&amp;sheet=U0&amp;row=1904&amp;col=7&amp;number=0.0619&amp;sourceID=14","0.0619")</f>
        <v>0.0619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HYPERLINK("http://141.218.60.56/~jnz1568/getInfo.php?workbook=06_02.xlsx&amp;sheet=U0&amp;row=1905&amp;col=6&amp;number=3.1&amp;sourceID=14","3.1")</f>
        <v>3.1</v>
      </c>
      <c r="G1905" s="4" t="str">
        <f>HYPERLINK("http://141.218.60.56/~jnz1568/getInfo.php?workbook=06_02.xlsx&amp;sheet=U0&amp;row=1905&amp;col=7&amp;number=0.0619&amp;sourceID=14","0.0619")</f>
        <v>0.0619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HYPERLINK("http://141.218.60.56/~jnz1568/getInfo.php?workbook=06_02.xlsx&amp;sheet=U0&amp;row=1906&amp;col=6&amp;number=3.2&amp;sourceID=14","3.2")</f>
        <v>3.2</v>
      </c>
      <c r="G1906" s="4" t="str">
        <f>HYPERLINK("http://141.218.60.56/~jnz1568/getInfo.php?workbook=06_02.xlsx&amp;sheet=U0&amp;row=1906&amp;col=7&amp;number=0.062&amp;sourceID=14","0.062")</f>
        <v>0.062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HYPERLINK("http://141.218.60.56/~jnz1568/getInfo.php?workbook=06_02.xlsx&amp;sheet=U0&amp;row=1907&amp;col=6&amp;number=3.3&amp;sourceID=14","3.3")</f>
        <v>3.3</v>
      </c>
      <c r="G1907" s="4" t="str">
        <f>HYPERLINK("http://141.218.60.56/~jnz1568/getInfo.php?workbook=06_02.xlsx&amp;sheet=U0&amp;row=1907&amp;col=7&amp;number=0.062&amp;sourceID=14","0.062")</f>
        <v>0.062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HYPERLINK("http://141.218.60.56/~jnz1568/getInfo.php?workbook=06_02.xlsx&amp;sheet=U0&amp;row=1908&amp;col=6&amp;number=3.4&amp;sourceID=14","3.4")</f>
        <v>3.4</v>
      </c>
      <c r="G1908" s="4" t="str">
        <f>HYPERLINK("http://141.218.60.56/~jnz1568/getInfo.php?workbook=06_02.xlsx&amp;sheet=U0&amp;row=1908&amp;col=7&amp;number=0.0621&amp;sourceID=14","0.0621")</f>
        <v>0.0621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HYPERLINK("http://141.218.60.56/~jnz1568/getInfo.php?workbook=06_02.xlsx&amp;sheet=U0&amp;row=1909&amp;col=6&amp;number=3.5&amp;sourceID=14","3.5")</f>
        <v>3.5</v>
      </c>
      <c r="G1909" s="4" t="str">
        <f>HYPERLINK("http://141.218.60.56/~jnz1568/getInfo.php?workbook=06_02.xlsx&amp;sheet=U0&amp;row=1909&amp;col=7&amp;number=0.0622&amp;sourceID=14","0.0622")</f>
        <v>0.0622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HYPERLINK("http://141.218.60.56/~jnz1568/getInfo.php?workbook=06_02.xlsx&amp;sheet=U0&amp;row=1910&amp;col=6&amp;number=3.6&amp;sourceID=14","3.6")</f>
        <v>3.6</v>
      </c>
      <c r="G1910" s="4" t="str">
        <f>HYPERLINK("http://141.218.60.56/~jnz1568/getInfo.php?workbook=06_02.xlsx&amp;sheet=U0&amp;row=1910&amp;col=7&amp;number=0.0624&amp;sourceID=14","0.0624")</f>
        <v>0.0624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HYPERLINK("http://141.218.60.56/~jnz1568/getInfo.php?workbook=06_02.xlsx&amp;sheet=U0&amp;row=1911&amp;col=6&amp;number=3.7&amp;sourceID=14","3.7")</f>
        <v>3.7</v>
      </c>
      <c r="G1911" s="4" t="str">
        <f>HYPERLINK("http://141.218.60.56/~jnz1568/getInfo.php?workbook=06_02.xlsx&amp;sheet=U0&amp;row=1911&amp;col=7&amp;number=0.0625&amp;sourceID=14","0.0625")</f>
        <v>0.0625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HYPERLINK("http://141.218.60.56/~jnz1568/getInfo.php?workbook=06_02.xlsx&amp;sheet=U0&amp;row=1912&amp;col=6&amp;number=3.8&amp;sourceID=14","3.8")</f>
        <v>3.8</v>
      </c>
      <c r="G1912" s="4" t="str">
        <f>HYPERLINK("http://141.218.60.56/~jnz1568/getInfo.php?workbook=06_02.xlsx&amp;sheet=U0&amp;row=1912&amp;col=7&amp;number=0.0628&amp;sourceID=14","0.0628")</f>
        <v>0.0628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HYPERLINK("http://141.218.60.56/~jnz1568/getInfo.php?workbook=06_02.xlsx&amp;sheet=U0&amp;row=1913&amp;col=6&amp;number=3.9&amp;sourceID=14","3.9")</f>
        <v>3.9</v>
      </c>
      <c r="G1913" s="4" t="str">
        <f>HYPERLINK("http://141.218.60.56/~jnz1568/getInfo.php?workbook=06_02.xlsx&amp;sheet=U0&amp;row=1913&amp;col=7&amp;number=0.063&amp;sourceID=14","0.063")</f>
        <v>0.063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HYPERLINK("http://141.218.60.56/~jnz1568/getInfo.php?workbook=06_02.xlsx&amp;sheet=U0&amp;row=1914&amp;col=6&amp;number=4&amp;sourceID=14","4")</f>
        <v>4</v>
      </c>
      <c r="G1914" s="4" t="str">
        <f>HYPERLINK("http://141.218.60.56/~jnz1568/getInfo.php?workbook=06_02.xlsx&amp;sheet=U0&amp;row=1914&amp;col=7&amp;number=0.0634&amp;sourceID=14","0.0634")</f>
        <v>0.0634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HYPERLINK("http://141.218.60.56/~jnz1568/getInfo.php?workbook=06_02.xlsx&amp;sheet=U0&amp;row=1915&amp;col=6&amp;number=4.1&amp;sourceID=14","4.1")</f>
        <v>4.1</v>
      </c>
      <c r="G1915" s="4" t="str">
        <f>HYPERLINK("http://141.218.60.56/~jnz1568/getInfo.php?workbook=06_02.xlsx&amp;sheet=U0&amp;row=1915&amp;col=7&amp;number=0.0638&amp;sourceID=14","0.0638")</f>
        <v>0.0638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HYPERLINK("http://141.218.60.56/~jnz1568/getInfo.php?workbook=06_02.xlsx&amp;sheet=U0&amp;row=1916&amp;col=6&amp;number=4.2&amp;sourceID=14","4.2")</f>
        <v>4.2</v>
      </c>
      <c r="G1916" s="4" t="str">
        <f>HYPERLINK("http://141.218.60.56/~jnz1568/getInfo.php?workbook=06_02.xlsx&amp;sheet=U0&amp;row=1916&amp;col=7&amp;number=0.0644&amp;sourceID=14","0.0644")</f>
        <v>0.0644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HYPERLINK("http://141.218.60.56/~jnz1568/getInfo.php?workbook=06_02.xlsx&amp;sheet=U0&amp;row=1917&amp;col=6&amp;number=4.3&amp;sourceID=14","4.3")</f>
        <v>4.3</v>
      </c>
      <c r="G1917" s="4" t="str">
        <f>HYPERLINK("http://141.218.60.56/~jnz1568/getInfo.php?workbook=06_02.xlsx&amp;sheet=U0&amp;row=1917&amp;col=7&amp;number=0.065&amp;sourceID=14","0.065")</f>
        <v>0.065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HYPERLINK("http://141.218.60.56/~jnz1568/getInfo.php?workbook=06_02.xlsx&amp;sheet=U0&amp;row=1918&amp;col=6&amp;number=4.4&amp;sourceID=14","4.4")</f>
        <v>4.4</v>
      </c>
      <c r="G1918" s="4" t="str">
        <f>HYPERLINK("http://141.218.60.56/~jnz1568/getInfo.php?workbook=06_02.xlsx&amp;sheet=U0&amp;row=1918&amp;col=7&amp;number=0.0659&amp;sourceID=14","0.0659")</f>
        <v>0.0659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HYPERLINK("http://141.218.60.56/~jnz1568/getInfo.php?workbook=06_02.xlsx&amp;sheet=U0&amp;row=1919&amp;col=6&amp;number=4.5&amp;sourceID=14","4.5")</f>
        <v>4.5</v>
      </c>
      <c r="G1919" s="4" t="str">
        <f>HYPERLINK("http://141.218.60.56/~jnz1568/getInfo.php?workbook=06_02.xlsx&amp;sheet=U0&amp;row=1919&amp;col=7&amp;number=0.067&amp;sourceID=14","0.067")</f>
        <v>0.067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HYPERLINK("http://141.218.60.56/~jnz1568/getInfo.php?workbook=06_02.xlsx&amp;sheet=U0&amp;row=1920&amp;col=6&amp;number=4.6&amp;sourceID=14","4.6")</f>
        <v>4.6</v>
      </c>
      <c r="G1920" s="4" t="str">
        <f>HYPERLINK("http://141.218.60.56/~jnz1568/getInfo.php?workbook=06_02.xlsx&amp;sheet=U0&amp;row=1920&amp;col=7&amp;number=0.0683&amp;sourceID=14","0.0683")</f>
        <v>0.0683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HYPERLINK("http://141.218.60.56/~jnz1568/getInfo.php?workbook=06_02.xlsx&amp;sheet=U0&amp;row=1921&amp;col=6&amp;number=4.7&amp;sourceID=14","4.7")</f>
        <v>4.7</v>
      </c>
      <c r="G1921" s="4" t="str">
        <f>HYPERLINK("http://141.218.60.56/~jnz1568/getInfo.php?workbook=06_02.xlsx&amp;sheet=U0&amp;row=1921&amp;col=7&amp;number=0.07&amp;sourceID=14","0.07")</f>
        <v>0.07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HYPERLINK("http://141.218.60.56/~jnz1568/getInfo.php?workbook=06_02.xlsx&amp;sheet=U0&amp;row=1922&amp;col=6&amp;number=4.8&amp;sourceID=14","4.8")</f>
        <v>4.8</v>
      </c>
      <c r="G1922" s="4" t="str">
        <f>HYPERLINK("http://141.218.60.56/~jnz1568/getInfo.php?workbook=06_02.xlsx&amp;sheet=U0&amp;row=1922&amp;col=7&amp;number=0.0721&amp;sourceID=14","0.0721")</f>
        <v>0.0721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HYPERLINK("http://141.218.60.56/~jnz1568/getInfo.php?workbook=06_02.xlsx&amp;sheet=U0&amp;row=1923&amp;col=6&amp;number=4.9&amp;sourceID=14","4.9")</f>
        <v>4.9</v>
      </c>
      <c r="G1923" s="4" t="str">
        <f>HYPERLINK("http://141.218.60.56/~jnz1568/getInfo.php?workbook=06_02.xlsx&amp;sheet=U0&amp;row=1923&amp;col=7&amp;number=0.0747&amp;sourceID=14","0.0747")</f>
        <v>0.0747</v>
      </c>
    </row>
    <row r="1924" spans="1:7">
      <c r="A1924" s="3">
        <v>6</v>
      </c>
      <c r="B1924" s="3">
        <v>2</v>
      </c>
      <c r="C1924" s="3">
        <v>3</v>
      </c>
      <c r="D1924" s="3">
        <v>14</v>
      </c>
      <c r="E1924" s="3">
        <v>1</v>
      </c>
      <c r="F1924" s="4" t="str">
        <f>HYPERLINK("http://141.218.60.56/~jnz1568/getInfo.php?workbook=06_02.xlsx&amp;sheet=U0&amp;row=1924&amp;col=6&amp;number=3&amp;sourceID=14","3")</f>
        <v>3</v>
      </c>
      <c r="G1924" s="4" t="str">
        <f>HYPERLINK("http://141.218.60.56/~jnz1568/getInfo.php?workbook=06_02.xlsx&amp;sheet=U0&amp;row=1924&amp;col=7&amp;number=0.0174&amp;sourceID=14","0.0174")</f>
        <v>0.0174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HYPERLINK("http://141.218.60.56/~jnz1568/getInfo.php?workbook=06_02.xlsx&amp;sheet=U0&amp;row=1925&amp;col=6&amp;number=3.1&amp;sourceID=14","3.1")</f>
        <v>3.1</v>
      </c>
      <c r="G1925" s="4" t="str">
        <f>HYPERLINK("http://141.218.60.56/~jnz1568/getInfo.php?workbook=06_02.xlsx&amp;sheet=U0&amp;row=1925&amp;col=7&amp;number=0.0174&amp;sourceID=14","0.0174")</f>
        <v>0.0174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HYPERLINK("http://141.218.60.56/~jnz1568/getInfo.php?workbook=06_02.xlsx&amp;sheet=U0&amp;row=1926&amp;col=6&amp;number=3.2&amp;sourceID=14","3.2")</f>
        <v>3.2</v>
      </c>
      <c r="G1926" s="4" t="str">
        <f>HYPERLINK("http://141.218.60.56/~jnz1568/getInfo.php?workbook=06_02.xlsx&amp;sheet=U0&amp;row=1926&amp;col=7&amp;number=0.0174&amp;sourceID=14","0.0174")</f>
        <v>0.0174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HYPERLINK("http://141.218.60.56/~jnz1568/getInfo.php?workbook=06_02.xlsx&amp;sheet=U0&amp;row=1927&amp;col=6&amp;number=3.3&amp;sourceID=14","3.3")</f>
        <v>3.3</v>
      </c>
      <c r="G1927" s="4" t="str">
        <f>HYPERLINK("http://141.218.60.56/~jnz1568/getInfo.php?workbook=06_02.xlsx&amp;sheet=U0&amp;row=1927&amp;col=7&amp;number=0.0174&amp;sourceID=14","0.0174")</f>
        <v>0.0174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HYPERLINK("http://141.218.60.56/~jnz1568/getInfo.php?workbook=06_02.xlsx&amp;sheet=U0&amp;row=1928&amp;col=6&amp;number=3.4&amp;sourceID=14","3.4")</f>
        <v>3.4</v>
      </c>
      <c r="G1928" s="4" t="str">
        <f>HYPERLINK("http://141.218.60.56/~jnz1568/getInfo.php?workbook=06_02.xlsx&amp;sheet=U0&amp;row=1928&amp;col=7&amp;number=0.0174&amp;sourceID=14","0.0174")</f>
        <v>0.0174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HYPERLINK("http://141.218.60.56/~jnz1568/getInfo.php?workbook=06_02.xlsx&amp;sheet=U0&amp;row=1929&amp;col=6&amp;number=3.5&amp;sourceID=14","3.5")</f>
        <v>3.5</v>
      </c>
      <c r="G1929" s="4" t="str">
        <f>HYPERLINK("http://141.218.60.56/~jnz1568/getInfo.php?workbook=06_02.xlsx&amp;sheet=U0&amp;row=1929&amp;col=7&amp;number=0.0173&amp;sourceID=14","0.0173")</f>
        <v>0.0173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HYPERLINK("http://141.218.60.56/~jnz1568/getInfo.php?workbook=06_02.xlsx&amp;sheet=U0&amp;row=1930&amp;col=6&amp;number=3.6&amp;sourceID=14","3.6")</f>
        <v>3.6</v>
      </c>
      <c r="G1930" s="4" t="str">
        <f>HYPERLINK("http://141.218.60.56/~jnz1568/getInfo.php?workbook=06_02.xlsx&amp;sheet=U0&amp;row=1930&amp;col=7&amp;number=0.0173&amp;sourceID=14","0.0173")</f>
        <v>0.0173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HYPERLINK("http://141.218.60.56/~jnz1568/getInfo.php?workbook=06_02.xlsx&amp;sheet=U0&amp;row=1931&amp;col=6&amp;number=3.7&amp;sourceID=14","3.7")</f>
        <v>3.7</v>
      </c>
      <c r="G1931" s="4" t="str">
        <f>HYPERLINK("http://141.218.60.56/~jnz1568/getInfo.php?workbook=06_02.xlsx&amp;sheet=U0&amp;row=1931&amp;col=7&amp;number=0.0173&amp;sourceID=14","0.0173")</f>
        <v>0.0173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HYPERLINK("http://141.218.60.56/~jnz1568/getInfo.php?workbook=06_02.xlsx&amp;sheet=U0&amp;row=1932&amp;col=6&amp;number=3.8&amp;sourceID=14","3.8")</f>
        <v>3.8</v>
      </c>
      <c r="G1932" s="4" t="str">
        <f>HYPERLINK("http://141.218.60.56/~jnz1568/getInfo.php?workbook=06_02.xlsx&amp;sheet=U0&amp;row=1932&amp;col=7&amp;number=0.0173&amp;sourceID=14","0.0173")</f>
        <v>0.0173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HYPERLINK("http://141.218.60.56/~jnz1568/getInfo.php?workbook=06_02.xlsx&amp;sheet=U0&amp;row=1933&amp;col=6&amp;number=3.9&amp;sourceID=14","3.9")</f>
        <v>3.9</v>
      </c>
      <c r="G1933" s="4" t="str">
        <f>HYPERLINK("http://141.218.60.56/~jnz1568/getInfo.php?workbook=06_02.xlsx&amp;sheet=U0&amp;row=1933&amp;col=7&amp;number=0.0172&amp;sourceID=14","0.0172")</f>
        <v>0.0172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HYPERLINK("http://141.218.60.56/~jnz1568/getInfo.php?workbook=06_02.xlsx&amp;sheet=U0&amp;row=1934&amp;col=6&amp;number=4&amp;sourceID=14","4")</f>
        <v>4</v>
      </c>
      <c r="G1934" s="4" t="str">
        <f>HYPERLINK("http://141.218.60.56/~jnz1568/getInfo.php?workbook=06_02.xlsx&amp;sheet=U0&amp;row=1934&amp;col=7&amp;number=0.0172&amp;sourceID=14","0.0172")</f>
        <v>0.0172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HYPERLINK("http://141.218.60.56/~jnz1568/getInfo.php?workbook=06_02.xlsx&amp;sheet=U0&amp;row=1935&amp;col=6&amp;number=4.1&amp;sourceID=14","4.1")</f>
        <v>4.1</v>
      </c>
      <c r="G1935" s="4" t="str">
        <f>HYPERLINK("http://141.218.60.56/~jnz1568/getInfo.php?workbook=06_02.xlsx&amp;sheet=U0&amp;row=1935&amp;col=7&amp;number=0.0171&amp;sourceID=14","0.0171")</f>
        <v>0.0171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HYPERLINK("http://141.218.60.56/~jnz1568/getInfo.php?workbook=06_02.xlsx&amp;sheet=U0&amp;row=1936&amp;col=6&amp;number=4.2&amp;sourceID=14","4.2")</f>
        <v>4.2</v>
      </c>
      <c r="G1936" s="4" t="str">
        <f>HYPERLINK("http://141.218.60.56/~jnz1568/getInfo.php?workbook=06_02.xlsx&amp;sheet=U0&amp;row=1936&amp;col=7&amp;number=0.017&amp;sourceID=14","0.017")</f>
        <v>0.017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HYPERLINK("http://141.218.60.56/~jnz1568/getInfo.php?workbook=06_02.xlsx&amp;sheet=U0&amp;row=1937&amp;col=6&amp;number=4.3&amp;sourceID=14","4.3")</f>
        <v>4.3</v>
      </c>
      <c r="G1937" s="4" t="str">
        <f>HYPERLINK("http://141.218.60.56/~jnz1568/getInfo.php?workbook=06_02.xlsx&amp;sheet=U0&amp;row=1937&amp;col=7&amp;number=0.0169&amp;sourceID=14","0.0169")</f>
        <v>0.0169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HYPERLINK("http://141.218.60.56/~jnz1568/getInfo.php?workbook=06_02.xlsx&amp;sheet=U0&amp;row=1938&amp;col=6&amp;number=4.4&amp;sourceID=14","4.4")</f>
        <v>4.4</v>
      </c>
      <c r="G1938" s="4" t="str">
        <f>HYPERLINK("http://141.218.60.56/~jnz1568/getInfo.php?workbook=06_02.xlsx&amp;sheet=U0&amp;row=1938&amp;col=7&amp;number=0.0168&amp;sourceID=14","0.0168")</f>
        <v>0.0168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HYPERLINK("http://141.218.60.56/~jnz1568/getInfo.php?workbook=06_02.xlsx&amp;sheet=U0&amp;row=1939&amp;col=6&amp;number=4.5&amp;sourceID=14","4.5")</f>
        <v>4.5</v>
      </c>
      <c r="G1939" s="4" t="str">
        <f>HYPERLINK("http://141.218.60.56/~jnz1568/getInfo.php?workbook=06_02.xlsx&amp;sheet=U0&amp;row=1939&amp;col=7&amp;number=0.0166&amp;sourceID=14","0.0166")</f>
        <v>0.0166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HYPERLINK("http://141.218.60.56/~jnz1568/getInfo.php?workbook=06_02.xlsx&amp;sheet=U0&amp;row=1940&amp;col=6&amp;number=4.6&amp;sourceID=14","4.6")</f>
        <v>4.6</v>
      </c>
      <c r="G1940" s="4" t="str">
        <f>HYPERLINK("http://141.218.60.56/~jnz1568/getInfo.php?workbook=06_02.xlsx&amp;sheet=U0&amp;row=1940&amp;col=7&amp;number=0.0164&amp;sourceID=14","0.0164")</f>
        <v>0.0164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HYPERLINK("http://141.218.60.56/~jnz1568/getInfo.php?workbook=06_02.xlsx&amp;sheet=U0&amp;row=1941&amp;col=6&amp;number=4.7&amp;sourceID=14","4.7")</f>
        <v>4.7</v>
      </c>
      <c r="G1941" s="4" t="str">
        <f>HYPERLINK("http://141.218.60.56/~jnz1568/getInfo.php?workbook=06_02.xlsx&amp;sheet=U0&amp;row=1941&amp;col=7&amp;number=0.0162&amp;sourceID=14","0.0162")</f>
        <v>0.0162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HYPERLINK("http://141.218.60.56/~jnz1568/getInfo.php?workbook=06_02.xlsx&amp;sheet=U0&amp;row=1942&amp;col=6&amp;number=4.8&amp;sourceID=14","4.8")</f>
        <v>4.8</v>
      </c>
      <c r="G1942" s="4" t="str">
        <f>HYPERLINK("http://141.218.60.56/~jnz1568/getInfo.php?workbook=06_02.xlsx&amp;sheet=U0&amp;row=1942&amp;col=7&amp;number=0.0159&amp;sourceID=14","0.0159")</f>
        <v>0.0159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HYPERLINK("http://141.218.60.56/~jnz1568/getInfo.php?workbook=06_02.xlsx&amp;sheet=U0&amp;row=1943&amp;col=6&amp;number=4.9&amp;sourceID=14","4.9")</f>
        <v>4.9</v>
      </c>
      <c r="G1943" s="4" t="str">
        <f>HYPERLINK("http://141.218.60.56/~jnz1568/getInfo.php?workbook=06_02.xlsx&amp;sheet=U0&amp;row=1943&amp;col=7&amp;number=0.0155&amp;sourceID=14","0.0155")</f>
        <v>0.0155</v>
      </c>
    </row>
    <row r="1944" spans="1:7">
      <c r="A1944" s="3">
        <v>6</v>
      </c>
      <c r="B1944" s="3">
        <v>2</v>
      </c>
      <c r="C1944" s="3">
        <v>3</v>
      </c>
      <c r="D1944" s="3">
        <v>15</v>
      </c>
      <c r="E1944" s="3">
        <v>1</v>
      </c>
      <c r="F1944" s="4" t="str">
        <f>HYPERLINK("http://141.218.60.56/~jnz1568/getInfo.php?workbook=06_02.xlsx&amp;sheet=U0&amp;row=1944&amp;col=6&amp;number=3&amp;sourceID=14","3")</f>
        <v>3</v>
      </c>
      <c r="G1944" s="4" t="str">
        <f>HYPERLINK("http://141.218.60.56/~jnz1568/getInfo.php?workbook=06_02.xlsx&amp;sheet=U0&amp;row=1944&amp;col=7&amp;number=0.0286&amp;sourceID=14","0.0286")</f>
        <v>0.0286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HYPERLINK("http://141.218.60.56/~jnz1568/getInfo.php?workbook=06_02.xlsx&amp;sheet=U0&amp;row=1945&amp;col=6&amp;number=3.1&amp;sourceID=14","3.1")</f>
        <v>3.1</v>
      </c>
      <c r="G1945" s="4" t="str">
        <f>HYPERLINK("http://141.218.60.56/~jnz1568/getInfo.php?workbook=06_02.xlsx&amp;sheet=U0&amp;row=1945&amp;col=7&amp;number=0.0286&amp;sourceID=14","0.0286")</f>
        <v>0.0286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HYPERLINK("http://141.218.60.56/~jnz1568/getInfo.php?workbook=06_02.xlsx&amp;sheet=U0&amp;row=1946&amp;col=6&amp;number=3.2&amp;sourceID=14","3.2")</f>
        <v>3.2</v>
      </c>
      <c r="G1946" s="4" t="str">
        <f>HYPERLINK("http://141.218.60.56/~jnz1568/getInfo.php?workbook=06_02.xlsx&amp;sheet=U0&amp;row=1946&amp;col=7&amp;number=0.0286&amp;sourceID=14","0.0286")</f>
        <v>0.0286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HYPERLINK("http://141.218.60.56/~jnz1568/getInfo.php?workbook=06_02.xlsx&amp;sheet=U0&amp;row=1947&amp;col=6&amp;number=3.3&amp;sourceID=14","3.3")</f>
        <v>3.3</v>
      </c>
      <c r="G1947" s="4" t="str">
        <f>HYPERLINK("http://141.218.60.56/~jnz1568/getInfo.php?workbook=06_02.xlsx&amp;sheet=U0&amp;row=1947&amp;col=7&amp;number=0.0285&amp;sourceID=14","0.0285")</f>
        <v>0.0285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HYPERLINK("http://141.218.60.56/~jnz1568/getInfo.php?workbook=06_02.xlsx&amp;sheet=U0&amp;row=1948&amp;col=6&amp;number=3.4&amp;sourceID=14","3.4")</f>
        <v>3.4</v>
      </c>
      <c r="G1948" s="4" t="str">
        <f>HYPERLINK("http://141.218.60.56/~jnz1568/getInfo.php?workbook=06_02.xlsx&amp;sheet=U0&amp;row=1948&amp;col=7&amp;number=0.0285&amp;sourceID=14","0.0285")</f>
        <v>0.0285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HYPERLINK("http://141.218.60.56/~jnz1568/getInfo.php?workbook=06_02.xlsx&amp;sheet=U0&amp;row=1949&amp;col=6&amp;number=3.5&amp;sourceID=14","3.5")</f>
        <v>3.5</v>
      </c>
      <c r="G1949" s="4" t="str">
        <f>HYPERLINK("http://141.218.60.56/~jnz1568/getInfo.php?workbook=06_02.xlsx&amp;sheet=U0&amp;row=1949&amp;col=7&amp;number=0.0285&amp;sourceID=14","0.0285")</f>
        <v>0.0285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HYPERLINK("http://141.218.60.56/~jnz1568/getInfo.php?workbook=06_02.xlsx&amp;sheet=U0&amp;row=1950&amp;col=6&amp;number=3.6&amp;sourceID=14","3.6")</f>
        <v>3.6</v>
      </c>
      <c r="G1950" s="4" t="str">
        <f>HYPERLINK("http://141.218.60.56/~jnz1568/getInfo.php?workbook=06_02.xlsx&amp;sheet=U0&amp;row=1950&amp;col=7&amp;number=0.0285&amp;sourceID=14","0.0285")</f>
        <v>0.0285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HYPERLINK("http://141.218.60.56/~jnz1568/getInfo.php?workbook=06_02.xlsx&amp;sheet=U0&amp;row=1951&amp;col=6&amp;number=3.7&amp;sourceID=14","3.7")</f>
        <v>3.7</v>
      </c>
      <c r="G1951" s="4" t="str">
        <f>HYPERLINK("http://141.218.60.56/~jnz1568/getInfo.php?workbook=06_02.xlsx&amp;sheet=U0&amp;row=1951&amp;col=7&amp;number=0.0284&amp;sourceID=14","0.0284")</f>
        <v>0.0284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HYPERLINK("http://141.218.60.56/~jnz1568/getInfo.php?workbook=06_02.xlsx&amp;sheet=U0&amp;row=1952&amp;col=6&amp;number=3.8&amp;sourceID=14","3.8")</f>
        <v>3.8</v>
      </c>
      <c r="G1952" s="4" t="str">
        <f>HYPERLINK("http://141.218.60.56/~jnz1568/getInfo.php?workbook=06_02.xlsx&amp;sheet=U0&amp;row=1952&amp;col=7&amp;number=0.0284&amp;sourceID=14","0.0284")</f>
        <v>0.0284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HYPERLINK("http://141.218.60.56/~jnz1568/getInfo.php?workbook=06_02.xlsx&amp;sheet=U0&amp;row=1953&amp;col=6&amp;number=3.9&amp;sourceID=14","3.9")</f>
        <v>3.9</v>
      </c>
      <c r="G1953" s="4" t="str">
        <f>HYPERLINK("http://141.218.60.56/~jnz1568/getInfo.php?workbook=06_02.xlsx&amp;sheet=U0&amp;row=1953&amp;col=7&amp;number=0.0283&amp;sourceID=14","0.0283")</f>
        <v>0.0283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HYPERLINK("http://141.218.60.56/~jnz1568/getInfo.php?workbook=06_02.xlsx&amp;sheet=U0&amp;row=1954&amp;col=6&amp;number=4&amp;sourceID=14","4")</f>
        <v>4</v>
      </c>
      <c r="G1954" s="4" t="str">
        <f>HYPERLINK("http://141.218.60.56/~jnz1568/getInfo.php?workbook=06_02.xlsx&amp;sheet=U0&amp;row=1954&amp;col=7&amp;number=0.0283&amp;sourceID=14","0.0283")</f>
        <v>0.0283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HYPERLINK("http://141.218.60.56/~jnz1568/getInfo.php?workbook=06_02.xlsx&amp;sheet=U0&amp;row=1955&amp;col=6&amp;number=4.1&amp;sourceID=14","4.1")</f>
        <v>4.1</v>
      </c>
      <c r="G1955" s="4" t="str">
        <f>HYPERLINK("http://141.218.60.56/~jnz1568/getInfo.php?workbook=06_02.xlsx&amp;sheet=U0&amp;row=1955&amp;col=7&amp;number=0.0282&amp;sourceID=14","0.0282")</f>
        <v>0.0282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HYPERLINK("http://141.218.60.56/~jnz1568/getInfo.php?workbook=06_02.xlsx&amp;sheet=U0&amp;row=1956&amp;col=6&amp;number=4.2&amp;sourceID=14","4.2")</f>
        <v>4.2</v>
      </c>
      <c r="G1956" s="4" t="str">
        <f>HYPERLINK("http://141.218.60.56/~jnz1568/getInfo.php?workbook=06_02.xlsx&amp;sheet=U0&amp;row=1956&amp;col=7&amp;number=0.0281&amp;sourceID=14","0.0281")</f>
        <v>0.0281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HYPERLINK("http://141.218.60.56/~jnz1568/getInfo.php?workbook=06_02.xlsx&amp;sheet=U0&amp;row=1957&amp;col=6&amp;number=4.3&amp;sourceID=14","4.3")</f>
        <v>4.3</v>
      </c>
      <c r="G1957" s="4" t="str">
        <f>HYPERLINK("http://141.218.60.56/~jnz1568/getInfo.php?workbook=06_02.xlsx&amp;sheet=U0&amp;row=1957&amp;col=7&amp;number=0.0279&amp;sourceID=14","0.0279")</f>
        <v>0.0279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HYPERLINK("http://141.218.60.56/~jnz1568/getInfo.php?workbook=06_02.xlsx&amp;sheet=U0&amp;row=1958&amp;col=6&amp;number=4.4&amp;sourceID=14","4.4")</f>
        <v>4.4</v>
      </c>
      <c r="G1958" s="4" t="str">
        <f>HYPERLINK("http://141.218.60.56/~jnz1568/getInfo.php?workbook=06_02.xlsx&amp;sheet=U0&amp;row=1958&amp;col=7&amp;number=0.0277&amp;sourceID=14","0.0277")</f>
        <v>0.0277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HYPERLINK("http://141.218.60.56/~jnz1568/getInfo.php?workbook=06_02.xlsx&amp;sheet=U0&amp;row=1959&amp;col=6&amp;number=4.5&amp;sourceID=14","4.5")</f>
        <v>4.5</v>
      </c>
      <c r="G1959" s="4" t="str">
        <f>HYPERLINK("http://141.218.60.56/~jnz1568/getInfo.php?workbook=06_02.xlsx&amp;sheet=U0&amp;row=1959&amp;col=7&amp;number=0.0275&amp;sourceID=14","0.0275")</f>
        <v>0.0275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HYPERLINK("http://141.218.60.56/~jnz1568/getInfo.php?workbook=06_02.xlsx&amp;sheet=U0&amp;row=1960&amp;col=6&amp;number=4.6&amp;sourceID=14","4.6")</f>
        <v>4.6</v>
      </c>
      <c r="G1960" s="4" t="str">
        <f>HYPERLINK("http://141.218.60.56/~jnz1568/getInfo.php?workbook=06_02.xlsx&amp;sheet=U0&amp;row=1960&amp;col=7&amp;number=0.0272&amp;sourceID=14","0.0272")</f>
        <v>0.0272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HYPERLINK("http://141.218.60.56/~jnz1568/getInfo.php?workbook=06_02.xlsx&amp;sheet=U0&amp;row=1961&amp;col=6&amp;number=4.7&amp;sourceID=14","4.7")</f>
        <v>4.7</v>
      </c>
      <c r="G1961" s="4" t="str">
        <f>HYPERLINK("http://141.218.60.56/~jnz1568/getInfo.php?workbook=06_02.xlsx&amp;sheet=U0&amp;row=1961&amp;col=7&amp;number=0.0269&amp;sourceID=14","0.0269")</f>
        <v>0.0269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HYPERLINK("http://141.218.60.56/~jnz1568/getInfo.php?workbook=06_02.xlsx&amp;sheet=U0&amp;row=1962&amp;col=6&amp;number=4.8&amp;sourceID=14","4.8")</f>
        <v>4.8</v>
      </c>
      <c r="G1962" s="4" t="str">
        <f>HYPERLINK("http://141.218.60.56/~jnz1568/getInfo.php?workbook=06_02.xlsx&amp;sheet=U0&amp;row=1962&amp;col=7&amp;number=0.0265&amp;sourceID=14","0.0265")</f>
        <v>0.0265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HYPERLINK("http://141.218.60.56/~jnz1568/getInfo.php?workbook=06_02.xlsx&amp;sheet=U0&amp;row=1963&amp;col=6&amp;number=4.9&amp;sourceID=14","4.9")</f>
        <v>4.9</v>
      </c>
      <c r="G1963" s="4" t="str">
        <f>HYPERLINK("http://141.218.60.56/~jnz1568/getInfo.php?workbook=06_02.xlsx&amp;sheet=U0&amp;row=1963&amp;col=7&amp;number=0.0259&amp;sourceID=14","0.0259")</f>
        <v>0.0259</v>
      </c>
    </row>
    <row r="1964" spans="1:7">
      <c r="A1964" s="3">
        <v>6</v>
      </c>
      <c r="B1964" s="3">
        <v>2</v>
      </c>
      <c r="C1964" s="3">
        <v>3</v>
      </c>
      <c r="D1964" s="3">
        <v>16</v>
      </c>
      <c r="E1964" s="3">
        <v>1</v>
      </c>
      <c r="F1964" s="4" t="str">
        <f>HYPERLINK("http://141.218.60.56/~jnz1568/getInfo.php?workbook=06_02.xlsx&amp;sheet=U0&amp;row=1964&amp;col=6&amp;number=3&amp;sourceID=14","3")</f>
        <v>3</v>
      </c>
      <c r="G1964" s="4" t="str">
        <f>HYPERLINK("http://141.218.60.56/~jnz1568/getInfo.php?workbook=06_02.xlsx&amp;sheet=U0&amp;row=1964&amp;col=7&amp;number=0.0406&amp;sourceID=14","0.0406")</f>
        <v>0.0406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HYPERLINK("http://141.218.60.56/~jnz1568/getInfo.php?workbook=06_02.xlsx&amp;sheet=U0&amp;row=1965&amp;col=6&amp;number=3.1&amp;sourceID=14","3.1")</f>
        <v>3.1</v>
      </c>
      <c r="G1965" s="4" t="str">
        <f>HYPERLINK("http://141.218.60.56/~jnz1568/getInfo.php?workbook=06_02.xlsx&amp;sheet=U0&amp;row=1965&amp;col=7&amp;number=0.0406&amp;sourceID=14","0.0406")</f>
        <v>0.0406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HYPERLINK("http://141.218.60.56/~jnz1568/getInfo.php?workbook=06_02.xlsx&amp;sheet=U0&amp;row=1966&amp;col=6&amp;number=3.2&amp;sourceID=14","3.2")</f>
        <v>3.2</v>
      </c>
      <c r="G1966" s="4" t="str">
        <f>HYPERLINK("http://141.218.60.56/~jnz1568/getInfo.php?workbook=06_02.xlsx&amp;sheet=U0&amp;row=1966&amp;col=7&amp;number=0.0406&amp;sourceID=14","0.0406")</f>
        <v>0.0406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HYPERLINK("http://141.218.60.56/~jnz1568/getInfo.php?workbook=06_02.xlsx&amp;sheet=U0&amp;row=1967&amp;col=6&amp;number=3.3&amp;sourceID=14","3.3")</f>
        <v>3.3</v>
      </c>
      <c r="G1967" s="4" t="str">
        <f>HYPERLINK("http://141.218.60.56/~jnz1568/getInfo.php?workbook=06_02.xlsx&amp;sheet=U0&amp;row=1967&amp;col=7&amp;number=0.0405&amp;sourceID=14","0.0405")</f>
        <v>0.0405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HYPERLINK("http://141.218.60.56/~jnz1568/getInfo.php?workbook=06_02.xlsx&amp;sheet=U0&amp;row=1968&amp;col=6&amp;number=3.4&amp;sourceID=14","3.4")</f>
        <v>3.4</v>
      </c>
      <c r="G1968" s="4" t="str">
        <f>HYPERLINK("http://141.218.60.56/~jnz1568/getInfo.php?workbook=06_02.xlsx&amp;sheet=U0&amp;row=1968&amp;col=7&amp;number=0.0405&amp;sourceID=14","0.0405")</f>
        <v>0.0405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HYPERLINK("http://141.218.60.56/~jnz1568/getInfo.php?workbook=06_02.xlsx&amp;sheet=U0&amp;row=1969&amp;col=6&amp;number=3.5&amp;sourceID=14","3.5")</f>
        <v>3.5</v>
      </c>
      <c r="G1969" s="4" t="str">
        <f>HYPERLINK("http://141.218.60.56/~jnz1568/getInfo.php?workbook=06_02.xlsx&amp;sheet=U0&amp;row=1969&amp;col=7&amp;number=0.0405&amp;sourceID=14","0.0405")</f>
        <v>0.0405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HYPERLINK("http://141.218.60.56/~jnz1568/getInfo.php?workbook=06_02.xlsx&amp;sheet=U0&amp;row=1970&amp;col=6&amp;number=3.6&amp;sourceID=14","3.6")</f>
        <v>3.6</v>
      </c>
      <c r="G1970" s="4" t="str">
        <f>HYPERLINK("http://141.218.60.56/~jnz1568/getInfo.php?workbook=06_02.xlsx&amp;sheet=U0&amp;row=1970&amp;col=7&amp;number=0.0404&amp;sourceID=14","0.0404")</f>
        <v>0.0404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HYPERLINK("http://141.218.60.56/~jnz1568/getInfo.php?workbook=06_02.xlsx&amp;sheet=U0&amp;row=1971&amp;col=6&amp;number=3.7&amp;sourceID=14","3.7")</f>
        <v>3.7</v>
      </c>
      <c r="G1971" s="4" t="str">
        <f>HYPERLINK("http://141.218.60.56/~jnz1568/getInfo.php?workbook=06_02.xlsx&amp;sheet=U0&amp;row=1971&amp;col=7&amp;number=0.0403&amp;sourceID=14","0.0403")</f>
        <v>0.0403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HYPERLINK("http://141.218.60.56/~jnz1568/getInfo.php?workbook=06_02.xlsx&amp;sheet=U0&amp;row=1972&amp;col=6&amp;number=3.8&amp;sourceID=14","3.8")</f>
        <v>3.8</v>
      </c>
      <c r="G1972" s="4" t="str">
        <f>HYPERLINK("http://141.218.60.56/~jnz1568/getInfo.php?workbook=06_02.xlsx&amp;sheet=U0&amp;row=1972&amp;col=7&amp;number=0.0403&amp;sourceID=14","0.0403")</f>
        <v>0.0403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HYPERLINK("http://141.218.60.56/~jnz1568/getInfo.php?workbook=06_02.xlsx&amp;sheet=U0&amp;row=1973&amp;col=6&amp;number=3.9&amp;sourceID=14","3.9")</f>
        <v>3.9</v>
      </c>
      <c r="G1973" s="4" t="str">
        <f>HYPERLINK("http://141.218.60.56/~jnz1568/getInfo.php?workbook=06_02.xlsx&amp;sheet=U0&amp;row=1973&amp;col=7&amp;number=0.0402&amp;sourceID=14","0.0402")</f>
        <v>0.0402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HYPERLINK("http://141.218.60.56/~jnz1568/getInfo.php?workbook=06_02.xlsx&amp;sheet=U0&amp;row=1974&amp;col=6&amp;number=4&amp;sourceID=14","4")</f>
        <v>4</v>
      </c>
      <c r="G1974" s="4" t="str">
        <f>HYPERLINK("http://141.218.60.56/~jnz1568/getInfo.php?workbook=06_02.xlsx&amp;sheet=U0&amp;row=1974&amp;col=7&amp;number=0.04&amp;sourceID=14","0.04")</f>
        <v>0.04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HYPERLINK("http://141.218.60.56/~jnz1568/getInfo.php?workbook=06_02.xlsx&amp;sheet=U0&amp;row=1975&amp;col=6&amp;number=4.1&amp;sourceID=14","4.1")</f>
        <v>4.1</v>
      </c>
      <c r="G1975" s="4" t="str">
        <f>HYPERLINK("http://141.218.60.56/~jnz1568/getInfo.php?workbook=06_02.xlsx&amp;sheet=U0&amp;row=1975&amp;col=7&amp;number=0.0399&amp;sourceID=14","0.0399")</f>
        <v>0.0399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HYPERLINK("http://141.218.60.56/~jnz1568/getInfo.php?workbook=06_02.xlsx&amp;sheet=U0&amp;row=1976&amp;col=6&amp;number=4.2&amp;sourceID=14","4.2")</f>
        <v>4.2</v>
      </c>
      <c r="G1976" s="4" t="str">
        <f>HYPERLINK("http://141.218.60.56/~jnz1568/getInfo.php?workbook=06_02.xlsx&amp;sheet=U0&amp;row=1976&amp;col=7&amp;number=0.0397&amp;sourceID=14","0.0397")</f>
        <v>0.0397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HYPERLINK("http://141.218.60.56/~jnz1568/getInfo.php?workbook=06_02.xlsx&amp;sheet=U0&amp;row=1977&amp;col=6&amp;number=4.3&amp;sourceID=14","4.3")</f>
        <v>4.3</v>
      </c>
      <c r="G1977" s="4" t="str">
        <f>HYPERLINK("http://141.218.60.56/~jnz1568/getInfo.php?workbook=06_02.xlsx&amp;sheet=U0&amp;row=1977&amp;col=7&amp;number=0.0394&amp;sourceID=14","0.0394")</f>
        <v>0.0394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HYPERLINK("http://141.218.60.56/~jnz1568/getInfo.php?workbook=06_02.xlsx&amp;sheet=U0&amp;row=1978&amp;col=6&amp;number=4.4&amp;sourceID=14","4.4")</f>
        <v>4.4</v>
      </c>
      <c r="G1978" s="4" t="str">
        <f>HYPERLINK("http://141.218.60.56/~jnz1568/getInfo.php?workbook=06_02.xlsx&amp;sheet=U0&amp;row=1978&amp;col=7&amp;number=0.0391&amp;sourceID=14","0.0391")</f>
        <v>0.0391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HYPERLINK("http://141.218.60.56/~jnz1568/getInfo.php?workbook=06_02.xlsx&amp;sheet=U0&amp;row=1979&amp;col=6&amp;number=4.5&amp;sourceID=14","4.5")</f>
        <v>4.5</v>
      </c>
      <c r="G1979" s="4" t="str">
        <f>HYPERLINK("http://141.218.60.56/~jnz1568/getInfo.php?workbook=06_02.xlsx&amp;sheet=U0&amp;row=1979&amp;col=7&amp;number=0.0387&amp;sourceID=14","0.0387")</f>
        <v>0.0387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HYPERLINK("http://141.218.60.56/~jnz1568/getInfo.php?workbook=06_02.xlsx&amp;sheet=U0&amp;row=1980&amp;col=6&amp;number=4.6&amp;sourceID=14","4.6")</f>
        <v>4.6</v>
      </c>
      <c r="G1980" s="4" t="str">
        <f>HYPERLINK("http://141.218.60.56/~jnz1568/getInfo.php?workbook=06_02.xlsx&amp;sheet=U0&amp;row=1980&amp;col=7&amp;number=0.0383&amp;sourceID=14","0.0383")</f>
        <v>0.0383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HYPERLINK("http://141.218.60.56/~jnz1568/getInfo.php?workbook=06_02.xlsx&amp;sheet=U0&amp;row=1981&amp;col=6&amp;number=4.7&amp;sourceID=14","4.7")</f>
        <v>4.7</v>
      </c>
      <c r="G1981" s="4" t="str">
        <f>HYPERLINK("http://141.218.60.56/~jnz1568/getInfo.php?workbook=06_02.xlsx&amp;sheet=U0&amp;row=1981&amp;col=7&amp;number=0.0377&amp;sourceID=14","0.0377")</f>
        <v>0.0377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HYPERLINK("http://141.218.60.56/~jnz1568/getInfo.php?workbook=06_02.xlsx&amp;sheet=U0&amp;row=1982&amp;col=6&amp;number=4.8&amp;sourceID=14","4.8")</f>
        <v>4.8</v>
      </c>
      <c r="G1982" s="4" t="str">
        <f>HYPERLINK("http://141.218.60.56/~jnz1568/getInfo.php?workbook=06_02.xlsx&amp;sheet=U0&amp;row=1982&amp;col=7&amp;number=0.037&amp;sourceID=14","0.037")</f>
        <v>0.037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HYPERLINK("http://141.218.60.56/~jnz1568/getInfo.php?workbook=06_02.xlsx&amp;sheet=U0&amp;row=1983&amp;col=6&amp;number=4.9&amp;sourceID=14","4.9")</f>
        <v>4.9</v>
      </c>
      <c r="G1983" s="4" t="str">
        <f>HYPERLINK("http://141.218.60.56/~jnz1568/getInfo.php?workbook=06_02.xlsx&amp;sheet=U0&amp;row=1983&amp;col=7&amp;number=0.0362&amp;sourceID=14","0.0362")</f>
        <v>0.0362</v>
      </c>
    </row>
    <row r="1984" spans="1:7">
      <c r="A1984" s="3">
        <v>6</v>
      </c>
      <c r="B1984" s="3">
        <v>2</v>
      </c>
      <c r="C1984" s="3">
        <v>3</v>
      </c>
      <c r="D1984" s="3">
        <v>17</v>
      </c>
      <c r="E1984" s="3">
        <v>1</v>
      </c>
      <c r="F1984" s="4" t="str">
        <f>HYPERLINK("http://141.218.60.56/~jnz1568/getInfo.php?workbook=06_02.xlsx&amp;sheet=U0&amp;row=1984&amp;col=6&amp;number=3&amp;sourceID=14","3")</f>
        <v>3</v>
      </c>
      <c r="G1984" s="4" t="str">
        <f>HYPERLINK("http://141.218.60.56/~jnz1568/getInfo.php?workbook=06_02.xlsx&amp;sheet=U0&amp;row=1984&amp;col=7&amp;number=0.212&amp;sourceID=14","0.212")</f>
        <v>0.212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HYPERLINK("http://141.218.60.56/~jnz1568/getInfo.php?workbook=06_02.xlsx&amp;sheet=U0&amp;row=1985&amp;col=6&amp;number=3.1&amp;sourceID=14","3.1")</f>
        <v>3.1</v>
      </c>
      <c r="G1985" s="4" t="str">
        <f>HYPERLINK("http://141.218.60.56/~jnz1568/getInfo.php?workbook=06_02.xlsx&amp;sheet=U0&amp;row=1985&amp;col=7&amp;number=0.212&amp;sourceID=14","0.212")</f>
        <v>0.212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HYPERLINK("http://141.218.60.56/~jnz1568/getInfo.php?workbook=06_02.xlsx&amp;sheet=U0&amp;row=1986&amp;col=6&amp;number=3.2&amp;sourceID=14","3.2")</f>
        <v>3.2</v>
      </c>
      <c r="G1986" s="4" t="str">
        <f>HYPERLINK("http://141.218.60.56/~jnz1568/getInfo.php?workbook=06_02.xlsx&amp;sheet=U0&amp;row=1986&amp;col=7&amp;number=0.212&amp;sourceID=14","0.212")</f>
        <v>0.212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HYPERLINK("http://141.218.60.56/~jnz1568/getInfo.php?workbook=06_02.xlsx&amp;sheet=U0&amp;row=1987&amp;col=6&amp;number=3.3&amp;sourceID=14","3.3")</f>
        <v>3.3</v>
      </c>
      <c r="G1987" s="4" t="str">
        <f>HYPERLINK("http://141.218.60.56/~jnz1568/getInfo.php?workbook=06_02.xlsx&amp;sheet=U0&amp;row=1987&amp;col=7&amp;number=0.212&amp;sourceID=14","0.212")</f>
        <v>0.212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HYPERLINK("http://141.218.60.56/~jnz1568/getInfo.php?workbook=06_02.xlsx&amp;sheet=U0&amp;row=1988&amp;col=6&amp;number=3.4&amp;sourceID=14","3.4")</f>
        <v>3.4</v>
      </c>
      <c r="G1988" s="4" t="str">
        <f>HYPERLINK("http://141.218.60.56/~jnz1568/getInfo.php?workbook=06_02.xlsx&amp;sheet=U0&amp;row=1988&amp;col=7&amp;number=0.213&amp;sourceID=14","0.213")</f>
        <v>0.213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HYPERLINK("http://141.218.60.56/~jnz1568/getInfo.php?workbook=06_02.xlsx&amp;sheet=U0&amp;row=1989&amp;col=6&amp;number=3.5&amp;sourceID=14","3.5")</f>
        <v>3.5</v>
      </c>
      <c r="G1989" s="4" t="str">
        <f>HYPERLINK("http://141.218.60.56/~jnz1568/getInfo.php?workbook=06_02.xlsx&amp;sheet=U0&amp;row=1989&amp;col=7&amp;number=0.213&amp;sourceID=14","0.213")</f>
        <v>0.213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HYPERLINK("http://141.218.60.56/~jnz1568/getInfo.php?workbook=06_02.xlsx&amp;sheet=U0&amp;row=1990&amp;col=6&amp;number=3.6&amp;sourceID=14","3.6")</f>
        <v>3.6</v>
      </c>
      <c r="G1990" s="4" t="str">
        <f>HYPERLINK("http://141.218.60.56/~jnz1568/getInfo.php?workbook=06_02.xlsx&amp;sheet=U0&amp;row=1990&amp;col=7&amp;number=0.213&amp;sourceID=14","0.213")</f>
        <v>0.213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HYPERLINK("http://141.218.60.56/~jnz1568/getInfo.php?workbook=06_02.xlsx&amp;sheet=U0&amp;row=1991&amp;col=6&amp;number=3.7&amp;sourceID=14","3.7")</f>
        <v>3.7</v>
      </c>
      <c r="G1991" s="4" t="str">
        <f>HYPERLINK("http://141.218.60.56/~jnz1568/getInfo.php?workbook=06_02.xlsx&amp;sheet=U0&amp;row=1991&amp;col=7&amp;number=0.213&amp;sourceID=14","0.213")</f>
        <v>0.213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HYPERLINK("http://141.218.60.56/~jnz1568/getInfo.php?workbook=06_02.xlsx&amp;sheet=U0&amp;row=1992&amp;col=6&amp;number=3.8&amp;sourceID=14","3.8")</f>
        <v>3.8</v>
      </c>
      <c r="G1992" s="4" t="str">
        <f>HYPERLINK("http://141.218.60.56/~jnz1568/getInfo.php?workbook=06_02.xlsx&amp;sheet=U0&amp;row=1992&amp;col=7&amp;number=0.213&amp;sourceID=14","0.213")</f>
        <v>0.213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HYPERLINK("http://141.218.60.56/~jnz1568/getInfo.php?workbook=06_02.xlsx&amp;sheet=U0&amp;row=1993&amp;col=6&amp;number=3.9&amp;sourceID=14","3.9")</f>
        <v>3.9</v>
      </c>
      <c r="G1993" s="4" t="str">
        <f>HYPERLINK("http://141.218.60.56/~jnz1568/getInfo.php?workbook=06_02.xlsx&amp;sheet=U0&amp;row=1993&amp;col=7&amp;number=0.214&amp;sourceID=14","0.214")</f>
        <v>0.214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HYPERLINK("http://141.218.60.56/~jnz1568/getInfo.php?workbook=06_02.xlsx&amp;sheet=U0&amp;row=1994&amp;col=6&amp;number=4&amp;sourceID=14","4")</f>
        <v>4</v>
      </c>
      <c r="G1994" s="4" t="str">
        <f>HYPERLINK("http://141.218.60.56/~jnz1568/getInfo.php?workbook=06_02.xlsx&amp;sheet=U0&amp;row=1994&amp;col=7&amp;number=0.214&amp;sourceID=14","0.214")</f>
        <v>0.214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HYPERLINK("http://141.218.60.56/~jnz1568/getInfo.php?workbook=06_02.xlsx&amp;sheet=U0&amp;row=1995&amp;col=6&amp;number=4.1&amp;sourceID=14","4.1")</f>
        <v>4.1</v>
      </c>
      <c r="G1995" s="4" t="str">
        <f>HYPERLINK("http://141.218.60.56/~jnz1568/getInfo.php?workbook=06_02.xlsx&amp;sheet=U0&amp;row=1995&amp;col=7&amp;number=0.215&amp;sourceID=14","0.215")</f>
        <v>0.215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HYPERLINK("http://141.218.60.56/~jnz1568/getInfo.php?workbook=06_02.xlsx&amp;sheet=U0&amp;row=1996&amp;col=6&amp;number=4.2&amp;sourceID=14","4.2")</f>
        <v>4.2</v>
      </c>
      <c r="G1996" s="4" t="str">
        <f>HYPERLINK("http://141.218.60.56/~jnz1568/getInfo.php?workbook=06_02.xlsx&amp;sheet=U0&amp;row=1996&amp;col=7&amp;number=0.215&amp;sourceID=14","0.215")</f>
        <v>0.215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HYPERLINK("http://141.218.60.56/~jnz1568/getInfo.php?workbook=06_02.xlsx&amp;sheet=U0&amp;row=1997&amp;col=6&amp;number=4.3&amp;sourceID=14","4.3")</f>
        <v>4.3</v>
      </c>
      <c r="G1997" s="4" t="str">
        <f>HYPERLINK("http://141.218.60.56/~jnz1568/getInfo.php?workbook=06_02.xlsx&amp;sheet=U0&amp;row=1997&amp;col=7&amp;number=0.216&amp;sourceID=14","0.216")</f>
        <v>0.216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HYPERLINK("http://141.218.60.56/~jnz1568/getInfo.php?workbook=06_02.xlsx&amp;sheet=U0&amp;row=1998&amp;col=6&amp;number=4.4&amp;sourceID=14","4.4")</f>
        <v>4.4</v>
      </c>
      <c r="G1998" s="4" t="str">
        <f>HYPERLINK("http://141.218.60.56/~jnz1568/getInfo.php?workbook=06_02.xlsx&amp;sheet=U0&amp;row=1998&amp;col=7&amp;number=0.217&amp;sourceID=14","0.217")</f>
        <v>0.217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HYPERLINK("http://141.218.60.56/~jnz1568/getInfo.php?workbook=06_02.xlsx&amp;sheet=U0&amp;row=1999&amp;col=6&amp;number=4.5&amp;sourceID=14","4.5")</f>
        <v>4.5</v>
      </c>
      <c r="G1999" s="4" t="str">
        <f>HYPERLINK("http://141.218.60.56/~jnz1568/getInfo.php?workbook=06_02.xlsx&amp;sheet=U0&amp;row=1999&amp;col=7&amp;number=0.218&amp;sourceID=14","0.218")</f>
        <v>0.218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HYPERLINK("http://141.218.60.56/~jnz1568/getInfo.php?workbook=06_02.xlsx&amp;sheet=U0&amp;row=2000&amp;col=6&amp;number=4.6&amp;sourceID=14","4.6")</f>
        <v>4.6</v>
      </c>
      <c r="G2000" s="4" t="str">
        <f>HYPERLINK("http://141.218.60.56/~jnz1568/getInfo.php?workbook=06_02.xlsx&amp;sheet=U0&amp;row=2000&amp;col=7&amp;number=0.22&amp;sourceID=14","0.22")</f>
        <v>0.22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HYPERLINK("http://141.218.60.56/~jnz1568/getInfo.php?workbook=06_02.xlsx&amp;sheet=U0&amp;row=2001&amp;col=6&amp;number=4.7&amp;sourceID=14","4.7")</f>
        <v>4.7</v>
      </c>
      <c r="G2001" s="4" t="str">
        <f>HYPERLINK("http://141.218.60.56/~jnz1568/getInfo.php?workbook=06_02.xlsx&amp;sheet=U0&amp;row=2001&amp;col=7&amp;number=0.222&amp;sourceID=14","0.222")</f>
        <v>0.222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HYPERLINK("http://141.218.60.56/~jnz1568/getInfo.php?workbook=06_02.xlsx&amp;sheet=U0&amp;row=2002&amp;col=6&amp;number=4.8&amp;sourceID=14","4.8")</f>
        <v>4.8</v>
      </c>
      <c r="G2002" s="4" t="str">
        <f>HYPERLINK("http://141.218.60.56/~jnz1568/getInfo.php?workbook=06_02.xlsx&amp;sheet=U0&amp;row=2002&amp;col=7&amp;number=0.224&amp;sourceID=14","0.224")</f>
        <v>0.224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HYPERLINK("http://141.218.60.56/~jnz1568/getInfo.php?workbook=06_02.xlsx&amp;sheet=U0&amp;row=2003&amp;col=6&amp;number=4.9&amp;sourceID=14","4.9")</f>
        <v>4.9</v>
      </c>
      <c r="G2003" s="4" t="str">
        <f>HYPERLINK("http://141.218.60.56/~jnz1568/getInfo.php?workbook=06_02.xlsx&amp;sheet=U0&amp;row=2003&amp;col=7&amp;number=0.227&amp;sourceID=14","0.227")</f>
        <v>0.227</v>
      </c>
    </row>
    <row r="2004" spans="1:7">
      <c r="A2004" s="3">
        <v>6</v>
      </c>
      <c r="B2004" s="3">
        <v>2</v>
      </c>
      <c r="C2004" s="3">
        <v>3</v>
      </c>
      <c r="D2004" s="3">
        <v>18</v>
      </c>
      <c r="E2004" s="3">
        <v>1</v>
      </c>
      <c r="F2004" s="4" t="str">
        <f>HYPERLINK("http://141.218.60.56/~jnz1568/getInfo.php?workbook=06_02.xlsx&amp;sheet=U0&amp;row=2004&amp;col=6&amp;number=3&amp;sourceID=14","3")</f>
        <v>3</v>
      </c>
      <c r="G2004" s="4" t="str">
        <f>HYPERLINK("http://141.218.60.56/~jnz1568/getInfo.php?workbook=06_02.xlsx&amp;sheet=U0&amp;row=2004&amp;col=7&amp;number=0.0042&amp;sourceID=14","0.0042")</f>
        <v>0.0042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HYPERLINK("http://141.218.60.56/~jnz1568/getInfo.php?workbook=06_02.xlsx&amp;sheet=U0&amp;row=2005&amp;col=6&amp;number=3.1&amp;sourceID=14","3.1")</f>
        <v>3.1</v>
      </c>
      <c r="G2005" s="4" t="str">
        <f>HYPERLINK("http://141.218.60.56/~jnz1568/getInfo.php?workbook=06_02.xlsx&amp;sheet=U0&amp;row=2005&amp;col=7&amp;number=0.0042&amp;sourceID=14","0.0042")</f>
        <v>0.0042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HYPERLINK("http://141.218.60.56/~jnz1568/getInfo.php?workbook=06_02.xlsx&amp;sheet=U0&amp;row=2006&amp;col=6&amp;number=3.2&amp;sourceID=14","3.2")</f>
        <v>3.2</v>
      </c>
      <c r="G2006" s="4" t="str">
        <f>HYPERLINK("http://141.218.60.56/~jnz1568/getInfo.php?workbook=06_02.xlsx&amp;sheet=U0&amp;row=2006&amp;col=7&amp;number=0.0042&amp;sourceID=14","0.0042")</f>
        <v>0.0042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HYPERLINK("http://141.218.60.56/~jnz1568/getInfo.php?workbook=06_02.xlsx&amp;sheet=U0&amp;row=2007&amp;col=6&amp;number=3.3&amp;sourceID=14","3.3")</f>
        <v>3.3</v>
      </c>
      <c r="G2007" s="4" t="str">
        <f>HYPERLINK("http://141.218.60.56/~jnz1568/getInfo.php?workbook=06_02.xlsx&amp;sheet=U0&amp;row=2007&amp;col=7&amp;number=0.00419&amp;sourceID=14","0.00419")</f>
        <v>0.00419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HYPERLINK("http://141.218.60.56/~jnz1568/getInfo.php?workbook=06_02.xlsx&amp;sheet=U0&amp;row=2008&amp;col=6&amp;number=3.4&amp;sourceID=14","3.4")</f>
        <v>3.4</v>
      </c>
      <c r="G2008" s="4" t="str">
        <f>HYPERLINK("http://141.218.60.56/~jnz1568/getInfo.php?workbook=06_02.xlsx&amp;sheet=U0&amp;row=2008&amp;col=7&amp;number=0.00419&amp;sourceID=14","0.00419")</f>
        <v>0.00419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HYPERLINK("http://141.218.60.56/~jnz1568/getInfo.php?workbook=06_02.xlsx&amp;sheet=U0&amp;row=2009&amp;col=6&amp;number=3.5&amp;sourceID=14","3.5")</f>
        <v>3.5</v>
      </c>
      <c r="G2009" s="4" t="str">
        <f>HYPERLINK("http://141.218.60.56/~jnz1568/getInfo.php?workbook=06_02.xlsx&amp;sheet=U0&amp;row=2009&amp;col=7&amp;number=0.00419&amp;sourceID=14","0.00419")</f>
        <v>0.00419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HYPERLINK("http://141.218.60.56/~jnz1568/getInfo.php?workbook=06_02.xlsx&amp;sheet=U0&amp;row=2010&amp;col=6&amp;number=3.6&amp;sourceID=14","3.6")</f>
        <v>3.6</v>
      </c>
      <c r="G2010" s="4" t="str">
        <f>HYPERLINK("http://141.218.60.56/~jnz1568/getInfo.php?workbook=06_02.xlsx&amp;sheet=U0&amp;row=2010&amp;col=7&amp;number=0.00418&amp;sourceID=14","0.00418")</f>
        <v>0.00418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HYPERLINK("http://141.218.60.56/~jnz1568/getInfo.php?workbook=06_02.xlsx&amp;sheet=U0&amp;row=2011&amp;col=6&amp;number=3.7&amp;sourceID=14","3.7")</f>
        <v>3.7</v>
      </c>
      <c r="G2011" s="4" t="str">
        <f>HYPERLINK("http://141.218.60.56/~jnz1568/getInfo.php?workbook=06_02.xlsx&amp;sheet=U0&amp;row=2011&amp;col=7&amp;number=0.00418&amp;sourceID=14","0.00418")</f>
        <v>0.00418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HYPERLINK("http://141.218.60.56/~jnz1568/getInfo.php?workbook=06_02.xlsx&amp;sheet=U0&amp;row=2012&amp;col=6&amp;number=3.8&amp;sourceID=14","3.8")</f>
        <v>3.8</v>
      </c>
      <c r="G2012" s="4" t="str">
        <f>HYPERLINK("http://141.218.60.56/~jnz1568/getInfo.php?workbook=06_02.xlsx&amp;sheet=U0&amp;row=2012&amp;col=7&amp;number=0.00417&amp;sourceID=14","0.00417")</f>
        <v>0.00417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HYPERLINK("http://141.218.60.56/~jnz1568/getInfo.php?workbook=06_02.xlsx&amp;sheet=U0&amp;row=2013&amp;col=6&amp;number=3.9&amp;sourceID=14","3.9")</f>
        <v>3.9</v>
      </c>
      <c r="G2013" s="4" t="str">
        <f>HYPERLINK("http://141.218.60.56/~jnz1568/getInfo.php?workbook=06_02.xlsx&amp;sheet=U0&amp;row=2013&amp;col=7&amp;number=0.00416&amp;sourceID=14","0.00416")</f>
        <v>0.00416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HYPERLINK("http://141.218.60.56/~jnz1568/getInfo.php?workbook=06_02.xlsx&amp;sheet=U0&amp;row=2014&amp;col=6&amp;number=4&amp;sourceID=14","4")</f>
        <v>4</v>
      </c>
      <c r="G2014" s="4" t="str">
        <f>HYPERLINK("http://141.218.60.56/~jnz1568/getInfo.php?workbook=06_02.xlsx&amp;sheet=U0&amp;row=2014&amp;col=7&amp;number=0.00415&amp;sourceID=14","0.00415")</f>
        <v>0.00415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HYPERLINK("http://141.218.60.56/~jnz1568/getInfo.php?workbook=06_02.xlsx&amp;sheet=U0&amp;row=2015&amp;col=6&amp;number=4.1&amp;sourceID=14","4.1")</f>
        <v>4.1</v>
      </c>
      <c r="G2015" s="4" t="str">
        <f>HYPERLINK("http://141.218.60.56/~jnz1568/getInfo.php?workbook=06_02.xlsx&amp;sheet=U0&amp;row=2015&amp;col=7&amp;number=0.00413&amp;sourceID=14","0.00413")</f>
        <v>0.00413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HYPERLINK("http://141.218.60.56/~jnz1568/getInfo.php?workbook=06_02.xlsx&amp;sheet=U0&amp;row=2016&amp;col=6&amp;number=4.2&amp;sourceID=14","4.2")</f>
        <v>4.2</v>
      </c>
      <c r="G2016" s="4" t="str">
        <f>HYPERLINK("http://141.218.60.56/~jnz1568/getInfo.php?workbook=06_02.xlsx&amp;sheet=U0&amp;row=2016&amp;col=7&amp;number=0.00411&amp;sourceID=14","0.00411")</f>
        <v>0.00411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HYPERLINK("http://141.218.60.56/~jnz1568/getInfo.php?workbook=06_02.xlsx&amp;sheet=U0&amp;row=2017&amp;col=6&amp;number=4.3&amp;sourceID=14","4.3")</f>
        <v>4.3</v>
      </c>
      <c r="G2017" s="4" t="str">
        <f>HYPERLINK("http://141.218.60.56/~jnz1568/getInfo.php?workbook=06_02.xlsx&amp;sheet=U0&amp;row=2017&amp;col=7&amp;number=0.00409&amp;sourceID=14","0.00409")</f>
        <v>0.00409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HYPERLINK("http://141.218.60.56/~jnz1568/getInfo.php?workbook=06_02.xlsx&amp;sheet=U0&amp;row=2018&amp;col=6&amp;number=4.4&amp;sourceID=14","4.4")</f>
        <v>4.4</v>
      </c>
      <c r="G2018" s="4" t="str">
        <f>HYPERLINK("http://141.218.60.56/~jnz1568/getInfo.php?workbook=06_02.xlsx&amp;sheet=U0&amp;row=2018&amp;col=7&amp;number=0.00406&amp;sourceID=14","0.00406")</f>
        <v>0.00406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HYPERLINK("http://141.218.60.56/~jnz1568/getInfo.php?workbook=06_02.xlsx&amp;sheet=U0&amp;row=2019&amp;col=6&amp;number=4.5&amp;sourceID=14","4.5")</f>
        <v>4.5</v>
      </c>
      <c r="G2019" s="4" t="str">
        <f>HYPERLINK("http://141.218.60.56/~jnz1568/getInfo.php?workbook=06_02.xlsx&amp;sheet=U0&amp;row=2019&amp;col=7&amp;number=0.00402&amp;sourceID=14","0.00402")</f>
        <v>0.00402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HYPERLINK("http://141.218.60.56/~jnz1568/getInfo.php?workbook=06_02.xlsx&amp;sheet=U0&amp;row=2020&amp;col=6&amp;number=4.6&amp;sourceID=14","4.6")</f>
        <v>4.6</v>
      </c>
      <c r="G2020" s="4" t="str">
        <f>HYPERLINK("http://141.218.60.56/~jnz1568/getInfo.php?workbook=06_02.xlsx&amp;sheet=U0&amp;row=2020&amp;col=7&amp;number=0.00398&amp;sourceID=14","0.00398")</f>
        <v>0.00398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HYPERLINK("http://141.218.60.56/~jnz1568/getInfo.php?workbook=06_02.xlsx&amp;sheet=U0&amp;row=2021&amp;col=6&amp;number=4.7&amp;sourceID=14","4.7")</f>
        <v>4.7</v>
      </c>
      <c r="G2021" s="4" t="str">
        <f>HYPERLINK("http://141.218.60.56/~jnz1568/getInfo.php?workbook=06_02.xlsx&amp;sheet=U0&amp;row=2021&amp;col=7&amp;number=0.00393&amp;sourceID=14","0.00393")</f>
        <v>0.00393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HYPERLINK("http://141.218.60.56/~jnz1568/getInfo.php?workbook=06_02.xlsx&amp;sheet=U0&amp;row=2022&amp;col=6&amp;number=4.8&amp;sourceID=14","4.8")</f>
        <v>4.8</v>
      </c>
      <c r="G2022" s="4" t="str">
        <f>HYPERLINK("http://141.218.60.56/~jnz1568/getInfo.php?workbook=06_02.xlsx&amp;sheet=U0&amp;row=2022&amp;col=7&amp;number=0.00386&amp;sourceID=14","0.00386")</f>
        <v>0.00386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HYPERLINK("http://141.218.60.56/~jnz1568/getInfo.php?workbook=06_02.xlsx&amp;sheet=U0&amp;row=2023&amp;col=6&amp;number=4.9&amp;sourceID=14","4.9")</f>
        <v>4.9</v>
      </c>
      <c r="G2023" s="4" t="str">
        <f>HYPERLINK("http://141.218.60.56/~jnz1568/getInfo.php?workbook=06_02.xlsx&amp;sheet=U0&amp;row=2023&amp;col=7&amp;number=0.00378&amp;sourceID=14","0.00378")</f>
        <v>0.00378</v>
      </c>
    </row>
    <row r="2024" spans="1:7">
      <c r="A2024" s="3">
        <v>6</v>
      </c>
      <c r="B2024" s="3">
        <v>2</v>
      </c>
      <c r="C2024" s="3">
        <v>3</v>
      </c>
      <c r="D2024" s="3">
        <v>19</v>
      </c>
      <c r="E2024" s="3">
        <v>1</v>
      </c>
      <c r="F2024" s="4" t="str">
        <f>HYPERLINK("http://141.218.60.56/~jnz1568/getInfo.php?workbook=06_02.xlsx&amp;sheet=U0&amp;row=2024&amp;col=6&amp;number=3&amp;sourceID=14","3")</f>
        <v>3</v>
      </c>
      <c r="G2024" s="4" t="str">
        <f>HYPERLINK("http://141.218.60.56/~jnz1568/getInfo.php?workbook=06_02.xlsx&amp;sheet=U0&amp;row=2024&amp;col=7&amp;number=0.027&amp;sourceID=14","0.027")</f>
        <v>0.027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HYPERLINK("http://141.218.60.56/~jnz1568/getInfo.php?workbook=06_02.xlsx&amp;sheet=U0&amp;row=2025&amp;col=6&amp;number=3.1&amp;sourceID=14","3.1")</f>
        <v>3.1</v>
      </c>
      <c r="G2025" s="4" t="str">
        <f>HYPERLINK("http://141.218.60.56/~jnz1568/getInfo.php?workbook=06_02.xlsx&amp;sheet=U0&amp;row=2025&amp;col=7&amp;number=0.027&amp;sourceID=14","0.027")</f>
        <v>0.027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HYPERLINK("http://141.218.60.56/~jnz1568/getInfo.php?workbook=06_02.xlsx&amp;sheet=U0&amp;row=2026&amp;col=6&amp;number=3.2&amp;sourceID=14","3.2")</f>
        <v>3.2</v>
      </c>
      <c r="G2026" s="4" t="str">
        <f>HYPERLINK("http://141.218.60.56/~jnz1568/getInfo.php?workbook=06_02.xlsx&amp;sheet=U0&amp;row=2026&amp;col=7&amp;number=0.027&amp;sourceID=14","0.027")</f>
        <v>0.027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HYPERLINK("http://141.218.60.56/~jnz1568/getInfo.php?workbook=06_02.xlsx&amp;sheet=U0&amp;row=2027&amp;col=6&amp;number=3.3&amp;sourceID=14","3.3")</f>
        <v>3.3</v>
      </c>
      <c r="G2027" s="4" t="str">
        <f>HYPERLINK("http://141.218.60.56/~jnz1568/getInfo.php?workbook=06_02.xlsx&amp;sheet=U0&amp;row=2027&amp;col=7&amp;number=0.027&amp;sourceID=14","0.027")</f>
        <v>0.027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HYPERLINK("http://141.218.60.56/~jnz1568/getInfo.php?workbook=06_02.xlsx&amp;sheet=U0&amp;row=2028&amp;col=6&amp;number=3.4&amp;sourceID=14","3.4")</f>
        <v>3.4</v>
      </c>
      <c r="G2028" s="4" t="str">
        <f>HYPERLINK("http://141.218.60.56/~jnz1568/getInfo.php?workbook=06_02.xlsx&amp;sheet=U0&amp;row=2028&amp;col=7&amp;number=0.027&amp;sourceID=14","0.027")</f>
        <v>0.027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HYPERLINK("http://141.218.60.56/~jnz1568/getInfo.php?workbook=06_02.xlsx&amp;sheet=U0&amp;row=2029&amp;col=6&amp;number=3.5&amp;sourceID=14","3.5")</f>
        <v>3.5</v>
      </c>
      <c r="G2029" s="4" t="str">
        <f>HYPERLINK("http://141.218.60.56/~jnz1568/getInfo.php?workbook=06_02.xlsx&amp;sheet=U0&amp;row=2029&amp;col=7&amp;number=0.027&amp;sourceID=14","0.027")</f>
        <v>0.027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HYPERLINK("http://141.218.60.56/~jnz1568/getInfo.php?workbook=06_02.xlsx&amp;sheet=U0&amp;row=2030&amp;col=6&amp;number=3.6&amp;sourceID=14","3.6")</f>
        <v>3.6</v>
      </c>
      <c r="G2030" s="4" t="str">
        <f>HYPERLINK("http://141.218.60.56/~jnz1568/getInfo.php?workbook=06_02.xlsx&amp;sheet=U0&amp;row=2030&amp;col=7&amp;number=0.027&amp;sourceID=14","0.027")</f>
        <v>0.027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HYPERLINK("http://141.218.60.56/~jnz1568/getInfo.php?workbook=06_02.xlsx&amp;sheet=U0&amp;row=2031&amp;col=6&amp;number=3.7&amp;sourceID=14","3.7")</f>
        <v>3.7</v>
      </c>
      <c r="G2031" s="4" t="str">
        <f>HYPERLINK("http://141.218.60.56/~jnz1568/getInfo.php?workbook=06_02.xlsx&amp;sheet=U0&amp;row=2031&amp;col=7&amp;number=0.027&amp;sourceID=14","0.027")</f>
        <v>0.027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HYPERLINK("http://141.218.60.56/~jnz1568/getInfo.php?workbook=06_02.xlsx&amp;sheet=U0&amp;row=2032&amp;col=6&amp;number=3.8&amp;sourceID=14","3.8")</f>
        <v>3.8</v>
      </c>
      <c r="G2032" s="4" t="str">
        <f>HYPERLINK("http://141.218.60.56/~jnz1568/getInfo.php?workbook=06_02.xlsx&amp;sheet=U0&amp;row=2032&amp;col=7&amp;number=0.027&amp;sourceID=14","0.027")</f>
        <v>0.027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HYPERLINK("http://141.218.60.56/~jnz1568/getInfo.php?workbook=06_02.xlsx&amp;sheet=U0&amp;row=2033&amp;col=6&amp;number=3.9&amp;sourceID=14","3.9")</f>
        <v>3.9</v>
      </c>
      <c r="G2033" s="4" t="str">
        <f>HYPERLINK("http://141.218.60.56/~jnz1568/getInfo.php?workbook=06_02.xlsx&amp;sheet=U0&amp;row=2033&amp;col=7&amp;number=0.027&amp;sourceID=14","0.027")</f>
        <v>0.027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HYPERLINK("http://141.218.60.56/~jnz1568/getInfo.php?workbook=06_02.xlsx&amp;sheet=U0&amp;row=2034&amp;col=6&amp;number=4&amp;sourceID=14","4")</f>
        <v>4</v>
      </c>
      <c r="G2034" s="4" t="str">
        <f>HYPERLINK("http://141.218.60.56/~jnz1568/getInfo.php?workbook=06_02.xlsx&amp;sheet=U0&amp;row=2034&amp;col=7&amp;number=0.027&amp;sourceID=14","0.027")</f>
        <v>0.027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HYPERLINK("http://141.218.60.56/~jnz1568/getInfo.php?workbook=06_02.xlsx&amp;sheet=U0&amp;row=2035&amp;col=6&amp;number=4.1&amp;sourceID=14","4.1")</f>
        <v>4.1</v>
      </c>
      <c r="G2035" s="4" t="str">
        <f>HYPERLINK("http://141.218.60.56/~jnz1568/getInfo.php?workbook=06_02.xlsx&amp;sheet=U0&amp;row=2035&amp;col=7&amp;number=0.0271&amp;sourceID=14","0.0271")</f>
        <v>0.0271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HYPERLINK("http://141.218.60.56/~jnz1568/getInfo.php?workbook=06_02.xlsx&amp;sheet=U0&amp;row=2036&amp;col=6&amp;number=4.2&amp;sourceID=14","4.2")</f>
        <v>4.2</v>
      </c>
      <c r="G2036" s="4" t="str">
        <f>HYPERLINK("http://141.218.60.56/~jnz1568/getInfo.php?workbook=06_02.xlsx&amp;sheet=U0&amp;row=2036&amp;col=7&amp;number=0.0271&amp;sourceID=14","0.0271")</f>
        <v>0.0271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HYPERLINK("http://141.218.60.56/~jnz1568/getInfo.php?workbook=06_02.xlsx&amp;sheet=U0&amp;row=2037&amp;col=6&amp;number=4.3&amp;sourceID=14","4.3")</f>
        <v>4.3</v>
      </c>
      <c r="G2037" s="4" t="str">
        <f>HYPERLINK("http://141.218.60.56/~jnz1568/getInfo.php?workbook=06_02.xlsx&amp;sheet=U0&amp;row=2037&amp;col=7&amp;number=0.0271&amp;sourceID=14","0.0271")</f>
        <v>0.0271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HYPERLINK("http://141.218.60.56/~jnz1568/getInfo.php?workbook=06_02.xlsx&amp;sheet=U0&amp;row=2038&amp;col=6&amp;number=4.4&amp;sourceID=14","4.4")</f>
        <v>4.4</v>
      </c>
      <c r="G2038" s="4" t="str">
        <f>HYPERLINK("http://141.218.60.56/~jnz1568/getInfo.php?workbook=06_02.xlsx&amp;sheet=U0&amp;row=2038&amp;col=7&amp;number=0.0271&amp;sourceID=14","0.0271")</f>
        <v>0.0271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HYPERLINK("http://141.218.60.56/~jnz1568/getInfo.php?workbook=06_02.xlsx&amp;sheet=U0&amp;row=2039&amp;col=6&amp;number=4.5&amp;sourceID=14","4.5")</f>
        <v>4.5</v>
      </c>
      <c r="G2039" s="4" t="str">
        <f>HYPERLINK("http://141.218.60.56/~jnz1568/getInfo.php?workbook=06_02.xlsx&amp;sheet=U0&amp;row=2039&amp;col=7&amp;number=0.0272&amp;sourceID=14","0.0272")</f>
        <v>0.0272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HYPERLINK("http://141.218.60.56/~jnz1568/getInfo.php?workbook=06_02.xlsx&amp;sheet=U0&amp;row=2040&amp;col=6&amp;number=4.6&amp;sourceID=14","4.6")</f>
        <v>4.6</v>
      </c>
      <c r="G2040" s="4" t="str">
        <f>HYPERLINK("http://141.218.60.56/~jnz1568/getInfo.php?workbook=06_02.xlsx&amp;sheet=U0&amp;row=2040&amp;col=7&amp;number=0.0273&amp;sourceID=14","0.0273")</f>
        <v>0.0273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HYPERLINK("http://141.218.60.56/~jnz1568/getInfo.php?workbook=06_02.xlsx&amp;sheet=U0&amp;row=2041&amp;col=6&amp;number=4.7&amp;sourceID=14","4.7")</f>
        <v>4.7</v>
      </c>
      <c r="G2041" s="4" t="str">
        <f>HYPERLINK("http://141.218.60.56/~jnz1568/getInfo.php?workbook=06_02.xlsx&amp;sheet=U0&amp;row=2041&amp;col=7&amp;number=0.0273&amp;sourceID=14","0.0273")</f>
        <v>0.0273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HYPERLINK("http://141.218.60.56/~jnz1568/getInfo.php?workbook=06_02.xlsx&amp;sheet=U0&amp;row=2042&amp;col=6&amp;number=4.8&amp;sourceID=14","4.8")</f>
        <v>4.8</v>
      </c>
      <c r="G2042" s="4" t="str">
        <f>HYPERLINK("http://141.218.60.56/~jnz1568/getInfo.php?workbook=06_02.xlsx&amp;sheet=U0&amp;row=2042&amp;col=7&amp;number=0.0274&amp;sourceID=14","0.0274")</f>
        <v>0.0274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HYPERLINK("http://141.218.60.56/~jnz1568/getInfo.php?workbook=06_02.xlsx&amp;sheet=U0&amp;row=2043&amp;col=6&amp;number=4.9&amp;sourceID=14","4.9")</f>
        <v>4.9</v>
      </c>
      <c r="G2043" s="4" t="str">
        <f>HYPERLINK("http://141.218.60.56/~jnz1568/getInfo.php?workbook=06_02.xlsx&amp;sheet=U0&amp;row=2043&amp;col=7&amp;number=0.0275&amp;sourceID=14","0.0275")</f>
        <v>0.0275</v>
      </c>
    </row>
    <row r="2044" spans="1:7">
      <c r="A2044" s="3">
        <v>6</v>
      </c>
      <c r="B2044" s="3">
        <v>2</v>
      </c>
      <c r="C2044" s="3">
        <v>3</v>
      </c>
      <c r="D2044" s="3">
        <v>20</v>
      </c>
      <c r="E2044" s="3">
        <v>1</v>
      </c>
      <c r="F2044" s="4" t="str">
        <f>HYPERLINK("http://141.218.60.56/~jnz1568/getInfo.php?workbook=06_02.xlsx&amp;sheet=U0&amp;row=2044&amp;col=6&amp;number=3&amp;sourceID=14","3")</f>
        <v>3</v>
      </c>
      <c r="G2044" s="4" t="str">
        <f>HYPERLINK("http://141.218.60.56/~jnz1568/getInfo.php?workbook=06_02.xlsx&amp;sheet=U0&amp;row=2044&amp;col=7&amp;number=0.00111&amp;sourceID=14","0.00111")</f>
        <v>0.00111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HYPERLINK("http://141.218.60.56/~jnz1568/getInfo.php?workbook=06_02.xlsx&amp;sheet=U0&amp;row=2045&amp;col=6&amp;number=3.1&amp;sourceID=14","3.1")</f>
        <v>3.1</v>
      </c>
      <c r="G2045" s="4" t="str">
        <f>HYPERLINK("http://141.218.60.56/~jnz1568/getInfo.php?workbook=06_02.xlsx&amp;sheet=U0&amp;row=2045&amp;col=7&amp;number=0.00111&amp;sourceID=14","0.00111")</f>
        <v>0.00111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HYPERLINK("http://141.218.60.56/~jnz1568/getInfo.php?workbook=06_02.xlsx&amp;sheet=U0&amp;row=2046&amp;col=6&amp;number=3.2&amp;sourceID=14","3.2")</f>
        <v>3.2</v>
      </c>
      <c r="G2046" s="4" t="str">
        <f>HYPERLINK("http://141.218.60.56/~jnz1568/getInfo.php?workbook=06_02.xlsx&amp;sheet=U0&amp;row=2046&amp;col=7&amp;number=0.00111&amp;sourceID=14","0.00111")</f>
        <v>0.00111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HYPERLINK("http://141.218.60.56/~jnz1568/getInfo.php?workbook=06_02.xlsx&amp;sheet=U0&amp;row=2047&amp;col=6&amp;number=3.3&amp;sourceID=14","3.3")</f>
        <v>3.3</v>
      </c>
      <c r="G2047" s="4" t="str">
        <f>HYPERLINK("http://141.218.60.56/~jnz1568/getInfo.php?workbook=06_02.xlsx&amp;sheet=U0&amp;row=2047&amp;col=7&amp;number=0.00111&amp;sourceID=14","0.00111")</f>
        <v>0.00111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HYPERLINK("http://141.218.60.56/~jnz1568/getInfo.php?workbook=06_02.xlsx&amp;sheet=U0&amp;row=2048&amp;col=6&amp;number=3.4&amp;sourceID=14","3.4")</f>
        <v>3.4</v>
      </c>
      <c r="G2048" s="4" t="str">
        <f>HYPERLINK("http://141.218.60.56/~jnz1568/getInfo.php?workbook=06_02.xlsx&amp;sheet=U0&amp;row=2048&amp;col=7&amp;number=0.00111&amp;sourceID=14","0.00111")</f>
        <v>0.00111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HYPERLINK("http://141.218.60.56/~jnz1568/getInfo.php?workbook=06_02.xlsx&amp;sheet=U0&amp;row=2049&amp;col=6&amp;number=3.5&amp;sourceID=14","3.5")</f>
        <v>3.5</v>
      </c>
      <c r="G2049" s="4" t="str">
        <f>HYPERLINK("http://141.218.60.56/~jnz1568/getInfo.php?workbook=06_02.xlsx&amp;sheet=U0&amp;row=2049&amp;col=7&amp;number=0.00111&amp;sourceID=14","0.00111")</f>
        <v>0.00111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HYPERLINK("http://141.218.60.56/~jnz1568/getInfo.php?workbook=06_02.xlsx&amp;sheet=U0&amp;row=2050&amp;col=6&amp;number=3.6&amp;sourceID=14","3.6")</f>
        <v>3.6</v>
      </c>
      <c r="G2050" s="4" t="str">
        <f>HYPERLINK("http://141.218.60.56/~jnz1568/getInfo.php?workbook=06_02.xlsx&amp;sheet=U0&amp;row=2050&amp;col=7&amp;number=0.00111&amp;sourceID=14","0.00111")</f>
        <v>0.00111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HYPERLINK("http://141.218.60.56/~jnz1568/getInfo.php?workbook=06_02.xlsx&amp;sheet=U0&amp;row=2051&amp;col=6&amp;number=3.7&amp;sourceID=14","3.7")</f>
        <v>3.7</v>
      </c>
      <c r="G2051" s="4" t="str">
        <f>HYPERLINK("http://141.218.60.56/~jnz1568/getInfo.php?workbook=06_02.xlsx&amp;sheet=U0&amp;row=2051&amp;col=7&amp;number=0.0011&amp;sourceID=14","0.0011")</f>
        <v>0.0011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HYPERLINK("http://141.218.60.56/~jnz1568/getInfo.php?workbook=06_02.xlsx&amp;sheet=U0&amp;row=2052&amp;col=6&amp;number=3.8&amp;sourceID=14","3.8")</f>
        <v>3.8</v>
      </c>
      <c r="G2052" s="4" t="str">
        <f>HYPERLINK("http://141.218.60.56/~jnz1568/getInfo.php?workbook=06_02.xlsx&amp;sheet=U0&amp;row=2052&amp;col=7&amp;number=0.0011&amp;sourceID=14","0.0011")</f>
        <v>0.0011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HYPERLINK("http://141.218.60.56/~jnz1568/getInfo.php?workbook=06_02.xlsx&amp;sheet=U0&amp;row=2053&amp;col=6&amp;number=3.9&amp;sourceID=14","3.9")</f>
        <v>3.9</v>
      </c>
      <c r="G2053" s="4" t="str">
        <f>HYPERLINK("http://141.218.60.56/~jnz1568/getInfo.php?workbook=06_02.xlsx&amp;sheet=U0&amp;row=2053&amp;col=7&amp;number=0.0011&amp;sourceID=14","0.0011")</f>
        <v>0.0011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HYPERLINK("http://141.218.60.56/~jnz1568/getInfo.php?workbook=06_02.xlsx&amp;sheet=U0&amp;row=2054&amp;col=6&amp;number=4&amp;sourceID=14","4")</f>
        <v>4</v>
      </c>
      <c r="G2054" s="4" t="str">
        <f>HYPERLINK("http://141.218.60.56/~jnz1568/getInfo.php?workbook=06_02.xlsx&amp;sheet=U0&amp;row=2054&amp;col=7&amp;number=0.0011&amp;sourceID=14","0.0011")</f>
        <v>0.0011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HYPERLINK("http://141.218.60.56/~jnz1568/getInfo.php?workbook=06_02.xlsx&amp;sheet=U0&amp;row=2055&amp;col=6&amp;number=4.1&amp;sourceID=14","4.1")</f>
        <v>4.1</v>
      </c>
      <c r="G2055" s="4" t="str">
        <f>HYPERLINK("http://141.218.60.56/~jnz1568/getInfo.php?workbook=06_02.xlsx&amp;sheet=U0&amp;row=2055&amp;col=7&amp;number=0.00109&amp;sourceID=14","0.00109")</f>
        <v>0.00109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HYPERLINK("http://141.218.60.56/~jnz1568/getInfo.php?workbook=06_02.xlsx&amp;sheet=U0&amp;row=2056&amp;col=6&amp;number=4.2&amp;sourceID=14","4.2")</f>
        <v>4.2</v>
      </c>
      <c r="G2056" s="4" t="str">
        <f>HYPERLINK("http://141.218.60.56/~jnz1568/getInfo.php?workbook=06_02.xlsx&amp;sheet=U0&amp;row=2056&amp;col=7&amp;number=0.00109&amp;sourceID=14","0.00109")</f>
        <v>0.00109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HYPERLINK("http://141.218.60.56/~jnz1568/getInfo.php?workbook=06_02.xlsx&amp;sheet=U0&amp;row=2057&amp;col=6&amp;number=4.3&amp;sourceID=14","4.3")</f>
        <v>4.3</v>
      </c>
      <c r="G2057" s="4" t="str">
        <f>HYPERLINK("http://141.218.60.56/~jnz1568/getInfo.php?workbook=06_02.xlsx&amp;sheet=U0&amp;row=2057&amp;col=7&amp;number=0.00108&amp;sourceID=14","0.00108")</f>
        <v>0.00108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HYPERLINK("http://141.218.60.56/~jnz1568/getInfo.php?workbook=06_02.xlsx&amp;sheet=U0&amp;row=2058&amp;col=6&amp;number=4.4&amp;sourceID=14","4.4")</f>
        <v>4.4</v>
      </c>
      <c r="G2058" s="4" t="str">
        <f>HYPERLINK("http://141.218.60.56/~jnz1568/getInfo.php?workbook=06_02.xlsx&amp;sheet=U0&amp;row=2058&amp;col=7&amp;number=0.00107&amp;sourceID=14","0.00107")</f>
        <v>0.00107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HYPERLINK("http://141.218.60.56/~jnz1568/getInfo.php?workbook=06_02.xlsx&amp;sheet=U0&amp;row=2059&amp;col=6&amp;number=4.5&amp;sourceID=14","4.5")</f>
        <v>4.5</v>
      </c>
      <c r="G2059" s="4" t="str">
        <f>HYPERLINK("http://141.218.60.56/~jnz1568/getInfo.php?workbook=06_02.xlsx&amp;sheet=U0&amp;row=2059&amp;col=7&amp;number=0.00107&amp;sourceID=14","0.00107")</f>
        <v>0.00107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HYPERLINK("http://141.218.60.56/~jnz1568/getInfo.php?workbook=06_02.xlsx&amp;sheet=U0&amp;row=2060&amp;col=6&amp;number=4.6&amp;sourceID=14","4.6")</f>
        <v>4.6</v>
      </c>
      <c r="G2060" s="4" t="str">
        <f>HYPERLINK("http://141.218.60.56/~jnz1568/getInfo.php?workbook=06_02.xlsx&amp;sheet=U0&amp;row=2060&amp;col=7&amp;number=0.00105&amp;sourceID=14","0.00105")</f>
        <v>0.00105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HYPERLINK("http://141.218.60.56/~jnz1568/getInfo.php?workbook=06_02.xlsx&amp;sheet=U0&amp;row=2061&amp;col=6&amp;number=4.7&amp;sourceID=14","4.7")</f>
        <v>4.7</v>
      </c>
      <c r="G2061" s="4" t="str">
        <f>HYPERLINK("http://141.218.60.56/~jnz1568/getInfo.php?workbook=06_02.xlsx&amp;sheet=U0&amp;row=2061&amp;col=7&amp;number=0.00104&amp;sourceID=14","0.00104")</f>
        <v>0.00104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HYPERLINK("http://141.218.60.56/~jnz1568/getInfo.php?workbook=06_02.xlsx&amp;sheet=U0&amp;row=2062&amp;col=6&amp;number=4.8&amp;sourceID=14","4.8")</f>
        <v>4.8</v>
      </c>
      <c r="G2062" s="4" t="str">
        <f>HYPERLINK("http://141.218.60.56/~jnz1568/getInfo.php?workbook=06_02.xlsx&amp;sheet=U0&amp;row=2062&amp;col=7&amp;number=0.00102&amp;sourceID=14","0.00102")</f>
        <v>0.00102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HYPERLINK("http://141.218.60.56/~jnz1568/getInfo.php?workbook=06_02.xlsx&amp;sheet=U0&amp;row=2063&amp;col=6&amp;number=4.9&amp;sourceID=14","4.9")</f>
        <v>4.9</v>
      </c>
      <c r="G2063" s="4" t="str">
        <f>HYPERLINK("http://141.218.60.56/~jnz1568/getInfo.php?workbook=06_02.xlsx&amp;sheet=U0&amp;row=2063&amp;col=7&amp;number=0.001&amp;sourceID=14","0.001")</f>
        <v>0.001</v>
      </c>
    </row>
    <row r="2064" spans="1:7">
      <c r="A2064" s="3">
        <v>6</v>
      </c>
      <c r="B2064" s="3">
        <v>2</v>
      </c>
      <c r="C2064" s="3">
        <v>3</v>
      </c>
      <c r="D2064" s="3">
        <v>21</v>
      </c>
      <c r="E2064" s="3">
        <v>1</v>
      </c>
      <c r="F2064" s="4" t="str">
        <f>HYPERLINK("http://141.218.60.56/~jnz1568/getInfo.php?workbook=06_02.xlsx&amp;sheet=U0&amp;row=2064&amp;col=6&amp;number=3&amp;sourceID=14","3")</f>
        <v>3</v>
      </c>
      <c r="G2064" s="4" t="str">
        <f>HYPERLINK("http://141.218.60.56/~jnz1568/getInfo.php?workbook=06_02.xlsx&amp;sheet=U0&amp;row=2064&amp;col=7&amp;number=0.00333&amp;sourceID=14","0.00333")</f>
        <v>0.00333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HYPERLINK("http://141.218.60.56/~jnz1568/getInfo.php?workbook=06_02.xlsx&amp;sheet=U0&amp;row=2065&amp;col=6&amp;number=3.1&amp;sourceID=14","3.1")</f>
        <v>3.1</v>
      </c>
      <c r="G2065" s="4" t="str">
        <f>HYPERLINK("http://141.218.60.56/~jnz1568/getInfo.php?workbook=06_02.xlsx&amp;sheet=U0&amp;row=2065&amp;col=7&amp;number=0.00333&amp;sourceID=14","0.00333")</f>
        <v>0.00333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HYPERLINK("http://141.218.60.56/~jnz1568/getInfo.php?workbook=06_02.xlsx&amp;sheet=U0&amp;row=2066&amp;col=6&amp;number=3.2&amp;sourceID=14","3.2")</f>
        <v>3.2</v>
      </c>
      <c r="G2066" s="4" t="str">
        <f>HYPERLINK("http://141.218.60.56/~jnz1568/getInfo.php?workbook=06_02.xlsx&amp;sheet=U0&amp;row=2066&amp;col=7&amp;number=0.00333&amp;sourceID=14","0.00333")</f>
        <v>0.00333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HYPERLINK("http://141.218.60.56/~jnz1568/getInfo.php?workbook=06_02.xlsx&amp;sheet=U0&amp;row=2067&amp;col=6&amp;number=3.3&amp;sourceID=14","3.3")</f>
        <v>3.3</v>
      </c>
      <c r="G2067" s="4" t="str">
        <f>HYPERLINK("http://141.218.60.56/~jnz1568/getInfo.php?workbook=06_02.xlsx&amp;sheet=U0&amp;row=2067&amp;col=7&amp;number=0.00333&amp;sourceID=14","0.00333")</f>
        <v>0.00333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HYPERLINK("http://141.218.60.56/~jnz1568/getInfo.php?workbook=06_02.xlsx&amp;sheet=U0&amp;row=2068&amp;col=6&amp;number=3.4&amp;sourceID=14","3.4")</f>
        <v>3.4</v>
      </c>
      <c r="G2068" s="4" t="str">
        <f>HYPERLINK("http://141.218.60.56/~jnz1568/getInfo.php?workbook=06_02.xlsx&amp;sheet=U0&amp;row=2068&amp;col=7&amp;number=0.00333&amp;sourceID=14","0.00333")</f>
        <v>0.00333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HYPERLINK("http://141.218.60.56/~jnz1568/getInfo.php?workbook=06_02.xlsx&amp;sheet=U0&amp;row=2069&amp;col=6&amp;number=3.5&amp;sourceID=14","3.5")</f>
        <v>3.5</v>
      </c>
      <c r="G2069" s="4" t="str">
        <f>HYPERLINK("http://141.218.60.56/~jnz1568/getInfo.php?workbook=06_02.xlsx&amp;sheet=U0&amp;row=2069&amp;col=7&amp;number=0.00332&amp;sourceID=14","0.00332")</f>
        <v>0.00332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HYPERLINK("http://141.218.60.56/~jnz1568/getInfo.php?workbook=06_02.xlsx&amp;sheet=U0&amp;row=2070&amp;col=6&amp;number=3.6&amp;sourceID=14","3.6")</f>
        <v>3.6</v>
      </c>
      <c r="G2070" s="4" t="str">
        <f>HYPERLINK("http://141.218.60.56/~jnz1568/getInfo.php?workbook=06_02.xlsx&amp;sheet=U0&amp;row=2070&amp;col=7&amp;number=0.00332&amp;sourceID=14","0.00332")</f>
        <v>0.00332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HYPERLINK("http://141.218.60.56/~jnz1568/getInfo.php?workbook=06_02.xlsx&amp;sheet=U0&amp;row=2071&amp;col=6&amp;number=3.7&amp;sourceID=14","3.7")</f>
        <v>3.7</v>
      </c>
      <c r="G2071" s="4" t="str">
        <f>HYPERLINK("http://141.218.60.56/~jnz1568/getInfo.php?workbook=06_02.xlsx&amp;sheet=U0&amp;row=2071&amp;col=7&amp;number=0.00331&amp;sourceID=14","0.00331")</f>
        <v>0.00331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HYPERLINK("http://141.218.60.56/~jnz1568/getInfo.php?workbook=06_02.xlsx&amp;sheet=U0&amp;row=2072&amp;col=6&amp;number=3.8&amp;sourceID=14","3.8")</f>
        <v>3.8</v>
      </c>
      <c r="G2072" s="4" t="str">
        <f>HYPERLINK("http://141.218.60.56/~jnz1568/getInfo.php?workbook=06_02.xlsx&amp;sheet=U0&amp;row=2072&amp;col=7&amp;number=0.00331&amp;sourceID=14","0.00331")</f>
        <v>0.00331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HYPERLINK("http://141.218.60.56/~jnz1568/getInfo.php?workbook=06_02.xlsx&amp;sheet=U0&amp;row=2073&amp;col=6&amp;number=3.9&amp;sourceID=14","3.9")</f>
        <v>3.9</v>
      </c>
      <c r="G2073" s="4" t="str">
        <f>HYPERLINK("http://141.218.60.56/~jnz1568/getInfo.php?workbook=06_02.xlsx&amp;sheet=U0&amp;row=2073&amp;col=7&amp;number=0.0033&amp;sourceID=14","0.0033")</f>
        <v>0.0033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HYPERLINK("http://141.218.60.56/~jnz1568/getInfo.php?workbook=06_02.xlsx&amp;sheet=U0&amp;row=2074&amp;col=6&amp;number=4&amp;sourceID=14","4")</f>
        <v>4</v>
      </c>
      <c r="G2074" s="4" t="str">
        <f>HYPERLINK("http://141.218.60.56/~jnz1568/getInfo.php?workbook=06_02.xlsx&amp;sheet=U0&amp;row=2074&amp;col=7&amp;number=0.00329&amp;sourceID=14","0.00329")</f>
        <v>0.00329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HYPERLINK("http://141.218.60.56/~jnz1568/getInfo.php?workbook=06_02.xlsx&amp;sheet=U0&amp;row=2075&amp;col=6&amp;number=4.1&amp;sourceID=14","4.1")</f>
        <v>4.1</v>
      </c>
      <c r="G2075" s="4" t="str">
        <f>HYPERLINK("http://141.218.60.56/~jnz1568/getInfo.php?workbook=06_02.xlsx&amp;sheet=U0&amp;row=2075&amp;col=7&amp;number=0.00328&amp;sourceID=14","0.00328")</f>
        <v>0.00328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HYPERLINK("http://141.218.60.56/~jnz1568/getInfo.php?workbook=06_02.xlsx&amp;sheet=U0&amp;row=2076&amp;col=6&amp;number=4.2&amp;sourceID=14","4.2")</f>
        <v>4.2</v>
      </c>
      <c r="G2076" s="4" t="str">
        <f>HYPERLINK("http://141.218.60.56/~jnz1568/getInfo.php?workbook=06_02.xlsx&amp;sheet=U0&amp;row=2076&amp;col=7&amp;number=0.00327&amp;sourceID=14","0.00327")</f>
        <v>0.00327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HYPERLINK("http://141.218.60.56/~jnz1568/getInfo.php?workbook=06_02.xlsx&amp;sheet=U0&amp;row=2077&amp;col=6&amp;number=4.3&amp;sourceID=14","4.3")</f>
        <v>4.3</v>
      </c>
      <c r="G2077" s="4" t="str">
        <f>HYPERLINK("http://141.218.60.56/~jnz1568/getInfo.php?workbook=06_02.xlsx&amp;sheet=U0&amp;row=2077&amp;col=7&amp;number=0.00325&amp;sourceID=14","0.00325")</f>
        <v>0.00325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HYPERLINK("http://141.218.60.56/~jnz1568/getInfo.php?workbook=06_02.xlsx&amp;sheet=U0&amp;row=2078&amp;col=6&amp;number=4.4&amp;sourceID=14","4.4")</f>
        <v>4.4</v>
      </c>
      <c r="G2078" s="4" t="str">
        <f>HYPERLINK("http://141.218.60.56/~jnz1568/getInfo.php?workbook=06_02.xlsx&amp;sheet=U0&amp;row=2078&amp;col=7&amp;number=0.00323&amp;sourceID=14","0.00323")</f>
        <v>0.00323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HYPERLINK("http://141.218.60.56/~jnz1568/getInfo.php?workbook=06_02.xlsx&amp;sheet=U0&amp;row=2079&amp;col=6&amp;number=4.5&amp;sourceID=14","4.5")</f>
        <v>4.5</v>
      </c>
      <c r="G2079" s="4" t="str">
        <f>HYPERLINK("http://141.218.60.56/~jnz1568/getInfo.php?workbook=06_02.xlsx&amp;sheet=U0&amp;row=2079&amp;col=7&amp;number=0.0032&amp;sourceID=14","0.0032")</f>
        <v>0.0032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HYPERLINK("http://141.218.60.56/~jnz1568/getInfo.php?workbook=06_02.xlsx&amp;sheet=U0&amp;row=2080&amp;col=6&amp;number=4.6&amp;sourceID=14","4.6")</f>
        <v>4.6</v>
      </c>
      <c r="G2080" s="4" t="str">
        <f>HYPERLINK("http://141.218.60.56/~jnz1568/getInfo.php?workbook=06_02.xlsx&amp;sheet=U0&amp;row=2080&amp;col=7&amp;number=0.00316&amp;sourceID=14","0.00316")</f>
        <v>0.00316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HYPERLINK("http://141.218.60.56/~jnz1568/getInfo.php?workbook=06_02.xlsx&amp;sheet=U0&amp;row=2081&amp;col=6&amp;number=4.7&amp;sourceID=14","4.7")</f>
        <v>4.7</v>
      </c>
      <c r="G2081" s="4" t="str">
        <f>HYPERLINK("http://141.218.60.56/~jnz1568/getInfo.php?workbook=06_02.xlsx&amp;sheet=U0&amp;row=2081&amp;col=7&amp;number=0.00312&amp;sourceID=14","0.00312")</f>
        <v>0.00312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HYPERLINK("http://141.218.60.56/~jnz1568/getInfo.php?workbook=06_02.xlsx&amp;sheet=U0&amp;row=2082&amp;col=6&amp;number=4.8&amp;sourceID=14","4.8")</f>
        <v>4.8</v>
      </c>
      <c r="G2082" s="4" t="str">
        <f>HYPERLINK("http://141.218.60.56/~jnz1568/getInfo.php?workbook=06_02.xlsx&amp;sheet=U0&amp;row=2082&amp;col=7&amp;number=0.00307&amp;sourceID=14","0.00307")</f>
        <v>0.00307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HYPERLINK("http://141.218.60.56/~jnz1568/getInfo.php?workbook=06_02.xlsx&amp;sheet=U0&amp;row=2083&amp;col=6&amp;number=4.9&amp;sourceID=14","4.9")</f>
        <v>4.9</v>
      </c>
      <c r="G2083" s="4" t="str">
        <f>HYPERLINK("http://141.218.60.56/~jnz1568/getInfo.php?workbook=06_02.xlsx&amp;sheet=U0&amp;row=2083&amp;col=7&amp;number=0.00301&amp;sourceID=14","0.00301")</f>
        <v>0.00301</v>
      </c>
    </row>
    <row r="2084" spans="1:7">
      <c r="A2084" s="3">
        <v>6</v>
      </c>
      <c r="B2084" s="3">
        <v>2</v>
      </c>
      <c r="C2084" s="3">
        <v>3</v>
      </c>
      <c r="D2084" s="3">
        <v>22</v>
      </c>
      <c r="E2084" s="3">
        <v>1</v>
      </c>
      <c r="F2084" s="4" t="str">
        <f>HYPERLINK("http://141.218.60.56/~jnz1568/getInfo.php?workbook=06_02.xlsx&amp;sheet=U0&amp;row=2084&amp;col=6&amp;number=3&amp;sourceID=14","3")</f>
        <v>3</v>
      </c>
      <c r="G2084" s="4" t="str">
        <f>HYPERLINK("http://141.218.60.56/~jnz1568/getInfo.php?workbook=06_02.xlsx&amp;sheet=U0&amp;row=2084&amp;col=7&amp;number=0.00555&amp;sourceID=14","0.00555")</f>
        <v>0.00555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HYPERLINK("http://141.218.60.56/~jnz1568/getInfo.php?workbook=06_02.xlsx&amp;sheet=U0&amp;row=2085&amp;col=6&amp;number=3.1&amp;sourceID=14","3.1")</f>
        <v>3.1</v>
      </c>
      <c r="G2085" s="4" t="str">
        <f>HYPERLINK("http://141.218.60.56/~jnz1568/getInfo.php?workbook=06_02.xlsx&amp;sheet=U0&amp;row=2085&amp;col=7&amp;number=0.00555&amp;sourceID=14","0.00555")</f>
        <v>0.00555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HYPERLINK("http://141.218.60.56/~jnz1568/getInfo.php?workbook=06_02.xlsx&amp;sheet=U0&amp;row=2086&amp;col=6&amp;number=3.2&amp;sourceID=14","3.2")</f>
        <v>3.2</v>
      </c>
      <c r="G2086" s="4" t="str">
        <f>HYPERLINK("http://141.218.60.56/~jnz1568/getInfo.php?workbook=06_02.xlsx&amp;sheet=U0&amp;row=2086&amp;col=7&amp;number=0.00555&amp;sourceID=14","0.00555")</f>
        <v>0.00555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HYPERLINK("http://141.218.60.56/~jnz1568/getInfo.php?workbook=06_02.xlsx&amp;sheet=U0&amp;row=2087&amp;col=6&amp;number=3.3&amp;sourceID=14","3.3")</f>
        <v>3.3</v>
      </c>
      <c r="G2087" s="4" t="str">
        <f>HYPERLINK("http://141.218.60.56/~jnz1568/getInfo.php?workbook=06_02.xlsx&amp;sheet=U0&amp;row=2087&amp;col=7&amp;number=0.00555&amp;sourceID=14","0.00555")</f>
        <v>0.00555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HYPERLINK("http://141.218.60.56/~jnz1568/getInfo.php?workbook=06_02.xlsx&amp;sheet=U0&amp;row=2088&amp;col=6&amp;number=3.4&amp;sourceID=14","3.4")</f>
        <v>3.4</v>
      </c>
      <c r="G2088" s="4" t="str">
        <f>HYPERLINK("http://141.218.60.56/~jnz1568/getInfo.php?workbook=06_02.xlsx&amp;sheet=U0&amp;row=2088&amp;col=7&amp;number=0.00554&amp;sourceID=14","0.00554")</f>
        <v>0.00554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HYPERLINK("http://141.218.60.56/~jnz1568/getInfo.php?workbook=06_02.xlsx&amp;sheet=U0&amp;row=2089&amp;col=6&amp;number=3.5&amp;sourceID=14","3.5")</f>
        <v>3.5</v>
      </c>
      <c r="G2089" s="4" t="str">
        <f>HYPERLINK("http://141.218.60.56/~jnz1568/getInfo.php?workbook=06_02.xlsx&amp;sheet=U0&amp;row=2089&amp;col=7&amp;number=0.00554&amp;sourceID=14","0.00554")</f>
        <v>0.00554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HYPERLINK("http://141.218.60.56/~jnz1568/getInfo.php?workbook=06_02.xlsx&amp;sheet=U0&amp;row=2090&amp;col=6&amp;number=3.6&amp;sourceID=14","3.6")</f>
        <v>3.6</v>
      </c>
      <c r="G2090" s="4" t="str">
        <f>HYPERLINK("http://141.218.60.56/~jnz1568/getInfo.php?workbook=06_02.xlsx&amp;sheet=U0&amp;row=2090&amp;col=7&amp;number=0.00553&amp;sourceID=14","0.00553")</f>
        <v>0.00553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HYPERLINK("http://141.218.60.56/~jnz1568/getInfo.php?workbook=06_02.xlsx&amp;sheet=U0&amp;row=2091&amp;col=6&amp;number=3.7&amp;sourceID=14","3.7")</f>
        <v>3.7</v>
      </c>
      <c r="G2091" s="4" t="str">
        <f>HYPERLINK("http://141.218.60.56/~jnz1568/getInfo.php?workbook=06_02.xlsx&amp;sheet=U0&amp;row=2091&amp;col=7&amp;number=0.00552&amp;sourceID=14","0.00552")</f>
        <v>0.00552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HYPERLINK("http://141.218.60.56/~jnz1568/getInfo.php?workbook=06_02.xlsx&amp;sheet=U0&amp;row=2092&amp;col=6&amp;number=3.8&amp;sourceID=14","3.8")</f>
        <v>3.8</v>
      </c>
      <c r="G2092" s="4" t="str">
        <f>HYPERLINK("http://141.218.60.56/~jnz1568/getInfo.php?workbook=06_02.xlsx&amp;sheet=U0&amp;row=2092&amp;col=7&amp;number=0.00551&amp;sourceID=14","0.00551")</f>
        <v>0.00551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HYPERLINK("http://141.218.60.56/~jnz1568/getInfo.php?workbook=06_02.xlsx&amp;sheet=U0&amp;row=2093&amp;col=6&amp;number=3.9&amp;sourceID=14","3.9")</f>
        <v>3.9</v>
      </c>
      <c r="G2093" s="4" t="str">
        <f>HYPERLINK("http://141.218.60.56/~jnz1568/getInfo.php?workbook=06_02.xlsx&amp;sheet=U0&amp;row=2093&amp;col=7&amp;number=0.0055&amp;sourceID=14","0.0055")</f>
        <v>0.0055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HYPERLINK("http://141.218.60.56/~jnz1568/getInfo.php?workbook=06_02.xlsx&amp;sheet=U0&amp;row=2094&amp;col=6&amp;number=4&amp;sourceID=14","4")</f>
        <v>4</v>
      </c>
      <c r="G2094" s="4" t="str">
        <f>HYPERLINK("http://141.218.60.56/~jnz1568/getInfo.php?workbook=06_02.xlsx&amp;sheet=U0&amp;row=2094&amp;col=7&amp;number=0.00549&amp;sourceID=14","0.00549")</f>
        <v>0.00549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HYPERLINK("http://141.218.60.56/~jnz1568/getInfo.php?workbook=06_02.xlsx&amp;sheet=U0&amp;row=2095&amp;col=6&amp;number=4.1&amp;sourceID=14","4.1")</f>
        <v>4.1</v>
      </c>
      <c r="G2095" s="4" t="str">
        <f>HYPERLINK("http://141.218.60.56/~jnz1568/getInfo.php?workbook=06_02.xlsx&amp;sheet=U0&amp;row=2095&amp;col=7&amp;number=0.00547&amp;sourceID=14","0.00547")</f>
        <v>0.00547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HYPERLINK("http://141.218.60.56/~jnz1568/getInfo.php?workbook=06_02.xlsx&amp;sheet=U0&amp;row=2096&amp;col=6&amp;number=4.2&amp;sourceID=14","4.2")</f>
        <v>4.2</v>
      </c>
      <c r="G2096" s="4" t="str">
        <f>HYPERLINK("http://141.218.60.56/~jnz1568/getInfo.php?workbook=06_02.xlsx&amp;sheet=U0&amp;row=2096&amp;col=7&amp;number=0.00544&amp;sourceID=14","0.00544")</f>
        <v>0.00544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HYPERLINK("http://141.218.60.56/~jnz1568/getInfo.php?workbook=06_02.xlsx&amp;sheet=U0&amp;row=2097&amp;col=6&amp;number=4.3&amp;sourceID=14","4.3")</f>
        <v>4.3</v>
      </c>
      <c r="G2097" s="4" t="str">
        <f>HYPERLINK("http://141.218.60.56/~jnz1568/getInfo.php?workbook=06_02.xlsx&amp;sheet=U0&amp;row=2097&amp;col=7&amp;number=0.00541&amp;sourceID=14","0.00541")</f>
        <v>0.00541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HYPERLINK("http://141.218.60.56/~jnz1568/getInfo.php?workbook=06_02.xlsx&amp;sheet=U0&amp;row=2098&amp;col=6&amp;number=4.4&amp;sourceID=14","4.4")</f>
        <v>4.4</v>
      </c>
      <c r="G2098" s="4" t="str">
        <f>HYPERLINK("http://141.218.60.56/~jnz1568/getInfo.php?workbook=06_02.xlsx&amp;sheet=U0&amp;row=2098&amp;col=7&amp;number=0.00538&amp;sourceID=14","0.00538")</f>
        <v>0.00538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HYPERLINK("http://141.218.60.56/~jnz1568/getInfo.php?workbook=06_02.xlsx&amp;sheet=U0&amp;row=2099&amp;col=6&amp;number=4.5&amp;sourceID=14","4.5")</f>
        <v>4.5</v>
      </c>
      <c r="G2099" s="4" t="str">
        <f>HYPERLINK("http://141.218.60.56/~jnz1568/getInfo.php?workbook=06_02.xlsx&amp;sheet=U0&amp;row=2099&amp;col=7&amp;number=0.00533&amp;sourceID=14","0.00533")</f>
        <v>0.00533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HYPERLINK("http://141.218.60.56/~jnz1568/getInfo.php?workbook=06_02.xlsx&amp;sheet=U0&amp;row=2100&amp;col=6&amp;number=4.6&amp;sourceID=14","4.6")</f>
        <v>4.6</v>
      </c>
      <c r="G2100" s="4" t="str">
        <f>HYPERLINK("http://141.218.60.56/~jnz1568/getInfo.php?workbook=06_02.xlsx&amp;sheet=U0&amp;row=2100&amp;col=7&amp;number=0.00527&amp;sourceID=14","0.00527")</f>
        <v>0.00527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HYPERLINK("http://141.218.60.56/~jnz1568/getInfo.php?workbook=06_02.xlsx&amp;sheet=U0&amp;row=2101&amp;col=6&amp;number=4.7&amp;sourceID=14","4.7")</f>
        <v>4.7</v>
      </c>
      <c r="G2101" s="4" t="str">
        <f>HYPERLINK("http://141.218.60.56/~jnz1568/getInfo.php?workbook=06_02.xlsx&amp;sheet=U0&amp;row=2101&amp;col=7&amp;number=0.0052&amp;sourceID=14","0.0052")</f>
        <v>0.0052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HYPERLINK("http://141.218.60.56/~jnz1568/getInfo.php?workbook=06_02.xlsx&amp;sheet=U0&amp;row=2102&amp;col=6&amp;number=4.8&amp;sourceID=14","4.8")</f>
        <v>4.8</v>
      </c>
      <c r="G2102" s="4" t="str">
        <f>HYPERLINK("http://141.218.60.56/~jnz1568/getInfo.php?workbook=06_02.xlsx&amp;sheet=U0&amp;row=2102&amp;col=7&amp;number=0.00512&amp;sourceID=14","0.00512")</f>
        <v>0.00512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HYPERLINK("http://141.218.60.56/~jnz1568/getInfo.php?workbook=06_02.xlsx&amp;sheet=U0&amp;row=2103&amp;col=6&amp;number=4.9&amp;sourceID=14","4.9")</f>
        <v>4.9</v>
      </c>
      <c r="G2103" s="4" t="str">
        <f>HYPERLINK("http://141.218.60.56/~jnz1568/getInfo.php?workbook=06_02.xlsx&amp;sheet=U0&amp;row=2103&amp;col=7&amp;number=0.00502&amp;sourceID=14","0.00502")</f>
        <v>0.00502</v>
      </c>
    </row>
    <row r="2104" spans="1:7">
      <c r="A2104" s="3">
        <v>6</v>
      </c>
      <c r="B2104" s="3">
        <v>2</v>
      </c>
      <c r="C2104" s="3">
        <v>3</v>
      </c>
      <c r="D2104" s="3">
        <v>23</v>
      </c>
      <c r="E2104" s="3">
        <v>1</v>
      </c>
      <c r="F2104" s="4" t="str">
        <f>HYPERLINK("http://141.218.60.56/~jnz1568/getInfo.php?workbook=06_02.xlsx&amp;sheet=U0&amp;row=2104&amp;col=6&amp;number=3&amp;sourceID=14","3")</f>
        <v>3</v>
      </c>
      <c r="G2104" s="4" t="str">
        <f>HYPERLINK("http://141.218.60.56/~jnz1568/getInfo.php?workbook=06_02.xlsx&amp;sheet=U0&amp;row=2104&amp;col=7&amp;number=0.0155&amp;sourceID=14","0.0155")</f>
        <v>0.0155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HYPERLINK("http://141.218.60.56/~jnz1568/getInfo.php?workbook=06_02.xlsx&amp;sheet=U0&amp;row=2105&amp;col=6&amp;number=3.1&amp;sourceID=14","3.1")</f>
        <v>3.1</v>
      </c>
      <c r="G2105" s="4" t="str">
        <f>HYPERLINK("http://141.218.60.56/~jnz1568/getInfo.php?workbook=06_02.xlsx&amp;sheet=U0&amp;row=2105&amp;col=7&amp;number=0.0156&amp;sourceID=14","0.0156")</f>
        <v>0.0156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HYPERLINK("http://141.218.60.56/~jnz1568/getInfo.php?workbook=06_02.xlsx&amp;sheet=U0&amp;row=2106&amp;col=6&amp;number=3.2&amp;sourceID=14","3.2")</f>
        <v>3.2</v>
      </c>
      <c r="G2106" s="4" t="str">
        <f>HYPERLINK("http://141.218.60.56/~jnz1568/getInfo.php?workbook=06_02.xlsx&amp;sheet=U0&amp;row=2106&amp;col=7&amp;number=0.0156&amp;sourceID=14","0.0156")</f>
        <v>0.0156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HYPERLINK("http://141.218.60.56/~jnz1568/getInfo.php?workbook=06_02.xlsx&amp;sheet=U0&amp;row=2107&amp;col=6&amp;number=3.3&amp;sourceID=14","3.3")</f>
        <v>3.3</v>
      </c>
      <c r="G2107" s="4" t="str">
        <f>HYPERLINK("http://141.218.60.56/~jnz1568/getInfo.php?workbook=06_02.xlsx&amp;sheet=U0&amp;row=2107&amp;col=7&amp;number=0.0156&amp;sourceID=14","0.0156")</f>
        <v>0.0156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HYPERLINK("http://141.218.60.56/~jnz1568/getInfo.php?workbook=06_02.xlsx&amp;sheet=U0&amp;row=2108&amp;col=6&amp;number=3.4&amp;sourceID=14","3.4")</f>
        <v>3.4</v>
      </c>
      <c r="G2108" s="4" t="str">
        <f>HYPERLINK("http://141.218.60.56/~jnz1568/getInfo.php?workbook=06_02.xlsx&amp;sheet=U0&amp;row=2108&amp;col=7&amp;number=0.0156&amp;sourceID=14","0.0156")</f>
        <v>0.0156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HYPERLINK("http://141.218.60.56/~jnz1568/getInfo.php?workbook=06_02.xlsx&amp;sheet=U0&amp;row=2109&amp;col=6&amp;number=3.5&amp;sourceID=14","3.5")</f>
        <v>3.5</v>
      </c>
      <c r="G2109" s="4" t="str">
        <f>HYPERLINK("http://141.218.60.56/~jnz1568/getInfo.php?workbook=06_02.xlsx&amp;sheet=U0&amp;row=2109&amp;col=7&amp;number=0.0156&amp;sourceID=14","0.0156")</f>
        <v>0.0156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HYPERLINK("http://141.218.60.56/~jnz1568/getInfo.php?workbook=06_02.xlsx&amp;sheet=U0&amp;row=2110&amp;col=6&amp;number=3.6&amp;sourceID=14","3.6")</f>
        <v>3.6</v>
      </c>
      <c r="G2110" s="4" t="str">
        <f>HYPERLINK("http://141.218.60.56/~jnz1568/getInfo.php?workbook=06_02.xlsx&amp;sheet=U0&amp;row=2110&amp;col=7&amp;number=0.0157&amp;sourceID=14","0.0157")</f>
        <v>0.0157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HYPERLINK("http://141.218.60.56/~jnz1568/getInfo.php?workbook=06_02.xlsx&amp;sheet=U0&amp;row=2111&amp;col=6&amp;number=3.7&amp;sourceID=14","3.7")</f>
        <v>3.7</v>
      </c>
      <c r="G2111" s="4" t="str">
        <f>HYPERLINK("http://141.218.60.56/~jnz1568/getInfo.php?workbook=06_02.xlsx&amp;sheet=U0&amp;row=2111&amp;col=7&amp;number=0.0157&amp;sourceID=14","0.0157")</f>
        <v>0.0157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HYPERLINK("http://141.218.60.56/~jnz1568/getInfo.php?workbook=06_02.xlsx&amp;sheet=U0&amp;row=2112&amp;col=6&amp;number=3.8&amp;sourceID=14","3.8")</f>
        <v>3.8</v>
      </c>
      <c r="G2112" s="4" t="str">
        <f>HYPERLINK("http://141.218.60.56/~jnz1568/getInfo.php?workbook=06_02.xlsx&amp;sheet=U0&amp;row=2112&amp;col=7&amp;number=0.0157&amp;sourceID=14","0.0157")</f>
        <v>0.0157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HYPERLINK("http://141.218.60.56/~jnz1568/getInfo.php?workbook=06_02.xlsx&amp;sheet=U0&amp;row=2113&amp;col=6&amp;number=3.9&amp;sourceID=14","3.9")</f>
        <v>3.9</v>
      </c>
      <c r="G2113" s="4" t="str">
        <f>HYPERLINK("http://141.218.60.56/~jnz1568/getInfo.php?workbook=06_02.xlsx&amp;sheet=U0&amp;row=2113&amp;col=7&amp;number=0.0158&amp;sourceID=14","0.0158")</f>
        <v>0.0158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HYPERLINK("http://141.218.60.56/~jnz1568/getInfo.php?workbook=06_02.xlsx&amp;sheet=U0&amp;row=2114&amp;col=6&amp;number=4&amp;sourceID=14","4")</f>
        <v>4</v>
      </c>
      <c r="G2114" s="4" t="str">
        <f>HYPERLINK("http://141.218.60.56/~jnz1568/getInfo.php?workbook=06_02.xlsx&amp;sheet=U0&amp;row=2114&amp;col=7&amp;number=0.0159&amp;sourceID=14","0.0159")</f>
        <v>0.0159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HYPERLINK("http://141.218.60.56/~jnz1568/getInfo.php?workbook=06_02.xlsx&amp;sheet=U0&amp;row=2115&amp;col=6&amp;number=4.1&amp;sourceID=14","4.1")</f>
        <v>4.1</v>
      </c>
      <c r="G2115" s="4" t="str">
        <f>HYPERLINK("http://141.218.60.56/~jnz1568/getInfo.php?workbook=06_02.xlsx&amp;sheet=U0&amp;row=2115&amp;col=7&amp;number=0.016&amp;sourceID=14","0.016")</f>
        <v>0.016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HYPERLINK("http://141.218.60.56/~jnz1568/getInfo.php?workbook=06_02.xlsx&amp;sheet=U0&amp;row=2116&amp;col=6&amp;number=4.2&amp;sourceID=14","4.2")</f>
        <v>4.2</v>
      </c>
      <c r="G2116" s="4" t="str">
        <f>HYPERLINK("http://141.218.60.56/~jnz1568/getInfo.php?workbook=06_02.xlsx&amp;sheet=U0&amp;row=2116&amp;col=7&amp;number=0.0161&amp;sourceID=14","0.0161")</f>
        <v>0.0161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HYPERLINK("http://141.218.60.56/~jnz1568/getInfo.php?workbook=06_02.xlsx&amp;sheet=U0&amp;row=2117&amp;col=6&amp;number=4.3&amp;sourceID=14","4.3")</f>
        <v>4.3</v>
      </c>
      <c r="G2117" s="4" t="str">
        <f>HYPERLINK("http://141.218.60.56/~jnz1568/getInfo.php?workbook=06_02.xlsx&amp;sheet=U0&amp;row=2117&amp;col=7&amp;number=0.0162&amp;sourceID=14","0.0162")</f>
        <v>0.0162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HYPERLINK("http://141.218.60.56/~jnz1568/getInfo.php?workbook=06_02.xlsx&amp;sheet=U0&amp;row=2118&amp;col=6&amp;number=4.4&amp;sourceID=14","4.4")</f>
        <v>4.4</v>
      </c>
      <c r="G2118" s="4" t="str">
        <f>HYPERLINK("http://141.218.60.56/~jnz1568/getInfo.php?workbook=06_02.xlsx&amp;sheet=U0&amp;row=2118&amp;col=7&amp;number=0.0164&amp;sourceID=14","0.0164")</f>
        <v>0.0164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HYPERLINK("http://141.218.60.56/~jnz1568/getInfo.php?workbook=06_02.xlsx&amp;sheet=U0&amp;row=2119&amp;col=6&amp;number=4.5&amp;sourceID=14","4.5")</f>
        <v>4.5</v>
      </c>
      <c r="G2119" s="4" t="str">
        <f>HYPERLINK("http://141.218.60.56/~jnz1568/getInfo.php?workbook=06_02.xlsx&amp;sheet=U0&amp;row=2119&amp;col=7&amp;number=0.0167&amp;sourceID=14","0.0167")</f>
        <v>0.0167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HYPERLINK("http://141.218.60.56/~jnz1568/getInfo.php?workbook=06_02.xlsx&amp;sheet=U0&amp;row=2120&amp;col=6&amp;number=4.6&amp;sourceID=14","4.6")</f>
        <v>4.6</v>
      </c>
      <c r="G2120" s="4" t="str">
        <f>HYPERLINK("http://141.218.60.56/~jnz1568/getInfo.php?workbook=06_02.xlsx&amp;sheet=U0&amp;row=2120&amp;col=7&amp;number=0.017&amp;sourceID=14","0.017")</f>
        <v>0.017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HYPERLINK("http://141.218.60.56/~jnz1568/getInfo.php?workbook=06_02.xlsx&amp;sheet=U0&amp;row=2121&amp;col=6&amp;number=4.7&amp;sourceID=14","4.7")</f>
        <v>4.7</v>
      </c>
      <c r="G2121" s="4" t="str">
        <f>HYPERLINK("http://141.218.60.56/~jnz1568/getInfo.php?workbook=06_02.xlsx&amp;sheet=U0&amp;row=2121&amp;col=7&amp;number=0.0173&amp;sourceID=14","0.0173")</f>
        <v>0.0173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HYPERLINK("http://141.218.60.56/~jnz1568/getInfo.php?workbook=06_02.xlsx&amp;sheet=U0&amp;row=2122&amp;col=6&amp;number=4.8&amp;sourceID=14","4.8")</f>
        <v>4.8</v>
      </c>
      <c r="G2122" s="4" t="str">
        <f>HYPERLINK("http://141.218.60.56/~jnz1568/getInfo.php?workbook=06_02.xlsx&amp;sheet=U0&amp;row=2122&amp;col=7&amp;number=0.0178&amp;sourceID=14","0.0178")</f>
        <v>0.0178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HYPERLINK("http://141.218.60.56/~jnz1568/getInfo.php?workbook=06_02.xlsx&amp;sheet=U0&amp;row=2123&amp;col=6&amp;number=4.9&amp;sourceID=14","4.9")</f>
        <v>4.9</v>
      </c>
      <c r="G2123" s="4" t="str">
        <f>HYPERLINK("http://141.218.60.56/~jnz1568/getInfo.php?workbook=06_02.xlsx&amp;sheet=U0&amp;row=2123&amp;col=7&amp;number=0.0184&amp;sourceID=14","0.0184")</f>
        <v>0.0184</v>
      </c>
    </row>
    <row r="2124" spans="1:7">
      <c r="A2124" s="3">
        <v>6</v>
      </c>
      <c r="B2124" s="3">
        <v>2</v>
      </c>
      <c r="C2124" s="3">
        <v>3</v>
      </c>
      <c r="D2124" s="3">
        <v>24</v>
      </c>
      <c r="E2124" s="3">
        <v>1</v>
      </c>
      <c r="F2124" s="4" t="str">
        <f>HYPERLINK("http://141.218.60.56/~jnz1568/getInfo.php?workbook=06_02.xlsx&amp;sheet=U0&amp;row=2124&amp;col=6&amp;number=3&amp;sourceID=14","3")</f>
        <v>3</v>
      </c>
      <c r="G2124" s="4" t="str">
        <f>HYPERLINK("http://141.218.60.56/~jnz1568/getInfo.php?workbook=06_02.xlsx&amp;sheet=U0&amp;row=2124&amp;col=7&amp;number=0.00499&amp;sourceID=14","0.00499")</f>
        <v>0.00499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HYPERLINK("http://141.218.60.56/~jnz1568/getInfo.php?workbook=06_02.xlsx&amp;sheet=U0&amp;row=2125&amp;col=6&amp;number=3.1&amp;sourceID=14","3.1")</f>
        <v>3.1</v>
      </c>
      <c r="G2125" s="4" t="str">
        <f>HYPERLINK("http://141.218.60.56/~jnz1568/getInfo.php?workbook=06_02.xlsx&amp;sheet=U0&amp;row=2125&amp;col=7&amp;number=0.00498&amp;sourceID=14","0.00498")</f>
        <v>0.00498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HYPERLINK("http://141.218.60.56/~jnz1568/getInfo.php?workbook=06_02.xlsx&amp;sheet=U0&amp;row=2126&amp;col=6&amp;number=3.2&amp;sourceID=14","3.2")</f>
        <v>3.2</v>
      </c>
      <c r="G2126" s="4" t="str">
        <f>HYPERLINK("http://141.218.60.56/~jnz1568/getInfo.php?workbook=06_02.xlsx&amp;sheet=U0&amp;row=2126&amp;col=7&amp;number=0.00498&amp;sourceID=14","0.00498")</f>
        <v>0.00498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HYPERLINK("http://141.218.60.56/~jnz1568/getInfo.php?workbook=06_02.xlsx&amp;sheet=U0&amp;row=2127&amp;col=6&amp;number=3.3&amp;sourceID=14","3.3")</f>
        <v>3.3</v>
      </c>
      <c r="G2127" s="4" t="str">
        <f>HYPERLINK("http://141.218.60.56/~jnz1568/getInfo.php?workbook=06_02.xlsx&amp;sheet=U0&amp;row=2127&amp;col=7&amp;number=0.00498&amp;sourceID=14","0.00498")</f>
        <v>0.00498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HYPERLINK("http://141.218.60.56/~jnz1568/getInfo.php?workbook=06_02.xlsx&amp;sheet=U0&amp;row=2128&amp;col=6&amp;number=3.4&amp;sourceID=14","3.4")</f>
        <v>3.4</v>
      </c>
      <c r="G2128" s="4" t="str">
        <f>HYPERLINK("http://141.218.60.56/~jnz1568/getInfo.php?workbook=06_02.xlsx&amp;sheet=U0&amp;row=2128&amp;col=7&amp;number=0.00498&amp;sourceID=14","0.00498")</f>
        <v>0.00498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HYPERLINK("http://141.218.60.56/~jnz1568/getInfo.php?workbook=06_02.xlsx&amp;sheet=U0&amp;row=2129&amp;col=6&amp;number=3.5&amp;sourceID=14","3.5")</f>
        <v>3.5</v>
      </c>
      <c r="G2129" s="4" t="str">
        <f>HYPERLINK("http://141.218.60.56/~jnz1568/getInfo.php?workbook=06_02.xlsx&amp;sheet=U0&amp;row=2129&amp;col=7&amp;number=0.00497&amp;sourceID=14","0.00497")</f>
        <v>0.00497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HYPERLINK("http://141.218.60.56/~jnz1568/getInfo.php?workbook=06_02.xlsx&amp;sheet=U0&amp;row=2130&amp;col=6&amp;number=3.6&amp;sourceID=14","3.6")</f>
        <v>3.6</v>
      </c>
      <c r="G2130" s="4" t="str">
        <f>HYPERLINK("http://141.218.60.56/~jnz1568/getInfo.php?workbook=06_02.xlsx&amp;sheet=U0&amp;row=2130&amp;col=7&amp;number=0.00497&amp;sourceID=14","0.00497")</f>
        <v>0.00497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HYPERLINK("http://141.218.60.56/~jnz1568/getInfo.php?workbook=06_02.xlsx&amp;sheet=U0&amp;row=2131&amp;col=6&amp;number=3.7&amp;sourceID=14","3.7")</f>
        <v>3.7</v>
      </c>
      <c r="G2131" s="4" t="str">
        <f>HYPERLINK("http://141.218.60.56/~jnz1568/getInfo.php?workbook=06_02.xlsx&amp;sheet=U0&amp;row=2131&amp;col=7&amp;number=0.00496&amp;sourceID=14","0.00496")</f>
        <v>0.00496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HYPERLINK("http://141.218.60.56/~jnz1568/getInfo.php?workbook=06_02.xlsx&amp;sheet=U0&amp;row=2132&amp;col=6&amp;number=3.8&amp;sourceID=14","3.8")</f>
        <v>3.8</v>
      </c>
      <c r="G2132" s="4" t="str">
        <f>HYPERLINK("http://141.218.60.56/~jnz1568/getInfo.php?workbook=06_02.xlsx&amp;sheet=U0&amp;row=2132&amp;col=7&amp;number=0.00495&amp;sourceID=14","0.00495")</f>
        <v>0.00495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HYPERLINK("http://141.218.60.56/~jnz1568/getInfo.php?workbook=06_02.xlsx&amp;sheet=U0&amp;row=2133&amp;col=6&amp;number=3.9&amp;sourceID=14","3.9")</f>
        <v>3.9</v>
      </c>
      <c r="G2133" s="4" t="str">
        <f>HYPERLINK("http://141.218.60.56/~jnz1568/getInfo.php?workbook=06_02.xlsx&amp;sheet=U0&amp;row=2133&amp;col=7&amp;number=0.00494&amp;sourceID=14","0.00494")</f>
        <v>0.00494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HYPERLINK("http://141.218.60.56/~jnz1568/getInfo.php?workbook=06_02.xlsx&amp;sheet=U0&amp;row=2134&amp;col=6&amp;number=4&amp;sourceID=14","4")</f>
        <v>4</v>
      </c>
      <c r="G2134" s="4" t="str">
        <f>HYPERLINK("http://141.218.60.56/~jnz1568/getInfo.php?workbook=06_02.xlsx&amp;sheet=U0&amp;row=2134&amp;col=7&amp;number=0.00493&amp;sourceID=14","0.00493")</f>
        <v>0.00493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HYPERLINK("http://141.218.60.56/~jnz1568/getInfo.php?workbook=06_02.xlsx&amp;sheet=U0&amp;row=2135&amp;col=6&amp;number=4.1&amp;sourceID=14","4.1")</f>
        <v>4.1</v>
      </c>
      <c r="G2135" s="4" t="str">
        <f>HYPERLINK("http://141.218.60.56/~jnz1568/getInfo.php?workbook=06_02.xlsx&amp;sheet=U0&amp;row=2135&amp;col=7&amp;number=0.00491&amp;sourceID=14","0.00491")</f>
        <v>0.00491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HYPERLINK("http://141.218.60.56/~jnz1568/getInfo.php?workbook=06_02.xlsx&amp;sheet=U0&amp;row=2136&amp;col=6&amp;number=4.2&amp;sourceID=14","4.2")</f>
        <v>4.2</v>
      </c>
      <c r="G2136" s="4" t="str">
        <f>HYPERLINK("http://141.218.60.56/~jnz1568/getInfo.php?workbook=06_02.xlsx&amp;sheet=U0&amp;row=2136&amp;col=7&amp;number=0.00489&amp;sourceID=14","0.00489")</f>
        <v>0.00489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HYPERLINK("http://141.218.60.56/~jnz1568/getInfo.php?workbook=06_02.xlsx&amp;sheet=U0&amp;row=2137&amp;col=6&amp;number=4.3&amp;sourceID=14","4.3")</f>
        <v>4.3</v>
      </c>
      <c r="G2137" s="4" t="str">
        <f>HYPERLINK("http://141.218.60.56/~jnz1568/getInfo.php?workbook=06_02.xlsx&amp;sheet=U0&amp;row=2137&amp;col=7&amp;number=0.00486&amp;sourceID=14","0.00486")</f>
        <v>0.00486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HYPERLINK("http://141.218.60.56/~jnz1568/getInfo.php?workbook=06_02.xlsx&amp;sheet=U0&amp;row=2138&amp;col=6&amp;number=4.4&amp;sourceID=14","4.4")</f>
        <v>4.4</v>
      </c>
      <c r="G2138" s="4" t="str">
        <f>HYPERLINK("http://141.218.60.56/~jnz1568/getInfo.php?workbook=06_02.xlsx&amp;sheet=U0&amp;row=2138&amp;col=7&amp;number=0.00483&amp;sourceID=14","0.00483")</f>
        <v>0.00483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HYPERLINK("http://141.218.60.56/~jnz1568/getInfo.php?workbook=06_02.xlsx&amp;sheet=U0&amp;row=2139&amp;col=6&amp;number=4.5&amp;sourceID=14","4.5")</f>
        <v>4.5</v>
      </c>
      <c r="G2139" s="4" t="str">
        <f>HYPERLINK("http://141.218.60.56/~jnz1568/getInfo.php?workbook=06_02.xlsx&amp;sheet=U0&amp;row=2139&amp;col=7&amp;number=0.00479&amp;sourceID=14","0.00479")</f>
        <v>0.00479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HYPERLINK("http://141.218.60.56/~jnz1568/getInfo.php?workbook=06_02.xlsx&amp;sheet=U0&amp;row=2140&amp;col=6&amp;number=4.6&amp;sourceID=14","4.6")</f>
        <v>4.6</v>
      </c>
      <c r="G2140" s="4" t="str">
        <f>HYPERLINK("http://141.218.60.56/~jnz1568/getInfo.php?workbook=06_02.xlsx&amp;sheet=U0&amp;row=2140&amp;col=7&amp;number=0.00474&amp;sourceID=14","0.00474")</f>
        <v>0.00474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HYPERLINK("http://141.218.60.56/~jnz1568/getInfo.php?workbook=06_02.xlsx&amp;sheet=U0&amp;row=2141&amp;col=6&amp;number=4.7&amp;sourceID=14","4.7")</f>
        <v>4.7</v>
      </c>
      <c r="G2141" s="4" t="str">
        <f>HYPERLINK("http://141.218.60.56/~jnz1568/getInfo.php?workbook=06_02.xlsx&amp;sheet=U0&amp;row=2141&amp;col=7&amp;number=0.00468&amp;sourceID=14","0.00468")</f>
        <v>0.00468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HYPERLINK("http://141.218.60.56/~jnz1568/getInfo.php?workbook=06_02.xlsx&amp;sheet=U0&amp;row=2142&amp;col=6&amp;number=4.8&amp;sourceID=14","4.8")</f>
        <v>4.8</v>
      </c>
      <c r="G2142" s="4" t="str">
        <f>HYPERLINK("http://141.218.60.56/~jnz1568/getInfo.php?workbook=06_02.xlsx&amp;sheet=U0&amp;row=2142&amp;col=7&amp;number=0.0046&amp;sourceID=14","0.0046")</f>
        <v>0.0046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HYPERLINK("http://141.218.60.56/~jnz1568/getInfo.php?workbook=06_02.xlsx&amp;sheet=U0&amp;row=2143&amp;col=6&amp;number=4.9&amp;sourceID=14","4.9")</f>
        <v>4.9</v>
      </c>
      <c r="G2143" s="4" t="str">
        <f>HYPERLINK("http://141.218.60.56/~jnz1568/getInfo.php?workbook=06_02.xlsx&amp;sheet=U0&amp;row=2143&amp;col=7&amp;number=0.00451&amp;sourceID=14","0.00451")</f>
        <v>0.00451</v>
      </c>
    </row>
    <row r="2144" spans="1:7">
      <c r="A2144" s="3">
        <v>6</v>
      </c>
      <c r="B2144" s="3">
        <v>2</v>
      </c>
      <c r="C2144" s="3">
        <v>3</v>
      </c>
      <c r="D2144" s="3">
        <v>25</v>
      </c>
      <c r="E2144" s="3">
        <v>1</v>
      </c>
      <c r="F2144" s="4" t="str">
        <f>HYPERLINK("http://141.218.60.56/~jnz1568/getInfo.php?workbook=06_02.xlsx&amp;sheet=U0&amp;row=2144&amp;col=6&amp;number=3&amp;sourceID=14","3")</f>
        <v>3</v>
      </c>
      <c r="G2144" s="4" t="str">
        <f>HYPERLINK("http://141.218.60.56/~jnz1568/getInfo.php?workbook=06_02.xlsx&amp;sheet=U0&amp;row=2144&amp;col=7&amp;number=0.00822&amp;sourceID=14","0.00822")</f>
        <v>0.00822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HYPERLINK("http://141.218.60.56/~jnz1568/getInfo.php?workbook=06_02.xlsx&amp;sheet=U0&amp;row=2145&amp;col=6&amp;number=3.1&amp;sourceID=14","3.1")</f>
        <v>3.1</v>
      </c>
      <c r="G2145" s="4" t="str">
        <f>HYPERLINK("http://141.218.60.56/~jnz1568/getInfo.php?workbook=06_02.xlsx&amp;sheet=U0&amp;row=2145&amp;col=7&amp;number=0.00822&amp;sourceID=14","0.00822")</f>
        <v>0.00822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HYPERLINK("http://141.218.60.56/~jnz1568/getInfo.php?workbook=06_02.xlsx&amp;sheet=U0&amp;row=2146&amp;col=6&amp;number=3.2&amp;sourceID=14","3.2")</f>
        <v>3.2</v>
      </c>
      <c r="G2146" s="4" t="str">
        <f>HYPERLINK("http://141.218.60.56/~jnz1568/getInfo.php?workbook=06_02.xlsx&amp;sheet=U0&amp;row=2146&amp;col=7&amp;number=0.00822&amp;sourceID=14","0.00822")</f>
        <v>0.00822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HYPERLINK("http://141.218.60.56/~jnz1568/getInfo.php?workbook=06_02.xlsx&amp;sheet=U0&amp;row=2147&amp;col=6&amp;number=3.3&amp;sourceID=14","3.3")</f>
        <v>3.3</v>
      </c>
      <c r="G2147" s="4" t="str">
        <f>HYPERLINK("http://141.218.60.56/~jnz1568/getInfo.php?workbook=06_02.xlsx&amp;sheet=U0&amp;row=2147&amp;col=7&amp;number=0.00822&amp;sourceID=14","0.00822")</f>
        <v>0.00822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HYPERLINK("http://141.218.60.56/~jnz1568/getInfo.php?workbook=06_02.xlsx&amp;sheet=U0&amp;row=2148&amp;col=6&amp;number=3.4&amp;sourceID=14","3.4")</f>
        <v>3.4</v>
      </c>
      <c r="G2148" s="4" t="str">
        <f>HYPERLINK("http://141.218.60.56/~jnz1568/getInfo.php?workbook=06_02.xlsx&amp;sheet=U0&amp;row=2148&amp;col=7&amp;number=0.00821&amp;sourceID=14","0.00821")</f>
        <v>0.00821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HYPERLINK("http://141.218.60.56/~jnz1568/getInfo.php?workbook=06_02.xlsx&amp;sheet=U0&amp;row=2149&amp;col=6&amp;number=3.5&amp;sourceID=14","3.5")</f>
        <v>3.5</v>
      </c>
      <c r="G2149" s="4" t="str">
        <f>HYPERLINK("http://141.218.60.56/~jnz1568/getInfo.php?workbook=06_02.xlsx&amp;sheet=U0&amp;row=2149&amp;col=7&amp;number=0.0082&amp;sourceID=14","0.0082")</f>
        <v>0.0082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HYPERLINK("http://141.218.60.56/~jnz1568/getInfo.php?workbook=06_02.xlsx&amp;sheet=U0&amp;row=2150&amp;col=6&amp;number=3.6&amp;sourceID=14","3.6")</f>
        <v>3.6</v>
      </c>
      <c r="G2150" s="4" t="str">
        <f>HYPERLINK("http://141.218.60.56/~jnz1568/getInfo.php?workbook=06_02.xlsx&amp;sheet=U0&amp;row=2150&amp;col=7&amp;number=0.0082&amp;sourceID=14","0.0082")</f>
        <v>0.0082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HYPERLINK("http://141.218.60.56/~jnz1568/getInfo.php?workbook=06_02.xlsx&amp;sheet=U0&amp;row=2151&amp;col=6&amp;number=3.7&amp;sourceID=14","3.7")</f>
        <v>3.7</v>
      </c>
      <c r="G2151" s="4" t="str">
        <f>HYPERLINK("http://141.218.60.56/~jnz1568/getInfo.php?workbook=06_02.xlsx&amp;sheet=U0&amp;row=2151&amp;col=7&amp;number=0.00819&amp;sourceID=14","0.00819")</f>
        <v>0.00819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HYPERLINK("http://141.218.60.56/~jnz1568/getInfo.php?workbook=06_02.xlsx&amp;sheet=U0&amp;row=2152&amp;col=6&amp;number=3.8&amp;sourceID=14","3.8")</f>
        <v>3.8</v>
      </c>
      <c r="G2152" s="4" t="str">
        <f>HYPERLINK("http://141.218.60.56/~jnz1568/getInfo.php?workbook=06_02.xlsx&amp;sheet=U0&amp;row=2152&amp;col=7&amp;number=0.00818&amp;sourceID=14","0.00818")</f>
        <v>0.00818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HYPERLINK("http://141.218.60.56/~jnz1568/getInfo.php?workbook=06_02.xlsx&amp;sheet=U0&amp;row=2153&amp;col=6&amp;number=3.9&amp;sourceID=14","3.9")</f>
        <v>3.9</v>
      </c>
      <c r="G2153" s="4" t="str">
        <f>HYPERLINK("http://141.218.60.56/~jnz1568/getInfo.php?workbook=06_02.xlsx&amp;sheet=U0&amp;row=2153&amp;col=7&amp;number=0.00816&amp;sourceID=14","0.00816")</f>
        <v>0.00816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HYPERLINK("http://141.218.60.56/~jnz1568/getInfo.php?workbook=06_02.xlsx&amp;sheet=U0&amp;row=2154&amp;col=6&amp;number=4&amp;sourceID=14","4")</f>
        <v>4</v>
      </c>
      <c r="G2154" s="4" t="str">
        <f>HYPERLINK("http://141.218.60.56/~jnz1568/getInfo.php?workbook=06_02.xlsx&amp;sheet=U0&amp;row=2154&amp;col=7&amp;number=0.00814&amp;sourceID=14","0.00814")</f>
        <v>0.00814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HYPERLINK("http://141.218.60.56/~jnz1568/getInfo.php?workbook=06_02.xlsx&amp;sheet=U0&amp;row=2155&amp;col=6&amp;number=4.1&amp;sourceID=14","4.1")</f>
        <v>4.1</v>
      </c>
      <c r="G2155" s="4" t="str">
        <f>HYPERLINK("http://141.218.60.56/~jnz1568/getInfo.php?workbook=06_02.xlsx&amp;sheet=U0&amp;row=2155&amp;col=7&amp;number=0.00812&amp;sourceID=14","0.00812")</f>
        <v>0.00812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HYPERLINK("http://141.218.60.56/~jnz1568/getInfo.php?workbook=06_02.xlsx&amp;sheet=U0&amp;row=2156&amp;col=6&amp;number=4.2&amp;sourceID=14","4.2")</f>
        <v>4.2</v>
      </c>
      <c r="G2156" s="4" t="str">
        <f>HYPERLINK("http://141.218.60.56/~jnz1568/getInfo.php?workbook=06_02.xlsx&amp;sheet=U0&amp;row=2156&amp;col=7&amp;number=0.00809&amp;sourceID=14","0.00809")</f>
        <v>0.00809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HYPERLINK("http://141.218.60.56/~jnz1568/getInfo.php?workbook=06_02.xlsx&amp;sheet=U0&amp;row=2157&amp;col=6&amp;number=4.3&amp;sourceID=14","4.3")</f>
        <v>4.3</v>
      </c>
      <c r="G2157" s="4" t="str">
        <f>HYPERLINK("http://141.218.60.56/~jnz1568/getInfo.php?workbook=06_02.xlsx&amp;sheet=U0&amp;row=2157&amp;col=7&amp;number=0.00805&amp;sourceID=14","0.00805")</f>
        <v>0.00805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HYPERLINK("http://141.218.60.56/~jnz1568/getInfo.php?workbook=06_02.xlsx&amp;sheet=U0&amp;row=2158&amp;col=6&amp;number=4.4&amp;sourceID=14","4.4")</f>
        <v>4.4</v>
      </c>
      <c r="G2158" s="4" t="str">
        <f>HYPERLINK("http://141.218.60.56/~jnz1568/getInfo.php?workbook=06_02.xlsx&amp;sheet=U0&amp;row=2158&amp;col=7&amp;number=0.00801&amp;sourceID=14","0.00801")</f>
        <v>0.00801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HYPERLINK("http://141.218.60.56/~jnz1568/getInfo.php?workbook=06_02.xlsx&amp;sheet=U0&amp;row=2159&amp;col=6&amp;number=4.5&amp;sourceID=14","4.5")</f>
        <v>4.5</v>
      </c>
      <c r="G2159" s="4" t="str">
        <f>HYPERLINK("http://141.218.60.56/~jnz1568/getInfo.php?workbook=06_02.xlsx&amp;sheet=U0&amp;row=2159&amp;col=7&amp;number=0.00795&amp;sourceID=14","0.00795")</f>
        <v>0.00795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HYPERLINK("http://141.218.60.56/~jnz1568/getInfo.php?workbook=06_02.xlsx&amp;sheet=U0&amp;row=2160&amp;col=6&amp;number=4.6&amp;sourceID=14","4.6")</f>
        <v>4.6</v>
      </c>
      <c r="G2160" s="4" t="str">
        <f>HYPERLINK("http://141.218.60.56/~jnz1568/getInfo.php?workbook=06_02.xlsx&amp;sheet=U0&amp;row=2160&amp;col=7&amp;number=0.00787&amp;sourceID=14","0.00787")</f>
        <v>0.00787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HYPERLINK("http://141.218.60.56/~jnz1568/getInfo.php?workbook=06_02.xlsx&amp;sheet=U0&amp;row=2161&amp;col=6&amp;number=4.7&amp;sourceID=14","4.7")</f>
        <v>4.7</v>
      </c>
      <c r="G2161" s="4" t="str">
        <f>HYPERLINK("http://141.218.60.56/~jnz1568/getInfo.php?workbook=06_02.xlsx&amp;sheet=U0&amp;row=2161&amp;col=7&amp;number=0.00778&amp;sourceID=14","0.00778")</f>
        <v>0.00778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HYPERLINK("http://141.218.60.56/~jnz1568/getInfo.php?workbook=06_02.xlsx&amp;sheet=U0&amp;row=2162&amp;col=6&amp;number=4.8&amp;sourceID=14","4.8")</f>
        <v>4.8</v>
      </c>
      <c r="G2162" s="4" t="str">
        <f>HYPERLINK("http://141.218.60.56/~jnz1568/getInfo.php?workbook=06_02.xlsx&amp;sheet=U0&amp;row=2162&amp;col=7&amp;number=0.00767&amp;sourceID=14","0.00767")</f>
        <v>0.00767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HYPERLINK("http://141.218.60.56/~jnz1568/getInfo.php?workbook=06_02.xlsx&amp;sheet=U0&amp;row=2163&amp;col=6&amp;number=4.9&amp;sourceID=14","4.9")</f>
        <v>4.9</v>
      </c>
      <c r="G2163" s="4" t="str">
        <f>HYPERLINK("http://141.218.60.56/~jnz1568/getInfo.php?workbook=06_02.xlsx&amp;sheet=U0&amp;row=2163&amp;col=7&amp;number=0.00754&amp;sourceID=14","0.00754")</f>
        <v>0.00754</v>
      </c>
    </row>
    <row r="2164" spans="1:7">
      <c r="A2164" s="3">
        <v>6</v>
      </c>
      <c r="B2164" s="3">
        <v>2</v>
      </c>
      <c r="C2164" s="3">
        <v>3</v>
      </c>
      <c r="D2164" s="3">
        <v>26</v>
      </c>
      <c r="E2164" s="3">
        <v>1</v>
      </c>
      <c r="F2164" s="4" t="str">
        <f>HYPERLINK("http://141.218.60.56/~jnz1568/getInfo.php?workbook=06_02.xlsx&amp;sheet=U0&amp;row=2164&amp;col=6&amp;number=3&amp;sourceID=14","3")</f>
        <v>3</v>
      </c>
      <c r="G2164" s="4" t="str">
        <f>HYPERLINK("http://141.218.60.56/~jnz1568/getInfo.php?workbook=06_02.xlsx&amp;sheet=U0&amp;row=2164&amp;col=7&amp;number=0.0116&amp;sourceID=14","0.0116")</f>
        <v>0.0116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HYPERLINK("http://141.218.60.56/~jnz1568/getInfo.php?workbook=06_02.xlsx&amp;sheet=U0&amp;row=2165&amp;col=6&amp;number=3.1&amp;sourceID=14","3.1")</f>
        <v>3.1</v>
      </c>
      <c r="G2165" s="4" t="str">
        <f>HYPERLINK("http://141.218.60.56/~jnz1568/getInfo.php?workbook=06_02.xlsx&amp;sheet=U0&amp;row=2165&amp;col=7&amp;number=0.0116&amp;sourceID=14","0.0116")</f>
        <v>0.0116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HYPERLINK("http://141.218.60.56/~jnz1568/getInfo.php?workbook=06_02.xlsx&amp;sheet=U0&amp;row=2166&amp;col=6&amp;number=3.2&amp;sourceID=14","3.2")</f>
        <v>3.2</v>
      </c>
      <c r="G2166" s="4" t="str">
        <f>HYPERLINK("http://141.218.60.56/~jnz1568/getInfo.php?workbook=06_02.xlsx&amp;sheet=U0&amp;row=2166&amp;col=7&amp;number=0.0116&amp;sourceID=14","0.0116")</f>
        <v>0.0116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HYPERLINK("http://141.218.60.56/~jnz1568/getInfo.php?workbook=06_02.xlsx&amp;sheet=U0&amp;row=2167&amp;col=6&amp;number=3.3&amp;sourceID=14","3.3")</f>
        <v>3.3</v>
      </c>
      <c r="G2167" s="4" t="str">
        <f>HYPERLINK("http://141.218.60.56/~jnz1568/getInfo.php?workbook=06_02.xlsx&amp;sheet=U0&amp;row=2167&amp;col=7&amp;number=0.0116&amp;sourceID=14","0.0116")</f>
        <v>0.0116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HYPERLINK("http://141.218.60.56/~jnz1568/getInfo.php?workbook=06_02.xlsx&amp;sheet=U0&amp;row=2168&amp;col=6&amp;number=3.4&amp;sourceID=14","3.4")</f>
        <v>3.4</v>
      </c>
      <c r="G2168" s="4" t="str">
        <f>HYPERLINK("http://141.218.60.56/~jnz1568/getInfo.php?workbook=06_02.xlsx&amp;sheet=U0&amp;row=2168&amp;col=7&amp;number=0.0116&amp;sourceID=14","0.0116")</f>
        <v>0.0116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HYPERLINK("http://141.218.60.56/~jnz1568/getInfo.php?workbook=06_02.xlsx&amp;sheet=U0&amp;row=2169&amp;col=6&amp;number=3.5&amp;sourceID=14","3.5")</f>
        <v>3.5</v>
      </c>
      <c r="G2169" s="4" t="str">
        <f>HYPERLINK("http://141.218.60.56/~jnz1568/getInfo.php?workbook=06_02.xlsx&amp;sheet=U0&amp;row=2169&amp;col=7&amp;number=0.0116&amp;sourceID=14","0.0116")</f>
        <v>0.0116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HYPERLINK("http://141.218.60.56/~jnz1568/getInfo.php?workbook=06_02.xlsx&amp;sheet=U0&amp;row=2170&amp;col=6&amp;number=3.6&amp;sourceID=14","3.6")</f>
        <v>3.6</v>
      </c>
      <c r="G2170" s="4" t="str">
        <f>HYPERLINK("http://141.218.60.56/~jnz1568/getInfo.php?workbook=06_02.xlsx&amp;sheet=U0&amp;row=2170&amp;col=7&amp;number=0.0116&amp;sourceID=14","0.0116")</f>
        <v>0.0116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HYPERLINK("http://141.218.60.56/~jnz1568/getInfo.php?workbook=06_02.xlsx&amp;sheet=U0&amp;row=2171&amp;col=6&amp;number=3.7&amp;sourceID=14","3.7")</f>
        <v>3.7</v>
      </c>
      <c r="G2171" s="4" t="str">
        <f>HYPERLINK("http://141.218.60.56/~jnz1568/getInfo.php?workbook=06_02.xlsx&amp;sheet=U0&amp;row=2171&amp;col=7&amp;number=0.0116&amp;sourceID=14","0.0116")</f>
        <v>0.0116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HYPERLINK("http://141.218.60.56/~jnz1568/getInfo.php?workbook=06_02.xlsx&amp;sheet=U0&amp;row=2172&amp;col=6&amp;number=3.8&amp;sourceID=14","3.8")</f>
        <v>3.8</v>
      </c>
      <c r="G2172" s="4" t="str">
        <f>HYPERLINK("http://141.218.60.56/~jnz1568/getInfo.php?workbook=06_02.xlsx&amp;sheet=U0&amp;row=2172&amp;col=7&amp;number=0.0116&amp;sourceID=14","0.0116")</f>
        <v>0.0116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HYPERLINK("http://141.218.60.56/~jnz1568/getInfo.php?workbook=06_02.xlsx&amp;sheet=U0&amp;row=2173&amp;col=6&amp;number=3.9&amp;sourceID=14","3.9")</f>
        <v>3.9</v>
      </c>
      <c r="G2173" s="4" t="str">
        <f>HYPERLINK("http://141.218.60.56/~jnz1568/getInfo.php?workbook=06_02.xlsx&amp;sheet=U0&amp;row=2173&amp;col=7&amp;number=0.0115&amp;sourceID=14","0.0115")</f>
        <v>0.0115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HYPERLINK("http://141.218.60.56/~jnz1568/getInfo.php?workbook=06_02.xlsx&amp;sheet=U0&amp;row=2174&amp;col=6&amp;number=4&amp;sourceID=14","4")</f>
        <v>4</v>
      </c>
      <c r="G2174" s="4" t="str">
        <f>HYPERLINK("http://141.218.60.56/~jnz1568/getInfo.php?workbook=06_02.xlsx&amp;sheet=U0&amp;row=2174&amp;col=7&amp;number=0.0115&amp;sourceID=14","0.0115")</f>
        <v>0.0115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HYPERLINK("http://141.218.60.56/~jnz1568/getInfo.php?workbook=06_02.xlsx&amp;sheet=U0&amp;row=2175&amp;col=6&amp;number=4.1&amp;sourceID=14","4.1")</f>
        <v>4.1</v>
      </c>
      <c r="G2175" s="4" t="str">
        <f>HYPERLINK("http://141.218.60.56/~jnz1568/getInfo.php?workbook=06_02.xlsx&amp;sheet=U0&amp;row=2175&amp;col=7&amp;number=0.0115&amp;sourceID=14","0.0115")</f>
        <v>0.0115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HYPERLINK("http://141.218.60.56/~jnz1568/getInfo.php?workbook=06_02.xlsx&amp;sheet=U0&amp;row=2176&amp;col=6&amp;number=4.2&amp;sourceID=14","4.2")</f>
        <v>4.2</v>
      </c>
      <c r="G2176" s="4" t="str">
        <f>HYPERLINK("http://141.218.60.56/~jnz1568/getInfo.php?workbook=06_02.xlsx&amp;sheet=U0&amp;row=2176&amp;col=7&amp;number=0.0114&amp;sourceID=14","0.0114")</f>
        <v>0.0114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HYPERLINK("http://141.218.60.56/~jnz1568/getInfo.php?workbook=06_02.xlsx&amp;sheet=U0&amp;row=2177&amp;col=6&amp;number=4.3&amp;sourceID=14","4.3")</f>
        <v>4.3</v>
      </c>
      <c r="G2177" s="4" t="str">
        <f>HYPERLINK("http://141.218.60.56/~jnz1568/getInfo.php?workbook=06_02.xlsx&amp;sheet=U0&amp;row=2177&amp;col=7&amp;number=0.0113&amp;sourceID=14","0.0113")</f>
        <v>0.0113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HYPERLINK("http://141.218.60.56/~jnz1568/getInfo.php?workbook=06_02.xlsx&amp;sheet=U0&amp;row=2178&amp;col=6&amp;number=4.4&amp;sourceID=14","4.4")</f>
        <v>4.4</v>
      </c>
      <c r="G2178" s="4" t="str">
        <f>HYPERLINK("http://141.218.60.56/~jnz1568/getInfo.php?workbook=06_02.xlsx&amp;sheet=U0&amp;row=2178&amp;col=7&amp;number=0.0113&amp;sourceID=14","0.0113")</f>
        <v>0.0113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HYPERLINK("http://141.218.60.56/~jnz1568/getInfo.php?workbook=06_02.xlsx&amp;sheet=U0&amp;row=2179&amp;col=6&amp;number=4.5&amp;sourceID=14","4.5")</f>
        <v>4.5</v>
      </c>
      <c r="G2179" s="4" t="str">
        <f>HYPERLINK("http://141.218.60.56/~jnz1568/getInfo.php?workbook=06_02.xlsx&amp;sheet=U0&amp;row=2179&amp;col=7&amp;number=0.0112&amp;sourceID=14","0.0112")</f>
        <v>0.0112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HYPERLINK("http://141.218.60.56/~jnz1568/getInfo.php?workbook=06_02.xlsx&amp;sheet=U0&amp;row=2180&amp;col=6&amp;number=4.6&amp;sourceID=14","4.6")</f>
        <v>4.6</v>
      </c>
      <c r="G2180" s="4" t="str">
        <f>HYPERLINK("http://141.218.60.56/~jnz1568/getInfo.php?workbook=06_02.xlsx&amp;sheet=U0&amp;row=2180&amp;col=7&amp;number=0.0111&amp;sourceID=14","0.0111")</f>
        <v>0.0111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HYPERLINK("http://141.218.60.56/~jnz1568/getInfo.php?workbook=06_02.xlsx&amp;sheet=U0&amp;row=2181&amp;col=6&amp;number=4.7&amp;sourceID=14","4.7")</f>
        <v>4.7</v>
      </c>
      <c r="G2181" s="4" t="str">
        <f>HYPERLINK("http://141.218.60.56/~jnz1568/getInfo.php?workbook=06_02.xlsx&amp;sheet=U0&amp;row=2181&amp;col=7&amp;number=0.0109&amp;sourceID=14","0.0109")</f>
        <v>0.0109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HYPERLINK("http://141.218.60.56/~jnz1568/getInfo.php?workbook=06_02.xlsx&amp;sheet=U0&amp;row=2182&amp;col=6&amp;number=4.8&amp;sourceID=14","4.8")</f>
        <v>4.8</v>
      </c>
      <c r="G2182" s="4" t="str">
        <f>HYPERLINK("http://141.218.60.56/~jnz1568/getInfo.php?workbook=06_02.xlsx&amp;sheet=U0&amp;row=2182&amp;col=7&amp;number=0.0107&amp;sourceID=14","0.0107")</f>
        <v>0.0107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HYPERLINK("http://141.218.60.56/~jnz1568/getInfo.php?workbook=06_02.xlsx&amp;sheet=U0&amp;row=2183&amp;col=6&amp;number=4.9&amp;sourceID=14","4.9")</f>
        <v>4.9</v>
      </c>
      <c r="G2183" s="4" t="str">
        <f>HYPERLINK("http://141.218.60.56/~jnz1568/getInfo.php?workbook=06_02.xlsx&amp;sheet=U0&amp;row=2183&amp;col=7&amp;number=0.0105&amp;sourceID=14","0.0105")</f>
        <v>0.0105</v>
      </c>
    </row>
    <row r="2184" spans="1:7">
      <c r="A2184" s="3">
        <v>6</v>
      </c>
      <c r="B2184" s="3">
        <v>2</v>
      </c>
      <c r="C2184" s="3">
        <v>3</v>
      </c>
      <c r="D2184" s="3">
        <v>27</v>
      </c>
      <c r="E2184" s="3">
        <v>1</v>
      </c>
      <c r="F2184" s="4" t="str">
        <f>HYPERLINK("http://141.218.60.56/~jnz1568/getInfo.php?workbook=06_02.xlsx&amp;sheet=U0&amp;row=2184&amp;col=6&amp;number=3&amp;sourceID=14","3")</f>
        <v>3</v>
      </c>
      <c r="G2184" s="4" t="str">
        <f>HYPERLINK("http://141.218.60.56/~jnz1568/getInfo.php?workbook=06_02.xlsx&amp;sheet=U0&amp;row=2184&amp;col=7&amp;number=0.0347&amp;sourceID=14","0.0347")</f>
        <v>0.0347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HYPERLINK("http://141.218.60.56/~jnz1568/getInfo.php?workbook=06_02.xlsx&amp;sheet=U0&amp;row=2185&amp;col=6&amp;number=3.1&amp;sourceID=14","3.1")</f>
        <v>3.1</v>
      </c>
      <c r="G2185" s="4" t="str">
        <f>HYPERLINK("http://141.218.60.56/~jnz1568/getInfo.php?workbook=06_02.xlsx&amp;sheet=U0&amp;row=2185&amp;col=7&amp;number=0.0347&amp;sourceID=14","0.0347")</f>
        <v>0.0347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HYPERLINK("http://141.218.60.56/~jnz1568/getInfo.php?workbook=06_02.xlsx&amp;sheet=U0&amp;row=2186&amp;col=6&amp;number=3.2&amp;sourceID=14","3.2")</f>
        <v>3.2</v>
      </c>
      <c r="G2186" s="4" t="str">
        <f>HYPERLINK("http://141.218.60.56/~jnz1568/getInfo.php?workbook=06_02.xlsx&amp;sheet=U0&amp;row=2186&amp;col=7&amp;number=0.0347&amp;sourceID=14","0.0347")</f>
        <v>0.0347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HYPERLINK("http://141.218.60.56/~jnz1568/getInfo.php?workbook=06_02.xlsx&amp;sheet=U0&amp;row=2187&amp;col=6&amp;number=3.3&amp;sourceID=14","3.3")</f>
        <v>3.3</v>
      </c>
      <c r="G2187" s="4" t="str">
        <f>HYPERLINK("http://141.218.60.56/~jnz1568/getInfo.php?workbook=06_02.xlsx&amp;sheet=U0&amp;row=2187&amp;col=7&amp;number=0.0347&amp;sourceID=14","0.0347")</f>
        <v>0.0347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HYPERLINK("http://141.218.60.56/~jnz1568/getInfo.php?workbook=06_02.xlsx&amp;sheet=U0&amp;row=2188&amp;col=6&amp;number=3.4&amp;sourceID=14","3.4")</f>
        <v>3.4</v>
      </c>
      <c r="G2188" s="4" t="str">
        <f>HYPERLINK("http://141.218.60.56/~jnz1568/getInfo.php?workbook=06_02.xlsx&amp;sheet=U0&amp;row=2188&amp;col=7&amp;number=0.0347&amp;sourceID=14","0.0347")</f>
        <v>0.0347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HYPERLINK("http://141.218.60.56/~jnz1568/getInfo.php?workbook=06_02.xlsx&amp;sheet=U0&amp;row=2189&amp;col=6&amp;number=3.5&amp;sourceID=14","3.5")</f>
        <v>3.5</v>
      </c>
      <c r="G2189" s="4" t="str">
        <f>HYPERLINK("http://141.218.60.56/~jnz1568/getInfo.php?workbook=06_02.xlsx&amp;sheet=U0&amp;row=2189&amp;col=7&amp;number=0.0348&amp;sourceID=14","0.0348")</f>
        <v>0.0348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HYPERLINK("http://141.218.60.56/~jnz1568/getInfo.php?workbook=06_02.xlsx&amp;sheet=U0&amp;row=2190&amp;col=6&amp;number=3.6&amp;sourceID=14","3.6")</f>
        <v>3.6</v>
      </c>
      <c r="G2190" s="4" t="str">
        <f>HYPERLINK("http://141.218.60.56/~jnz1568/getInfo.php?workbook=06_02.xlsx&amp;sheet=U0&amp;row=2190&amp;col=7&amp;number=0.0348&amp;sourceID=14","0.0348")</f>
        <v>0.0348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HYPERLINK("http://141.218.60.56/~jnz1568/getInfo.php?workbook=06_02.xlsx&amp;sheet=U0&amp;row=2191&amp;col=6&amp;number=3.7&amp;sourceID=14","3.7")</f>
        <v>3.7</v>
      </c>
      <c r="G2191" s="4" t="str">
        <f>HYPERLINK("http://141.218.60.56/~jnz1568/getInfo.php?workbook=06_02.xlsx&amp;sheet=U0&amp;row=2191&amp;col=7&amp;number=0.0348&amp;sourceID=14","0.0348")</f>
        <v>0.0348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HYPERLINK("http://141.218.60.56/~jnz1568/getInfo.php?workbook=06_02.xlsx&amp;sheet=U0&amp;row=2192&amp;col=6&amp;number=3.8&amp;sourceID=14","3.8")</f>
        <v>3.8</v>
      </c>
      <c r="G2192" s="4" t="str">
        <f>HYPERLINK("http://141.218.60.56/~jnz1568/getInfo.php?workbook=06_02.xlsx&amp;sheet=U0&amp;row=2192&amp;col=7&amp;number=0.0348&amp;sourceID=14","0.0348")</f>
        <v>0.0348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HYPERLINK("http://141.218.60.56/~jnz1568/getInfo.php?workbook=06_02.xlsx&amp;sheet=U0&amp;row=2193&amp;col=6&amp;number=3.9&amp;sourceID=14","3.9")</f>
        <v>3.9</v>
      </c>
      <c r="G2193" s="4" t="str">
        <f>HYPERLINK("http://141.218.60.56/~jnz1568/getInfo.php?workbook=06_02.xlsx&amp;sheet=U0&amp;row=2193&amp;col=7&amp;number=0.0349&amp;sourceID=14","0.0349")</f>
        <v>0.0349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HYPERLINK("http://141.218.60.56/~jnz1568/getInfo.php?workbook=06_02.xlsx&amp;sheet=U0&amp;row=2194&amp;col=6&amp;number=4&amp;sourceID=14","4")</f>
        <v>4</v>
      </c>
      <c r="G2194" s="4" t="str">
        <f>HYPERLINK("http://141.218.60.56/~jnz1568/getInfo.php?workbook=06_02.xlsx&amp;sheet=U0&amp;row=2194&amp;col=7&amp;number=0.0349&amp;sourceID=14","0.0349")</f>
        <v>0.0349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HYPERLINK("http://141.218.60.56/~jnz1568/getInfo.php?workbook=06_02.xlsx&amp;sheet=U0&amp;row=2195&amp;col=6&amp;number=4.1&amp;sourceID=14","4.1")</f>
        <v>4.1</v>
      </c>
      <c r="G2195" s="4" t="str">
        <f>HYPERLINK("http://141.218.60.56/~jnz1568/getInfo.php?workbook=06_02.xlsx&amp;sheet=U0&amp;row=2195&amp;col=7&amp;number=0.035&amp;sourceID=14","0.035")</f>
        <v>0.035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HYPERLINK("http://141.218.60.56/~jnz1568/getInfo.php?workbook=06_02.xlsx&amp;sheet=U0&amp;row=2196&amp;col=6&amp;number=4.2&amp;sourceID=14","4.2")</f>
        <v>4.2</v>
      </c>
      <c r="G2196" s="4" t="str">
        <f>HYPERLINK("http://141.218.60.56/~jnz1568/getInfo.php?workbook=06_02.xlsx&amp;sheet=U0&amp;row=2196&amp;col=7&amp;number=0.035&amp;sourceID=14","0.035")</f>
        <v>0.035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HYPERLINK("http://141.218.60.56/~jnz1568/getInfo.php?workbook=06_02.xlsx&amp;sheet=U0&amp;row=2197&amp;col=6&amp;number=4.3&amp;sourceID=14","4.3")</f>
        <v>4.3</v>
      </c>
      <c r="G2197" s="4" t="str">
        <f>HYPERLINK("http://141.218.60.56/~jnz1568/getInfo.php?workbook=06_02.xlsx&amp;sheet=U0&amp;row=2197&amp;col=7&amp;number=0.0351&amp;sourceID=14","0.0351")</f>
        <v>0.0351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HYPERLINK("http://141.218.60.56/~jnz1568/getInfo.php?workbook=06_02.xlsx&amp;sheet=U0&amp;row=2198&amp;col=6&amp;number=4.4&amp;sourceID=14","4.4")</f>
        <v>4.4</v>
      </c>
      <c r="G2198" s="4" t="str">
        <f>HYPERLINK("http://141.218.60.56/~jnz1568/getInfo.php?workbook=06_02.xlsx&amp;sheet=U0&amp;row=2198&amp;col=7&amp;number=0.0352&amp;sourceID=14","0.0352")</f>
        <v>0.0352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HYPERLINK("http://141.218.60.56/~jnz1568/getInfo.php?workbook=06_02.xlsx&amp;sheet=U0&amp;row=2199&amp;col=6&amp;number=4.5&amp;sourceID=14","4.5")</f>
        <v>4.5</v>
      </c>
      <c r="G2199" s="4" t="str">
        <f>HYPERLINK("http://141.218.60.56/~jnz1568/getInfo.php?workbook=06_02.xlsx&amp;sheet=U0&amp;row=2199&amp;col=7&amp;number=0.0354&amp;sourceID=14","0.0354")</f>
        <v>0.0354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HYPERLINK("http://141.218.60.56/~jnz1568/getInfo.php?workbook=06_02.xlsx&amp;sheet=U0&amp;row=2200&amp;col=6&amp;number=4.6&amp;sourceID=14","4.6")</f>
        <v>4.6</v>
      </c>
      <c r="G2200" s="4" t="str">
        <f>HYPERLINK("http://141.218.60.56/~jnz1568/getInfo.php?workbook=06_02.xlsx&amp;sheet=U0&amp;row=2200&amp;col=7&amp;number=0.0356&amp;sourceID=14","0.0356")</f>
        <v>0.0356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HYPERLINK("http://141.218.60.56/~jnz1568/getInfo.php?workbook=06_02.xlsx&amp;sheet=U0&amp;row=2201&amp;col=6&amp;number=4.7&amp;sourceID=14","4.7")</f>
        <v>4.7</v>
      </c>
      <c r="G2201" s="4" t="str">
        <f>HYPERLINK("http://141.218.60.56/~jnz1568/getInfo.php?workbook=06_02.xlsx&amp;sheet=U0&amp;row=2201&amp;col=7&amp;number=0.0358&amp;sourceID=14","0.0358")</f>
        <v>0.0358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HYPERLINK("http://141.218.60.56/~jnz1568/getInfo.php?workbook=06_02.xlsx&amp;sheet=U0&amp;row=2202&amp;col=6&amp;number=4.8&amp;sourceID=14","4.8")</f>
        <v>4.8</v>
      </c>
      <c r="G2202" s="4" t="str">
        <f>HYPERLINK("http://141.218.60.56/~jnz1568/getInfo.php?workbook=06_02.xlsx&amp;sheet=U0&amp;row=2202&amp;col=7&amp;number=0.0361&amp;sourceID=14","0.0361")</f>
        <v>0.0361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HYPERLINK("http://141.218.60.56/~jnz1568/getInfo.php?workbook=06_02.xlsx&amp;sheet=U0&amp;row=2203&amp;col=6&amp;number=4.9&amp;sourceID=14","4.9")</f>
        <v>4.9</v>
      </c>
      <c r="G2203" s="4" t="str">
        <f>HYPERLINK("http://141.218.60.56/~jnz1568/getInfo.php?workbook=06_02.xlsx&amp;sheet=U0&amp;row=2203&amp;col=7&amp;number=0.0364&amp;sourceID=14","0.0364")</f>
        <v>0.0364</v>
      </c>
    </row>
    <row r="2204" spans="1:7">
      <c r="A2204" s="3">
        <v>6</v>
      </c>
      <c r="B2204" s="3">
        <v>2</v>
      </c>
      <c r="C2204" s="3">
        <v>3</v>
      </c>
      <c r="D2204" s="3">
        <v>28</v>
      </c>
      <c r="E2204" s="3">
        <v>1</v>
      </c>
      <c r="F2204" s="4" t="str">
        <f>HYPERLINK("http://141.218.60.56/~jnz1568/getInfo.php?workbook=06_02.xlsx&amp;sheet=U0&amp;row=2204&amp;col=6&amp;number=3&amp;sourceID=14","3")</f>
        <v>3</v>
      </c>
      <c r="G2204" s="4" t="str">
        <f>HYPERLINK("http://141.218.60.56/~jnz1568/getInfo.php?workbook=06_02.xlsx&amp;sheet=U0&amp;row=2204&amp;col=7&amp;number=0.00442&amp;sourceID=14","0.00442")</f>
        <v>0.00442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HYPERLINK("http://141.218.60.56/~jnz1568/getInfo.php?workbook=06_02.xlsx&amp;sheet=U0&amp;row=2205&amp;col=6&amp;number=3.1&amp;sourceID=14","3.1")</f>
        <v>3.1</v>
      </c>
      <c r="G2205" s="4" t="str">
        <f>HYPERLINK("http://141.218.60.56/~jnz1568/getInfo.php?workbook=06_02.xlsx&amp;sheet=U0&amp;row=2205&amp;col=7&amp;number=0.00442&amp;sourceID=14","0.00442")</f>
        <v>0.00442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HYPERLINK("http://141.218.60.56/~jnz1568/getInfo.php?workbook=06_02.xlsx&amp;sheet=U0&amp;row=2206&amp;col=6&amp;number=3.2&amp;sourceID=14","3.2")</f>
        <v>3.2</v>
      </c>
      <c r="G2206" s="4" t="str">
        <f>HYPERLINK("http://141.218.60.56/~jnz1568/getInfo.php?workbook=06_02.xlsx&amp;sheet=U0&amp;row=2206&amp;col=7&amp;number=0.00442&amp;sourceID=14","0.00442")</f>
        <v>0.00442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HYPERLINK("http://141.218.60.56/~jnz1568/getInfo.php?workbook=06_02.xlsx&amp;sheet=U0&amp;row=2207&amp;col=6&amp;number=3.3&amp;sourceID=14","3.3")</f>
        <v>3.3</v>
      </c>
      <c r="G2207" s="4" t="str">
        <f>HYPERLINK("http://141.218.60.56/~jnz1568/getInfo.php?workbook=06_02.xlsx&amp;sheet=U0&amp;row=2207&amp;col=7&amp;number=0.00441&amp;sourceID=14","0.00441")</f>
        <v>0.00441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HYPERLINK("http://141.218.60.56/~jnz1568/getInfo.php?workbook=06_02.xlsx&amp;sheet=U0&amp;row=2208&amp;col=6&amp;number=3.4&amp;sourceID=14","3.4")</f>
        <v>3.4</v>
      </c>
      <c r="G2208" s="4" t="str">
        <f>HYPERLINK("http://141.218.60.56/~jnz1568/getInfo.php?workbook=06_02.xlsx&amp;sheet=U0&amp;row=2208&amp;col=7&amp;number=0.00441&amp;sourceID=14","0.00441")</f>
        <v>0.00441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HYPERLINK("http://141.218.60.56/~jnz1568/getInfo.php?workbook=06_02.xlsx&amp;sheet=U0&amp;row=2209&amp;col=6&amp;number=3.5&amp;sourceID=14","3.5")</f>
        <v>3.5</v>
      </c>
      <c r="G2209" s="4" t="str">
        <f>HYPERLINK("http://141.218.60.56/~jnz1568/getInfo.php?workbook=06_02.xlsx&amp;sheet=U0&amp;row=2209&amp;col=7&amp;number=0.00441&amp;sourceID=14","0.00441")</f>
        <v>0.00441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HYPERLINK("http://141.218.60.56/~jnz1568/getInfo.php?workbook=06_02.xlsx&amp;sheet=U0&amp;row=2210&amp;col=6&amp;number=3.6&amp;sourceID=14","3.6")</f>
        <v>3.6</v>
      </c>
      <c r="G2210" s="4" t="str">
        <f>HYPERLINK("http://141.218.60.56/~jnz1568/getInfo.php?workbook=06_02.xlsx&amp;sheet=U0&amp;row=2210&amp;col=7&amp;number=0.0044&amp;sourceID=14","0.0044")</f>
        <v>0.0044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HYPERLINK("http://141.218.60.56/~jnz1568/getInfo.php?workbook=06_02.xlsx&amp;sheet=U0&amp;row=2211&amp;col=6&amp;number=3.7&amp;sourceID=14","3.7")</f>
        <v>3.7</v>
      </c>
      <c r="G2211" s="4" t="str">
        <f>HYPERLINK("http://141.218.60.56/~jnz1568/getInfo.php?workbook=06_02.xlsx&amp;sheet=U0&amp;row=2211&amp;col=7&amp;number=0.00439&amp;sourceID=14","0.00439")</f>
        <v>0.00439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HYPERLINK("http://141.218.60.56/~jnz1568/getInfo.php?workbook=06_02.xlsx&amp;sheet=U0&amp;row=2212&amp;col=6&amp;number=3.8&amp;sourceID=14","3.8")</f>
        <v>3.8</v>
      </c>
      <c r="G2212" s="4" t="str">
        <f>HYPERLINK("http://141.218.60.56/~jnz1568/getInfo.php?workbook=06_02.xlsx&amp;sheet=U0&amp;row=2212&amp;col=7&amp;number=0.00438&amp;sourceID=14","0.00438")</f>
        <v>0.00438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HYPERLINK("http://141.218.60.56/~jnz1568/getInfo.php?workbook=06_02.xlsx&amp;sheet=U0&amp;row=2213&amp;col=6&amp;number=3.9&amp;sourceID=14","3.9")</f>
        <v>3.9</v>
      </c>
      <c r="G2213" s="4" t="str">
        <f>HYPERLINK("http://141.218.60.56/~jnz1568/getInfo.php?workbook=06_02.xlsx&amp;sheet=U0&amp;row=2213&amp;col=7&amp;number=0.00437&amp;sourceID=14","0.00437")</f>
        <v>0.00437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HYPERLINK("http://141.218.60.56/~jnz1568/getInfo.php?workbook=06_02.xlsx&amp;sheet=U0&amp;row=2214&amp;col=6&amp;number=4&amp;sourceID=14","4")</f>
        <v>4</v>
      </c>
      <c r="G2214" s="4" t="str">
        <f>HYPERLINK("http://141.218.60.56/~jnz1568/getInfo.php?workbook=06_02.xlsx&amp;sheet=U0&amp;row=2214&amp;col=7&amp;number=0.00436&amp;sourceID=14","0.00436")</f>
        <v>0.00436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HYPERLINK("http://141.218.60.56/~jnz1568/getInfo.php?workbook=06_02.xlsx&amp;sheet=U0&amp;row=2215&amp;col=6&amp;number=4.1&amp;sourceID=14","4.1")</f>
        <v>4.1</v>
      </c>
      <c r="G2215" s="4" t="str">
        <f>HYPERLINK("http://141.218.60.56/~jnz1568/getInfo.php?workbook=06_02.xlsx&amp;sheet=U0&amp;row=2215&amp;col=7&amp;number=0.00434&amp;sourceID=14","0.00434")</f>
        <v>0.00434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HYPERLINK("http://141.218.60.56/~jnz1568/getInfo.php?workbook=06_02.xlsx&amp;sheet=U0&amp;row=2216&amp;col=6&amp;number=4.2&amp;sourceID=14","4.2")</f>
        <v>4.2</v>
      </c>
      <c r="G2216" s="4" t="str">
        <f>HYPERLINK("http://141.218.60.56/~jnz1568/getInfo.php?workbook=06_02.xlsx&amp;sheet=U0&amp;row=2216&amp;col=7&amp;number=0.00432&amp;sourceID=14","0.00432")</f>
        <v>0.00432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HYPERLINK("http://141.218.60.56/~jnz1568/getInfo.php?workbook=06_02.xlsx&amp;sheet=U0&amp;row=2217&amp;col=6&amp;number=4.3&amp;sourceID=14","4.3")</f>
        <v>4.3</v>
      </c>
      <c r="G2217" s="4" t="str">
        <f>HYPERLINK("http://141.218.60.56/~jnz1568/getInfo.php?workbook=06_02.xlsx&amp;sheet=U0&amp;row=2217&amp;col=7&amp;number=0.00429&amp;sourceID=14","0.00429")</f>
        <v>0.00429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HYPERLINK("http://141.218.60.56/~jnz1568/getInfo.php?workbook=06_02.xlsx&amp;sheet=U0&amp;row=2218&amp;col=6&amp;number=4.4&amp;sourceID=14","4.4")</f>
        <v>4.4</v>
      </c>
      <c r="G2218" s="4" t="str">
        <f>HYPERLINK("http://141.218.60.56/~jnz1568/getInfo.php?workbook=06_02.xlsx&amp;sheet=U0&amp;row=2218&amp;col=7&amp;number=0.00425&amp;sourceID=14","0.00425")</f>
        <v>0.00425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HYPERLINK("http://141.218.60.56/~jnz1568/getInfo.php?workbook=06_02.xlsx&amp;sheet=U0&amp;row=2219&amp;col=6&amp;number=4.5&amp;sourceID=14","4.5")</f>
        <v>4.5</v>
      </c>
      <c r="G2219" s="4" t="str">
        <f>HYPERLINK("http://141.218.60.56/~jnz1568/getInfo.php?workbook=06_02.xlsx&amp;sheet=U0&amp;row=2219&amp;col=7&amp;number=0.00421&amp;sourceID=14","0.00421")</f>
        <v>0.00421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HYPERLINK("http://141.218.60.56/~jnz1568/getInfo.php?workbook=06_02.xlsx&amp;sheet=U0&amp;row=2220&amp;col=6&amp;number=4.6&amp;sourceID=14","4.6")</f>
        <v>4.6</v>
      </c>
      <c r="G2220" s="4" t="str">
        <f>HYPERLINK("http://141.218.60.56/~jnz1568/getInfo.php?workbook=06_02.xlsx&amp;sheet=U0&amp;row=2220&amp;col=7&amp;number=0.00415&amp;sourceID=14","0.00415")</f>
        <v>0.00415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HYPERLINK("http://141.218.60.56/~jnz1568/getInfo.php?workbook=06_02.xlsx&amp;sheet=U0&amp;row=2221&amp;col=6&amp;number=4.7&amp;sourceID=14","4.7")</f>
        <v>4.7</v>
      </c>
      <c r="G2221" s="4" t="str">
        <f>HYPERLINK("http://141.218.60.56/~jnz1568/getInfo.php?workbook=06_02.xlsx&amp;sheet=U0&amp;row=2221&amp;col=7&amp;number=0.00409&amp;sourceID=14","0.00409")</f>
        <v>0.00409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HYPERLINK("http://141.218.60.56/~jnz1568/getInfo.php?workbook=06_02.xlsx&amp;sheet=U0&amp;row=2222&amp;col=6&amp;number=4.8&amp;sourceID=14","4.8")</f>
        <v>4.8</v>
      </c>
      <c r="G2222" s="4" t="str">
        <f>HYPERLINK("http://141.218.60.56/~jnz1568/getInfo.php?workbook=06_02.xlsx&amp;sheet=U0&amp;row=2222&amp;col=7&amp;number=0.00401&amp;sourceID=14","0.00401")</f>
        <v>0.00401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HYPERLINK("http://141.218.60.56/~jnz1568/getInfo.php?workbook=06_02.xlsx&amp;sheet=U0&amp;row=2223&amp;col=6&amp;number=4.9&amp;sourceID=14","4.9")</f>
        <v>4.9</v>
      </c>
      <c r="G2223" s="4" t="str">
        <f>HYPERLINK("http://141.218.60.56/~jnz1568/getInfo.php?workbook=06_02.xlsx&amp;sheet=U0&amp;row=2223&amp;col=7&amp;number=0.00391&amp;sourceID=14","0.00391")</f>
        <v>0.00391</v>
      </c>
    </row>
    <row r="2224" spans="1:7">
      <c r="A2224" s="3">
        <v>6</v>
      </c>
      <c r="B2224" s="3">
        <v>2</v>
      </c>
      <c r="C2224" s="3">
        <v>3</v>
      </c>
      <c r="D2224" s="3">
        <v>29</v>
      </c>
      <c r="E2224" s="3">
        <v>1</v>
      </c>
      <c r="F2224" s="4" t="str">
        <f>HYPERLINK("http://141.218.60.56/~jnz1568/getInfo.php?workbook=06_02.xlsx&amp;sheet=U0&amp;row=2224&amp;col=6&amp;number=3&amp;sourceID=14","3")</f>
        <v>3</v>
      </c>
      <c r="G2224" s="4" t="str">
        <f>HYPERLINK("http://141.218.60.56/~jnz1568/getInfo.php?workbook=06_02.xlsx&amp;sheet=U0&amp;row=2224&amp;col=7&amp;number=0.00617&amp;sourceID=14","0.00617")</f>
        <v>0.00617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HYPERLINK("http://141.218.60.56/~jnz1568/getInfo.php?workbook=06_02.xlsx&amp;sheet=U0&amp;row=2225&amp;col=6&amp;number=3.1&amp;sourceID=14","3.1")</f>
        <v>3.1</v>
      </c>
      <c r="G2225" s="4" t="str">
        <f>HYPERLINK("http://141.218.60.56/~jnz1568/getInfo.php?workbook=06_02.xlsx&amp;sheet=U0&amp;row=2225&amp;col=7&amp;number=0.00617&amp;sourceID=14","0.00617")</f>
        <v>0.00617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HYPERLINK("http://141.218.60.56/~jnz1568/getInfo.php?workbook=06_02.xlsx&amp;sheet=U0&amp;row=2226&amp;col=6&amp;number=3.2&amp;sourceID=14","3.2")</f>
        <v>3.2</v>
      </c>
      <c r="G2226" s="4" t="str">
        <f>HYPERLINK("http://141.218.60.56/~jnz1568/getInfo.php?workbook=06_02.xlsx&amp;sheet=U0&amp;row=2226&amp;col=7&amp;number=0.00617&amp;sourceID=14","0.00617")</f>
        <v>0.00617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HYPERLINK("http://141.218.60.56/~jnz1568/getInfo.php?workbook=06_02.xlsx&amp;sheet=U0&amp;row=2227&amp;col=6&amp;number=3.3&amp;sourceID=14","3.3")</f>
        <v>3.3</v>
      </c>
      <c r="G2227" s="4" t="str">
        <f>HYPERLINK("http://141.218.60.56/~jnz1568/getInfo.php?workbook=06_02.xlsx&amp;sheet=U0&amp;row=2227&amp;col=7&amp;number=0.00617&amp;sourceID=14","0.00617")</f>
        <v>0.00617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HYPERLINK("http://141.218.60.56/~jnz1568/getInfo.php?workbook=06_02.xlsx&amp;sheet=U0&amp;row=2228&amp;col=6&amp;number=3.4&amp;sourceID=14","3.4")</f>
        <v>3.4</v>
      </c>
      <c r="G2228" s="4" t="str">
        <f>HYPERLINK("http://141.218.60.56/~jnz1568/getInfo.php?workbook=06_02.xlsx&amp;sheet=U0&amp;row=2228&amp;col=7&amp;number=0.00617&amp;sourceID=14","0.00617")</f>
        <v>0.00617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HYPERLINK("http://141.218.60.56/~jnz1568/getInfo.php?workbook=06_02.xlsx&amp;sheet=U0&amp;row=2229&amp;col=6&amp;number=3.5&amp;sourceID=14","3.5")</f>
        <v>3.5</v>
      </c>
      <c r="G2229" s="4" t="str">
        <f>HYPERLINK("http://141.218.60.56/~jnz1568/getInfo.php?workbook=06_02.xlsx&amp;sheet=U0&amp;row=2229&amp;col=7&amp;number=0.00617&amp;sourceID=14","0.00617")</f>
        <v>0.00617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HYPERLINK("http://141.218.60.56/~jnz1568/getInfo.php?workbook=06_02.xlsx&amp;sheet=U0&amp;row=2230&amp;col=6&amp;number=3.6&amp;sourceID=14","3.6")</f>
        <v>3.6</v>
      </c>
      <c r="G2230" s="4" t="str">
        <f>HYPERLINK("http://141.218.60.56/~jnz1568/getInfo.php?workbook=06_02.xlsx&amp;sheet=U0&amp;row=2230&amp;col=7&amp;number=0.00617&amp;sourceID=14","0.00617")</f>
        <v>0.00617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HYPERLINK("http://141.218.60.56/~jnz1568/getInfo.php?workbook=06_02.xlsx&amp;sheet=U0&amp;row=2231&amp;col=6&amp;number=3.7&amp;sourceID=14","3.7")</f>
        <v>3.7</v>
      </c>
      <c r="G2231" s="4" t="str">
        <f>HYPERLINK("http://141.218.60.56/~jnz1568/getInfo.php?workbook=06_02.xlsx&amp;sheet=U0&amp;row=2231&amp;col=7&amp;number=0.00617&amp;sourceID=14","0.00617")</f>
        <v>0.00617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HYPERLINK("http://141.218.60.56/~jnz1568/getInfo.php?workbook=06_02.xlsx&amp;sheet=U0&amp;row=2232&amp;col=6&amp;number=3.8&amp;sourceID=14","3.8")</f>
        <v>3.8</v>
      </c>
      <c r="G2232" s="4" t="str">
        <f>HYPERLINK("http://141.218.60.56/~jnz1568/getInfo.php?workbook=06_02.xlsx&amp;sheet=U0&amp;row=2232&amp;col=7&amp;number=0.00617&amp;sourceID=14","0.00617")</f>
        <v>0.00617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HYPERLINK("http://141.218.60.56/~jnz1568/getInfo.php?workbook=06_02.xlsx&amp;sheet=U0&amp;row=2233&amp;col=6&amp;number=3.9&amp;sourceID=14","3.9")</f>
        <v>3.9</v>
      </c>
      <c r="G2233" s="4" t="str">
        <f>HYPERLINK("http://141.218.60.56/~jnz1568/getInfo.php?workbook=06_02.xlsx&amp;sheet=U0&amp;row=2233&amp;col=7&amp;number=0.00616&amp;sourceID=14","0.00616")</f>
        <v>0.00616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HYPERLINK("http://141.218.60.56/~jnz1568/getInfo.php?workbook=06_02.xlsx&amp;sheet=U0&amp;row=2234&amp;col=6&amp;number=4&amp;sourceID=14","4")</f>
        <v>4</v>
      </c>
      <c r="G2234" s="4" t="str">
        <f>HYPERLINK("http://141.218.60.56/~jnz1568/getInfo.php?workbook=06_02.xlsx&amp;sheet=U0&amp;row=2234&amp;col=7&amp;number=0.00616&amp;sourceID=14","0.00616")</f>
        <v>0.00616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HYPERLINK("http://141.218.60.56/~jnz1568/getInfo.php?workbook=06_02.xlsx&amp;sheet=U0&amp;row=2235&amp;col=6&amp;number=4.1&amp;sourceID=14","4.1")</f>
        <v>4.1</v>
      </c>
      <c r="G2235" s="4" t="str">
        <f>HYPERLINK("http://141.218.60.56/~jnz1568/getInfo.php?workbook=06_02.xlsx&amp;sheet=U0&amp;row=2235&amp;col=7&amp;number=0.00616&amp;sourceID=14","0.00616")</f>
        <v>0.00616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HYPERLINK("http://141.218.60.56/~jnz1568/getInfo.php?workbook=06_02.xlsx&amp;sheet=U0&amp;row=2236&amp;col=6&amp;number=4.2&amp;sourceID=14","4.2")</f>
        <v>4.2</v>
      </c>
      <c r="G2236" s="4" t="str">
        <f>HYPERLINK("http://141.218.60.56/~jnz1568/getInfo.php?workbook=06_02.xlsx&amp;sheet=U0&amp;row=2236&amp;col=7&amp;number=0.00615&amp;sourceID=14","0.00615")</f>
        <v>0.00615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HYPERLINK("http://141.218.60.56/~jnz1568/getInfo.php?workbook=06_02.xlsx&amp;sheet=U0&amp;row=2237&amp;col=6&amp;number=4.3&amp;sourceID=14","4.3")</f>
        <v>4.3</v>
      </c>
      <c r="G2237" s="4" t="str">
        <f>HYPERLINK("http://141.218.60.56/~jnz1568/getInfo.php?workbook=06_02.xlsx&amp;sheet=U0&amp;row=2237&amp;col=7&amp;number=0.00615&amp;sourceID=14","0.00615")</f>
        <v>0.00615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HYPERLINK("http://141.218.60.56/~jnz1568/getInfo.php?workbook=06_02.xlsx&amp;sheet=U0&amp;row=2238&amp;col=6&amp;number=4.4&amp;sourceID=14","4.4")</f>
        <v>4.4</v>
      </c>
      <c r="G2238" s="4" t="str">
        <f>HYPERLINK("http://141.218.60.56/~jnz1568/getInfo.php?workbook=06_02.xlsx&amp;sheet=U0&amp;row=2238&amp;col=7&amp;number=0.00614&amp;sourceID=14","0.00614")</f>
        <v>0.00614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HYPERLINK("http://141.218.60.56/~jnz1568/getInfo.php?workbook=06_02.xlsx&amp;sheet=U0&amp;row=2239&amp;col=6&amp;number=4.5&amp;sourceID=14","4.5")</f>
        <v>4.5</v>
      </c>
      <c r="G2239" s="4" t="str">
        <f>HYPERLINK("http://141.218.60.56/~jnz1568/getInfo.php?workbook=06_02.xlsx&amp;sheet=U0&amp;row=2239&amp;col=7&amp;number=0.00614&amp;sourceID=14","0.00614")</f>
        <v>0.00614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HYPERLINK("http://141.218.60.56/~jnz1568/getInfo.php?workbook=06_02.xlsx&amp;sheet=U0&amp;row=2240&amp;col=6&amp;number=4.6&amp;sourceID=14","4.6")</f>
        <v>4.6</v>
      </c>
      <c r="G2240" s="4" t="str">
        <f>HYPERLINK("http://141.218.60.56/~jnz1568/getInfo.php?workbook=06_02.xlsx&amp;sheet=U0&amp;row=2240&amp;col=7&amp;number=0.00613&amp;sourceID=14","0.00613")</f>
        <v>0.00613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HYPERLINK("http://141.218.60.56/~jnz1568/getInfo.php?workbook=06_02.xlsx&amp;sheet=U0&amp;row=2241&amp;col=6&amp;number=4.7&amp;sourceID=14","4.7")</f>
        <v>4.7</v>
      </c>
      <c r="G2241" s="4" t="str">
        <f>HYPERLINK("http://141.218.60.56/~jnz1568/getInfo.php?workbook=06_02.xlsx&amp;sheet=U0&amp;row=2241&amp;col=7&amp;number=0.00611&amp;sourceID=14","0.00611")</f>
        <v>0.00611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HYPERLINK("http://141.218.60.56/~jnz1568/getInfo.php?workbook=06_02.xlsx&amp;sheet=U0&amp;row=2242&amp;col=6&amp;number=4.8&amp;sourceID=14","4.8")</f>
        <v>4.8</v>
      </c>
      <c r="G2242" s="4" t="str">
        <f>HYPERLINK("http://141.218.60.56/~jnz1568/getInfo.php?workbook=06_02.xlsx&amp;sheet=U0&amp;row=2242&amp;col=7&amp;number=0.0061&amp;sourceID=14","0.0061")</f>
        <v>0.0061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HYPERLINK("http://141.218.60.56/~jnz1568/getInfo.php?workbook=06_02.xlsx&amp;sheet=U0&amp;row=2243&amp;col=6&amp;number=4.9&amp;sourceID=14","4.9")</f>
        <v>4.9</v>
      </c>
      <c r="G2243" s="4" t="str">
        <f>HYPERLINK("http://141.218.60.56/~jnz1568/getInfo.php?workbook=06_02.xlsx&amp;sheet=U0&amp;row=2243&amp;col=7&amp;number=0.00608&amp;sourceID=14","0.00608")</f>
        <v>0.00608</v>
      </c>
    </row>
    <row r="2244" spans="1:7">
      <c r="A2244" s="3">
        <v>6</v>
      </c>
      <c r="B2244" s="3">
        <v>2</v>
      </c>
      <c r="C2244" s="3">
        <v>3</v>
      </c>
      <c r="D2244" s="3">
        <v>30</v>
      </c>
      <c r="E2244" s="3">
        <v>1</v>
      </c>
      <c r="F2244" s="4" t="str">
        <f>HYPERLINK("http://141.218.60.56/~jnz1568/getInfo.php?workbook=06_02.xlsx&amp;sheet=U0&amp;row=2244&amp;col=6&amp;number=3&amp;sourceID=14","3")</f>
        <v>3</v>
      </c>
      <c r="G2244" s="4" t="str">
        <f>HYPERLINK("http://141.218.60.56/~jnz1568/getInfo.php?workbook=06_02.xlsx&amp;sheet=U0&amp;row=2244&amp;col=7&amp;number=0.00785&amp;sourceID=14","0.00785")</f>
        <v>0.00785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HYPERLINK("http://141.218.60.56/~jnz1568/getInfo.php?workbook=06_02.xlsx&amp;sheet=U0&amp;row=2245&amp;col=6&amp;number=3.1&amp;sourceID=14","3.1")</f>
        <v>3.1</v>
      </c>
      <c r="G2245" s="4" t="str">
        <f>HYPERLINK("http://141.218.60.56/~jnz1568/getInfo.php?workbook=06_02.xlsx&amp;sheet=U0&amp;row=2245&amp;col=7&amp;number=0.00785&amp;sourceID=14","0.00785")</f>
        <v>0.00785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HYPERLINK("http://141.218.60.56/~jnz1568/getInfo.php?workbook=06_02.xlsx&amp;sheet=U0&amp;row=2246&amp;col=6&amp;number=3.2&amp;sourceID=14","3.2")</f>
        <v>3.2</v>
      </c>
      <c r="G2246" s="4" t="str">
        <f>HYPERLINK("http://141.218.60.56/~jnz1568/getInfo.php?workbook=06_02.xlsx&amp;sheet=U0&amp;row=2246&amp;col=7&amp;number=0.00784&amp;sourceID=14","0.00784")</f>
        <v>0.00784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HYPERLINK("http://141.218.60.56/~jnz1568/getInfo.php?workbook=06_02.xlsx&amp;sheet=U0&amp;row=2247&amp;col=6&amp;number=3.3&amp;sourceID=14","3.3")</f>
        <v>3.3</v>
      </c>
      <c r="G2247" s="4" t="str">
        <f>HYPERLINK("http://141.218.60.56/~jnz1568/getInfo.php?workbook=06_02.xlsx&amp;sheet=U0&amp;row=2247&amp;col=7&amp;number=0.00784&amp;sourceID=14","0.00784")</f>
        <v>0.00784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HYPERLINK("http://141.218.60.56/~jnz1568/getInfo.php?workbook=06_02.xlsx&amp;sheet=U0&amp;row=2248&amp;col=6&amp;number=3.4&amp;sourceID=14","3.4")</f>
        <v>3.4</v>
      </c>
      <c r="G2248" s="4" t="str">
        <f>HYPERLINK("http://141.218.60.56/~jnz1568/getInfo.php?workbook=06_02.xlsx&amp;sheet=U0&amp;row=2248&amp;col=7&amp;number=0.00783&amp;sourceID=14","0.00783")</f>
        <v>0.00783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HYPERLINK("http://141.218.60.56/~jnz1568/getInfo.php?workbook=06_02.xlsx&amp;sheet=U0&amp;row=2249&amp;col=6&amp;number=3.5&amp;sourceID=14","3.5")</f>
        <v>3.5</v>
      </c>
      <c r="G2249" s="4" t="str">
        <f>HYPERLINK("http://141.218.60.56/~jnz1568/getInfo.php?workbook=06_02.xlsx&amp;sheet=U0&amp;row=2249&amp;col=7&amp;number=0.00782&amp;sourceID=14","0.00782")</f>
        <v>0.00782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HYPERLINK("http://141.218.60.56/~jnz1568/getInfo.php?workbook=06_02.xlsx&amp;sheet=U0&amp;row=2250&amp;col=6&amp;number=3.6&amp;sourceID=14","3.6")</f>
        <v>3.6</v>
      </c>
      <c r="G2250" s="4" t="str">
        <f>HYPERLINK("http://141.218.60.56/~jnz1568/getInfo.php?workbook=06_02.xlsx&amp;sheet=U0&amp;row=2250&amp;col=7&amp;number=0.00781&amp;sourceID=14","0.00781")</f>
        <v>0.00781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HYPERLINK("http://141.218.60.56/~jnz1568/getInfo.php?workbook=06_02.xlsx&amp;sheet=U0&amp;row=2251&amp;col=6&amp;number=3.7&amp;sourceID=14","3.7")</f>
        <v>3.7</v>
      </c>
      <c r="G2251" s="4" t="str">
        <f>HYPERLINK("http://141.218.60.56/~jnz1568/getInfo.php?workbook=06_02.xlsx&amp;sheet=U0&amp;row=2251&amp;col=7&amp;number=0.0078&amp;sourceID=14","0.0078")</f>
        <v>0.0078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HYPERLINK("http://141.218.60.56/~jnz1568/getInfo.php?workbook=06_02.xlsx&amp;sheet=U0&amp;row=2252&amp;col=6&amp;number=3.8&amp;sourceID=14","3.8")</f>
        <v>3.8</v>
      </c>
      <c r="G2252" s="4" t="str">
        <f>HYPERLINK("http://141.218.60.56/~jnz1568/getInfo.php?workbook=06_02.xlsx&amp;sheet=U0&amp;row=2252&amp;col=7&amp;number=0.00779&amp;sourceID=14","0.00779")</f>
        <v>0.00779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HYPERLINK("http://141.218.60.56/~jnz1568/getInfo.php?workbook=06_02.xlsx&amp;sheet=U0&amp;row=2253&amp;col=6&amp;number=3.9&amp;sourceID=14","3.9")</f>
        <v>3.9</v>
      </c>
      <c r="G2253" s="4" t="str">
        <f>HYPERLINK("http://141.218.60.56/~jnz1568/getInfo.php?workbook=06_02.xlsx&amp;sheet=U0&amp;row=2253&amp;col=7&amp;number=0.00777&amp;sourceID=14","0.00777")</f>
        <v>0.00777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HYPERLINK("http://141.218.60.56/~jnz1568/getInfo.php?workbook=06_02.xlsx&amp;sheet=U0&amp;row=2254&amp;col=6&amp;number=4&amp;sourceID=14","4")</f>
        <v>4</v>
      </c>
      <c r="G2254" s="4" t="str">
        <f>HYPERLINK("http://141.218.60.56/~jnz1568/getInfo.php?workbook=06_02.xlsx&amp;sheet=U0&amp;row=2254&amp;col=7&amp;number=0.00774&amp;sourceID=14","0.00774")</f>
        <v>0.00774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HYPERLINK("http://141.218.60.56/~jnz1568/getInfo.php?workbook=06_02.xlsx&amp;sheet=U0&amp;row=2255&amp;col=6&amp;number=4.1&amp;sourceID=14","4.1")</f>
        <v>4.1</v>
      </c>
      <c r="G2255" s="4" t="str">
        <f>HYPERLINK("http://141.218.60.56/~jnz1568/getInfo.php?workbook=06_02.xlsx&amp;sheet=U0&amp;row=2255&amp;col=7&amp;number=0.00771&amp;sourceID=14","0.00771")</f>
        <v>0.00771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HYPERLINK("http://141.218.60.56/~jnz1568/getInfo.php?workbook=06_02.xlsx&amp;sheet=U0&amp;row=2256&amp;col=6&amp;number=4.2&amp;sourceID=14","4.2")</f>
        <v>4.2</v>
      </c>
      <c r="G2256" s="4" t="str">
        <f>HYPERLINK("http://141.218.60.56/~jnz1568/getInfo.php?workbook=06_02.xlsx&amp;sheet=U0&amp;row=2256&amp;col=7&amp;number=0.00767&amp;sourceID=14","0.00767")</f>
        <v>0.00767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HYPERLINK("http://141.218.60.56/~jnz1568/getInfo.php?workbook=06_02.xlsx&amp;sheet=U0&amp;row=2257&amp;col=6&amp;number=4.3&amp;sourceID=14","4.3")</f>
        <v>4.3</v>
      </c>
      <c r="G2257" s="4" t="str">
        <f>HYPERLINK("http://141.218.60.56/~jnz1568/getInfo.php?workbook=06_02.xlsx&amp;sheet=U0&amp;row=2257&amp;col=7&amp;number=0.00762&amp;sourceID=14","0.00762")</f>
        <v>0.00762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HYPERLINK("http://141.218.60.56/~jnz1568/getInfo.php?workbook=06_02.xlsx&amp;sheet=U0&amp;row=2258&amp;col=6&amp;number=4.4&amp;sourceID=14","4.4")</f>
        <v>4.4</v>
      </c>
      <c r="G2258" s="4" t="str">
        <f>HYPERLINK("http://141.218.60.56/~jnz1568/getInfo.php?workbook=06_02.xlsx&amp;sheet=U0&amp;row=2258&amp;col=7&amp;number=0.00756&amp;sourceID=14","0.00756")</f>
        <v>0.00756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HYPERLINK("http://141.218.60.56/~jnz1568/getInfo.php?workbook=06_02.xlsx&amp;sheet=U0&amp;row=2259&amp;col=6&amp;number=4.5&amp;sourceID=14","4.5")</f>
        <v>4.5</v>
      </c>
      <c r="G2259" s="4" t="str">
        <f>HYPERLINK("http://141.218.60.56/~jnz1568/getInfo.php?workbook=06_02.xlsx&amp;sheet=U0&amp;row=2259&amp;col=7&amp;number=0.00749&amp;sourceID=14","0.00749")</f>
        <v>0.00749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HYPERLINK("http://141.218.60.56/~jnz1568/getInfo.php?workbook=06_02.xlsx&amp;sheet=U0&amp;row=2260&amp;col=6&amp;number=4.6&amp;sourceID=14","4.6")</f>
        <v>4.6</v>
      </c>
      <c r="G2260" s="4" t="str">
        <f>HYPERLINK("http://141.218.60.56/~jnz1568/getInfo.php?workbook=06_02.xlsx&amp;sheet=U0&amp;row=2260&amp;col=7&amp;number=0.0074&amp;sourceID=14","0.0074")</f>
        <v>0.0074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HYPERLINK("http://141.218.60.56/~jnz1568/getInfo.php?workbook=06_02.xlsx&amp;sheet=U0&amp;row=2261&amp;col=6&amp;number=4.7&amp;sourceID=14","4.7")</f>
        <v>4.7</v>
      </c>
      <c r="G2261" s="4" t="str">
        <f>HYPERLINK("http://141.218.60.56/~jnz1568/getInfo.php?workbook=06_02.xlsx&amp;sheet=U0&amp;row=2261&amp;col=7&amp;number=0.00729&amp;sourceID=14","0.00729")</f>
        <v>0.00729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HYPERLINK("http://141.218.60.56/~jnz1568/getInfo.php?workbook=06_02.xlsx&amp;sheet=U0&amp;row=2262&amp;col=6&amp;number=4.8&amp;sourceID=14","4.8")</f>
        <v>4.8</v>
      </c>
      <c r="G2262" s="4" t="str">
        <f>HYPERLINK("http://141.218.60.56/~jnz1568/getInfo.php?workbook=06_02.xlsx&amp;sheet=U0&amp;row=2262&amp;col=7&amp;number=0.00715&amp;sourceID=14","0.00715")</f>
        <v>0.00715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HYPERLINK("http://141.218.60.56/~jnz1568/getInfo.php?workbook=06_02.xlsx&amp;sheet=U0&amp;row=2263&amp;col=6&amp;number=4.9&amp;sourceID=14","4.9")</f>
        <v>4.9</v>
      </c>
      <c r="G2263" s="4" t="str">
        <f>HYPERLINK("http://141.218.60.56/~jnz1568/getInfo.php?workbook=06_02.xlsx&amp;sheet=U0&amp;row=2263&amp;col=7&amp;number=0.00698&amp;sourceID=14","0.00698")</f>
        <v>0.00698</v>
      </c>
    </row>
    <row r="2264" spans="1:7">
      <c r="A2264" s="3">
        <v>6</v>
      </c>
      <c r="B2264" s="3">
        <v>2</v>
      </c>
      <c r="C2264" s="3">
        <v>3</v>
      </c>
      <c r="D2264" s="3">
        <v>31</v>
      </c>
      <c r="E2264" s="3">
        <v>1</v>
      </c>
      <c r="F2264" s="4" t="str">
        <f>HYPERLINK("http://141.218.60.56/~jnz1568/getInfo.php?workbook=06_02.xlsx&amp;sheet=U0&amp;row=2264&amp;col=6&amp;number=3&amp;sourceID=14","3")</f>
        <v>3</v>
      </c>
      <c r="G2264" s="4" t="str">
        <f>HYPERLINK("http://141.218.60.56/~jnz1568/getInfo.php?workbook=06_02.xlsx&amp;sheet=U0&amp;row=2264&amp;col=7&amp;number=0.00696&amp;sourceID=14","0.00696")</f>
        <v>0.00696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HYPERLINK("http://141.218.60.56/~jnz1568/getInfo.php?workbook=06_02.xlsx&amp;sheet=U0&amp;row=2265&amp;col=6&amp;number=3.1&amp;sourceID=14","3.1")</f>
        <v>3.1</v>
      </c>
      <c r="G2265" s="4" t="str">
        <f>HYPERLINK("http://141.218.60.56/~jnz1568/getInfo.php?workbook=06_02.xlsx&amp;sheet=U0&amp;row=2265&amp;col=7&amp;number=0.00697&amp;sourceID=14","0.00697")</f>
        <v>0.00697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HYPERLINK("http://141.218.60.56/~jnz1568/getInfo.php?workbook=06_02.xlsx&amp;sheet=U0&amp;row=2266&amp;col=6&amp;number=3.2&amp;sourceID=14","3.2")</f>
        <v>3.2</v>
      </c>
      <c r="G2266" s="4" t="str">
        <f>HYPERLINK("http://141.218.60.56/~jnz1568/getInfo.php?workbook=06_02.xlsx&amp;sheet=U0&amp;row=2266&amp;col=7&amp;number=0.00697&amp;sourceID=14","0.00697")</f>
        <v>0.00697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HYPERLINK("http://141.218.60.56/~jnz1568/getInfo.php?workbook=06_02.xlsx&amp;sheet=U0&amp;row=2267&amp;col=6&amp;number=3.3&amp;sourceID=14","3.3")</f>
        <v>3.3</v>
      </c>
      <c r="G2267" s="4" t="str">
        <f>HYPERLINK("http://141.218.60.56/~jnz1568/getInfo.php?workbook=06_02.xlsx&amp;sheet=U0&amp;row=2267&amp;col=7&amp;number=0.00698&amp;sourceID=14","0.00698")</f>
        <v>0.00698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HYPERLINK("http://141.218.60.56/~jnz1568/getInfo.php?workbook=06_02.xlsx&amp;sheet=U0&amp;row=2268&amp;col=6&amp;number=3.4&amp;sourceID=14","3.4")</f>
        <v>3.4</v>
      </c>
      <c r="G2268" s="4" t="str">
        <f>HYPERLINK("http://141.218.60.56/~jnz1568/getInfo.php?workbook=06_02.xlsx&amp;sheet=U0&amp;row=2268&amp;col=7&amp;number=0.00698&amp;sourceID=14","0.00698")</f>
        <v>0.00698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HYPERLINK("http://141.218.60.56/~jnz1568/getInfo.php?workbook=06_02.xlsx&amp;sheet=U0&amp;row=2269&amp;col=6&amp;number=3.5&amp;sourceID=14","3.5")</f>
        <v>3.5</v>
      </c>
      <c r="G2269" s="4" t="str">
        <f>HYPERLINK("http://141.218.60.56/~jnz1568/getInfo.php?workbook=06_02.xlsx&amp;sheet=U0&amp;row=2269&amp;col=7&amp;number=0.00699&amp;sourceID=14","0.00699")</f>
        <v>0.00699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HYPERLINK("http://141.218.60.56/~jnz1568/getInfo.php?workbook=06_02.xlsx&amp;sheet=U0&amp;row=2270&amp;col=6&amp;number=3.6&amp;sourceID=14","3.6")</f>
        <v>3.6</v>
      </c>
      <c r="G2270" s="4" t="str">
        <f>HYPERLINK("http://141.218.60.56/~jnz1568/getInfo.php?workbook=06_02.xlsx&amp;sheet=U0&amp;row=2270&amp;col=7&amp;number=0.00701&amp;sourceID=14","0.00701")</f>
        <v>0.00701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HYPERLINK("http://141.218.60.56/~jnz1568/getInfo.php?workbook=06_02.xlsx&amp;sheet=U0&amp;row=2271&amp;col=6&amp;number=3.7&amp;sourceID=14","3.7")</f>
        <v>3.7</v>
      </c>
      <c r="G2271" s="4" t="str">
        <f>HYPERLINK("http://141.218.60.56/~jnz1568/getInfo.php?workbook=06_02.xlsx&amp;sheet=U0&amp;row=2271&amp;col=7&amp;number=0.00702&amp;sourceID=14","0.00702")</f>
        <v>0.00702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HYPERLINK("http://141.218.60.56/~jnz1568/getInfo.php?workbook=06_02.xlsx&amp;sheet=U0&amp;row=2272&amp;col=6&amp;number=3.8&amp;sourceID=14","3.8")</f>
        <v>3.8</v>
      </c>
      <c r="G2272" s="4" t="str">
        <f>HYPERLINK("http://141.218.60.56/~jnz1568/getInfo.php?workbook=06_02.xlsx&amp;sheet=U0&amp;row=2272&amp;col=7&amp;number=0.00704&amp;sourceID=14","0.00704")</f>
        <v>0.00704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HYPERLINK("http://141.218.60.56/~jnz1568/getInfo.php?workbook=06_02.xlsx&amp;sheet=U0&amp;row=2273&amp;col=6&amp;number=3.9&amp;sourceID=14","3.9")</f>
        <v>3.9</v>
      </c>
      <c r="G2273" s="4" t="str">
        <f>HYPERLINK("http://141.218.60.56/~jnz1568/getInfo.php?workbook=06_02.xlsx&amp;sheet=U0&amp;row=2273&amp;col=7&amp;number=0.00706&amp;sourceID=14","0.00706")</f>
        <v>0.00706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HYPERLINK("http://141.218.60.56/~jnz1568/getInfo.php?workbook=06_02.xlsx&amp;sheet=U0&amp;row=2274&amp;col=6&amp;number=4&amp;sourceID=14","4")</f>
        <v>4</v>
      </c>
      <c r="G2274" s="4" t="str">
        <f>HYPERLINK("http://141.218.60.56/~jnz1568/getInfo.php?workbook=06_02.xlsx&amp;sheet=U0&amp;row=2274&amp;col=7&amp;number=0.00709&amp;sourceID=14","0.00709")</f>
        <v>0.00709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HYPERLINK("http://141.218.60.56/~jnz1568/getInfo.php?workbook=06_02.xlsx&amp;sheet=U0&amp;row=2275&amp;col=6&amp;number=4.1&amp;sourceID=14","4.1")</f>
        <v>4.1</v>
      </c>
      <c r="G2275" s="4" t="str">
        <f>HYPERLINK("http://141.218.60.56/~jnz1568/getInfo.php?workbook=06_02.xlsx&amp;sheet=U0&amp;row=2275&amp;col=7&amp;number=0.00713&amp;sourceID=14","0.00713")</f>
        <v>0.00713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HYPERLINK("http://141.218.60.56/~jnz1568/getInfo.php?workbook=06_02.xlsx&amp;sheet=U0&amp;row=2276&amp;col=6&amp;number=4.2&amp;sourceID=14","4.2")</f>
        <v>4.2</v>
      </c>
      <c r="G2276" s="4" t="str">
        <f>HYPERLINK("http://141.218.60.56/~jnz1568/getInfo.php?workbook=06_02.xlsx&amp;sheet=U0&amp;row=2276&amp;col=7&amp;number=0.00717&amp;sourceID=14","0.00717")</f>
        <v>0.00717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HYPERLINK("http://141.218.60.56/~jnz1568/getInfo.php?workbook=06_02.xlsx&amp;sheet=U0&amp;row=2277&amp;col=6&amp;number=4.3&amp;sourceID=14","4.3")</f>
        <v>4.3</v>
      </c>
      <c r="G2277" s="4" t="str">
        <f>HYPERLINK("http://141.218.60.56/~jnz1568/getInfo.php?workbook=06_02.xlsx&amp;sheet=U0&amp;row=2277&amp;col=7&amp;number=0.00723&amp;sourceID=14","0.00723")</f>
        <v>0.00723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HYPERLINK("http://141.218.60.56/~jnz1568/getInfo.php?workbook=06_02.xlsx&amp;sheet=U0&amp;row=2278&amp;col=6&amp;number=4.4&amp;sourceID=14","4.4")</f>
        <v>4.4</v>
      </c>
      <c r="G2278" s="4" t="str">
        <f>HYPERLINK("http://141.218.60.56/~jnz1568/getInfo.php?workbook=06_02.xlsx&amp;sheet=U0&amp;row=2278&amp;col=7&amp;number=0.0073&amp;sourceID=14","0.0073")</f>
        <v>0.0073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HYPERLINK("http://141.218.60.56/~jnz1568/getInfo.php?workbook=06_02.xlsx&amp;sheet=U0&amp;row=2279&amp;col=6&amp;number=4.5&amp;sourceID=14","4.5")</f>
        <v>4.5</v>
      </c>
      <c r="G2279" s="4" t="str">
        <f>HYPERLINK("http://141.218.60.56/~jnz1568/getInfo.php?workbook=06_02.xlsx&amp;sheet=U0&amp;row=2279&amp;col=7&amp;number=0.00739&amp;sourceID=14","0.00739")</f>
        <v>0.00739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HYPERLINK("http://141.218.60.56/~jnz1568/getInfo.php?workbook=06_02.xlsx&amp;sheet=U0&amp;row=2280&amp;col=6&amp;number=4.6&amp;sourceID=14","4.6")</f>
        <v>4.6</v>
      </c>
      <c r="G2280" s="4" t="str">
        <f>HYPERLINK("http://141.218.60.56/~jnz1568/getInfo.php?workbook=06_02.xlsx&amp;sheet=U0&amp;row=2280&amp;col=7&amp;number=0.0075&amp;sourceID=14","0.0075")</f>
        <v>0.0075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HYPERLINK("http://141.218.60.56/~jnz1568/getInfo.php?workbook=06_02.xlsx&amp;sheet=U0&amp;row=2281&amp;col=6&amp;number=4.7&amp;sourceID=14","4.7")</f>
        <v>4.7</v>
      </c>
      <c r="G2281" s="4" t="str">
        <f>HYPERLINK("http://141.218.60.56/~jnz1568/getInfo.php?workbook=06_02.xlsx&amp;sheet=U0&amp;row=2281&amp;col=7&amp;number=0.00763&amp;sourceID=14","0.00763")</f>
        <v>0.00763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HYPERLINK("http://141.218.60.56/~jnz1568/getInfo.php?workbook=06_02.xlsx&amp;sheet=U0&amp;row=2282&amp;col=6&amp;number=4.8&amp;sourceID=14","4.8")</f>
        <v>4.8</v>
      </c>
      <c r="G2282" s="4" t="str">
        <f>HYPERLINK("http://141.218.60.56/~jnz1568/getInfo.php?workbook=06_02.xlsx&amp;sheet=U0&amp;row=2282&amp;col=7&amp;number=0.0078&amp;sourceID=14","0.0078")</f>
        <v>0.0078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HYPERLINK("http://141.218.60.56/~jnz1568/getInfo.php?workbook=06_02.xlsx&amp;sheet=U0&amp;row=2283&amp;col=6&amp;number=4.9&amp;sourceID=14","4.9")</f>
        <v>4.9</v>
      </c>
      <c r="G2283" s="4" t="str">
        <f>HYPERLINK("http://141.218.60.56/~jnz1568/getInfo.php?workbook=06_02.xlsx&amp;sheet=U0&amp;row=2283&amp;col=7&amp;number=0.00801&amp;sourceID=14","0.00801")</f>
        <v>0.00801</v>
      </c>
    </row>
    <row r="2284" spans="1:7">
      <c r="A2284" s="3">
        <v>6</v>
      </c>
      <c r="B2284" s="3">
        <v>2</v>
      </c>
      <c r="C2284" s="3">
        <v>3</v>
      </c>
      <c r="D2284" s="3">
        <v>32</v>
      </c>
      <c r="E2284" s="3">
        <v>1</v>
      </c>
      <c r="F2284" s="4" t="str">
        <f>HYPERLINK("http://141.218.60.56/~jnz1568/getInfo.php?workbook=06_02.xlsx&amp;sheet=U0&amp;row=2284&amp;col=6&amp;number=3&amp;sourceID=14","3")</f>
        <v>3</v>
      </c>
      <c r="G2284" s="4" t="str">
        <f>HYPERLINK("http://141.218.60.56/~jnz1568/getInfo.php?workbook=06_02.xlsx&amp;sheet=U0&amp;row=2284&amp;col=7&amp;number=0.00201&amp;sourceID=14","0.00201")</f>
        <v>0.00201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HYPERLINK("http://141.218.60.56/~jnz1568/getInfo.php?workbook=06_02.xlsx&amp;sheet=U0&amp;row=2285&amp;col=6&amp;number=3.1&amp;sourceID=14","3.1")</f>
        <v>3.1</v>
      </c>
      <c r="G2285" s="4" t="str">
        <f>HYPERLINK("http://141.218.60.56/~jnz1568/getInfo.php?workbook=06_02.xlsx&amp;sheet=U0&amp;row=2285&amp;col=7&amp;number=0.00201&amp;sourceID=14","0.00201")</f>
        <v>0.00201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HYPERLINK("http://141.218.60.56/~jnz1568/getInfo.php?workbook=06_02.xlsx&amp;sheet=U0&amp;row=2286&amp;col=6&amp;number=3.2&amp;sourceID=14","3.2")</f>
        <v>3.2</v>
      </c>
      <c r="G2286" s="4" t="str">
        <f>HYPERLINK("http://141.218.60.56/~jnz1568/getInfo.php?workbook=06_02.xlsx&amp;sheet=U0&amp;row=2286&amp;col=7&amp;number=0.00201&amp;sourceID=14","0.00201")</f>
        <v>0.00201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HYPERLINK("http://141.218.60.56/~jnz1568/getInfo.php?workbook=06_02.xlsx&amp;sheet=U0&amp;row=2287&amp;col=6&amp;number=3.3&amp;sourceID=14","3.3")</f>
        <v>3.3</v>
      </c>
      <c r="G2287" s="4" t="str">
        <f>HYPERLINK("http://141.218.60.56/~jnz1568/getInfo.php?workbook=06_02.xlsx&amp;sheet=U0&amp;row=2287&amp;col=7&amp;number=0.00201&amp;sourceID=14","0.00201")</f>
        <v>0.00201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HYPERLINK("http://141.218.60.56/~jnz1568/getInfo.php?workbook=06_02.xlsx&amp;sheet=U0&amp;row=2288&amp;col=6&amp;number=3.4&amp;sourceID=14","3.4")</f>
        <v>3.4</v>
      </c>
      <c r="G2288" s="4" t="str">
        <f>HYPERLINK("http://141.218.60.56/~jnz1568/getInfo.php?workbook=06_02.xlsx&amp;sheet=U0&amp;row=2288&amp;col=7&amp;number=0.00201&amp;sourceID=14","0.00201")</f>
        <v>0.00201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HYPERLINK("http://141.218.60.56/~jnz1568/getInfo.php?workbook=06_02.xlsx&amp;sheet=U0&amp;row=2289&amp;col=6&amp;number=3.5&amp;sourceID=14","3.5")</f>
        <v>3.5</v>
      </c>
      <c r="G2289" s="4" t="str">
        <f>HYPERLINK("http://141.218.60.56/~jnz1568/getInfo.php?workbook=06_02.xlsx&amp;sheet=U0&amp;row=2289&amp;col=7&amp;number=0.00201&amp;sourceID=14","0.00201")</f>
        <v>0.00201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HYPERLINK("http://141.218.60.56/~jnz1568/getInfo.php?workbook=06_02.xlsx&amp;sheet=U0&amp;row=2290&amp;col=6&amp;number=3.6&amp;sourceID=14","3.6")</f>
        <v>3.6</v>
      </c>
      <c r="G2290" s="4" t="str">
        <f>HYPERLINK("http://141.218.60.56/~jnz1568/getInfo.php?workbook=06_02.xlsx&amp;sheet=U0&amp;row=2290&amp;col=7&amp;number=0.002&amp;sourceID=14","0.002")</f>
        <v>0.002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HYPERLINK("http://141.218.60.56/~jnz1568/getInfo.php?workbook=06_02.xlsx&amp;sheet=U0&amp;row=2291&amp;col=6&amp;number=3.7&amp;sourceID=14","3.7")</f>
        <v>3.7</v>
      </c>
      <c r="G2291" s="4" t="str">
        <f>HYPERLINK("http://141.218.60.56/~jnz1568/getInfo.php?workbook=06_02.xlsx&amp;sheet=U0&amp;row=2291&amp;col=7&amp;number=0.002&amp;sourceID=14","0.002")</f>
        <v>0.002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HYPERLINK("http://141.218.60.56/~jnz1568/getInfo.php?workbook=06_02.xlsx&amp;sheet=U0&amp;row=2292&amp;col=6&amp;number=3.8&amp;sourceID=14","3.8")</f>
        <v>3.8</v>
      </c>
      <c r="G2292" s="4" t="str">
        <f>HYPERLINK("http://141.218.60.56/~jnz1568/getInfo.php?workbook=06_02.xlsx&amp;sheet=U0&amp;row=2292&amp;col=7&amp;number=0.002&amp;sourceID=14","0.002")</f>
        <v>0.002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HYPERLINK("http://141.218.60.56/~jnz1568/getInfo.php?workbook=06_02.xlsx&amp;sheet=U0&amp;row=2293&amp;col=6&amp;number=3.9&amp;sourceID=14","3.9")</f>
        <v>3.9</v>
      </c>
      <c r="G2293" s="4" t="str">
        <f>HYPERLINK("http://141.218.60.56/~jnz1568/getInfo.php?workbook=06_02.xlsx&amp;sheet=U0&amp;row=2293&amp;col=7&amp;number=0.00199&amp;sourceID=14","0.00199")</f>
        <v>0.00199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HYPERLINK("http://141.218.60.56/~jnz1568/getInfo.php?workbook=06_02.xlsx&amp;sheet=U0&amp;row=2294&amp;col=6&amp;number=4&amp;sourceID=14","4")</f>
        <v>4</v>
      </c>
      <c r="G2294" s="4" t="str">
        <f>HYPERLINK("http://141.218.60.56/~jnz1568/getInfo.php?workbook=06_02.xlsx&amp;sheet=U0&amp;row=2294&amp;col=7&amp;number=0.00199&amp;sourceID=14","0.00199")</f>
        <v>0.00199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HYPERLINK("http://141.218.60.56/~jnz1568/getInfo.php?workbook=06_02.xlsx&amp;sheet=U0&amp;row=2295&amp;col=6&amp;number=4.1&amp;sourceID=14","4.1")</f>
        <v>4.1</v>
      </c>
      <c r="G2295" s="4" t="str">
        <f>HYPERLINK("http://141.218.60.56/~jnz1568/getInfo.php?workbook=06_02.xlsx&amp;sheet=U0&amp;row=2295&amp;col=7&amp;number=0.00198&amp;sourceID=14","0.00198")</f>
        <v>0.00198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HYPERLINK("http://141.218.60.56/~jnz1568/getInfo.php?workbook=06_02.xlsx&amp;sheet=U0&amp;row=2296&amp;col=6&amp;number=4.2&amp;sourceID=14","4.2")</f>
        <v>4.2</v>
      </c>
      <c r="G2296" s="4" t="str">
        <f>HYPERLINK("http://141.218.60.56/~jnz1568/getInfo.php?workbook=06_02.xlsx&amp;sheet=U0&amp;row=2296&amp;col=7&amp;number=0.00197&amp;sourceID=14","0.00197")</f>
        <v>0.00197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HYPERLINK("http://141.218.60.56/~jnz1568/getInfo.php?workbook=06_02.xlsx&amp;sheet=U0&amp;row=2297&amp;col=6&amp;number=4.3&amp;sourceID=14","4.3")</f>
        <v>4.3</v>
      </c>
      <c r="G2297" s="4" t="str">
        <f>HYPERLINK("http://141.218.60.56/~jnz1568/getInfo.php?workbook=06_02.xlsx&amp;sheet=U0&amp;row=2297&amp;col=7&amp;number=0.00196&amp;sourceID=14","0.00196")</f>
        <v>0.00196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HYPERLINK("http://141.218.60.56/~jnz1568/getInfo.php?workbook=06_02.xlsx&amp;sheet=U0&amp;row=2298&amp;col=6&amp;number=4.4&amp;sourceID=14","4.4")</f>
        <v>4.4</v>
      </c>
      <c r="G2298" s="4" t="str">
        <f>HYPERLINK("http://141.218.60.56/~jnz1568/getInfo.php?workbook=06_02.xlsx&amp;sheet=U0&amp;row=2298&amp;col=7&amp;number=0.00195&amp;sourceID=14","0.00195")</f>
        <v>0.00195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HYPERLINK("http://141.218.60.56/~jnz1568/getInfo.php?workbook=06_02.xlsx&amp;sheet=U0&amp;row=2299&amp;col=6&amp;number=4.5&amp;sourceID=14","4.5")</f>
        <v>4.5</v>
      </c>
      <c r="G2299" s="4" t="str">
        <f>HYPERLINK("http://141.218.60.56/~jnz1568/getInfo.php?workbook=06_02.xlsx&amp;sheet=U0&amp;row=2299&amp;col=7&amp;number=0.00193&amp;sourceID=14","0.00193")</f>
        <v>0.00193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HYPERLINK("http://141.218.60.56/~jnz1568/getInfo.php?workbook=06_02.xlsx&amp;sheet=U0&amp;row=2300&amp;col=6&amp;number=4.6&amp;sourceID=14","4.6")</f>
        <v>4.6</v>
      </c>
      <c r="G2300" s="4" t="str">
        <f>HYPERLINK("http://141.218.60.56/~jnz1568/getInfo.php?workbook=06_02.xlsx&amp;sheet=U0&amp;row=2300&amp;col=7&amp;number=0.00191&amp;sourceID=14","0.00191")</f>
        <v>0.00191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HYPERLINK("http://141.218.60.56/~jnz1568/getInfo.php?workbook=06_02.xlsx&amp;sheet=U0&amp;row=2301&amp;col=6&amp;number=4.7&amp;sourceID=14","4.7")</f>
        <v>4.7</v>
      </c>
      <c r="G2301" s="4" t="str">
        <f>HYPERLINK("http://141.218.60.56/~jnz1568/getInfo.php?workbook=06_02.xlsx&amp;sheet=U0&amp;row=2301&amp;col=7&amp;number=0.00189&amp;sourceID=14","0.00189")</f>
        <v>0.00189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HYPERLINK("http://141.218.60.56/~jnz1568/getInfo.php?workbook=06_02.xlsx&amp;sheet=U0&amp;row=2302&amp;col=6&amp;number=4.8&amp;sourceID=14","4.8")</f>
        <v>4.8</v>
      </c>
      <c r="G2302" s="4" t="str">
        <f>HYPERLINK("http://141.218.60.56/~jnz1568/getInfo.php?workbook=06_02.xlsx&amp;sheet=U0&amp;row=2302&amp;col=7&amp;number=0.00185&amp;sourceID=14","0.00185")</f>
        <v>0.00185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HYPERLINK("http://141.218.60.56/~jnz1568/getInfo.php?workbook=06_02.xlsx&amp;sheet=U0&amp;row=2303&amp;col=6&amp;number=4.9&amp;sourceID=14","4.9")</f>
        <v>4.9</v>
      </c>
      <c r="G2303" s="4" t="str">
        <f>HYPERLINK("http://141.218.60.56/~jnz1568/getInfo.php?workbook=06_02.xlsx&amp;sheet=U0&amp;row=2303&amp;col=7&amp;number=0.00182&amp;sourceID=14","0.00182")</f>
        <v>0.00182</v>
      </c>
    </row>
    <row r="2304" spans="1:7">
      <c r="A2304" s="3">
        <v>6</v>
      </c>
      <c r="B2304" s="3">
        <v>2</v>
      </c>
      <c r="C2304" s="3">
        <v>3</v>
      </c>
      <c r="D2304" s="3">
        <v>33</v>
      </c>
      <c r="E2304" s="3">
        <v>1</v>
      </c>
      <c r="F2304" s="4" t="str">
        <f>HYPERLINK("http://141.218.60.56/~jnz1568/getInfo.php?workbook=06_02.xlsx&amp;sheet=U0&amp;row=2304&amp;col=6&amp;number=3&amp;sourceID=14","3")</f>
        <v>3</v>
      </c>
      <c r="G2304" s="4" t="str">
        <f>HYPERLINK("http://141.218.60.56/~jnz1568/getInfo.php?workbook=06_02.xlsx&amp;sheet=U0&amp;row=2304&amp;col=7&amp;number=0.00996&amp;sourceID=14","0.00996")</f>
        <v>0.00996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HYPERLINK("http://141.218.60.56/~jnz1568/getInfo.php?workbook=06_02.xlsx&amp;sheet=U0&amp;row=2305&amp;col=6&amp;number=3.1&amp;sourceID=14","3.1")</f>
        <v>3.1</v>
      </c>
      <c r="G2305" s="4" t="str">
        <f>HYPERLINK("http://141.218.60.56/~jnz1568/getInfo.php?workbook=06_02.xlsx&amp;sheet=U0&amp;row=2305&amp;col=7&amp;number=0.00996&amp;sourceID=14","0.00996")</f>
        <v>0.00996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HYPERLINK("http://141.218.60.56/~jnz1568/getInfo.php?workbook=06_02.xlsx&amp;sheet=U0&amp;row=2306&amp;col=6&amp;number=3.2&amp;sourceID=14","3.2")</f>
        <v>3.2</v>
      </c>
      <c r="G2306" s="4" t="str">
        <f>HYPERLINK("http://141.218.60.56/~jnz1568/getInfo.php?workbook=06_02.xlsx&amp;sheet=U0&amp;row=2306&amp;col=7&amp;number=0.00997&amp;sourceID=14","0.00997")</f>
        <v>0.00997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HYPERLINK("http://141.218.60.56/~jnz1568/getInfo.php?workbook=06_02.xlsx&amp;sheet=U0&amp;row=2307&amp;col=6&amp;number=3.3&amp;sourceID=14","3.3")</f>
        <v>3.3</v>
      </c>
      <c r="G2307" s="4" t="str">
        <f>HYPERLINK("http://141.218.60.56/~jnz1568/getInfo.php?workbook=06_02.xlsx&amp;sheet=U0&amp;row=2307&amp;col=7&amp;number=0.00997&amp;sourceID=14","0.00997")</f>
        <v>0.00997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HYPERLINK("http://141.218.60.56/~jnz1568/getInfo.php?workbook=06_02.xlsx&amp;sheet=U0&amp;row=2308&amp;col=6&amp;number=3.4&amp;sourceID=14","3.4")</f>
        <v>3.4</v>
      </c>
      <c r="G2308" s="4" t="str">
        <f>HYPERLINK("http://141.218.60.56/~jnz1568/getInfo.php?workbook=06_02.xlsx&amp;sheet=U0&amp;row=2308&amp;col=7&amp;number=0.00997&amp;sourceID=14","0.00997")</f>
        <v>0.00997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HYPERLINK("http://141.218.60.56/~jnz1568/getInfo.php?workbook=06_02.xlsx&amp;sheet=U0&amp;row=2309&amp;col=6&amp;number=3.5&amp;sourceID=14","3.5")</f>
        <v>3.5</v>
      </c>
      <c r="G2309" s="4" t="str">
        <f>HYPERLINK("http://141.218.60.56/~jnz1568/getInfo.php?workbook=06_02.xlsx&amp;sheet=U0&amp;row=2309&amp;col=7&amp;number=0.00997&amp;sourceID=14","0.00997")</f>
        <v>0.00997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HYPERLINK("http://141.218.60.56/~jnz1568/getInfo.php?workbook=06_02.xlsx&amp;sheet=U0&amp;row=2310&amp;col=6&amp;number=3.6&amp;sourceID=14","3.6")</f>
        <v>3.6</v>
      </c>
      <c r="G2310" s="4" t="str">
        <f>HYPERLINK("http://141.218.60.56/~jnz1568/getInfo.php?workbook=06_02.xlsx&amp;sheet=U0&amp;row=2310&amp;col=7&amp;number=0.00997&amp;sourceID=14","0.00997")</f>
        <v>0.00997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HYPERLINK("http://141.218.60.56/~jnz1568/getInfo.php?workbook=06_02.xlsx&amp;sheet=U0&amp;row=2311&amp;col=6&amp;number=3.7&amp;sourceID=14","3.7")</f>
        <v>3.7</v>
      </c>
      <c r="G2311" s="4" t="str">
        <f>HYPERLINK("http://141.218.60.56/~jnz1568/getInfo.php?workbook=06_02.xlsx&amp;sheet=U0&amp;row=2311&amp;col=7&amp;number=0.00997&amp;sourceID=14","0.00997")</f>
        <v>0.00997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HYPERLINK("http://141.218.60.56/~jnz1568/getInfo.php?workbook=06_02.xlsx&amp;sheet=U0&amp;row=2312&amp;col=6&amp;number=3.8&amp;sourceID=14","3.8")</f>
        <v>3.8</v>
      </c>
      <c r="G2312" s="4" t="str">
        <f>HYPERLINK("http://141.218.60.56/~jnz1568/getInfo.php?workbook=06_02.xlsx&amp;sheet=U0&amp;row=2312&amp;col=7&amp;number=0.00998&amp;sourceID=14","0.00998")</f>
        <v>0.00998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HYPERLINK("http://141.218.60.56/~jnz1568/getInfo.php?workbook=06_02.xlsx&amp;sheet=U0&amp;row=2313&amp;col=6&amp;number=3.9&amp;sourceID=14","3.9")</f>
        <v>3.9</v>
      </c>
      <c r="G2313" s="4" t="str">
        <f>HYPERLINK("http://141.218.60.56/~jnz1568/getInfo.php?workbook=06_02.xlsx&amp;sheet=U0&amp;row=2313&amp;col=7&amp;number=0.00998&amp;sourceID=14","0.00998")</f>
        <v>0.00998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HYPERLINK("http://141.218.60.56/~jnz1568/getInfo.php?workbook=06_02.xlsx&amp;sheet=U0&amp;row=2314&amp;col=6&amp;number=4&amp;sourceID=14","4")</f>
        <v>4</v>
      </c>
      <c r="G2314" s="4" t="str">
        <f>HYPERLINK("http://141.218.60.56/~jnz1568/getInfo.php?workbook=06_02.xlsx&amp;sheet=U0&amp;row=2314&amp;col=7&amp;number=0.00999&amp;sourceID=14","0.00999")</f>
        <v>0.00999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HYPERLINK("http://141.218.60.56/~jnz1568/getInfo.php?workbook=06_02.xlsx&amp;sheet=U0&amp;row=2315&amp;col=6&amp;number=4.1&amp;sourceID=14","4.1")</f>
        <v>4.1</v>
      </c>
      <c r="G2315" s="4" t="str">
        <f>HYPERLINK("http://141.218.60.56/~jnz1568/getInfo.php?workbook=06_02.xlsx&amp;sheet=U0&amp;row=2315&amp;col=7&amp;number=0.01&amp;sourceID=14","0.01")</f>
        <v>0.01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HYPERLINK("http://141.218.60.56/~jnz1568/getInfo.php?workbook=06_02.xlsx&amp;sheet=U0&amp;row=2316&amp;col=6&amp;number=4.2&amp;sourceID=14","4.2")</f>
        <v>4.2</v>
      </c>
      <c r="G2316" s="4" t="str">
        <f>HYPERLINK("http://141.218.60.56/~jnz1568/getInfo.php?workbook=06_02.xlsx&amp;sheet=U0&amp;row=2316&amp;col=7&amp;number=0.01&amp;sourceID=14","0.01")</f>
        <v>0.01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HYPERLINK("http://141.218.60.56/~jnz1568/getInfo.php?workbook=06_02.xlsx&amp;sheet=U0&amp;row=2317&amp;col=6&amp;number=4.3&amp;sourceID=14","4.3")</f>
        <v>4.3</v>
      </c>
      <c r="G2317" s="4" t="str">
        <f>HYPERLINK("http://141.218.60.56/~jnz1568/getInfo.php?workbook=06_02.xlsx&amp;sheet=U0&amp;row=2317&amp;col=7&amp;number=0.01&amp;sourceID=14","0.01")</f>
        <v>0.01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HYPERLINK("http://141.218.60.56/~jnz1568/getInfo.php?workbook=06_02.xlsx&amp;sheet=U0&amp;row=2318&amp;col=6&amp;number=4.4&amp;sourceID=14","4.4")</f>
        <v>4.4</v>
      </c>
      <c r="G2318" s="4" t="str">
        <f>HYPERLINK("http://141.218.60.56/~jnz1568/getInfo.php?workbook=06_02.xlsx&amp;sheet=U0&amp;row=2318&amp;col=7&amp;number=0.01&amp;sourceID=14","0.01")</f>
        <v>0.01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HYPERLINK("http://141.218.60.56/~jnz1568/getInfo.php?workbook=06_02.xlsx&amp;sheet=U0&amp;row=2319&amp;col=6&amp;number=4.5&amp;sourceID=14","4.5")</f>
        <v>4.5</v>
      </c>
      <c r="G2319" s="4" t="str">
        <f>HYPERLINK("http://141.218.60.56/~jnz1568/getInfo.php?workbook=06_02.xlsx&amp;sheet=U0&amp;row=2319&amp;col=7&amp;number=0.01&amp;sourceID=14","0.01")</f>
        <v>0.01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HYPERLINK("http://141.218.60.56/~jnz1568/getInfo.php?workbook=06_02.xlsx&amp;sheet=U0&amp;row=2320&amp;col=6&amp;number=4.6&amp;sourceID=14","4.6")</f>
        <v>4.6</v>
      </c>
      <c r="G2320" s="4" t="str">
        <f>HYPERLINK("http://141.218.60.56/~jnz1568/getInfo.php?workbook=06_02.xlsx&amp;sheet=U0&amp;row=2320&amp;col=7&amp;number=0.0101&amp;sourceID=14","0.0101")</f>
        <v>0.0101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HYPERLINK("http://141.218.60.56/~jnz1568/getInfo.php?workbook=06_02.xlsx&amp;sheet=U0&amp;row=2321&amp;col=6&amp;number=4.7&amp;sourceID=14","4.7")</f>
        <v>4.7</v>
      </c>
      <c r="G2321" s="4" t="str">
        <f>HYPERLINK("http://141.218.60.56/~jnz1568/getInfo.php?workbook=06_02.xlsx&amp;sheet=U0&amp;row=2321&amp;col=7&amp;number=0.0101&amp;sourceID=14","0.0101")</f>
        <v>0.0101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HYPERLINK("http://141.218.60.56/~jnz1568/getInfo.php?workbook=06_02.xlsx&amp;sheet=U0&amp;row=2322&amp;col=6&amp;number=4.8&amp;sourceID=14","4.8")</f>
        <v>4.8</v>
      </c>
      <c r="G2322" s="4" t="str">
        <f>HYPERLINK("http://141.218.60.56/~jnz1568/getInfo.php?workbook=06_02.xlsx&amp;sheet=U0&amp;row=2322&amp;col=7&amp;number=0.0101&amp;sourceID=14","0.0101")</f>
        <v>0.0101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HYPERLINK("http://141.218.60.56/~jnz1568/getInfo.php?workbook=06_02.xlsx&amp;sheet=U0&amp;row=2323&amp;col=6&amp;number=4.9&amp;sourceID=14","4.9")</f>
        <v>4.9</v>
      </c>
      <c r="G2323" s="4" t="str">
        <f>HYPERLINK("http://141.218.60.56/~jnz1568/getInfo.php?workbook=06_02.xlsx&amp;sheet=U0&amp;row=2323&amp;col=7&amp;number=0.0102&amp;sourceID=14","0.0102")</f>
        <v>0.0102</v>
      </c>
    </row>
    <row r="2324" spans="1:7">
      <c r="A2324" s="3">
        <v>6</v>
      </c>
      <c r="B2324" s="3">
        <v>2</v>
      </c>
      <c r="C2324" s="3">
        <v>3</v>
      </c>
      <c r="D2324" s="3">
        <v>34</v>
      </c>
      <c r="E2324" s="3">
        <v>1</v>
      </c>
      <c r="F2324" s="4" t="str">
        <f>HYPERLINK("http://141.218.60.56/~jnz1568/getInfo.php?workbook=06_02.xlsx&amp;sheet=U0&amp;row=2324&amp;col=6&amp;number=3&amp;sourceID=14","3")</f>
        <v>3</v>
      </c>
      <c r="G2324" s="4" t="str">
        <f>HYPERLINK("http://141.218.60.56/~jnz1568/getInfo.php?workbook=06_02.xlsx&amp;sheet=U0&amp;row=2324&amp;col=7&amp;number=0.000543&amp;sourceID=14","0.000543")</f>
        <v>0.000543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HYPERLINK("http://141.218.60.56/~jnz1568/getInfo.php?workbook=06_02.xlsx&amp;sheet=U0&amp;row=2325&amp;col=6&amp;number=3.1&amp;sourceID=14","3.1")</f>
        <v>3.1</v>
      </c>
      <c r="G2325" s="4" t="str">
        <f>HYPERLINK("http://141.218.60.56/~jnz1568/getInfo.php?workbook=06_02.xlsx&amp;sheet=U0&amp;row=2325&amp;col=7&amp;number=0.000543&amp;sourceID=14","0.000543")</f>
        <v>0.000543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HYPERLINK("http://141.218.60.56/~jnz1568/getInfo.php?workbook=06_02.xlsx&amp;sheet=U0&amp;row=2326&amp;col=6&amp;number=3.2&amp;sourceID=14","3.2")</f>
        <v>3.2</v>
      </c>
      <c r="G2326" s="4" t="str">
        <f>HYPERLINK("http://141.218.60.56/~jnz1568/getInfo.php?workbook=06_02.xlsx&amp;sheet=U0&amp;row=2326&amp;col=7&amp;number=0.000543&amp;sourceID=14","0.000543")</f>
        <v>0.000543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HYPERLINK("http://141.218.60.56/~jnz1568/getInfo.php?workbook=06_02.xlsx&amp;sheet=U0&amp;row=2327&amp;col=6&amp;number=3.3&amp;sourceID=14","3.3")</f>
        <v>3.3</v>
      </c>
      <c r="G2327" s="4" t="str">
        <f>HYPERLINK("http://141.218.60.56/~jnz1568/getInfo.php?workbook=06_02.xlsx&amp;sheet=U0&amp;row=2327&amp;col=7&amp;number=0.000542&amp;sourceID=14","0.000542")</f>
        <v>0.000542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HYPERLINK("http://141.218.60.56/~jnz1568/getInfo.php?workbook=06_02.xlsx&amp;sheet=U0&amp;row=2328&amp;col=6&amp;number=3.4&amp;sourceID=14","3.4")</f>
        <v>3.4</v>
      </c>
      <c r="G2328" s="4" t="str">
        <f>HYPERLINK("http://141.218.60.56/~jnz1568/getInfo.php?workbook=06_02.xlsx&amp;sheet=U0&amp;row=2328&amp;col=7&amp;number=0.000542&amp;sourceID=14","0.000542")</f>
        <v>0.000542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HYPERLINK("http://141.218.60.56/~jnz1568/getInfo.php?workbook=06_02.xlsx&amp;sheet=U0&amp;row=2329&amp;col=6&amp;number=3.5&amp;sourceID=14","3.5")</f>
        <v>3.5</v>
      </c>
      <c r="G2329" s="4" t="str">
        <f>HYPERLINK("http://141.218.60.56/~jnz1568/getInfo.php?workbook=06_02.xlsx&amp;sheet=U0&amp;row=2329&amp;col=7&amp;number=0.000542&amp;sourceID=14","0.000542")</f>
        <v>0.000542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HYPERLINK("http://141.218.60.56/~jnz1568/getInfo.php?workbook=06_02.xlsx&amp;sheet=U0&amp;row=2330&amp;col=6&amp;number=3.6&amp;sourceID=14","3.6")</f>
        <v>3.6</v>
      </c>
      <c r="G2330" s="4" t="str">
        <f>HYPERLINK("http://141.218.60.56/~jnz1568/getInfo.php?workbook=06_02.xlsx&amp;sheet=U0&amp;row=2330&amp;col=7&amp;number=0.000541&amp;sourceID=14","0.000541")</f>
        <v>0.000541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HYPERLINK("http://141.218.60.56/~jnz1568/getInfo.php?workbook=06_02.xlsx&amp;sheet=U0&amp;row=2331&amp;col=6&amp;number=3.7&amp;sourceID=14","3.7")</f>
        <v>3.7</v>
      </c>
      <c r="G2331" s="4" t="str">
        <f>HYPERLINK("http://141.218.60.56/~jnz1568/getInfo.php?workbook=06_02.xlsx&amp;sheet=U0&amp;row=2331&amp;col=7&amp;number=0.00054&amp;sourceID=14","0.00054")</f>
        <v>0.00054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HYPERLINK("http://141.218.60.56/~jnz1568/getInfo.php?workbook=06_02.xlsx&amp;sheet=U0&amp;row=2332&amp;col=6&amp;number=3.8&amp;sourceID=14","3.8")</f>
        <v>3.8</v>
      </c>
      <c r="G2332" s="4" t="str">
        <f>HYPERLINK("http://141.218.60.56/~jnz1568/getInfo.php?workbook=06_02.xlsx&amp;sheet=U0&amp;row=2332&amp;col=7&amp;number=0.000539&amp;sourceID=14","0.000539")</f>
        <v>0.000539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HYPERLINK("http://141.218.60.56/~jnz1568/getInfo.php?workbook=06_02.xlsx&amp;sheet=U0&amp;row=2333&amp;col=6&amp;number=3.9&amp;sourceID=14","3.9")</f>
        <v>3.9</v>
      </c>
      <c r="G2333" s="4" t="str">
        <f>HYPERLINK("http://141.218.60.56/~jnz1568/getInfo.php?workbook=06_02.xlsx&amp;sheet=U0&amp;row=2333&amp;col=7&amp;number=0.000538&amp;sourceID=14","0.000538")</f>
        <v>0.000538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HYPERLINK("http://141.218.60.56/~jnz1568/getInfo.php?workbook=06_02.xlsx&amp;sheet=U0&amp;row=2334&amp;col=6&amp;number=4&amp;sourceID=14","4")</f>
        <v>4</v>
      </c>
      <c r="G2334" s="4" t="str">
        <f>HYPERLINK("http://141.218.60.56/~jnz1568/getInfo.php?workbook=06_02.xlsx&amp;sheet=U0&amp;row=2334&amp;col=7&amp;number=0.000537&amp;sourceID=14","0.000537")</f>
        <v>0.000537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HYPERLINK("http://141.218.60.56/~jnz1568/getInfo.php?workbook=06_02.xlsx&amp;sheet=U0&amp;row=2335&amp;col=6&amp;number=4.1&amp;sourceID=14","4.1")</f>
        <v>4.1</v>
      </c>
      <c r="G2335" s="4" t="str">
        <f>HYPERLINK("http://141.218.60.56/~jnz1568/getInfo.php?workbook=06_02.xlsx&amp;sheet=U0&amp;row=2335&amp;col=7&amp;number=0.000535&amp;sourceID=14","0.000535")</f>
        <v>0.000535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HYPERLINK("http://141.218.60.56/~jnz1568/getInfo.php?workbook=06_02.xlsx&amp;sheet=U0&amp;row=2336&amp;col=6&amp;number=4.2&amp;sourceID=14","4.2")</f>
        <v>4.2</v>
      </c>
      <c r="G2336" s="4" t="str">
        <f>HYPERLINK("http://141.218.60.56/~jnz1568/getInfo.php?workbook=06_02.xlsx&amp;sheet=U0&amp;row=2336&amp;col=7&amp;number=0.000533&amp;sourceID=14","0.000533")</f>
        <v>0.000533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HYPERLINK("http://141.218.60.56/~jnz1568/getInfo.php?workbook=06_02.xlsx&amp;sheet=U0&amp;row=2337&amp;col=6&amp;number=4.3&amp;sourceID=14","4.3")</f>
        <v>4.3</v>
      </c>
      <c r="G2337" s="4" t="str">
        <f>HYPERLINK("http://141.218.60.56/~jnz1568/getInfo.php?workbook=06_02.xlsx&amp;sheet=U0&amp;row=2337&amp;col=7&amp;number=0.00053&amp;sourceID=14","0.00053")</f>
        <v>0.00053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HYPERLINK("http://141.218.60.56/~jnz1568/getInfo.php?workbook=06_02.xlsx&amp;sheet=U0&amp;row=2338&amp;col=6&amp;number=4.4&amp;sourceID=14","4.4")</f>
        <v>4.4</v>
      </c>
      <c r="G2338" s="4" t="str">
        <f>HYPERLINK("http://141.218.60.56/~jnz1568/getInfo.php?workbook=06_02.xlsx&amp;sheet=U0&amp;row=2338&amp;col=7&amp;number=0.000527&amp;sourceID=14","0.000527")</f>
        <v>0.000527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HYPERLINK("http://141.218.60.56/~jnz1568/getInfo.php?workbook=06_02.xlsx&amp;sheet=U0&amp;row=2339&amp;col=6&amp;number=4.5&amp;sourceID=14","4.5")</f>
        <v>4.5</v>
      </c>
      <c r="G2339" s="4" t="str">
        <f>HYPERLINK("http://141.218.60.56/~jnz1568/getInfo.php?workbook=06_02.xlsx&amp;sheet=U0&amp;row=2339&amp;col=7&amp;number=0.000522&amp;sourceID=14","0.000522")</f>
        <v>0.000522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HYPERLINK("http://141.218.60.56/~jnz1568/getInfo.php?workbook=06_02.xlsx&amp;sheet=U0&amp;row=2340&amp;col=6&amp;number=4.6&amp;sourceID=14","4.6")</f>
        <v>4.6</v>
      </c>
      <c r="G2340" s="4" t="str">
        <f>HYPERLINK("http://141.218.60.56/~jnz1568/getInfo.php?workbook=06_02.xlsx&amp;sheet=U0&amp;row=2340&amp;col=7&amp;number=0.000517&amp;sourceID=14","0.000517")</f>
        <v>0.000517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HYPERLINK("http://141.218.60.56/~jnz1568/getInfo.php?workbook=06_02.xlsx&amp;sheet=U0&amp;row=2341&amp;col=6&amp;number=4.7&amp;sourceID=14","4.7")</f>
        <v>4.7</v>
      </c>
      <c r="G2341" s="4" t="str">
        <f>HYPERLINK("http://141.218.60.56/~jnz1568/getInfo.php?workbook=06_02.xlsx&amp;sheet=U0&amp;row=2341&amp;col=7&amp;number=0.000511&amp;sourceID=14","0.000511")</f>
        <v>0.000511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HYPERLINK("http://141.218.60.56/~jnz1568/getInfo.php?workbook=06_02.xlsx&amp;sheet=U0&amp;row=2342&amp;col=6&amp;number=4.8&amp;sourceID=14","4.8")</f>
        <v>4.8</v>
      </c>
      <c r="G2342" s="4" t="str">
        <f>HYPERLINK("http://141.218.60.56/~jnz1568/getInfo.php?workbook=06_02.xlsx&amp;sheet=U0&amp;row=2342&amp;col=7&amp;number=0.000503&amp;sourceID=14","0.000503")</f>
        <v>0.000503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HYPERLINK("http://141.218.60.56/~jnz1568/getInfo.php?workbook=06_02.xlsx&amp;sheet=U0&amp;row=2343&amp;col=6&amp;number=4.9&amp;sourceID=14","4.9")</f>
        <v>4.9</v>
      </c>
      <c r="G2343" s="4" t="str">
        <f>HYPERLINK("http://141.218.60.56/~jnz1568/getInfo.php?workbook=06_02.xlsx&amp;sheet=U0&amp;row=2343&amp;col=7&amp;number=0.000493&amp;sourceID=14","0.000493")</f>
        <v>0.000493</v>
      </c>
    </row>
    <row r="2344" spans="1:7">
      <c r="A2344" s="3">
        <v>6</v>
      </c>
      <c r="B2344" s="3">
        <v>2</v>
      </c>
      <c r="C2344" s="3">
        <v>3</v>
      </c>
      <c r="D2344" s="3">
        <v>35</v>
      </c>
      <c r="E2344" s="3">
        <v>1</v>
      </c>
      <c r="F2344" s="4" t="str">
        <f>HYPERLINK("http://141.218.60.56/~jnz1568/getInfo.php?workbook=06_02.xlsx&amp;sheet=U0&amp;row=2344&amp;col=6&amp;number=3&amp;sourceID=14","3")</f>
        <v>3</v>
      </c>
      <c r="G2344" s="4" t="str">
        <f>HYPERLINK("http://141.218.60.56/~jnz1568/getInfo.php?workbook=06_02.xlsx&amp;sheet=U0&amp;row=2344&amp;col=7&amp;number=0.00163&amp;sourceID=14","0.00163")</f>
        <v>0.00163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HYPERLINK("http://141.218.60.56/~jnz1568/getInfo.php?workbook=06_02.xlsx&amp;sheet=U0&amp;row=2345&amp;col=6&amp;number=3.1&amp;sourceID=14","3.1")</f>
        <v>3.1</v>
      </c>
      <c r="G2345" s="4" t="str">
        <f>HYPERLINK("http://141.218.60.56/~jnz1568/getInfo.php?workbook=06_02.xlsx&amp;sheet=U0&amp;row=2345&amp;col=7&amp;number=0.00163&amp;sourceID=14","0.00163")</f>
        <v>0.00163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HYPERLINK("http://141.218.60.56/~jnz1568/getInfo.php?workbook=06_02.xlsx&amp;sheet=U0&amp;row=2346&amp;col=6&amp;number=3.2&amp;sourceID=14","3.2")</f>
        <v>3.2</v>
      </c>
      <c r="G2346" s="4" t="str">
        <f>HYPERLINK("http://141.218.60.56/~jnz1568/getInfo.php?workbook=06_02.xlsx&amp;sheet=U0&amp;row=2346&amp;col=7&amp;number=0.00163&amp;sourceID=14","0.00163")</f>
        <v>0.00163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HYPERLINK("http://141.218.60.56/~jnz1568/getInfo.php?workbook=06_02.xlsx&amp;sheet=U0&amp;row=2347&amp;col=6&amp;number=3.3&amp;sourceID=14","3.3")</f>
        <v>3.3</v>
      </c>
      <c r="G2347" s="4" t="str">
        <f>HYPERLINK("http://141.218.60.56/~jnz1568/getInfo.php?workbook=06_02.xlsx&amp;sheet=U0&amp;row=2347&amp;col=7&amp;number=0.00163&amp;sourceID=14","0.00163")</f>
        <v>0.00163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HYPERLINK("http://141.218.60.56/~jnz1568/getInfo.php?workbook=06_02.xlsx&amp;sheet=U0&amp;row=2348&amp;col=6&amp;number=3.4&amp;sourceID=14","3.4")</f>
        <v>3.4</v>
      </c>
      <c r="G2348" s="4" t="str">
        <f>HYPERLINK("http://141.218.60.56/~jnz1568/getInfo.php?workbook=06_02.xlsx&amp;sheet=U0&amp;row=2348&amp;col=7&amp;number=0.00163&amp;sourceID=14","0.00163")</f>
        <v>0.00163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HYPERLINK("http://141.218.60.56/~jnz1568/getInfo.php?workbook=06_02.xlsx&amp;sheet=U0&amp;row=2349&amp;col=6&amp;number=3.5&amp;sourceID=14","3.5")</f>
        <v>3.5</v>
      </c>
      <c r="G2349" s="4" t="str">
        <f>HYPERLINK("http://141.218.60.56/~jnz1568/getInfo.php?workbook=06_02.xlsx&amp;sheet=U0&amp;row=2349&amp;col=7&amp;number=0.00162&amp;sourceID=14","0.00162")</f>
        <v>0.00162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HYPERLINK("http://141.218.60.56/~jnz1568/getInfo.php?workbook=06_02.xlsx&amp;sheet=U0&amp;row=2350&amp;col=6&amp;number=3.6&amp;sourceID=14","3.6")</f>
        <v>3.6</v>
      </c>
      <c r="G2350" s="4" t="str">
        <f>HYPERLINK("http://141.218.60.56/~jnz1568/getInfo.php?workbook=06_02.xlsx&amp;sheet=U0&amp;row=2350&amp;col=7&amp;number=0.00162&amp;sourceID=14","0.00162")</f>
        <v>0.00162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HYPERLINK("http://141.218.60.56/~jnz1568/getInfo.php?workbook=06_02.xlsx&amp;sheet=U0&amp;row=2351&amp;col=6&amp;number=3.7&amp;sourceID=14","3.7")</f>
        <v>3.7</v>
      </c>
      <c r="G2351" s="4" t="str">
        <f>HYPERLINK("http://141.218.60.56/~jnz1568/getInfo.php?workbook=06_02.xlsx&amp;sheet=U0&amp;row=2351&amp;col=7&amp;number=0.00162&amp;sourceID=14","0.00162")</f>
        <v>0.00162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HYPERLINK("http://141.218.60.56/~jnz1568/getInfo.php?workbook=06_02.xlsx&amp;sheet=U0&amp;row=2352&amp;col=6&amp;number=3.8&amp;sourceID=14","3.8")</f>
        <v>3.8</v>
      </c>
      <c r="G2352" s="4" t="str">
        <f>HYPERLINK("http://141.218.60.56/~jnz1568/getInfo.php?workbook=06_02.xlsx&amp;sheet=U0&amp;row=2352&amp;col=7&amp;number=0.00162&amp;sourceID=14","0.00162")</f>
        <v>0.00162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HYPERLINK("http://141.218.60.56/~jnz1568/getInfo.php?workbook=06_02.xlsx&amp;sheet=U0&amp;row=2353&amp;col=6&amp;number=3.9&amp;sourceID=14","3.9")</f>
        <v>3.9</v>
      </c>
      <c r="G2353" s="4" t="str">
        <f>HYPERLINK("http://141.218.60.56/~jnz1568/getInfo.php?workbook=06_02.xlsx&amp;sheet=U0&amp;row=2353&amp;col=7&amp;number=0.00161&amp;sourceID=14","0.00161")</f>
        <v>0.00161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HYPERLINK("http://141.218.60.56/~jnz1568/getInfo.php?workbook=06_02.xlsx&amp;sheet=U0&amp;row=2354&amp;col=6&amp;number=4&amp;sourceID=14","4")</f>
        <v>4</v>
      </c>
      <c r="G2354" s="4" t="str">
        <f>HYPERLINK("http://141.218.60.56/~jnz1568/getInfo.php?workbook=06_02.xlsx&amp;sheet=U0&amp;row=2354&amp;col=7&amp;number=0.00161&amp;sourceID=14","0.00161")</f>
        <v>0.00161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HYPERLINK("http://141.218.60.56/~jnz1568/getInfo.php?workbook=06_02.xlsx&amp;sheet=U0&amp;row=2355&amp;col=6&amp;number=4.1&amp;sourceID=14","4.1")</f>
        <v>4.1</v>
      </c>
      <c r="G2355" s="4" t="str">
        <f>HYPERLINK("http://141.218.60.56/~jnz1568/getInfo.php?workbook=06_02.xlsx&amp;sheet=U0&amp;row=2355&amp;col=7&amp;number=0.0016&amp;sourceID=14","0.0016")</f>
        <v>0.0016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HYPERLINK("http://141.218.60.56/~jnz1568/getInfo.php?workbook=06_02.xlsx&amp;sheet=U0&amp;row=2356&amp;col=6&amp;number=4.2&amp;sourceID=14","4.2")</f>
        <v>4.2</v>
      </c>
      <c r="G2356" s="4" t="str">
        <f>HYPERLINK("http://141.218.60.56/~jnz1568/getInfo.php?workbook=06_02.xlsx&amp;sheet=U0&amp;row=2356&amp;col=7&amp;number=0.0016&amp;sourceID=14","0.0016")</f>
        <v>0.0016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HYPERLINK("http://141.218.60.56/~jnz1568/getInfo.php?workbook=06_02.xlsx&amp;sheet=U0&amp;row=2357&amp;col=6&amp;number=4.3&amp;sourceID=14","4.3")</f>
        <v>4.3</v>
      </c>
      <c r="G2357" s="4" t="str">
        <f>HYPERLINK("http://141.218.60.56/~jnz1568/getInfo.php?workbook=06_02.xlsx&amp;sheet=U0&amp;row=2357&amp;col=7&amp;number=0.00159&amp;sourceID=14","0.00159")</f>
        <v>0.00159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HYPERLINK("http://141.218.60.56/~jnz1568/getInfo.php?workbook=06_02.xlsx&amp;sheet=U0&amp;row=2358&amp;col=6&amp;number=4.4&amp;sourceID=14","4.4")</f>
        <v>4.4</v>
      </c>
      <c r="G2358" s="4" t="str">
        <f>HYPERLINK("http://141.218.60.56/~jnz1568/getInfo.php?workbook=06_02.xlsx&amp;sheet=U0&amp;row=2358&amp;col=7&amp;number=0.00158&amp;sourceID=14","0.00158")</f>
        <v>0.00158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HYPERLINK("http://141.218.60.56/~jnz1568/getInfo.php?workbook=06_02.xlsx&amp;sheet=U0&amp;row=2359&amp;col=6&amp;number=4.5&amp;sourceID=14","4.5")</f>
        <v>4.5</v>
      </c>
      <c r="G2359" s="4" t="str">
        <f>HYPERLINK("http://141.218.60.56/~jnz1568/getInfo.php?workbook=06_02.xlsx&amp;sheet=U0&amp;row=2359&amp;col=7&amp;number=0.00157&amp;sourceID=14","0.00157")</f>
        <v>0.00157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HYPERLINK("http://141.218.60.56/~jnz1568/getInfo.php?workbook=06_02.xlsx&amp;sheet=U0&amp;row=2360&amp;col=6&amp;number=4.6&amp;sourceID=14","4.6")</f>
        <v>4.6</v>
      </c>
      <c r="G2360" s="4" t="str">
        <f>HYPERLINK("http://141.218.60.56/~jnz1568/getInfo.php?workbook=06_02.xlsx&amp;sheet=U0&amp;row=2360&amp;col=7&amp;number=0.00155&amp;sourceID=14","0.00155")</f>
        <v>0.00155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HYPERLINK("http://141.218.60.56/~jnz1568/getInfo.php?workbook=06_02.xlsx&amp;sheet=U0&amp;row=2361&amp;col=6&amp;number=4.7&amp;sourceID=14","4.7")</f>
        <v>4.7</v>
      </c>
      <c r="G2361" s="4" t="str">
        <f>HYPERLINK("http://141.218.60.56/~jnz1568/getInfo.php?workbook=06_02.xlsx&amp;sheet=U0&amp;row=2361&amp;col=7&amp;number=0.00153&amp;sourceID=14","0.00153")</f>
        <v>0.00153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HYPERLINK("http://141.218.60.56/~jnz1568/getInfo.php?workbook=06_02.xlsx&amp;sheet=U0&amp;row=2362&amp;col=6&amp;number=4.8&amp;sourceID=14","4.8")</f>
        <v>4.8</v>
      </c>
      <c r="G2362" s="4" t="str">
        <f>HYPERLINK("http://141.218.60.56/~jnz1568/getInfo.php?workbook=06_02.xlsx&amp;sheet=U0&amp;row=2362&amp;col=7&amp;number=0.00151&amp;sourceID=14","0.00151")</f>
        <v>0.00151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HYPERLINK("http://141.218.60.56/~jnz1568/getInfo.php?workbook=06_02.xlsx&amp;sheet=U0&amp;row=2363&amp;col=6&amp;number=4.9&amp;sourceID=14","4.9")</f>
        <v>4.9</v>
      </c>
      <c r="G2363" s="4" t="str">
        <f>HYPERLINK("http://141.218.60.56/~jnz1568/getInfo.php?workbook=06_02.xlsx&amp;sheet=U0&amp;row=2363&amp;col=7&amp;number=0.00148&amp;sourceID=14","0.00148")</f>
        <v>0.00148</v>
      </c>
    </row>
    <row r="2364" spans="1:7">
      <c r="A2364" s="3">
        <v>6</v>
      </c>
      <c r="B2364" s="3">
        <v>2</v>
      </c>
      <c r="C2364" s="3">
        <v>3</v>
      </c>
      <c r="D2364" s="3">
        <v>36</v>
      </c>
      <c r="E2364" s="3">
        <v>1</v>
      </c>
      <c r="F2364" s="4" t="str">
        <f>HYPERLINK("http://141.218.60.56/~jnz1568/getInfo.php?workbook=06_02.xlsx&amp;sheet=U0&amp;row=2364&amp;col=6&amp;number=3&amp;sourceID=14","3")</f>
        <v>3</v>
      </c>
      <c r="G2364" s="4" t="str">
        <f>HYPERLINK("http://141.218.60.56/~jnz1568/getInfo.php?workbook=06_02.xlsx&amp;sheet=U0&amp;row=2364&amp;col=7&amp;number=0.00274&amp;sourceID=14","0.00274")</f>
        <v>0.00274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HYPERLINK("http://141.218.60.56/~jnz1568/getInfo.php?workbook=06_02.xlsx&amp;sheet=U0&amp;row=2365&amp;col=6&amp;number=3.1&amp;sourceID=14","3.1")</f>
        <v>3.1</v>
      </c>
      <c r="G2365" s="4" t="str">
        <f>HYPERLINK("http://141.218.60.56/~jnz1568/getInfo.php?workbook=06_02.xlsx&amp;sheet=U0&amp;row=2365&amp;col=7&amp;number=0.00274&amp;sourceID=14","0.00274")</f>
        <v>0.00274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HYPERLINK("http://141.218.60.56/~jnz1568/getInfo.php?workbook=06_02.xlsx&amp;sheet=U0&amp;row=2366&amp;col=6&amp;number=3.2&amp;sourceID=14","3.2")</f>
        <v>3.2</v>
      </c>
      <c r="G2366" s="4" t="str">
        <f>HYPERLINK("http://141.218.60.56/~jnz1568/getInfo.php?workbook=06_02.xlsx&amp;sheet=U0&amp;row=2366&amp;col=7&amp;number=0.00274&amp;sourceID=14","0.00274")</f>
        <v>0.00274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HYPERLINK("http://141.218.60.56/~jnz1568/getInfo.php?workbook=06_02.xlsx&amp;sheet=U0&amp;row=2367&amp;col=6&amp;number=3.3&amp;sourceID=14","3.3")</f>
        <v>3.3</v>
      </c>
      <c r="G2367" s="4" t="str">
        <f>HYPERLINK("http://141.218.60.56/~jnz1568/getInfo.php?workbook=06_02.xlsx&amp;sheet=U0&amp;row=2367&amp;col=7&amp;number=0.00274&amp;sourceID=14","0.00274")</f>
        <v>0.00274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HYPERLINK("http://141.218.60.56/~jnz1568/getInfo.php?workbook=06_02.xlsx&amp;sheet=U0&amp;row=2368&amp;col=6&amp;number=3.4&amp;sourceID=14","3.4")</f>
        <v>3.4</v>
      </c>
      <c r="G2368" s="4" t="str">
        <f>HYPERLINK("http://141.218.60.56/~jnz1568/getInfo.php?workbook=06_02.xlsx&amp;sheet=U0&amp;row=2368&amp;col=7&amp;number=0.00274&amp;sourceID=14","0.00274")</f>
        <v>0.00274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HYPERLINK("http://141.218.60.56/~jnz1568/getInfo.php?workbook=06_02.xlsx&amp;sheet=U0&amp;row=2369&amp;col=6&amp;number=3.5&amp;sourceID=14","3.5")</f>
        <v>3.5</v>
      </c>
      <c r="G2369" s="4" t="str">
        <f>HYPERLINK("http://141.218.60.56/~jnz1568/getInfo.php?workbook=06_02.xlsx&amp;sheet=U0&amp;row=2369&amp;col=7&amp;number=0.00273&amp;sourceID=14","0.00273")</f>
        <v>0.00273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HYPERLINK("http://141.218.60.56/~jnz1568/getInfo.php?workbook=06_02.xlsx&amp;sheet=U0&amp;row=2370&amp;col=6&amp;number=3.6&amp;sourceID=14","3.6")</f>
        <v>3.6</v>
      </c>
      <c r="G2370" s="4" t="str">
        <f>HYPERLINK("http://141.218.60.56/~jnz1568/getInfo.php?workbook=06_02.xlsx&amp;sheet=U0&amp;row=2370&amp;col=7&amp;number=0.00273&amp;sourceID=14","0.00273")</f>
        <v>0.00273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HYPERLINK("http://141.218.60.56/~jnz1568/getInfo.php?workbook=06_02.xlsx&amp;sheet=U0&amp;row=2371&amp;col=6&amp;number=3.7&amp;sourceID=14","3.7")</f>
        <v>3.7</v>
      </c>
      <c r="G2371" s="4" t="str">
        <f>HYPERLINK("http://141.218.60.56/~jnz1568/getInfo.php?workbook=06_02.xlsx&amp;sheet=U0&amp;row=2371&amp;col=7&amp;number=0.00273&amp;sourceID=14","0.00273")</f>
        <v>0.00273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HYPERLINK("http://141.218.60.56/~jnz1568/getInfo.php?workbook=06_02.xlsx&amp;sheet=U0&amp;row=2372&amp;col=6&amp;number=3.8&amp;sourceID=14","3.8")</f>
        <v>3.8</v>
      </c>
      <c r="G2372" s="4" t="str">
        <f>HYPERLINK("http://141.218.60.56/~jnz1568/getInfo.php?workbook=06_02.xlsx&amp;sheet=U0&amp;row=2372&amp;col=7&amp;number=0.00272&amp;sourceID=14","0.00272")</f>
        <v>0.00272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HYPERLINK("http://141.218.60.56/~jnz1568/getInfo.php?workbook=06_02.xlsx&amp;sheet=U0&amp;row=2373&amp;col=6&amp;number=3.9&amp;sourceID=14","3.9")</f>
        <v>3.9</v>
      </c>
      <c r="G2373" s="4" t="str">
        <f>HYPERLINK("http://141.218.60.56/~jnz1568/getInfo.php?workbook=06_02.xlsx&amp;sheet=U0&amp;row=2373&amp;col=7&amp;number=0.00272&amp;sourceID=14","0.00272")</f>
        <v>0.00272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HYPERLINK("http://141.218.60.56/~jnz1568/getInfo.php?workbook=06_02.xlsx&amp;sheet=U0&amp;row=2374&amp;col=6&amp;number=4&amp;sourceID=14","4")</f>
        <v>4</v>
      </c>
      <c r="G2374" s="4" t="str">
        <f>HYPERLINK("http://141.218.60.56/~jnz1568/getInfo.php?workbook=06_02.xlsx&amp;sheet=U0&amp;row=2374&amp;col=7&amp;number=0.00271&amp;sourceID=14","0.00271")</f>
        <v>0.00271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HYPERLINK("http://141.218.60.56/~jnz1568/getInfo.php?workbook=06_02.xlsx&amp;sheet=U0&amp;row=2375&amp;col=6&amp;number=4.1&amp;sourceID=14","4.1")</f>
        <v>4.1</v>
      </c>
      <c r="G2375" s="4" t="str">
        <f>HYPERLINK("http://141.218.60.56/~jnz1568/getInfo.php?workbook=06_02.xlsx&amp;sheet=U0&amp;row=2375&amp;col=7&amp;number=0.0027&amp;sourceID=14","0.0027")</f>
        <v>0.0027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HYPERLINK("http://141.218.60.56/~jnz1568/getInfo.php?workbook=06_02.xlsx&amp;sheet=U0&amp;row=2376&amp;col=6&amp;number=4.2&amp;sourceID=14","4.2")</f>
        <v>4.2</v>
      </c>
      <c r="G2376" s="4" t="str">
        <f>HYPERLINK("http://141.218.60.56/~jnz1568/getInfo.php?workbook=06_02.xlsx&amp;sheet=U0&amp;row=2376&amp;col=7&amp;number=0.00269&amp;sourceID=14","0.00269")</f>
        <v>0.00269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HYPERLINK("http://141.218.60.56/~jnz1568/getInfo.php?workbook=06_02.xlsx&amp;sheet=U0&amp;row=2377&amp;col=6&amp;number=4.3&amp;sourceID=14","4.3")</f>
        <v>4.3</v>
      </c>
      <c r="G2377" s="4" t="str">
        <f>HYPERLINK("http://141.218.60.56/~jnz1568/getInfo.php?workbook=06_02.xlsx&amp;sheet=U0&amp;row=2377&amp;col=7&amp;number=0.00267&amp;sourceID=14","0.00267")</f>
        <v>0.00267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HYPERLINK("http://141.218.60.56/~jnz1568/getInfo.php?workbook=06_02.xlsx&amp;sheet=U0&amp;row=2378&amp;col=6&amp;number=4.4&amp;sourceID=14","4.4")</f>
        <v>4.4</v>
      </c>
      <c r="G2378" s="4" t="str">
        <f>HYPERLINK("http://141.218.60.56/~jnz1568/getInfo.php?workbook=06_02.xlsx&amp;sheet=U0&amp;row=2378&amp;col=7&amp;number=0.00265&amp;sourceID=14","0.00265")</f>
        <v>0.00265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HYPERLINK("http://141.218.60.56/~jnz1568/getInfo.php?workbook=06_02.xlsx&amp;sheet=U0&amp;row=2379&amp;col=6&amp;number=4.5&amp;sourceID=14","4.5")</f>
        <v>4.5</v>
      </c>
      <c r="G2379" s="4" t="str">
        <f>HYPERLINK("http://141.218.60.56/~jnz1568/getInfo.php?workbook=06_02.xlsx&amp;sheet=U0&amp;row=2379&amp;col=7&amp;number=0.00263&amp;sourceID=14","0.00263")</f>
        <v>0.00263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HYPERLINK("http://141.218.60.56/~jnz1568/getInfo.php?workbook=06_02.xlsx&amp;sheet=U0&amp;row=2380&amp;col=6&amp;number=4.6&amp;sourceID=14","4.6")</f>
        <v>4.6</v>
      </c>
      <c r="G2380" s="4" t="str">
        <f>HYPERLINK("http://141.218.60.56/~jnz1568/getInfo.php?workbook=06_02.xlsx&amp;sheet=U0&amp;row=2380&amp;col=7&amp;number=0.0026&amp;sourceID=14","0.0026")</f>
        <v>0.0026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HYPERLINK("http://141.218.60.56/~jnz1568/getInfo.php?workbook=06_02.xlsx&amp;sheet=U0&amp;row=2381&amp;col=6&amp;number=4.7&amp;sourceID=14","4.7")</f>
        <v>4.7</v>
      </c>
      <c r="G2381" s="4" t="str">
        <f>HYPERLINK("http://141.218.60.56/~jnz1568/getInfo.php?workbook=06_02.xlsx&amp;sheet=U0&amp;row=2381&amp;col=7&amp;number=0.00257&amp;sourceID=14","0.00257")</f>
        <v>0.00257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HYPERLINK("http://141.218.60.56/~jnz1568/getInfo.php?workbook=06_02.xlsx&amp;sheet=U0&amp;row=2382&amp;col=6&amp;number=4.8&amp;sourceID=14","4.8")</f>
        <v>4.8</v>
      </c>
      <c r="G2382" s="4" t="str">
        <f>HYPERLINK("http://141.218.60.56/~jnz1568/getInfo.php?workbook=06_02.xlsx&amp;sheet=U0&amp;row=2382&amp;col=7&amp;number=0.00253&amp;sourceID=14","0.00253")</f>
        <v>0.00253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HYPERLINK("http://141.218.60.56/~jnz1568/getInfo.php?workbook=06_02.xlsx&amp;sheet=U0&amp;row=2383&amp;col=6&amp;number=4.9&amp;sourceID=14","4.9")</f>
        <v>4.9</v>
      </c>
      <c r="G2383" s="4" t="str">
        <f>HYPERLINK("http://141.218.60.56/~jnz1568/getInfo.php?workbook=06_02.xlsx&amp;sheet=U0&amp;row=2383&amp;col=7&amp;number=0.00248&amp;sourceID=14","0.00248")</f>
        <v>0.00248</v>
      </c>
    </row>
    <row r="2384" spans="1:7">
      <c r="A2384" s="3">
        <v>6</v>
      </c>
      <c r="B2384" s="3">
        <v>2</v>
      </c>
      <c r="C2384" s="3">
        <v>3</v>
      </c>
      <c r="D2384" s="3">
        <v>37</v>
      </c>
      <c r="E2384" s="3">
        <v>1</v>
      </c>
      <c r="F2384" s="4" t="str">
        <f>HYPERLINK("http://141.218.60.56/~jnz1568/getInfo.php?workbook=06_02.xlsx&amp;sheet=U0&amp;row=2384&amp;col=6&amp;number=3&amp;sourceID=14","3")</f>
        <v>3</v>
      </c>
      <c r="G2384" s="4" t="str">
        <f>HYPERLINK("http://141.218.60.56/~jnz1568/getInfo.php?workbook=06_02.xlsx&amp;sheet=U0&amp;row=2384&amp;col=7&amp;number=0.0057&amp;sourceID=14","0.0057")</f>
        <v>0.0057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HYPERLINK("http://141.218.60.56/~jnz1568/getInfo.php?workbook=06_02.xlsx&amp;sheet=U0&amp;row=2385&amp;col=6&amp;number=3.1&amp;sourceID=14","3.1")</f>
        <v>3.1</v>
      </c>
      <c r="G2385" s="4" t="str">
        <f>HYPERLINK("http://141.218.60.56/~jnz1568/getInfo.php?workbook=06_02.xlsx&amp;sheet=U0&amp;row=2385&amp;col=7&amp;number=0.00571&amp;sourceID=14","0.00571")</f>
        <v>0.00571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HYPERLINK("http://141.218.60.56/~jnz1568/getInfo.php?workbook=06_02.xlsx&amp;sheet=U0&amp;row=2386&amp;col=6&amp;number=3.2&amp;sourceID=14","3.2")</f>
        <v>3.2</v>
      </c>
      <c r="G2386" s="4" t="str">
        <f>HYPERLINK("http://141.218.60.56/~jnz1568/getInfo.php?workbook=06_02.xlsx&amp;sheet=U0&amp;row=2386&amp;col=7&amp;number=0.00571&amp;sourceID=14","0.00571")</f>
        <v>0.00571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HYPERLINK("http://141.218.60.56/~jnz1568/getInfo.php?workbook=06_02.xlsx&amp;sheet=U0&amp;row=2387&amp;col=6&amp;number=3.3&amp;sourceID=14","3.3")</f>
        <v>3.3</v>
      </c>
      <c r="G2387" s="4" t="str">
        <f>HYPERLINK("http://141.218.60.56/~jnz1568/getInfo.php?workbook=06_02.xlsx&amp;sheet=U0&amp;row=2387&amp;col=7&amp;number=0.00572&amp;sourceID=14","0.00572")</f>
        <v>0.00572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HYPERLINK("http://141.218.60.56/~jnz1568/getInfo.php?workbook=06_02.xlsx&amp;sheet=U0&amp;row=2388&amp;col=6&amp;number=3.4&amp;sourceID=14","3.4")</f>
        <v>3.4</v>
      </c>
      <c r="G2388" s="4" t="str">
        <f>HYPERLINK("http://141.218.60.56/~jnz1568/getInfo.php?workbook=06_02.xlsx&amp;sheet=U0&amp;row=2388&amp;col=7&amp;number=0.00573&amp;sourceID=14","0.00573")</f>
        <v>0.00573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HYPERLINK("http://141.218.60.56/~jnz1568/getInfo.php?workbook=06_02.xlsx&amp;sheet=U0&amp;row=2389&amp;col=6&amp;number=3.5&amp;sourceID=14","3.5")</f>
        <v>3.5</v>
      </c>
      <c r="G2389" s="4" t="str">
        <f>HYPERLINK("http://141.218.60.56/~jnz1568/getInfo.php?workbook=06_02.xlsx&amp;sheet=U0&amp;row=2389&amp;col=7&amp;number=0.00574&amp;sourceID=14","0.00574")</f>
        <v>0.00574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HYPERLINK("http://141.218.60.56/~jnz1568/getInfo.php?workbook=06_02.xlsx&amp;sheet=U0&amp;row=2390&amp;col=6&amp;number=3.6&amp;sourceID=14","3.6")</f>
        <v>3.6</v>
      </c>
      <c r="G2390" s="4" t="str">
        <f>HYPERLINK("http://141.218.60.56/~jnz1568/getInfo.php?workbook=06_02.xlsx&amp;sheet=U0&amp;row=2390&amp;col=7&amp;number=0.00575&amp;sourceID=14","0.00575")</f>
        <v>0.00575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HYPERLINK("http://141.218.60.56/~jnz1568/getInfo.php?workbook=06_02.xlsx&amp;sheet=U0&amp;row=2391&amp;col=6&amp;number=3.7&amp;sourceID=14","3.7")</f>
        <v>3.7</v>
      </c>
      <c r="G2391" s="4" t="str">
        <f>HYPERLINK("http://141.218.60.56/~jnz1568/getInfo.php?workbook=06_02.xlsx&amp;sheet=U0&amp;row=2391&amp;col=7&amp;number=0.00576&amp;sourceID=14","0.00576")</f>
        <v>0.00576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HYPERLINK("http://141.218.60.56/~jnz1568/getInfo.php?workbook=06_02.xlsx&amp;sheet=U0&amp;row=2392&amp;col=6&amp;number=3.8&amp;sourceID=14","3.8")</f>
        <v>3.8</v>
      </c>
      <c r="G2392" s="4" t="str">
        <f>HYPERLINK("http://141.218.60.56/~jnz1568/getInfo.php?workbook=06_02.xlsx&amp;sheet=U0&amp;row=2392&amp;col=7&amp;number=0.00578&amp;sourceID=14","0.00578")</f>
        <v>0.00578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HYPERLINK("http://141.218.60.56/~jnz1568/getInfo.php?workbook=06_02.xlsx&amp;sheet=U0&amp;row=2393&amp;col=6&amp;number=3.9&amp;sourceID=14","3.9")</f>
        <v>3.9</v>
      </c>
      <c r="G2393" s="4" t="str">
        <f>HYPERLINK("http://141.218.60.56/~jnz1568/getInfo.php?workbook=06_02.xlsx&amp;sheet=U0&amp;row=2393&amp;col=7&amp;number=0.0058&amp;sourceID=14","0.0058")</f>
        <v>0.0058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HYPERLINK("http://141.218.60.56/~jnz1568/getInfo.php?workbook=06_02.xlsx&amp;sheet=U0&amp;row=2394&amp;col=6&amp;number=4&amp;sourceID=14","4")</f>
        <v>4</v>
      </c>
      <c r="G2394" s="4" t="str">
        <f>HYPERLINK("http://141.218.60.56/~jnz1568/getInfo.php?workbook=06_02.xlsx&amp;sheet=U0&amp;row=2394&amp;col=7&amp;number=0.00583&amp;sourceID=14","0.00583")</f>
        <v>0.00583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HYPERLINK("http://141.218.60.56/~jnz1568/getInfo.php?workbook=06_02.xlsx&amp;sheet=U0&amp;row=2395&amp;col=6&amp;number=4.1&amp;sourceID=14","4.1")</f>
        <v>4.1</v>
      </c>
      <c r="G2395" s="4" t="str">
        <f>HYPERLINK("http://141.218.60.56/~jnz1568/getInfo.php?workbook=06_02.xlsx&amp;sheet=U0&amp;row=2395&amp;col=7&amp;number=0.00587&amp;sourceID=14","0.00587")</f>
        <v>0.00587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HYPERLINK("http://141.218.60.56/~jnz1568/getInfo.php?workbook=06_02.xlsx&amp;sheet=U0&amp;row=2396&amp;col=6&amp;number=4.2&amp;sourceID=14","4.2")</f>
        <v>4.2</v>
      </c>
      <c r="G2396" s="4" t="str">
        <f>HYPERLINK("http://141.218.60.56/~jnz1568/getInfo.php?workbook=06_02.xlsx&amp;sheet=U0&amp;row=2396&amp;col=7&amp;number=0.00591&amp;sourceID=14","0.00591")</f>
        <v>0.00591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HYPERLINK("http://141.218.60.56/~jnz1568/getInfo.php?workbook=06_02.xlsx&amp;sheet=U0&amp;row=2397&amp;col=6&amp;number=4.3&amp;sourceID=14","4.3")</f>
        <v>4.3</v>
      </c>
      <c r="G2397" s="4" t="str">
        <f>HYPERLINK("http://141.218.60.56/~jnz1568/getInfo.php?workbook=06_02.xlsx&amp;sheet=U0&amp;row=2397&amp;col=7&amp;number=0.00597&amp;sourceID=14","0.00597")</f>
        <v>0.00597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HYPERLINK("http://141.218.60.56/~jnz1568/getInfo.php?workbook=06_02.xlsx&amp;sheet=U0&amp;row=2398&amp;col=6&amp;number=4.4&amp;sourceID=14","4.4")</f>
        <v>4.4</v>
      </c>
      <c r="G2398" s="4" t="str">
        <f>HYPERLINK("http://141.218.60.56/~jnz1568/getInfo.php?workbook=06_02.xlsx&amp;sheet=U0&amp;row=2398&amp;col=7&amp;number=0.00604&amp;sourceID=14","0.00604")</f>
        <v>0.00604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HYPERLINK("http://141.218.60.56/~jnz1568/getInfo.php?workbook=06_02.xlsx&amp;sheet=U0&amp;row=2399&amp;col=6&amp;number=4.5&amp;sourceID=14","4.5")</f>
        <v>4.5</v>
      </c>
      <c r="G2399" s="4" t="str">
        <f>HYPERLINK("http://141.218.60.56/~jnz1568/getInfo.php?workbook=06_02.xlsx&amp;sheet=U0&amp;row=2399&amp;col=7&amp;number=0.00613&amp;sourceID=14","0.00613")</f>
        <v>0.00613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HYPERLINK("http://141.218.60.56/~jnz1568/getInfo.php?workbook=06_02.xlsx&amp;sheet=U0&amp;row=2400&amp;col=6&amp;number=4.6&amp;sourceID=14","4.6")</f>
        <v>4.6</v>
      </c>
      <c r="G2400" s="4" t="str">
        <f>HYPERLINK("http://141.218.60.56/~jnz1568/getInfo.php?workbook=06_02.xlsx&amp;sheet=U0&amp;row=2400&amp;col=7&amp;number=0.00624&amp;sourceID=14","0.00624")</f>
        <v>0.00624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HYPERLINK("http://141.218.60.56/~jnz1568/getInfo.php?workbook=06_02.xlsx&amp;sheet=U0&amp;row=2401&amp;col=6&amp;number=4.7&amp;sourceID=14","4.7")</f>
        <v>4.7</v>
      </c>
      <c r="G2401" s="4" t="str">
        <f>HYPERLINK("http://141.218.60.56/~jnz1568/getInfo.php?workbook=06_02.xlsx&amp;sheet=U0&amp;row=2401&amp;col=7&amp;number=0.00638&amp;sourceID=14","0.00638")</f>
        <v>0.00638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HYPERLINK("http://141.218.60.56/~jnz1568/getInfo.php?workbook=06_02.xlsx&amp;sheet=U0&amp;row=2402&amp;col=6&amp;number=4.8&amp;sourceID=14","4.8")</f>
        <v>4.8</v>
      </c>
      <c r="G2402" s="4" t="str">
        <f>HYPERLINK("http://141.218.60.56/~jnz1568/getInfo.php?workbook=06_02.xlsx&amp;sheet=U0&amp;row=2402&amp;col=7&amp;number=0.00656&amp;sourceID=14","0.00656")</f>
        <v>0.00656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HYPERLINK("http://141.218.60.56/~jnz1568/getInfo.php?workbook=06_02.xlsx&amp;sheet=U0&amp;row=2403&amp;col=6&amp;number=4.9&amp;sourceID=14","4.9")</f>
        <v>4.9</v>
      </c>
      <c r="G2403" s="4" t="str">
        <f>HYPERLINK("http://141.218.60.56/~jnz1568/getInfo.php?workbook=06_02.xlsx&amp;sheet=U0&amp;row=2403&amp;col=7&amp;number=0.00677&amp;sourceID=14","0.00677")</f>
        <v>0.00677</v>
      </c>
    </row>
    <row r="2404" spans="1:7">
      <c r="A2404" s="3">
        <v>6</v>
      </c>
      <c r="B2404" s="3">
        <v>2</v>
      </c>
      <c r="C2404" s="3">
        <v>3</v>
      </c>
      <c r="D2404" s="3">
        <v>38</v>
      </c>
      <c r="E2404" s="3">
        <v>1</v>
      </c>
      <c r="F2404" s="4" t="str">
        <f>HYPERLINK("http://141.218.60.56/~jnz1568/getInfo.php?workbook=06_02.xlsx&amp;sheet=U0&amp;row=2404&amp;col=6&amp;number=3&amp;sourceID=14","3")</f>
        <v>3</v>
      </c>
      <c r="G2404" s="4" t="str">
        <f>HYPERLINK("http://141.218.60.56/~jnz1568/getInfo.php?workbook=06_02.xlsx&amp;sheet=U0&amp;row=2404&amp;col=7&amp;number=0.00224&amp;sourceID=14","0.00224")</f>
        <v>0.00224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HYPERLINK("http://141.218.60.56/~jnz1568/getInfo.php?workbook=06_02.xlsx&amp;sheet=U0&amp;row=2405&amp;col=6&amp;number=3.1&amp;sourceID=14","3.1")</f>
        <v>3.1</v>
      </c>
      <c r="G2405" s="4" t="str">
        <f>HYPERLINK("http://141.218.60.56/~jnz1568/getInfo.php?workbook=06_02.xlsx&amp;sheet=U0&amp;row=2405&amp;col=7&amp;number=0.00224&amp;sourceID=14","0.00224")</f>
        <v>0.00224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HYPERLINK("http://141.218.60.56/~jnz1568/getInfo.php?workbook=06_02.xlsx&amp;sheet=U0&amp;row=2406&amp;col=6&amp;number=3.2&amp;sourceID=14","3.2")</f>
        <v>3.2</v>
      </c>
      <c r="G2406" s="4" t="str">
        <f>HYPERLINK("http://141.218.60.56/~jnz1568/getInfo.php?workbook=06_02.xlsx&amp;sheet=U0&amp;row=2406&amp;col=7&amp;number=0.00224&amp;sourceID=14","0.00224")</f>
        <v>0.00224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HYPERLINK("http://141.218.60.56/~jnz1568/getInfo.php?workbook=06_02.xlsx&amp;sheet=U0&amp;row=2407&amp;col=6&amp;number=3.3&amp;sourceID=14","3.3")</f>
        <v>3.3</v>
      </c>
      <c r="G2407" s="4" t="str">
        <f>HYPERLINK("http://141.218.60.56/~jnz1568/getInfo.php?workbook=06_02.xlsx&amp;sheet=U0&amp;row=2407&amp;col=7&amp;number=0.00223&amp;sourceID=14","0.00223")</f>
        <v>0.00223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HYPERLINK("http://141.218.60.56/~jnz1568/getInfo.php?workbook=06_02.xlsx&amp;sheet=U0&amp;row=2408&amp;col=6&amp;number=3.4&amp;sourceID=14","3.4")</f>
        <v>3.4</v>
      </c>
      <c r="G2408" s="4" t="str">
        <f>HYPERLINK("http://141.218.60.56/~jnz1568/getInfo.php?workbook=06_02.xlsx&amp;sheet=U0&amp;row=2408&amp;col=7&amp;number=0.00223&amp;sourceID=14","0.00223")</f>
        <v>0.00223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HYPERLINK("http://141.218.60.56/~jnz1568/getInfo.php?workbook=06_02.xlsx&amp;sheet=U0&amp;row=2409&amp;col=6&amp;number=3.5&amp;sourceID=14","3.5")</f>
        <v>3.5</v>
      </c>
      <c r="G2409" s="4" t="str">
        <f>HYPERLINK("http://141.218.60.56/~jnz1568/getInfo.php?workbook=06_02.xlsx&amp;sheet=U0&amp;row=2409&amp;col=7&amp;number=0.00223&amp;sourceID=14","0.00223")</f>
        <v>0.00223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HYPERLINK("http://141.218.60.56/~jnz1568/getInfo.php?workbook=06_02.xlsx&amp;sheet=U0&amp;row=2410&amp;col=6&amp;number=3.6&amp;sourceID=14","3.6")</f>
        <v>3.6</v>
      </c>
      <c r="G2410" s="4" t="str">
        <f>HYPERLINK("http://141.218.60.56/~jnz1568/getInfo.php?workbook=06_02.xlsx&amp;sheet=U0&amp;row=2410&amp;col=7&amp;number=0.00223&amp;sourceID=14","0.00223")</f>
        <v>0.00223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HYPERLINK("http://141.218.60.56/~jnz1568/getInfo.php?workbook=06_02.xlsx&amp;sheet=U0&amp;row=2411&amp;col=6&amp;number=3.7&amp;sourceID=14","3.7")</f>
        <v>3.7</v>
      </c>
      <c r="G2411" s="4" t="str">
        <f>HYPERLINK("http://141.218.60.56/~jnz1568/getInfo.php?workbook=06_02.xlsx&amp;sheet=U0&amp;row=2411&amp;col=7&amp;number=0.00223&amp;sourceID=14","0.00223")</f>
        <v>0.00223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HYPERLINK("http://141.218.60.56/~jnz1568/getInfo.php?workbook=06_02.xlsx&amp;sheet=U0&amp;row=2412&amp;col=6&amp;number=3.8&amp;sourceID=14","3.8")</f>
        <v>3.8</v>
      </c>
      <c r="G2412" s="4" t="str">
        <f>HYPERLINK("http://141.218.60.56/~jnz1568/getInfo.php?workbook=06_02.xlsx&amp;sheet=U0&amp;row=2412&amp;col=7&amp;number=0.00222&amp;sourceID=14","0.00222")</f>
        <v>0.00222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HYPERLINK("http://141.218.60.56/~jnz1568/getInfo.php?workbook=06_02.xlsx&amp;sheet=U0&amp;row=2413&amp;col=6&amp;number=3.9&amp;sourceID=14","3.9")</f>
        <v>3.9</v>
      </c>
      <c r="G2413" s="4" t="str">
        <f>HYPERLINK("http://141.218.60.56/~jnz1568/getInfo.php?workbook=06_02.xlsx&amp;sheet=U0&amp;row=2413&amp;col=7&amp;number=0.00222&amp;sourceID=14","0.00222")</f>
        <v>0.00222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HYPERLINK("http://141.218.60.56/~jnz1568/getInfo.php?workbook=06_02.xlsx&amp;sheet=U0&amp;row=2414&amp;col=6&amp;number=4&amp;sourceID=14","4")</f>
        <v>4</v>
      </c>
      <c r="G2414" s="4" t="str">
        <f>HYPERLINK("http://141.218.60.56/~jnz1568/getInfo.php?workbook=06_02.xlsx&amp;sheet=U0&amp;row=2414&amp;col=7&amp;number=0.00221&amp;sourceID=14","0.00221")</f>
        <v>0.00221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HYPERLINK("http://141.218.60.56/~jnz1568/getInfo.php?workbook=06_02.xlsx&amp;sheet=U0&amp;row=2415&amp;col=6&amp;number=4.1&amp;sourceID=14","4.1")</f>
        <v>4.1</v>
      </c>
      <c r="G2415" s="4" t="str">
        <f>HYPERLINK("http://141.218.60.56/~jnz1568/getInfo.php?workbook=06_02.xlsx&amp;sheet=U0&amp;row=2415&amp;col=7&amp;number=0.0022&amp;sourceID=14","0.0022")</f>
        <v>0.0022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HYPERLINK("http://141.218.60.56/~jnz1568/getInfo.php?workbook=06_02.xlsx&amp;sheet=U0&amp;row=2416&amp;col=6&amp;number=4.2&amp;sourceID=14","4.2")</f>
        <v>4.2</v>
      </c>
      <c r="G2416" s="4" t="str">
        <f>HYPERLINK("http://141.218.60.56/~jnz1568/getInfo.php?workbook=06_02.xlsx&amp;sheet=U0&amp;row=2416&amp;col=7&amp;number=0.0022&amp;sourceID=14","0.0022")</f>
        <v>0.0022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HYPERLINK("http://141.218.60.56/~jnz1568/getInfo.php?workbook=06_02.xlsx&amp;sheet=U0&amp;row=2417&amp;col=6&amp;number=4.3&amp;sourceID=14","4.3")</f>
        <v>4.3</v>
      </c>
      <c r="G2417" s="4" t="str">
        <f>HYPERLINK("http://141.218.60.56/~jnz1568/getInfo.php?workbook=06_02.xlsx&amp;sheet=U0&amp;row=2417&amp;col=7&amp;number=0.00218&amp;sourceID=14","0.00218")</f>
        <v>0.00218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HYPERLINK("http://141.218.60.56/~jnz1568/getInfo.php?workbook=06_02.xlsx&amp;sheet=U0&amp;row=2418&amp;col=6&amp;number=4.4&amp;sourceID=14","4.4")</f>
        <v>4.4</v>
      </c>
      <c r="G2418" s="4" t="str">
        <f>HYPERLINK("http://141.218.60.56/~jnz1568/getInfo.php?workbook=06_02.xlsx&amp;sheet=U0&amp;row=2418&amp;col=7&amp;number=0.00217&amp;sourceID=14","0.00217")</f>
        <v>0.00217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HYPERLINK("http://141.218.60.56/~jnz1568/getInfo.php?workbook=06_02.xlsx&amp;sheet=U0&amp;row=2419&amp;col=6&amp;number=4.5&amp;sourceID=14","4.5")</f>
        <v>4.5</v>
      </c>
      <c r="G2419" s="4" t="str">
        <f>HYPERLINK("http://141.218.60.56/~jnz1568/getInfo.php?workbook=06_02.xlsx&amp;sheet=U0&amp;row=2419&amp;col=7&amp;number=0.00215&amp;sourceID=14","0.00215")</f>
        <v>0.00215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HYPERLINK("http://141.218.60.56/~jnz1568/getInfo.php?workbook=06_02.xlsx&amp;sheet=U0&amp;row=2420&amp;col=6&amp;number=4.6&amp;sourceID=14","4.6")</f>
        <v>4.6</v>
      </c>
      <c r="G2420" s="4" t="str">
        <f>HYPERLINK("http://141.218.60.56/~jnz1568/getInfo.php?workbook=06_02.xlsx&amp;sheet=U0&amp;row=2420&amp;col=7&amp;number=0.00213&amp;sourceID=14","0.00213")</f>
        <v>0.00213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HYPERLINK("http://141.218.60.56/~jnz1568/getInfo.php?workbook=06_02.xlsx&amp;sheet=U0&amp;row=2421&amp;col=6&amp;number=4.7&amp;sourceID=14","4.7")</f>
        <v>4.7</v>
      </c>
      <c r="G2421" s="4" t="str">
        <f>HYPERLINK("http://141.218.60.56/~jnz1568/getInfo.php?workbook=06_02.xlsx&amp;sheet=U0&amp;row=2421&amp;col=7&amp;number=0.00211&amp;sourceID=14","0.00211")</f>
        <v>0.00211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HYPERLINK("http://141.218.60.56/~jnz1568/getInfo.php?workbook=06_02.xlsx&amp;sheet=U0&amp;row=2422&amp;col=6&amp;number=4.8&amp;sourceID=14","4.8")</f>
        <v>4.8</v>
      </c>
      <c r="G2422" s="4" t="str">
        <f>HYPERLINK("http://141.218.60.56/~jnz1568/getInfo.php?workbook=06_02.xlsx&amp;sheet=U0&amp;row=2422&amp;col=7&amp;number=0.00207&amp;sourceID=14","0.00207")</f>
        <v>0.00207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HYPERLINK("http://141.218.60.56/~jnz1568/getInfo.php?workbook=06_02.xlsx&amp;sheet=U0&amp;row=2423&amp;col=6&amp;number=4.9&amp;sourceID=14","4.9")</f>
        <v>4.9</v>
      </c>
      <c r="G2423" s="4" t="str">
        <f>HYPERLINK("http://141.218.60.56/~jnz1568/getInfo.php?workbook=06_02.xlsx&amp;sheet=U0&amp;row=2423&amp;col=7&amp;number=0.00203&amp;sourceID=14","0.00203")</f>
        <v>0.00203</v>
      </c>
    </row>
    <row r="2424" spans="1:7">
      <c r="A2424" s="3">
        <v>6</v>
      </c>
      <c r="B2424" s="3">
        <v>2</v>
      </c>
      <c r="C2424" s="3">
        <v>3</v>
      </c>
      <c r="D2424" s="3">
        <v>39</v>
      </c>
      <c r="E2424" s="3">
        <v>1</v>
      </c>
      <c r="F2424" s="4" t="str">
        <f>HYPERLINK("http://141.218.60.56/~jnz1568/getInfo.php?workbook=06_02.xlsx&amp;sheet=U0&amp;row=2424&amp;col=6&amp;number=3&amp;sourceID=14","3")</f>
        <v>3</v>
      </c>
      <c r="G2424" s="4" t="str">
        <f>HYPERLINK("http://141.218.60.56/~jnz1568/getInfo.php?workbook=06_02.xlsx&amp;sheet=U0&amp;row=2424&amp;col=7&amp;number=0.00374&amp;sourceID=14","0.00374")</f>
        <v>0.00374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HYPERLINK("http://141.218.60.56/~jnz1568/getInfo.php?workbook=06_02.xlsx&amp;sheet=U0&amp;row=2425&amp;col=6&amp;number=3.1&amp;sourceID=14","3.1")</f>
        <v>3.1</v>
      </c>
      <c r="G2425" s="4" t="str">
        <f>HYPERLINK("http://141.218.60.56/~jnz1568/getInfo.php?workbook=06_02.xlsx&amp;sheet=U0&amp;row=2425&amp;col=7&amp;number=0.00374&amp;sourceID=14","0.00374")</f>
        <v>0.00374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HYPERLINK("http://141.218.60.56/~jnz1568/getInfo.php?workbook=06_02.xlsx&amp;sheet=U0&amp;row=2426&amp;col=6&amp;number=3.2&amp;sourceID=14","3.2")</f>
        <v>3.2</v>
      </c>
      <c r="G2426" s="4" t="str">
        <f>HYPERLINK("http://141.218.60.56/~jnz1568/getInfo.php?workbook=06_02.xlsx&amp;sheet=U0&amp;row=2426&amp;col=7&amp;number=0.00374&amp;sourceID=14","0.00374")</f>
        <v>0.00374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HYPERLINK("http://141.218.60.56/~jnz1568/getInfo.php?workbook=06_02.xlsx&amp;sheet=U0&amp;row=2427&amp;col=6&amp;number=3.3&amp;sourceID=14","3.3")</f>
        <v>3.3</v>
      </c>
      <c r="G2427" s="4" t="str">
        <f>HYPERLINK("http://141.218.60.56/~jnz1568/getInfo.php?workbook=06_02.xlsx&amp;sheet=U0&amp;row=2427&amp;col=7&amp;number=0.00374&amp;sourceID=14","0.00374")</f>
        <v>0.00374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HYPERLINK("http://141.218.60.56/~jnz1568/getInfo.php?workbook=06_02.xlsx&amp;sheet=U0&amp;row=2428&amp;col=6&amp;number=3.4&amp;sourceID=14","3.4")</f>
        <v>3.4</v>
      </c>
      <c r="G2428" s="4" t="str">
        <f>HYPERLINK("http://141.218.60.56/~jnz1568/getInfo.php?workbook=06_02.xlsx&amp;sheet=U0&amp;row=2428&amp;col=7&amp;number=0.00373&amp;sourceID=14","0.00373")</f>
        <v>0.00373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HYPERLINK("http://141.218.60.56/~jnz1568/getInfo.php?workbook=06_02.xlsx&amp;sheet=U0&amp;row=2429&amp;col=6&amp;number=3.5&amp;sourceID=14","3.5")</f>
        <v>3.5</v>
      </c>
      <c r="G2429" s="4" t="str">
        <f>HYPERLINK("http://141.218.60.56/~jnz1568/getInfo.php?workbook=06_02.xlsx&amp;sheet=U0&amp;row=2429&amp;col=7&amp;number=0.00373&amp;sourceID=14","0.00373")</f>
        <v>0.00373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HYPERLINK("http://141.218.60.56/~jnz1568/getInfo.php?workbook=06_02.xlsx&amp;sheet=U0&amp;row=2430&amp;col=6&amp;number=3.6&amp;sourceID=14","3.6")</f>
        <v>3.6</v>
      </c>
      <c r="G2430" s="4" t="str">
        <f>HYPERLINK("http://141.218.60.56/~jnz1568/getInfo.php?workbook=06_02.xlsx&amp;sheet=U0&amp;row=2430&amp;col=7&amp;number=0.00373&amp;sourceID=14","0.00373")</f>
        <v>0.00373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HYPERLINK("http://141.218.60.56/~jnz1568/getInfo.php?workbook=06_02.xlsx&amp;sheet=U0&amp;row=2431&amp;col=6&amp;number=3.7&amp;sourceID=14","3.7")</f>
        <v>3.7</v>
      </c>
      <c r="G2431" s="4" t="str">
        <f>HYPERLINK("http://141.218.60.56/~jnz1568/getInfo.php?workbook=06_02.xlsx&amp;sheet=U0&amp;row=2431&amp;col=7&amp;number=0.00372&amp;sourceID=14","0.00372")</f>
        <v>0.00372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HYPERLINK("http://141.218.60.56/~jnz1568/getInfo.php?workbook=06_02.xlsx&amp;sheet=U0&amp;row=2432&amp;col=6&amp;number=3.8&amp;sourceID=14","3.8")</f>
        <v>3.8</v>
      </c>
      <c r="G2432" s="4" t="str">
        <f>HYPERLINK("http://141.218.60.56/~jnz1568/getInfo.php?workbook=06_02.xlsx&amp;sheet=U0&amp;row=2432&amp;col=7&amp;number=0.00372&amp;sourceID=14","0.00372")</f>
        <v>0.00372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HYPERLINK("http://141.218.60.56/~jnz1568/getInfo.php?workbook=06_02.xlsx&amp;sheet=U0&amp;row=2433&amp;col=6&amp;number=3.9&amp;sourceID=14","3.9")</f>
        <v>3.9</v>
      </c>
      <c r="G2433" s="4" t="str">
        <f>HYPERLINK("http://141.218.60.56/~jnz1568/getInfo.php?workbook=06_02.xlsx&amp;sheet=U0&amp;row=2433&amp;col=7&amp;number=0.00371&amp;sourceID=14","0.00371")</f>
        <v>0.00371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HYPERLINK("http://141.218.60.56/~jnz1568/getInfo.php?workbook=06_02.xlsx&amp;sheet=U0&amp;row=2434&amp;col=6&amp;number=4&amp;sourceID=14","4")</f>
        <v>4</v>
      </c>
      <c r="G2434" s="4" t="str">
        <f>HYPERLINK("http://141.218.60.56/~jnz1568/getInfo.php?workbook=06_02.xlsx&amp;sheet=U0&amp;row=2434&amp;col=7&amp;number=0.0037&amp;sourceID=14","0.0037")</f>
        <v>0.0037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HYPERLINK("http://141.218.60.56/~jnz1568/getInfo.php?workbook=06_02.xlsx&amp;sheet=U0&amp;row=2435&amp;col=6&amp;number=4.1&amp;sourceID=14","4.1")</f>
        <v>4.1</v>
      </c>
      <c r="G2435" s="4" t="str">
        <f>HYPERLINK("http://141.218.60.56/~jnz1568/getInfo.php?workbook=06_02.xlsx&amp;sheet=U0&amp;row=2435&amp;col=7&amp;number=0.00369&amp;sourceID=14","0.00369")</f>
        <v>0.00369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HYPERLINK("http://141.218.60.56/~jnz1568/getInfo.php?workbook=06_02.xlsx&amp;sheet=U0&amp;row=2436&amp;col=6&amp;number=4.2&amp;sourceID=14","4.2")</f>
        <v>4.2</v>
      </c>
      <c r="G2436" s="4" t="str">
        <f>HYPERLINK("http://141.218.60.56/~jnz1568/getInfo.php?workbook=06_02.xlsx&amp;sheet=U0&amp;row=2436&amp;col=7&amp;number=0.00368&amp;sourceID=14","0.00368")</f>
        <v>0.00368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HYPERLINK("http://141.218.60.56/~jnz1568/getInfo.php?workbook=06_02.xlsx&amp;sheet=U0&amp;row=2437&amp;col=6&amp;number=4.3&amp;sourceID=14","4.3")</f>
        <v>4.3</v>
      </c>
      <c r="G2437" s="4" t="str">
        <f>HYPERLINK("http://141.218.60.56/~jnz1568/getInfo.php?workbook=06_02.xlsx&amp;sheet=U0&amp;row=2437&amp;col=7&amp;number=0.00366&amp;sourceID=14","0.00366")</f>
        <v>0.00366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HYPERLINK("http://141.218.60.56/~jnz1568/getInfo.php?workbook=06_02.xlsx&amp;sheet=U0&amp;row=2438&amp;col=6&amp;number=4.4&amp;sourceID=14","4.4")</f>
        <v>4.4</v>
      </c>
      <c r="G2438" s="4" t="str">
        <f>HYPERLINK("http://141.218.60.56/~jnz1568/getInfo.php?workbook=06_02.xlsx&amp;sheet=U0&amp;row=2438&amp;col=7&amp;number=0.00364&amp;sourceID=14","0.00364")</f>
        <v>0.00364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HYPERLINK("http://141.218.60.56/~jnz1568/getInfo.php?workbook=06_02.xlsx&amp;sheet=U0&amp;row=2439&amp;col=6&amp;number=4.5&amp;sourceID=14","4.5")</f>
        <v>4.5</v>
      </c>
      <c r="G2439" s="4" t="str">
        <f>HYPERLINK("http://141.218.60.56/~jnz1568/getInfo.php?workbook=06_02.xlsx&amp;sheet=U0&amp;row=2439&amp;col=7&amp;number=0.00361&amp;sourceID=14","0.00361")</f>
        <v>0.00361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HYPERLINK("http://141.218.60.56/~jnz1568/getInfo.php?workbook=06_02.xlsx&amp;sheet=U0&amp;row=2440&amp;col=6&amp;number=4.6&amp;sourceID=14","4.6")</f>
        <v>4.6</v>
      </c>
      <c r="G2440" s="4" t="str">
        <f>HYPERLINK("http://141.218.60.56/~jnz1568/getInfo.php?workbook=06_02.xlsx&amp;sheet=U0&amp;row=2440&amp;col=7&amp;number=0.00358&amp;sourceID=14","0.00358")</f>
        <v>0.00358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HYPERLINK("http://141.218.60.56/~jnz1568/getInfo.php?workbook=06_02.xlsx&amp;sheet=U0&amp;row=2441&amp;col=6&amp;number=4.7&amp;sourceID=14","4.7")</f>
        <v>4.7</v>
      </c>
      <c r="G2441" s="4" t="str">
        <f>HYPERLINK("http://141.218.60.56/~jnz1568/getInfo.php?workbook=06_02.xlsx&amp;sheet=U0&amp;row=2441&amp;col=7&amp;number=0.00353&amp;sourceID=14","0.00353")</f>
        <v>0.00353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HYPERLINK("http://141.218.60.56/~jnz1568/getInfo.php?workbook=06_02.xlsx&amp;sheet=U0&amp;row=2442&amp;col=6&amp;number=4.8&amp;sourceID=14","4.8")</f>
        <v>4.8</v>
      </c>
      <c r="G2442" s="4" t="str">
        <f>HYPERLINK("http://141.218.60.56/~jnz1568/getInfo.php?workbook=06_02.xlsx&amp;sheet=U0&amp;row=2442&amp;col=7&amp;number=0.00348&amp;sourceID=14","0.00348")</f>
        <v>0.00348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HYPERLINK("http://141.218.60.56/~jnz1568/getInfo.php?workbook=06_02.xlsx&amp;sheet=U0&amp;row=2443&amp;col=6&amp;number=4.9&amp;sourceID=14","4.9")</f>
        <v>4.9</v>
      </c>
      <c r="G2443" s="4" t="str">
        <f>HYPERLINK("http://141.218.60.56/~jnz1568/getInfo.php?workbook=06_02.xlsx&amp;sheet=U0&amp;row=2443&amp;col=7&amp;number=0.00342&amp;sourceID=14","0.00342")</f>
        <v>0.00342</v>
      </c>
    </row>
    <row r="2444" spans="1:7">
      <c r="A2444" s="3">
        <v>6</v>
      </c>
      <c r="B2444" s="3">
        <v>2</v>
      </c>
      <c r="C2444" s="3">
        <v>3</v>
      </c>
      <c r="D2444" s="3">
        <v>40</v>
      </c>
      <c r="E2444" s="3">
        <v>1</v>
      </c>
      <c r="F2444" s="4" t="str">
        <f>HYPERLINK("http://141.218.60.56/~jnz1568/getInfo.php?workbook=06_02.xlsx&amp;sheet=U0&amp;row=2444&amp;col=6&amp;number=3&amp;sourceID=14","3")</f>
        <v>3</v>
      </c>
      <c r="G2444" s="4" t="str">
        <f>HYPERLINK("http://141.218.60.56/~jnz1568/getInfo.php?workbook=06_02.xlsx&amp;sheet=U0&amp;row=2444&amp;col=7&amp;number=0.00522&amp;sourceID=14","0.00522")</f>
        <v>0.00522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HYPERLINK("http://141.218.60.56/~jnz1568/getInfo.php?workbook=06_02.xlsx&amp;sheet=U0&amp;row=2445&amp;col=6&amp;number=3.1&amp;sourceID=14","3.1")</f>
        <v>3.1</v>
      </c>
      <c r="G2445" s="4" t="str">
        <f>HYPERLINK("http://141.218.60.56/~jnz1568/getInfo.php?workbook=06_02.xlsx&amp;sheet=U0&amp;row=2445&amp;col=7&amp;number=0.00522&amp;sourceID=14","0.00522")</f>
        <v>0.00522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HYPERLINK("http://141.218.60.56/~jnz1568/getInfo.php?workbook=06_02.xlsx&amp;sheet=U0&amp;row=2446&amp;col=6&amp;number=3.2&amp;sourceID=14","3.2")</f>
        <v>3.2</v>
      </c>
      <c r="G2446" s="4" t="str">
        <f>HYPERLINK("http://141.218.60.56/~jnz1568/getInfo.php?workbook=06_02.xlsx&amp;sheet=U0&amp;row=2446&amp;col=7&amp;number=0.00522&amp;sourceID=14","0.00522")</f>
        <v>0.00522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HYPERLINK("http://141.218.60.56/~jnz1568/getInfo.php?workbook=06_02.xlsx&amp;sheet=U0&amp;row=2447&amp;col=6&amp;number=3.3&amp;sourceID=14","3.3")</f>
        <v>3.3</v>
      </c>
      <c r="G2447" s="4" t="str">
        <f>HYPERLINK("http://141.218.60.56/~jnz1568/getInfo.php?workbook=06_02.xlsx&amp;sheet=U0&amp;row=2447&amp;col=7&amp;number=0.00521&amp;sourceID=14","0.00521")</f>
        <v>0.00521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HYPERLINK("http://141.218.60.56/~jnz1568/getInfo.php?workbook=06_02.xlsx&amp;sheet=U0&amp;row=2448&amp;col=6&amp;number=3.4&amp;sourceID=14","3.4")</f>
        <v>3.4</v>
      </c>
      <c r="G2448" s="4" t="str">
        <f>HYPERLINK("http://141.218.60.56/~jnz1568/getInfo.php?workbook=06_02.xlsx&amp;sheet=U0&amp;row=2448&amp;col=7&amp;number=0.00521&amp;sourceID=14","0.00521")</f>
        <v>0.00521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HYPERLINK("http://141.218.60.56/~jnz1568/getInfo.php?workbook=06_02.xlsx&amp;sheet=U0&amp;row=2449&amp;col=6&amp;number=3.5&amp;sourceID=14","3.5")</f>
        <v>3.5</v>
      </c>
      <c r="G2449" s="4" t="str">
        <f>HYPERLINK("http://141.218.60.56/~jnz1568/getInfo.php?workbook=06_02.xlsx&amp;sheet=U0&amp;row=2449&amp;col=7&amp;number=0.00521&amp;sourceID=14","0.00521")</f>
        <v>0.00521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HYPERLINK("http://141.218.60.56/~jnz1568/getInfo.php?workbook=06_02.xlsx&amp;sheet=U0&amp;row=2450&amp;col=6&amp;number=3.6&amp;sourceID=14","3.6")</f>
        <v>3.6</v>
      </c>
      <c r="G2450" s="4" t="str">
        <f>HYPERLINK("http://141.218.60.56/~jnz1568/getInfo.php?workbook=06_02.xlsx&amp;sheet=U0&amp;row=2450&amp;col=7&amp;number=0.0052&amp;sourceID=14","0.0052")</f>
        <v>0.0052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HYPERLINK("http://141.218.60.56/~jnz1568/getInfo.php?workbook=06_02.xlsx&amp;sheet=U0&amp;row=2451&amp;col=6&amp;number=3.7&amp;sourceID=14","3.7")</f>
        <v>3.7</v>
      </c>
      <c r="G2451" s="4" t="str">
        <f>HYPERLINK("http://141.218.60.56/~jnz1568/getInfo.php?workbook=06_02.xlsx&amp;sheet=U0&amp;row=2451&amp;col=7&amp;number=0.00519&amp;sourceID=14","0.00519")</f>
        <v>0.00519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HYPERLINK("http://141.218.60.56/~jnz1568/getInfo.php?workbook=06_02.xlsx&amp;sheet=U0&amp;row=2452&amp;col=6&amp;number=3.8&amp;sourceID=14","3.8")</f>
        <v>3.8</v>
      </c>
      <c r="G2452" s="4" t="str">
        <f>HYPERLINK("http://141.218.60.56/~jnz1568/getInfo.php?workbook=06_02.xlsx&amp;sheet=U0&amp;row=2452&amp;col=7&amp;number=0.00519&amp;sourceID=14","0.00519")</f>
        <v>0.00519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HYPERLINK("http://141.218.60.56/~jnz1568/getInfo.php?workbook=06_02.xlsx&amp;sheet=U0&amp;row=2453&amp;col=6&amp;number=3.9&amp;sourceID=14","3.9")</f>
        <v>3.9</v>
      </c>
      <c r="G2453" s="4" t="str">
        <f>HYPERLINK("http://141.218.60.56/~jnz1568/getInfo.php?workbook=06_02.xlsx&amp;sheet=U0&amp;row=2453&amp;col=7&amp;number=0.00517&amp;sourceID=14","0.00517")</f>
        <v>0.00517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HYPERLINK("http://141.218.60.56/~jnz1568/getInfo.php?workbook=06_02.xlsx&amp;sheet=U0&amp;row=2454&amp;col=6&amp;number=4&amp;sourceID=14","4")</f>
        <v>4</v>
      </c>
      <c r="G2454" s="4" t="str">
        <f>HYPERLINK("http://141.218.60.56/~jnz1568/getInfo.php?workbook=06_02.xlsx&amp;sheet=U0&amp;row=2454&amp;col=7&amp;number=0.00516&amp;sourceID=14","0.00516")</f>
        <v>0.00516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HYPERLINK("http://141.218.60.56/~jnz1568/getInfo.php?workbook=06_02.xlsx&amp;sheet=U0&amp;row=2455&amp;col=6&amp;number=4.1&amp;sourceID=14","4.1")</f>
        <v>4.1</v>
      </c>
      <c r="G2455" s="4" t="str">
        <f>HYPERLINK("http://141.218.60.56/~jnz1568/getInfo.php?workbook=06_02.xlsx&amp;sheet=U0&amp;row=2455&amp;col=7&amp;number=0.00515&amp;sourceID=14","0.00515")</f>
        <v>0.00515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HYPERLINK("http://141.218.60.56/~jnz1568/getInfo.php?workbook=06_02.xlsx&amp;sheet=U0&amp;row=2456&amp;col=6&amp;number=4.2&amp;sourceID=14","4.2")</f>
        <v>4.2</v>
      </c>
      <c r="G2456" s="4" t="str">
        <f>HYPERLINK("http://141.218.60.56/~jnz1568/getInfo.php?workbook=06_02.xlsx&amp;sheet=U0&amp;row=2456&amp;col=7&amp;number=0.00512&amp;sourceID=14","0.00512")</f>
        <v>0.00512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HYPERLINK("http://141.218.60.56/~jnz1568/getInfo.php?workbook=06_02.xlsx&amp;sheet=U0&amp;row=2457&amp;col=6&amp;number=4.3&amp;sourceID=14","4.3")</f>
        <v>4.3</v>
      </c>
      <c r="G2457" s="4" t="str">
        <f>HYPERLINK("http://141.218.60.56/~jnz1568/getInfo.php?workbook=06_02.xlsx&amp;sheet=U0&amp;row=2457&amp;col=7&amp;number=0.0051&amp;sourceID=14","0.0051")</f>
        <v>0.0051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HYPERLINK("http://141.218.60.56/~jnz1568/getInfo.php?workbook=06_02.xlsx&amp;sheet=U0&amp;row=2458&amp;col=6&amp;number=4.4&amp;sourceID=14","4.4")</f>
        <v>4.4</v>
      </c>
      <c r="G2458" s="4" t="str">
        <f>HYPERLINK("http://141.218.60.56/~jnz1568/getInfo.php?workbook=06_02.xlsx&amp;sheet=U0&amp;row=2458&amp;col=7&amp;number=0.00507&amp;sourceID=14","0.00507")</f>
        <v>0.00507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HYPERLINK("http://141.218.60.56/~jnz1568/getInfo.php?workbook=06_02.xlsx&amp;sheet=U0&amp;row=2459&amp;col=6&amp;number=4.5&amp;sourceID=14","4.5")</f>
        <v>4.5</v>
      </c>
      <c r="G2459" s="4" t="str">
        <f>HYPERLINK("http://141.218.60.56/~jnz1568/getInfo.php?workbook=06_02.xlsx&amp;sheet=U0&amp;row=2459&amp;col=7&amp;number=0.00503&amp;sourceID=14","0.00503")</f>
        <v>0.00503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HYPERLINK("http://141.218.60.56/~jnz1568/getInfo.php?workbook=06_02.xlsx&amp;sheet=U0&amp;row=2460&amp;col=6&amp;number=4.6&amp;sourceID=14","4.6")</f>
        <v>4.6</v>
      </c>
      <c r="G2460" s="4" t="str">
        <f>HYPERLINK("http://141.218.60.56/~jnz1568/getInfo.php?workbook=06_02.xlsx&amp;sheet=U0&amp;row=2460&amp;col=7&amp;number=0.00498&amp;sourceID=14","0.00498")</f>
        <v>0.00498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HYPERLINK("http://141.218.60.56/~jnz1568/getInfo.php?workbook=06_02.xlsx&amp;sheet=U0&amp;row=2461&amp;col=6&amp;number=4.7&amp;sourceID=14","4.7")</f>
        <v>4.7</v>
      </c>
      <c r="G2461" s="4" t="str">
        <f>HYPERLINK("http://141.218.60.56/~jnz1568/getInfo.php?workbook=06_02.xlsx&amp;sheet=U0&amp;row=2461&amp;col=7&amp;number=0.00491&amp;sourceID=14","0.00491")</f>
        <v>0.00491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HYPERLINK("http://141.218.60.56/~jnz1568/getInfo.php?workbook=06_02.xlsx&amp;sheet=U0&amp;row=2462&amp;col=6&amp;number=4.8&amp;sourceID=14","4.8")</f>
        <v>4.8</v>
      </c>
      <c r="G2462" s="4" t="str">
        <f>HYPERLINK("http://141.218.60.56/~jnz1568/getInfo.php?workbook=06_02.xlsx&amp;sheet=U0&amp;row=2462&amp;col=7&amp;number=0.00484&amp;sourceID=14","0.00484")</f>
        <v>0.00484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HYPERLINK("http://141.218.60.56/~jnz1568/getInfo.php?workbook=06_02.xlsx&amp;sheet=U0&amp;row=2463&amp;col=6&amp;number=4.9&amp;sourceID=14","4.9")</f>
        <v>4.9</v>
      </c>
      <c r="G2463" s="4" t="str">
        <f>HYPERLINK("http://141.218.60.56/~jnz1568/getInfo.php?workbook=06_02.xlsx&amp;sheet=U0&amp;row=2463&amp;col=7&amp;number=0.00475&amp;sourceID=14","0.00475")</f>
        <v>0.00475</v>
      </c>
    </row>
    <row r="2464" spans="1:7">
      <c r="A2464" s="3">
        <v>6</v>
      </c>
      <c r="B2464" s="3">
        <v>2</v>
      </c>
      <c r="C2464" s="3">
        <v>3</v>
      </c>
      <c r="D2464" s="3">
        <v>41</v>
      </c>
      <c r="E2464" s="3">
        <v>1</v>
      </c>
      <c r="F2464" s="4" t="str">
        <f>HYPERLINK("http://141.218.60.56/~jnz1568/getInfo.php?workbook=06_02.xlsx&amp;sheet=U0&amp;row=2464&amp;col=6&amp;number=3&amp;sourceID=14","3")</f>
        <v>3</v>
      </c>
      <c r="G2464" s="4" t="str">
        <f>HYPERLINK("http://141.218.60.56/~jnz1568/getInfo.php?workbook=06_02.xlsx&amp;sheet=U0&amp;row=2464&amp;col=7&amp;number=0.0114&amp;sourceID=14","0.0114")</f>
        <v>0.0114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HYPERLINK("http://141.218.60.56/~jnz1568/getInfo.php?workbook=06_02.xlsx&amp;sheet=U0&amp;row=2465&amp;col=6&amp;number=3.1&amp;sourceID=14","3.1")</f>
        <v>3.1</v>
      </c>
      <c r="G2465" s="4" t="str">
        <f>HYPERLINK("http://141.218.60.56/~jnz1568/getInfo.php?workbook=06_02.xlsx&amp;sheet=U0&amp;row=2465&amp;col=7&amp;number=0.0114&amp;sourceID=14","0.0114")</f>
        <v>0.0114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HYPERLINK("http://141.218.60.56/~jnz1568/getInfo.php?workbook=06_02.xlsx&amp;sheet=U0&amp;row=2466&amp;col=6&amp;number=3.2&amp;sourceID=14","3.2")</f>
        <v>3.2</v>
      </c>
      <c r="G2466" s="4" t="str">
        <f>HYPERLINK("http://141.218.60.56/~jnz1568/getInfo.php?workbook=06_02.xlsx&amp;sheet=U0&amp;row=2466&amp;col=7&amp;number=0.0114&amp;sourceID=14","0.0114")</f>
        <v>0.0114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HYPERLINK("http://141.218.60.56/~jnz1568/getInfo.php?workbook=06_02.xlsx&amp;sheet=U0&amp;row=2467&amp;col=6&amp;number=3.3&amp;sourceID=14","3.3")</f>
        <v>3.3</v>
      </c>
      <c r="G2467" s="4" t="str">
        <f>HYPERLINK("http://141.218.60.56/~jnz1568/getInfo.php?workbook=06_02.xlsx&amp;sheet=U0&amp;row=2467&amp;col=7&amp;number=0.0114&amp;sourceID=14","0.0114")</f>
        <v>0.0114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HYPERLINK("http://141.218.60.56/~jnz1568/getInfo.php?workbook=06_02.xlsx&amp;sheet=U0&amp;row=2468&amp;col=6&amp;number=3.4&amp;sourceID=14","3.4")</f>
        <v>3.4</v>
      </c>
      <c r="G2468" s="4" t="str">
        <f>HYPERLINK("http://141.218.60.56/~jnz1568/getInfo.php?workbook=06_02.xlsx&amp;sheet=U0&amp;row=2468&amp;col=7&amp;number=0.0114&amp;sourceID=14","0.0114")</f>
        <v>0.0114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HYPERLINK("http://141.218.60.56/~jnz1568/getInfo.php?workbook=06_02.xlsx&amp;sheet=U0&amp;row=2469&amp;col=6&amp;number=3.5&amp;sourceID=14","3.5")</f>
        <v>3.5</v>
      </c>
      <c r="G2469" s="4" t="str">
        <f>HYPERLINK("http://141.218.60.56/~jnz1568/getInfo.php?workbook=06_02.xlsx&amp;sheet=U0&amp;row=2469&amp;col=7&amp;number=0.0114&amp;sourceID=14","0.0114")</f>
        <v>0.0114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HYPERLINK("http://141.218.60.56/~jnz1568/getInfo.php?workbook=06_02.xlsx&amp;sheet=U0&amp;row=2470&amp;col=6&amp;number=3.6&amp;sourceID=14","3.6")</f>
        <v>3.6</v>
      </c>
      <c r="G2470" s="4" t="str">
        <f>HYPERLINK("http://141.218.60.56/~jnz1568/getInfo.php?workbook=06_02.xlsx&amp;sheet=U0&amp;row=2470&amp;col=7&amp;number=0.0114&amp;sourceID=14","0.0114")</f>
        <v>0.0114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HYPERLINK("http://141.218.60.56/~jnz1568/getInfo.php?workbook=06_02.xlsx&amp;sheet=U0&amp;row=2471&amp;col=6&amp;number=3.7&amp;sourceID=14","3.7")</f>
        <v>3.7</v>
      </c>
      <c r="G2471" s="4" t="str">
        <f>HYPERLINK("http://141.218.60.56/~jnz1568/getInfo.php?workbook=06_02.xlsx&amp;sheet=U0&amp;row=2471&amp;col=7&amp;number=0.0114&amp;sourceID=14","0.0114")</f>
        <v>0.0114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HYPERLINK("http://141.218.60.56/~jnz1568/getInfo.php?workbook=06_02.xlsx&amp;sheet=U0&amp;row=2472&amp;col=6&amp;number=3.8&amp;sourceID=14","3.8")</f>
        <v>3.8</v>
      </c>
      <c r="G2472" s="4" t="str">
        <f>HYPERLINK("http://141.218.60.56/~jnz1568/getInfo.php?workbook=06_02.xlsx&amp;sheet=U0&amp;row=2472&amp;col=7&amp;number=0.0114&amp;sourceID=14","0.0114")</f>
        <v>0.0114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HYPERLINK("http://141.218.60.56/~jnz1568/getInfo.php?workbook=06_02.xlsx&amp;sheet=U0&amp;row=2473&amp;col=6&amp;number=3.9&amp;sourceID=14","3.9")</f>
        <v>3.9</v>
      </c>
      <c r="G2473" s="4" t="str">
        <f>HYPERLINK("http://141.218.60.56/~jnz1568/getInfo.php?workbook=06_02.xlsx&amp;sheet=U0&amp;row=2473&amp;col=7&amp;number=0.0114&amp;sourceID=14","0.0114")</f>
        <v>0.0114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HYPERLINK("http://141.218.60.56/~jnz1568/getInfo.php?workbook=06_02.xlsx&amp;sheet=U0&amp;row=2474&amp;col=6&amp;number=4&amp;sourceID=14","4")</f>
        <v>4</v>
      </c>
      <c r="G2474" s="4" t="str">
        <f>HYPERLINK("http://141.218.60.56/~jnz1568/getInfo.php?workbook=06_02.xlsx&amp;sheet=U0&amp;row=2474&amp;col=7&amp;number=0.0114&amp;sourceID=14","0.0114")</f>
        <v>0.0114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HYPERLINK("http://141.218.60.56/~jnz1568/getInfo.php?workbook=06_02.xlsx&amp;sheet=U0&amp;row=2475&amp;col=6&amp;number=4.1&amp;sourceID=14","4.1")</f>
        <v>4.1</v>
      </c>
      <c r="G2475" s="4" t="str">
        <f>HYPERLINK("http://141.218.60.56/~jnz1568/getInfo.php?workbook=06_02.xlsx&amp;sheet=U0&amp;row=2475&amp;col=7&amp;number=0.0115&amp;sourceID=14","0.0115")</f>
        <v>0.0115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HYPERLINK("http://141.218.60.56/~jnz1568/getInfo.php?workbook=06_02.xlsx&amp;sheet=U0&amp;row=2476&amp;col=6&amp;number=4.2&amp;sourceID=14","4.2")</f>
        <v>4.2</v>
      </c>
      <c r="G2476" s="4" t="str">
        <f>HYPERLINK("http://141.218.60.56/~jnz1568/getInfo.php?workbook=06_02.xlsx&amp;sheet=U0&amp;row=2476&amp;col=7&amp;number=0.0115&amp;sourceID=14","0.0115")</f>
        <v>0.0115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HYPERLINK("http://141.218.60.56/~jnz1568/getInfo.php?workbook=06_02.xlsx&amp;sheet=U0&amp;row=2477&amp;col=6&amp;number=4.3&amp;sourceID=14","4.3")</f>
        <v>4.3</v>
      </c>
      <c r="G2477" s="4" t="str">
        <f>HYPERLINK("http://141.218.60.56/~jnz1568/getInfo.php?workbook=06_02.xlsx&amp;sheet=U0&amp;row=2477&amp;col=7&amp;number=0.0115&amp;sourceID=14","0.0115")</f>
        <v>0.0115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HYPERLINK("http://141.218.60.56/~jnz1568/getInfo.php?workbook=06_02.xlsx&amp;sheet=U0&amp;row=2478&amp;col=6&amp;number=4.4&amp;sourceID=14","4.4")</f>
        <v>4.4</v>
      </c>
      <c r="G2478" s="4" t="str">
        <f>HYPERLINK("http://141.218.60.56/~jnz1568/getInfo.php?workbook=06_02.xlsx&amp;sheet=U0&amp;row=2478&amp;col=7&amp;number=0.0115&amp;sourceID=14","0.0115")</f>
        <v>0.0115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HYPERLINK("http://141.218.60.56/~jnz1568/getInfo.php?workbook=06_02.xlsx&amp;sheet=U0&amp;row=2479&amp;col=6&amp;number=4.5&amp;sourceID=14","4.5")</f>
        <v>4.5</v>
      </c>
      <c r="G2479" s="4" t="str">
        <f>HYPERLINK("http://141.218.60.56/~jnz1568/getInfo.php?workbook=06_02.xlsx&amp;sheet=U0&amp;row=2479&amp;col=7&amp;number=0.0116&amp;sourceID=14","0.0116")</f>
        <v>0.0116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HYPERLINK("http://141.218.60.56/~jnz1568/getInfo.php?workbook=06_02.xlsx&amp;sheet=U0&amp;row=2480&amp;col=6&amp;number=4.6&amp;sourceID=14","4.6")</f>
        <v>4.6</v>
      </c>
      <c r="G2480" s="4" t="str">
        <f>HYPERLINK("http://141.218.60.56/~jnz1568/getInfo.php?workbook=06_02.xlsx&amp;sheet=U0&amp;row=2480&amp;col=7&amp;number=0.0116&amp;sourceID=14","0.0116")</f>
        <v>0.0116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HYPERLINK("http://141.218.60.56/~jnz1568/getInfo.php?workbook=06_02.xlsx&amp;sheet=U0&amp;row=2481&amp;col=6&amp;number=4.7&amp;sourceID=14","4.7")</f>
        <v>4.7</v>
      </c>
      <c r="G2481" s="4" t="str">
        <f>HYPERLINK("http://141.218.60.56/~jnz1568/getInfo.php?workbook=06_02.xlsx&amp;sheet=U0&amp;row=2481&amp;col=7&amp;number=0.0117&amp;sourceID=14","0.0117")</f>
        <v>0.0117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HYPERLINK("http://141.218.60.56/~jnz1568/getInfo.php?workbook=06_02.xlsx&amp;sheet=U0&amp;row=2482&amp;col=6&amp;number=4.8&amp;sourceID=14","4.8")</f>
        <v>4.8</v>
      </c>
      <c r="G2482" s="4" t="str">
        <f>HYPERLINK("http://141.218.60.56/~jnz1568/getInfo.php?workbook=06_02.xlsx&amp;sheet=U0&amp;row=2482&amp;col=7&amp;number=0.0118&amp;sourceID=14","0.0118")</f>
        <v>0.0118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HYPERLINK("http://141.218.60.56/~jnz1568/getInfo.php?workbook=06_02.xlsx&amp;sheet=U0&amp;row=2483&amp;col=6&amp;number=4.9&amp;sourceID=14","4.9")</f>
        <v>4.9</v>
      </c>
      <c r="G2483" s="4" t="str">
        <f>HYPERLINK("http://141.218.60.56/~jnz1568/getInfo.php?workbook=06_02.xlsx&amp;sheet=U0&amp;row=2483&amp;col=7&amp;number=0.0119&amp;sourceID=14","0.0119")</f>
        <v>0.0119</v>
      </c>
    </row>
    <row r="2484" spans="1:7">
      <c r="A2484" s="3">
        <v>6</v>
      </c>
      <c r="B2484" s="3">
        <v>2</v>
      </c>
      <c r="C2484" s="3">
        <v>3</v>
      </c>
      <c r="D2484" s="3">
        <v>42</v>
      </c>
      <c r="E2484" s="3">
        <v>1</v>
      </c>
      <c r="F2484" s="4" t="str">
        <f>HYPERLINK("http://141.218.60.56/~jnz1568/getInfo.php?workbook=06_02.xlsx&amp;sheet=U0&amp;row=2484&amp;col=6&amp;number=3&amp;sourceID=14","3")</f>
        <v>3</v>
      </c>
      <c r="G2484" s="4" t="str">
        <f>HYPERLINK("http://141.218.60.56/~jnz1568/getInfo.php?workbook=06_02.xlsx&amp;sheet=U0&amp;row=2484&amp;col=7&amp;number=0.00212&amp;sourceID=14","0.00212")</f>
        <v>0.00212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HYPERLINK("http://141.218.60.56/~jnz1568/getInfo.php?workbook=06_02.xlsx&amp;sheet=U0&amp;row=2485&amp;col=6&amp;number=3.1&amp;sourceID=14","3.1")</f>
        <v>3.1</v>
      </c>
      <c r="G2485" s="4" t="str">
        <f>HYPERLINK("http://141.218.60.56/~jnz1568/getInfo.php?workbook=06_02.xlsx&amp;sheet=U0&amp;row=2485&amp;col=7&amp;number=0.00212&amp;sourceID=14","0.00212")</f>
        <v>0.00212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HYPERLINK("http://141.218.60.56/~jnz1568/getInfo.php?workbook=06_02.xlsx&amp;sheet=U0&amp;row=2486&amp;col=6&amp;number=3.2&amp;sourceID=14","3.2")</f>
        <v>3.2</v>
      </c>
      <c r="G2486" s="4" t="str">
        <f>HYPERLINK("http://141.218.60.56/~jnz1568/getInfo.php?workbook=06_02.xlsx&amp;sheet=U0&amp;row=2486&amp;col=7&amp;number=0.00212&amp;sourceID=14","0.00212")</f>
        <v>0.00212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HYPERLINK("http://141.218.60.56/~jnz1568/getInfo.php?workbook=06_02.xlsx&amp;sheet=U0&amp;row=2487&amp;col=6&amp;number=3.3&amp;sourceID=14","3.3")</f>
        <v>3.3</v>
      </c>
      <c r="G2487" s="4" t="str">
        <f>HYPERLINK("http://141.218.60.56/~jnz1568/getInfo.php?workbook=06_02.xlsx&amp;sheet=U0&amp;row=2487&amp;col=7&amp;number=0.00212&amp;sourceID=14","0.00212")</f>
        <v>0.00212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HYPERLINK("http://141.218.60.56/~jnz1568/getInfo.php?workbook=06_02.xlsx&amp;sheet=U0&amp;row=2488&amp;col=6&amp;number=3.4&amp;sourceID=14","3.4")</f>
        <v>3.4</v>
      </c>
      <c r="G2488" s="4" t="str">
        <f>HYPERLINK("http://141.218.60.56/~jnz1568/getInfo.php?workbook=06_02.xlsx&amp;sheet=U0&amp;row=2488&amp;col=7&amp;number=0.00211&amp;sourceID=14","0.00211")</f>
        <v>0.00211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HYPERLINK("http://141.218.60.56/~jnz1568/getInfo.php?workbook=06_02.xlsx&amp;sheet=U0&amp;row=2489&amp;col=6&amp;number=3.5&amp;sourceID=14","3.5")</f>
        <v>3.5</v>
      </c>
      <c r="G2489" s="4" t="str">
        <f>HYPERLINK("http://141.218.60.56/~jnz1568/getInfo.php?workbook=06_02.xlsx&amp;sheet=U0&amp;row=2489&amp;col=7&amp;number=0.00211&amp;sourceID=14","0.00211")</f>
        <v>0.00211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HYPERLINK("http://141.218.60.56/~jnz1568/getInfo.php?workbook=06_02.xlsx&amp;sheet=U0&amp;row=2490&amp;col=6&amp;number=3.6&amp;sourceID=14","3.6")</f>
        <v>3.6</v>
      </c>
      <c r="G2490" s="4" t="str">
        <f>HYPERLINK("http://141.218.60.56/~jnz1568/getInfo.php?workbook=06_02.xlsx&amp;sheet=U0&amp;row=2490&amp;col=7&amp;number=0.00211&amp;sourceID=14","0.00211")</f>
        <v>0.00211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HYPERLINK("http://141.218.60.56/~jnz1568/getInfo.php?workbook=06_02.xlsx&amp;sheet=U0&amp;row=2491&amp;col=6&amp;number=3.7&amp;sourceID=14","3.7")</f>
        <v>3.7</v>
      </c>
      <c r="G2491" s="4" t="str">
        <f>HYPERLINK("http://141.218.60.56/~jnz1568/getInfo.php?workbook=06_02.xlsx&amp;sheet=U0&amp;row=2491&amp;col=7&amp;number=0.00211&amp;sourceID=14","0.00211")</f>
        <v>0.00211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HYPERLINK("http://141.218.60.56/~jnz1568/getInfo.php?workbook=06_02.xlsx&amp;sheet=U0&amp;row=2492&amp;col=6&amp;number=3.8&amp;sourceID=14","3.8")</f>
        <v>3.8</v>
      </c>
      <c r="G2492" s="4" t="str">
        <f>HYPERLINK("http://141.218.60.56/~jnz1568/getInfo.php?workbook=06_02.xlsx&amp;sheet=U0&amp;row=2492&amp;col=7&amp;number=0.0021&amp;sourceID=14","0.0021")</f>
        <v>0.0021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HYPERLINK("http://141.218.60.56/~jnz1568/getInfo.php?workbook=06_02.xlsx&amp;sheet=U0&amp;row=2493&amp;col=6&amp;number=3.9&amp;sourceID=14","3.9")</f>
        <v>3.9</v>
      </c>
      <c r="G2493" s="4" t="str">
        <f>HYPERLINK("http://141.218.60.56/~jnz1568/getInfo.php?workbook=06_02.xlsx&amp;sheet=U0&amp;row=2493&amp;col=7&amp;number=0.0021&amp;sourceID=14","0.0021")</f>
        <v>0.0021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HYPERLINK("http://141.218.60.56/~jnz1568/getInfo.php?workbook=06_02.xlsx&amp;sheet=U0&amp;row=2494&amp;col=6&amp;number=4&amp;sourceID=14","4")</f>
        <v>4</v>
      </c>
      <c r="G2494" s="4" t="str">
        <f>HYPERLINK("http://141.218.60.56/~jnz1568/getInfo.php?workbook=06_02.xlsx&amp;sheet=U0&amp;row=2494&amp;col=7&amp;number=0.00209&amp;sourceID=14","0.00209")</f>
        <v>0.00209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HYPERLINK("http://141.218.60.56/~jnz1568/getInfo.php?workbook=06_02.xlsx&amp;sheet=U0&amp;row=2495&amp;col=6&amp;number=4.1&amp;sourceID=14","4.1")</f>
        <v>4.1</v>
      </c>
      <c r="G2495" s="4" t="str">
        <f>HYPERLINK("http://141.218.60.56/~jnz1568/getInfo.php?workbook=06_02.xlsx&amp;sheet=U0&amp;row=2495&amp;col=7&amp;number=0.00208&amp;sourceID=14","0.00208")</f>
        <v>0.00208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HYPERLINK("http://141.218.60.56/~jnz1568/getInfo.php?workbook=06_02.xlsx&amp;sheet=U0&amp;row=2496&amp;col=6&amp;number=4.2&amp;sourceID=14","4.2")</f>
        <v>4.2</v>
      </c>
      <c r="G2496" s="4" t="str">
        <f>HYPERLINK("http://141.218.60.56/~jnz1568/getInfo.php?workbook=06_02.xlsx&amp;sheet=U0&amp;row=2496&amp;col=7&amp;number=0.00207&amp;sourceID=14","0.00207")</f>
        <v>0.00207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HYPERLINK("http://141.218.60.56/~jnz1568/getInfo.php?workbook=06_02.xlsx&amp;sheet=U0&amp;row=2497&amp;col=6&amp;number=4.3&amp;sourceID=14","4.3")</f>
        <v>4.3</v>
      </c>
      <c r="G2497" s="4" t="str">
        <f>HYPERLINK("http://141.218.60.56/~jnz1568/getInfo.php?workbook=06_02.xlsx&amp;sheet=U0&amp;row=2497&amp;col=7&amp;number=0.00206&amp;sourceID=14","0.00206")</f>
        <v>0.00206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HYPERLINK("http://141.218.60.56/~jnz1568/getInfo.php?workbook=06_02.xlsx&amp;sheet=U0&amp;row=2498&amp;col=6&amp;number=4.4&amp;sourceID=14","4.4")</f>
        <v>4.4</v>
      </c>
      <c r="G2498" s="4" t="str">
        <f>HYPERLINK("http://141.218.60.56/~jnz1568/getInfo.php?workbook=06_02.xlsx&amp;sheet=U0&amp;row=2498&amp;col=7&amp;number=0.00204&amp;sourceID=14","0.00204")</f>
        <v>0.00204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HYPERLINK("http://141.218.60.56/~jnz1568/getInfo.php?workbook=06_02.xlsx&amp;sheet=U0&amp;row=2499&amp;col=6&amp;number=4.5&amp;sourceID=14","4.5")</f>
        <v>4.5</v>
      </c>
      <c r="G2499" s="4" t="str">
        <f>HYPERLINK("http://141.218.60.56/~jnz1568/getInfo.php?workbook=06_02.xlsx&amp;sheet=U0&amp;row=2499&amp;col=7&amp;number=0.00202&amp;sourceID=14","0.00202")</f>
        <v>0.00202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HYPERLINK("http://141.218.60.56/~jnz1568/getInfo.php?workbook=06_02.xlsx&amp;sheet=U0&amp;row=2500&amp;col=6&amp;number=4.6&amp;sourceID=14","4.6")</f>
        <v>4.6</v>
      </c>
      <c r="G2500" s="4" t="str">
        <f>HYPERLINK("http://141.218.60.56/~jnz1568/getInfo.php?workbook=06_02.xlsx&amp;sheet=U0&amp;row=2500&amp;col=7&amp;number=0.002&amp;sourceID=14","0.002")</f>
        <v>0.002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HYPERLINK("http://141.218.60.56/~jnz1568/getInfo.php?workbook=06_02.xlsx&amp;sheet=U0&amp;row=2501&amp;col=6&amp;number=4.7&amp;sourceID=14","4.7")</f>
        <v>4.7</v>
      </c>
      <c r="G2501" s="4" t="str">
        <f>HYPERLINK("http://141.218.60.56/~jnz1568/getInfo.php?workbook=06_02.xlsx&amp;sheet=U0&amp;row=2501&amp;col=7&amp;number=0.00197&amp;sourceID=14","0.00197")</f>
        <v>0.00197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HYPERLINK("http://141.218.60.56/~jnz1568/getInfo.php?workbook=06_02.xlsx&amp;sheet=U0&amp;row=2502&amp;col=6&amp;number=4.8&amp;sourceID=14","4.8")</f>
        <v>4.8</v>
      </c>
      <c r="G2502" s="4" t="str">
        <f>HYPERLINK("http://141.218.60.56/~jnz1568/getInfo.php?workbook=06_02.xlsx&amp;sheet=U0&amp;row=2502&amp;col=7&amp;number=0.00193&amp;sourceID=14","0.00193")</f>
        <v>0.00193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HYPERLINK("http://141.218.60.56/~jnz1568/getInfo.php?workbook=06_02.xlsx&amp;sheet=U0&amp;row=2503&amp;col=6&amp;number=4.9&amp;sourceID=14","4.9")</f>
        <v>4.9</v>
      </c>
      <c r="G2503" s="4" t="str">
        <f>HYPERLINK("http://141.218.60.56/~jnz1568/getInfo.php?workbook=06_02.xlsx&amp;sheet=U0&amp;row=2503&amp;col=7&amp;number=0.00189&amp;sourceID=14","0.00189")</f>
        <v>0.00189</v>
      </c>
    </row>
    <row r="2504" spans="1:7">
      <c r="A2504" s="3">
        <v>6</v>
      </c>
      <c r="B2504" s="3">
        <v>2</v>
      </c>
      <c r="C2504" s="3">
        <v>3</v>
      </c>
      <c r="D2504" s="3">
        <v>43</v>
      </c>
      <c r="E2504" s="3">
        <v>1</v>
      </c>
      <c r="F2504" s="4" t="str">
        <f>HYPERLINK("http://141.218.60.56/~jnz1568/getInfo.php?workbook=06_02.xlsx&amp;sheet=U0&amp;row=2504&amp;col=6&amp;number=3&amp;sourceID=14","3")</f>
        <v>3</v>
      </c>
      <c r="G2504" s="4" t="str">
        <f>HYPERLINK("http://141.218.60.56/~jnz1568/getInfo.php?workbook=06_02.xlsx&amp;sheet=U0&amp;row=2504&amp;col=7&amp;number=0.0033&amp;sourceID=14","0.0033")</f>
        <v>0.0033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HYPERLINK("http://141.218.60.56/~jnz1568/getInfo.php?workbook=06_02.xlsx&amp;sheet=U0&amp;row=2505&amp;col=6&amp;number=3.1&amp;sourceID=14","3.1")</f>
        <v>3.1</v>
      </c>
      <c r="G2505" s="4" t="str">
        <f>HYPERLINK("http://141.218.60.56/~jnz1568/getInfo.php?workbook=06_02.xlsx&amp;sheet=U0&amp;row=2505&amp;col=7&amp;number=0.0033&amp;sourceID=14","0.0033")</f>
        <v>0.0033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HYPERLINK("http://141.218.60.56/~jnz1568/getInfo.php?workbook=06_02.xlsx&amp;sheet=U0&amp;row=2506&amp;col=6&amp;number=3.2&amp;sourceID=14","3.2")</f>
        <v>3.2</v>
      </c>
      <c r="G2506" s="4" t="str">
        <f>HYPERLINK("http://141.218.60.56/~jnz1568/getInfo.php?workbook=06_02.xlsx&amp;sheet=U0&amp;row=2506&amp;col=7&amp;number=0.0033&amp;sourceID=14","0.0033")</f>
        <v>0.0033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HYPERLINK("http://141.218.60.56/~jnz1568/getInfo.php?workbook=06_02.xlsx&amp;sheet=U0&amp;row=2507&amp;col=6&amp;number=3.3&amp;sourceID=14","3.3")</f>
        <v>3.3</v>
      </c>
      <c r="G2507" s="4" t="str">
        <f>HYPERLINK("http://141.218.60.56/~jnz1568/getInfo.php?workbook=06_02.xlsx&amp;sheet=U0&amp;row=2507&amp;col=7&amp;number=0.0033&amp;sourceID=14","0.0033")</f>
        <v>0.0033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HYPERLINK("http://141.218.60.56/~jnz1568/getInfo.php?workbook=06_02.xlsx&amp;sheet=U0&amp;row=2508&amp;col=6&amp;number=3.4&amp;sourceID=14","3.4")</f>
        <v>3.4</v>
      </c>
      <c r="G2508" s="4" t="str">
        <f>HYPERLINK("http://141.218.60.56/~jnz1568/getInfo.php?workbook=06_02.xlsx&amp;sheet=U0&amp;row=2508&amp;col=7&amp;number=0.00329&amp;sourceID=14","0.00329")</f>
        <v>0.00329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HYPERLINK("http://141.218.60.56/~jnz1568/getInfo.php?workbook=06_02.xlsx&amp;sheet=U0&amp;row=2509&amp;col=6&amp;number=3.5&amp;sourceID=14","3.5")</f>
        <v>3.5</v>
      </c>
      <c r="G2509" s="4" t="str">
        <f>HYPERLINK("http://141.218.60.56/~jnz1568/getInfo.php?workbook=06_02.xlsx&amp;sheet=U0&amp;row=2509&amp;col=7&amp;number=0.00329&amp;sourceID=14","0.00329")</f>
        <v>0.00329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HYPERLINK("http://141.218.60.56/~jnz1568/getInfo.php?workbook=06_02.xlsx&amp;sheet=U0&amp;row=2510&amp;col=6&amp;number=3.6&amp;sourceID=14","3.6")</f>
        <v>3.6</v>
      </c>
      <c r="G2510" s="4" t="str">
        <f>HYPERLINK("http://141.218.60.56/~jnz1568/getInfo.php?workbook=06_02.xlsx&amp;sheet=U0&amp;row=2510&amp;col=7&amp;number=0.00329&amp;sourceID=14","0.00329")</f>
        <v>0.00329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HYPERLINK("http://141.218.60.56/~jnz1568/getInfo.php?workbook=06_02.xlsx&amp;sheet=U0&amp;row=2511&amp;col=6&amp;number=3.7&amp;sourceID=14","3.7")</f>
        <v>3.7</v>
      </c>
      <c r="G2511" s="4" t="str">
        <f>HYPERLINK("http://141.218.60.56/~jnz1568/getInfo.php?workbook=06_02.xlsx&amp;sheet=U0&amp;row=2511&amp;col=7&amp;number=0.00329&amp;sourceID=14","0.00329")</f>
        <v>0.00329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HYPERLINK("http://141.218.60.56/~jnz1568/getInfo.php?workbook=06_02.xlsx&amp;sheet=U0&amp;row=2512&amp;col=6&amp;number=3.8&amp;sourceID=14","3.8")</f>
        <v>3.8</v>
      </c>
      <c r="G2512" s="4" t="str">
        <f>HYPERLINK("http://141.218.60.56/~jnz1568/getInfo.php?workbook=06_02.xlsx&amp;sheet=U0&amp;row=2512&amp;col=7&amp;number=0.00328&amp;sourceID=14","0.00328")</f>
        <v>0.00328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HYPERLINK("http://141.218.60.56/~jnz1568/getInfo.php?workbook=06_02.xlsx&amp;sheet=U0&amp;row=2513&amp;col=6&amp;number=3.9&amp;sourceID=14","3.9")</f>
        <v>3.9</v>
      </c>
      <c r="G2513" s="4" t="str">
        <f>HYPERLINK("http://141.218.60.56/~jnz1568/getInfo.php?workbook=06_02.xlsx&amp;sheet=U0&amp;row=2513&amp;col=7&amp;number=0.00328&amp;sourceID=14","0.00328")</f>
        <v>0.00328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HYPERLINK("http://141.218.60.56/~jnz1568/getInfo.php?workbook=06_02.xlsx&amp;sheet=U0&amp;row=2514&amp;col=6&amp;number=4&amp;sourceID=14","4")</f>
        <v>4</v>
      </c>
      <c r="G2514" s="4" t="str">
        <f>HYPERLINK("http://141.218.60.56/~jnz1568/getInfo.php?workbook=06_02.xlsx&amp;sheet=U0&amp;row=2514&amp;col=7&amp;number=0.00328&amp;sourceID=14","0.00328")</f>
        <v>0.00328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HYPERLINK("http://141.218.60.56/~jnz1568/getInfo.php?workbook=06_02.xlsx&amp;sheet=U0&amp;row=2515&amp;col=6&amp;number=4.1&amp;sourceID=14","4.1")</f>
        <v>4.1</v>
      </c>
      <c r="G2515" s="4" t="str">
        <f>HYPERLINK("http://141.218.60.56/~jnz1568/getInfo.php?workbook=06_02.xlsx&amp;sheet=U0&amp;row=2515&amp;col=7&amp;number=0.00327&amp;sourceID=14","0.00327")</f>
        <v>0.00327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HYPERLINK("http://141.218.60.56/~jnz1568/getInfo.php?workbook=06_02.xlsx&amp;sheet=U0&amp;row=2516&amp;col=6&amp;number=4.2&amp;sourceID=14","4.2")</f>
        <v>4.2</v>
      </c>
      <c r="G2516" s="4" t="str">
        <f>HYPERLINK("http://141.218.60.56/~jnz1568/getInfo.php?workbook=06_02.xlsx&amp;sheet=U0&amp;row=2516&amp;col=7&amp;number=0.00326&amp;sourceID=14","0.00326")</f>
        <v>0.00326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HYPERLINK("http://141.218.60.56/~jnz1568/getInfo.php?workbook=06_02.xlsx&amp;sheet=U0&amp;row=2517&amp;col=6&amp;number=4.3&amp;sourceID=14","4.3")</f>
        <v>4.3</v>
      </c>
      <c r="G2517" s="4" t="str">
        <f>HYPERLINK("http://141.218.60.56/~jnz1568/getInfo.php?workbook=06_02.xlsx&amp;sheet=U0&amp;row=2517&amp;col=7&amp;number=0.00325&amp;sourceID=14","0.00325")</f>
        <v>0.00325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HYPERLINK("http://141.218.60.56/~jnz1568/getInfo.php?workbook=06_02.xlsx&amp;sheet=U0&amp;row=2518&amp;col=6&amp;number=4.4&amp;sourceID=14","4.4")</f>
        <v>4.4</v>
      </c>
      <c r="G2518" s="4" t="str">
        <f>HYPERLINK("http://141.218.60.56/~jnz1568/getInfo.php?workbook=06_02.xlsx&amp;sheet=U0&amp;row=2518&amp;col=7&amp;number=0.00324&amp;sourceID=14","0.00324")</f>
        <v>0.00324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HYPERLINK("http://141.218.60.56/~jnz1568/getInfo.php?workbook=06_02.xlsx&amp;sheet=U0&amp;row=2519&amp;col=6&amp;number=4.5&amp;sourceID=14","4.5")</f>
        <v>4.5</v>
      </c>
      <c r="G2519" s="4" t="str">
        <f>HYPERLINK("http://141.218.60.56/~jnz1568/getInfo.php?workbook=06_02.xlsx&amp;sheet=U0&amp;row=2519&amp;col=7&amp;number=0.00322&amp;sourceID=14","0.00322")</f>
        <v>0.00322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HYPERLINK("http://141.218.60.56/~jnz1568/getInfo.php?workbook=06_02.xlsx&amp;sheet=U0&amp;row=2520&amp;col=6&amp;number=4.6&amp;sourceID=14","4.6")</f>
        <v>4.6</v>
      </c>
      <c r="G2520" s="4" t="str">
        <f>HYPERLINK("http://141.218.60.56/~jnz1568/getInfo.php?workbook=06_02.xlsx&amp;sheet=U0&amp;row=2520&amp;col=7&amp;number=0.00321&amp;sourceID=14","0.00321")</f>
        <v>0.00321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HYPERLINK("http://141.218.60.56/~jnz1568/getInfo.php?workbook=06_02.xlsx&amp;sheet=U0&amp;row=2521&amp;col=6&amp;number=4.7&amp;sourceID=14","4.7")</f>
        <v>4.7</v>
      </c>
      <c r="G2521" s="4" t="str">
        <f>HYPERLINK("http://141.218.60.56/~jnz1568/getInfo.php?workbook=06_02.xlsx&amp;sheet=U0&amp;row=2521&amp;col=7&amp;number=0.00318&amp;sourceID=14","0.00318")</f>
        <v>0.00318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HYPERLINK("http://141.218.60.56/~jnz1568/getInfo.php?workbook=06_02.xlsx&amp;sheet=U0&amp;row=2522&amp;col=6&amp;number=4.8&amp;sourceID=14","4.8")</f>
        <v>4.8</v>
      </c>
      <c r="G2522" s="4" t="str">
        <f>HYPERLINK("http://141.218.60.56/~jnz1568/getInfo.php?workbook=06_02.xlsx&amp;sheet=U0&amp;row=2522&amp;col=7&amp;number=0.00315&amp;sourceID=14","0.00315")</f>
        <v>0.00315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HYPERLINK("http://141.218.60.56/~jnz1568/getInfo.php?workbook=06_02.xlsx&amp;sheet=U0&amp;row=2523&amp;col=6&amp;number=4.9&amp;sourceID=14","4.9")</f>
        <v>4.9</v>
      </c>
      <c r="G2523" s="4" t="str">
        <f>HYPERLINK("http://141.218.60.56/~jnz1568/getInfo.php?workbook=06_02.xlsx&amp;sheet=U0&amp;row=2523&amp;col=7&amp;number=0.00312&amp;sourceID=14","0.00312")</f>
        <v>0.00312</v>
      </c>
    </row>
    <row r="2524" spans="1:7">
      <c r="A2524" s="3">
        <v>6</v>
      </c>
      <c r="B2524" s="3">
        <v>2</v>
      </c>
      <c r="C2524" s="3">
        <v>3</v>
      </c>
      <c r="D2524" s="3">
        <v>44</v>
      </c>
      <c r="E2524" s="3">
        <v>1</v>
      </c>
      <c r="F2524" s="4" t="str">
        <f>HYPERLINK("http://141.218.60.56/~jnz1568/getInfo.php?workbook=06_02.xlsx&amp;sheet=U0&amp;row=2524&amp;col=6&amp;number=3&amp;sourceID=14","3")</f>
        <v>3</v>
      </c>
      <c r="G2524" s="4" t="str">
        <f>HYPERLINK("http://141.218.60.56/~jnz1568/getInfo.php?workbook=06_02.xlsx&amp;sheet=U0&amp;row=2524&amp;col=7&amp;number=0.00382&amp;sourceID=14","0.00382")</f>
        <v>0.00382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HYPERLINK("http://141.218.60.56/~jnz1568/getInfo.php?workbook=06_02.xlsx&amp;sheet=U0&amp;row=2525&amp;col=6&amp;number=3.1&amp;sourceID=14","3.1")</f>
        <v>3.1</v>
      </c>
      <c r="G2525" s="4" t="str">
        <f>HYPERLINK("http://141.218.60.56/~jnz1568/getInfo.php?workbook=06_02.xlsx&amp;sheet=U0&amp;row=2525&amp;col=7&amp;number=0.00382&amp;sourceID=14","0.00382")</f>
        <v>0.00382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HYPERLINK("http://141.218.60.56/~jnz1568/getInfo.php?workbook=06_02.xlsx&amp;sheet=U0&amp;row=2526&amp;col=6&amp;number=3.2&amp;sourceID=14","3.2")</f>
        <v>3.2</v>
      </c>
      <c r="G2526" s="4" t="str">
        <f>HYPERLINK("http://141.218.60.56/~jnz1568/getInfo.php?workbook=06_02.xlsx&amp;sheet=U0&amp;row=2526&amp;col=7&amp;number=0.00381&amp;sourceID=14","0.00381")</f>
        <v>0.00381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HYPERLINK("http://141.218.60.56/~jnz1568/getInfo.php?workbook=06_02.xlsx&amp;sheet=U0&amp;row=2527&amp;col=6&amp;number=3.3&amp;sourceID=14","3.3")</f>
        <v>3.3</v>
      </c>
      <c r="G2527" s="4" t="str">
        <f>HYPERLINK("http://141.218.60.56/~jnz1568/getInfo.php?workbook=06_02.xlsx&amp;sheet=U0&amp;row=2527&amp;col=7&amp;number=0.00381&amp;sourceID=14","0.00381")</f>
        <v>0.00381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HYPERLINK("http://141.218.60.56/~jnz1568/getInfo.php?workbook=06_02.xlsx&amp;sheet=U0&amp;row=2528&amp;col=6&amp;number=3.4&amp;sourceID=14","3.4")</f>
        <v>3.4</v>
      </c>
      <c r="G2528" s="4" t="str">
        <f>HYPERLINK("http://141.218.60.56/~jnz1568/getInfo.php?workbook=06_02.xlsx&amp;sheet=U0&amp;row=2528&amp;col=7&amp;number=0.00381&amp;sourceID=14","0.00381")</f>
        <v>0.00381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HYPERLINK("http://141.218.60.56/~jnz1568/getInfo.php?workbook=06_02.xlsx&amp;sheet=U0&amp;row=2529&amp;col=6&amp;number=3.5&amp;sourceID=14","3.5")</f>
        <v>3.5</v>
      </c>
      <c r="G2529" s="4" t="str">
        <f>HYPERLINK("http://141.218.60.56/~jnz1568/getInfo.php?workbook=06_02.xlsx&amp;sheet=U0&amp;row=2529&amp;col=7&amp;number=0.0038&amp;sourceID=14","0.0038")</f>
        <v>0.0038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HYPERLINK("http://141.218.60.56/~jnz1568/getInfo.php?workbook=06_02.xlsx&amp;sheet=U0&amp;row=2530&amp;col=6&amp;number=3.6&amp;sourceID=14","3.6")</f>
        <v>3.6</v>
      </c>
      <c r="G2530" s="4" t="str">
        <f>HYPERLINK("http://141.218.60.56/~jnz1568/getInfo.php?workbook=06_02.xlsx&amp;sheet=U0&amp;row=2530&amp;col=7&amp;number=0.0038&amp;sourceID=14","0.0038")</f>
        <v>0.0038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HYPERLINK("http://141.218.60.56/~jnz1568/getInfo.php?workbook=06_02.xlsx&amp;sheet=U0&amp;row=2531&amp;col=6&amp;number=3.7&amp;sourceID=14","3.7")</f>
        <v>3.7</v>
      </c>
      <c r="G2531" s="4" t="str">
        <f>HYPERLINK("http://141.218.60.56/~jnz1568/getInfo.php?workbook=06_02.xlsx&amp;sheet=U0&amp;row=2531&amp;col=7&amp;number=0.00379&amp;sourceID=14","0.00379")</f>
        <v>0.00379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HYPERLINK("http://141.218.60.56/~jnz1568/getInfo.php?workbook=06_02.xlsx&amp;sheet=U0&amp;row=2532&amp;col=6&amp;number=3.8&amp;sourceID=14","3.8")</f>
        <v>3.8</v>
      </c>
      <c r="G2532" s="4" t="str">
        <f>HYPERLINK("http://141.218.60.56/~jnz1568/getInfo.php?workbook=06_02.xlsx&amp;sheet=U0&amp;row=2532&amp;col=7&amp;number=0.00379&amp;sourceID=14","0.00379")</f>
        <v>0.00379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HYPERLINK("http://141.218.60.56/~jnz1568/getInfo.php?workbook=06_02.xlsx&amp;sheet=U0&amp;row=2533&amp;col=6&amp;number=3.9&amp;sourceID=14","3.9")</f>
        <v>3.9</v>
      </c>
      <c r="G2533" s="4" t="str">
        <f>HYPERLINK("http://141.218.60.56/~jnz1568/getInfo.php?workbook=06_02.xlsx&amp;sheet=U0&amp;row=2533&amp;col=7&amp;number=0.00378&amp;sourceID=14","0.00378")</f>
        <v>0.00378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HYPERLINK("http://141.218.60.56/~jnz1568/getInfo.php?workbook=06_02.xlsx&amp;sheet=U0&amp;row=2534&amp;col=6&amp;number=4&amp;sourceID=14","4")</f>
        <v>4</v>
      </c>
      <c r="G2534" s="4" t="str">
        <f>HYPERLINK("http://141.218.60.56/~jnz1568/getInfo.php?workbook=06_02.xlsx&amp;sheet=U0&amp;row=2534&amp;col=7&amp;number=0.00377&amp;sourceID=14","0.00377")</f>
        <v>0.00377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HYPERLINK("http://141.218.60.56/~jnz1568/getInfo.php?workbook=06_02.xlsx&amp;sheet=U0&amp;row=2535&amp;col=6&amp;number=4.1&amp;sourceID=14","4.1")</f>
        <v>4.1</v>
      </c>
      <c r="G2535" s="4" t="str">
        <f>HYPERLINK("http://141.218.60.56/~jnz1568/getInfo.php?workbook=06_02.xlsx&amp;sheet=U0&amp;row=2535&amp;col=7&amp;number=0.00375&amp;sourceID=14","0.00375")</f>
        <v>0.00375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HYPERLINK("http://141.218.60.56/~jnz1568/getInfo.php?workbook=06_02.xlsx&amp;sheet=U0&amp;row=2536&amp;col=6&amp;number=4.2&amp;sourceID=14","4.2")</f>
        <v>4.2</v>
      </c>
      <c r="G2536" s="4" t="str">
        <f>HYPERLINK("http://141.218.60.56/~jnz1568/getInfo.php?workbook=06_02.xlsx&amp;sheet=U0&amp;row=2536&amp;col=7&amp;number=0.00373&amp;sourceID=14","0.00373")</f>
        <v>0.00373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HYPERLINK("http://141.218.60.56/~jnz1568/getInfo.php?workbook=06_02.xlsx&amp;sheet=U0&amp;row=2537&amp;col=6&amp;number=4.3&amp;sourceID=14","4.3")</f>
        <v>4.3</v>
      </c>
      <c r="G2537" s="4" t="str">
        <f>HYPERLINK("http://141.218.60.56/~jnz1568/getInfo.php?workbook=06_02.xlsx&amp;sheet=U0&amp;row=2537&amp;col=7&amp;number=0.00371&amp;sourceID=14","0.00371")</f>
        <v>0.00371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HYPERLINK("http://141.218.60.56/~jnz1568/getInfo.php?workbook=06_02.xlsx&amp;sheet=U0&amp;row=2538&amp;col=6&amp;number=4.4&amp;sourceID=14","4.4")</f>
        <v>4.4</v>
      </c>
      <c r="G2538" s="4" t="str">
        <f>HYPERLINK("http://141.218.60.56/~jnz1568/getInfo.php?workbook=06_02.xlsx&amp;sheet=U0&amp;row=2538&amp;col=7&amp;number=0.00368&amp;sourceID=14","0.00368")</f>
        <v>0.00368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HYPERLINK("http://141.218.60.56/~jnz1568/getInfo.php?workbook=06_02.xlsx&amp;sheet=U0&amp;row=2539&amp;col=6&amp;number=4.5&amp;sourceID=14","4.5")</f>
        <v>4.5</v>
      </c>
      <c r="G2539" s="4" t="str">
        <f>HYPERLINK("http://141.218.60.56/~jnz1568/getInfo.php?workbook=06_02.xlsx&amp;sheet=U0&amp;row=2539&amp;col=7&amp;number=0.00365&amp;sourceID=14","0.00365")</f>
        <v>0.00365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HYPERLINK("http://141.218.60.56/~jnz1568/getInfo.php?workbook=06_02.xlsx&amp;sheet=U0&amp;row=2540&amp;col=6&amp;number=4.6&amp;sourceID=14","4.6")</f>
        <v>4.6</v>
      </c>
      <c r="G2540" s="4" t="str">
        <f>HYPERLINK("http://141.218.60.56/~jnz1568/getInfo.php?workbook=06_02.xlsx&amp;sheet=U0&amp;row=2540&amp;col=7&amp;number=0.0036&amp;sourceID=14","0.0036")</f>
        <v>0.0036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HYPERLINK("http://141.218.60.56/~jnz1568/getInfo.php?workbook=06_02.xlsx&amp;sheet=U0&amp;row=2541&amp;col=6&amp;number=4.7&amp;sourceID=14","4.7")</f>
        <v>4.7</v>
      </c>
      <c r="G2541" s="4" t="str">
        <f>HYPERLINK("http://141.218.60.56/~jnz1568/getInfo.php?workbook=06_02.xlsx&amp;sheet=U0&amp;row=2541&amp;col=7&amp;number=0.00355&amp;sourceID=14","0.00355")</f>
        <v>0.00355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HYPERLINK("http://141.218.60.56/~jnz1568/getInfo.php?workbook=06_02.xlsx&amp;sheet=U0&amp;row=2542&amp;col=6&amp;number=4.8&amp;sourceID=14","4.8")</f>
        <v>4.8</v>
      </c>
      <c r="G2542" s="4" t="str">
        <f>HYPERLINK("http://141.218.60.56/~jnz1568/getInfo.php?workbook=06_02.xlsx&amp;sheet=U0&amp;row=2542&amp;col=7&amp;number=0.00348&amp;sourceID=14","0.00348")</f>
        <v>0.00348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HYPERLINK("http://141.218.60.56/~jnz1568/getInfo.php?workbook=06_02.xlsx&amp;sheet=U0&amp;row=2543&amp;col=6&amp;number=4.9&amp;sourceID=14","4.9")</f>
        <v>4.9</v>
      </c>
      <c r="G2543" s="4" t="str">
        <f>HYPERLINK("http://141.218.60.56/~jnz1568/getInfo.php?workbook=06_02.xlsx&amp;sheet=U0&amp;row=2543&amp;col=7&amp;number=0.0034&amp;sourceID=14","0.0034")</f>
        <v>0.0034</v>
      </c>
    </row>
    <row r="2544" spans="1:7">
      <c r="A2544" s="3">
        <v>6</v>
      </c>
      <c r="B2544" s="3">
        <v>2</v>
      </c>
      <c r="C2544" s="3">
        <v>3</v>
      </c>
      <c r="D2544" s="3">
        <v>45</v>
      </c>
      <c r="E2544" s="3">
        <v>1</v>
      </c>
      <c r="F2544" s="4" t="str">
        <f>HYPERLINK("http://141.218.60.56/~jnz1568/getInfo.php?workbook=06_02.xlsx&amp;sheet=U0&amp;row=2544&amp;col=6&amp;number=3&amp;sourceID=14","3")</f>
        <v>3</v>
      </c>
      <c r="G2544" s="4" t="str">
        <f>HYPERLINK("http://141.218.60.56/~jnz1568/getInfo.php?workbook=06_02.xlsx&amp;sheet=U0&amp;row=2544&amp;col=7&amp;number=0.00505&amp;sourceID=14","0.00505")</f>
        <v>0.00505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HYPERLINK("http://141.218.60.56/~jnz1568/getInfo.php?workbook=06_02.xlsx&amp;sheet=U0&amp;row=2545&amp;col=6&amp;number=3.1&amp;sourceID=14","3.1")</f>
        <v>3.1</v>
      </c>
      <c r="G2545" s="4" t="str">
        <f>HYPERLINK("http://141.218.60.56/~jnz1568/getInfo.php?workbook=06_02.xlsx&amp;sheet=U0&amp;row=2545&amp;col=7&amp;number=0.00505&amp;sourceID=14","0.00505")</f>
        <v>0.00505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HYPERLINK("http://141.218.60.56/~jnz1568/getInfo.php?workbook=06_02.xlsx&amp;sheet=U0&amp;row=2546&amp;col=6&amp;number=3.2&amp;sourceID=14","3.2")</f>
        <v>3.2</v>
      </c>
      <c r="G2546" s="4" t="str">
        <f>HYPERLINK("http://141.218.60.56/~jnz1568/getInfo.php?workbook=06_02.xlsx&amp;sheet=U0&amp;row=2546&amp;col=7&amp;number=0.00505&amp;sourceID=14","0.00505")</f>
        <v>0.00505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HYPERLINK("http://141.218.60.56/~jnz1568/getInfo.php?workbook=06_02.xlsx&amp;sheet=U0&amp;row=2547&amp;col=6&amp;number=3.3&amp;sourceID=14","3.3")</f>
        <v>3.3</v>
      </c>
      <c r="G2547" s="4" t="str">
        <f>HYPERLINK("http://141.218.60.56/~jnz1568/getInfo.php?workbook=06_02.xlsx&amp;sheet=U0&amp;row=2547&amp;col=7&amp;number=0.00506&amp;sourceID=14","0.00506")</f>
        <v>0.00506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HYPERLINK("http://141.218.60.56/~jnz1568/getInfo.php?workbook=06_02.xlsx&amp;sheet=U0&amp;row=2548&amp;col=6&amp;number=3.4&amp;sourceID=14","3.4")</f>
        <v>3.4</v>
      </c>
      <c r="G2548" s="4" t="str">
        <f>HYPERLINK("http://141.218.60.56/~jnz1568/getInfo.php?workbook=06_02.xlsx&amp;sheet=U0&amp;row=2548&amp;col=7&amp;number=0.00506&amp;sourceID=14","0.00506")</f>
        <v>0.00506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HYPERLINK("http://141.218.60.56/~jnz1568/getInfo.php?workbook=06_02.xlsx&amp;sheet=U0&amp;row=2549&amp;col=6&amp;number=3.5&amp;sourceID=14","3.5")</f>
        <v>3.5</v>
      </c>
      <c r="G2549" s="4" t="str">
        <f>HYPERLINK("http://141.218.60.56/~jnz1568/getInfo.php?workbook=06_02.xlsx&amp;sheet=U0&amp;row=2549&amp;col=7&amp;number=0.00506&amp;sourceID=14","0.00506")</f>
        <v>0.00506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HYPERLINK("http://141.218.60.56/~jnz1568/getInfo.php?workbook=06_02.xlsx&amp;sheet=U0&amp;row=2550&amp;col=6&amp;number=3.6&amp;sourceID=14","3.6")</f>
        <v>3.6</v>
      </c>
      <c r="G2550" s="4" t="str">
        <f>HYPERLINK("http://141.218.60.56/~jnz1568/getInfo.php?workbook=06_02.xlsx&amp;sheet=U0&amp;row=2550&amp;col=7&amp;number=0.00507&amp;sourceID=14","0.00507")</f>
        <v>0.00507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HYPERLINK("http://141.218.60.56/~jnz1568/getInfo.php?workbook=06_02.xlsx&amp;sheet=U0&amp;row=2551&amp;col=6&amp;number=3.7&amp;sourceID=14","3.7")</f>
        <v>3.7</v>
      </c>
      <c r="G2551" s="4" t="str">
        <f>HYPERLINK("http://141.218.60.56/~jnz1568/getInfo.php?workbook=06_02.xlsx&amp;sheet=U0&amp;row=2551&amp;col=7&amp;number=0.00507&amp;sourceID=14","0.00507")</f>
        <v>0.00507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HYPERLINK("http://141.218.60.56/~jnz1568/getInfo.php?workbook=06_02.xlsx&amp;sheet=U0&amp;row=2552&amp;col=6&amp;number=3.8&amp;sourceID=14","3.8")</f>
        <v>3.8</v>
      </c>
      <c r="G2552" s="4" t="str">
        <f>HYPERLINK("http://141.218.60.56/~jnz1568/getInfo.php?workbook=06_02.xlsx&amp;sheet=U0&amp;row=2552&amp;col=7&amp;number=0.00508&amp;sourceID=14","0.00508")</f>
        <v>0.00508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HYPERLINK("http://141.218.60.56/~jnz1568/getInfo.php?workbook=06_02.xlsx&amp;sheet=U0&amp;row=2553&amp;col=6&amp;number=3.9&amp;sourceID=14","3.9")</f>
        <v>3.9</v>
      </c>
      <c r="G2553" s="4" t="str">
        <f>HYPERLINK("http://141.218.60.56/~jnz1568/getInfo.php?workbook=06_02.xlsx&amp;sheet=U0&amp;row=2553&amp;col=7&amp;number=0.00509&amp;sourceID=14","0.00509")</f>
        <v>0.00509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HYPERLINK("http://141.218.60.56/~jnz1568/getInfo.php?workbook=06_02.xlsx&amp;sheet=U0&amp;row=2554&amp;col=6&amp;number=4&amp;sourceID=14","4")</f>
        <v>4</v>
      </c>
      <c r="G2554" s="4" t="str">
        <f>HYPERLINK("http://141.218.60.56/~jnz1568/getInfo.php?workbook=06_02.xlsx&amp;sheet=U0&amp;row=2554&amp;col=7&amp;number=0.0051&amp;sourceID=14","0.0051")</f>
        <v>0.0051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HYPERLINK("http://141.218.60.56/~jnz1568/getInfo.php?workbook=06_02.xlsx&amp;sheet=U0&amp;row=2555&amp;col=6&amp;number=4.1&amp;sourceID=14","4.1")</f>
        <v>4.1</v>
      </c>
      <c r="G2555" s="4" t="str">
        <f>HYPERLINK("http://141.218.60.56/~jnz1568/getInfo.php?workbook=06_02.xlsx&amp;sheet=U0&amp;row=2555&amp;col=7&amp;number=0.00511&amp;sourceID=14","0.00511")</f>
        <v>0.00511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HYPERLINK("http://141.218.60.56/~jnz1568/getInfo.php?workbook=06_02.xlsx&amp;sheet=U0&amp;row=2556&amp;col=6&amp;number=4.2&amp;sourceID=14","4.2")</f>
        <v>4.2</v>
      </c>
      <c r="G2556" s="4" t="str">
        <f>HYPERLINK("http://141.218.60.56/~jnz1568/getInfo.php?workbook=06_02.xlsx&amp;sheet=U0&amp;row=2556&amp;col=7&amp;number=0.00513&amp;sourceID=14","0.00513")</f>
        <v>0.00513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HYPERLINK("http://141.218.60.56/~jnz1568/getInfo.php?workbook=06_02.xlsx&amp;sheet=U0&amp;row=2557&amp;col=6&amp;number=4.3&amp;sourceID=14","4.3")</f>
        <v>4.3</v>
      </c>
      <c r="G2557" s="4" t="str">
        <f>HYPERLINK("http://141.218.60.56/~jnz1568/getInfo.php?workbook=06_02.xlsx&amp;sheet=U0&amp;row=2557&amp;col=7&amp;number=0.00515&amp;sourceID=14","0.00515")</f>
        <v>0.00515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HYPERLINK("http://141.218.60.56/~jnz1568/getInfo.php?workbook=06_02.xlsx&amp;sheet=U0&amp;row=2558&amp;col=6&amp;number=4.4&amp;sourceID=14","4.4")</f>
        <v>4.4</v>
      </c>
      <c r="G2558" s="4" t="str">
        <f>HYPERLINK("http://141.218.60.56/~jnz1568/getInfo.php?workbook=06_02.xlsx&amp;sheet=U0&amp;row=2558&amp;col=7&amp;number=0.00517&amp;sourceID=14","0.00517")</f>
        <v>0.00517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HYPERLINK("http://141.218.60.56/~jnz1568/getInfo.php?workbook=06_02.xlsx&amp;sheet=U0&amp;row=2559&amp;col=6&amp;number=4.5&amp;sourceID=14","4.5")</f>
        <v>4.5</v>
      </c>
      <c r="G2559" s="4" t="str">
        <f>HYPERLINK("http://141.218.60.56/~jnz1568/getInfo.php?workbook=06_02.xlsx&amp;sheet=U0&amp;row=2559&amp;col=7&amp;number=0.0052&amp;sourceID=14","0.0052")</f>
        <v>0.0052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HYPERLINK("http://141.218.60.56/~jnz1568/getInfo.php?workbook=06_02.xlsx&amp;sheet=U0&amp;row=2560&amp;col=6&amp;number=4.6&amp;sourceID=14","4.6")</f>
        <v>4.6</v>
      </c>
      <c r="G2560" s="4" t="str">
        <f>HYPERLINK("http://141.218.60.56/~jnz1568/getInfo.php?workbook=06_02.xlsx&amp;sheet=U0&amp;row=2560&amp;col=7&amp;number=0.00524&amp;sourceID=14","0.00524")</f>
        <v>0.00524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HYPERLINK("http://141.218.60.56/~jnz1568/getInfo.php?workbook=06_02.xlsx&amp;sheet=U0&amp;row=2561&amp;col=6&amp;number=4.7&amp;sourceID=14","4.7")</f>
        <v>4.7</v>
      </c>
      <c r="G2561" s="4" t="str">
        <f>HYPERLINK("http://141.218.60.56/~jnz1568/getInfo.php?workbook=06_02.xlsx&amp;sheet=U0&amp;row=2561&amp;col=7&amp;number=0.00529&amp;sourceID=14","0.00529")</f>
        <v>0.00529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HYPERLINK("http://141.218.60.56/~jnz1568/getInfo.php?workbook=06_02.xlsx&amp;sheet=U0&amp;row=2562&amp;col=6&amp;number=4.8&amp;sourceID=14","4.8")</f>
        <v>4.8</v>
      </c>
      <c r="G2562" s="4" t="str">
        <f>HYPERLINK("http://141.218.60.56/~jnz1568/getInfo.php?workbook=06_02.xlsx&amp;sheet=U0&amp;row=2562&amp;col=7&amp;number=0.00535&amp;sourceID=14","0.00535")</f>
        <v>0.00535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HYPERLINK("http://141.218.60.56/~jnz1568/getInfo.php?workbook=06_02.xlsx&amp;sheet=U0&amp;row=2563&amp;col=6&amp;number=4.9&amp;sourceID=14","4.9")</f>
        <v>4.9</v>
      </c>
      <c r="G2563" s="4" t="str">
        <f>HYPERLINK("http://141.218.60.56/~jnz1568/getInfo.php?workbook=06_02.xlsx&amp;sheet=U0&amp;row=2563&amp;col=7&amp;number=0.00543&amp;sourceID=14","0.00543")</f>
        <v>0.00543</v>
      </c>
    </row>
    <row r="2564" spans="1:7">
      <c r="A2564" s="3">
        <v>6</v>
      </c>
      <c r="B2564" s="3">
        <v>2</v>
      </c>
      <c r="C2564" s="3">
        <v>3</v>
      </c>
      <c r="D2564" s="3">
        <v>46</v>
      </c>
      <c r="E2564" s="3">
        <v>1</v>
      </c>
      <c r="F2564" s="4" t="str">
        <f>HYPERLINK("http://141.218.60.56/~jnz1568/getInfo.php?workbook=06_02.xlsx&amp;sheet=U0&amp;row=2564&amp;col=6&amp;number=3&amp;sourceID=14","3")</f>
        <v>3</v>
      </c>
      <c r="G2564" s="4" t="str">
        <f>HYPERLINK("http://141.218.60.56/~jnz1568/getInfo.php?workbook=06_02.xlsx&amp;sheet=U0&amp;row=2564&amp;col=7&amp;number=0.000495&amp;sourceID=14","0.000495")</f>
        <v>0.000495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HYPERLINK("http://141.218.60.56/~jnz1568/getInfo.php?workbook=06_02.xlsx&amp;sheet=U0&amp;row=2565&amp;col=6&amp;number=3.1&amp;sourceID=14","3.1")</f>
        <v>3.1</v>
      </c>
      <c r="G2565" s="4" t="str">
        <f>HYPERLINK("http://141.218.60.56/~jnz1568/getInfo.php?workbook=06_02.xlsx&amp;sheet=U0&amp;row=2565&amp;col=7&amp;number=0.000495&amp;sourceID=14","0.000495")</f>
        <v>0.000495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HYPERLINK("http://141.218.60.56/~jnz1568/getInfo.php?workbook=06_02.xlsx&amp;sheet=U0&amp;row=2566&amp;col=6&amp;number=3.2&amp;sourceID=14","3.2")</f>
        <v>3.2</v>
      </c>
      <c r="G2566" s="4" t="str">
        <f>HYPERLINK("http://141.218.60.56/~jnz1568/getInfo.php?workbook=06_02.xlsx&amp;sheet=U0&amp;row=2566&amp;col=7&amp;number=0.000495&amp;sourceID=14","0.000495")</f>
        <v>0.000495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HYPERLINK("http://141.218.60.56/~jnz1568/getInfo.php?workbook=06_02.xlsx&amp;sheet=U0&amp;row=2567&amp;col=6&amp;number=3.3&amp;sourceID=14","3.3")</f>
        <v>3.3</v>
      </c>
      <c r="G2567" s="4" t="str">
        <f>HYPERLINK("http://141.218.60.56/~jnz1568/getInfo.php?workbook=06_02.xlsx&amp;sheet=U0&amp;row=2567&amp;col=7&amp;number=0.000494&amp;sourceID=14","0.000494")</f>
        <v>0.000494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HYPERLINK("http://141.218.60.56/~jnz1568/getInfo.php?workbook=06_02.xlsx&amp;sheet=U0&amp;row=2568&amp;col=6&amp;number=3.4&amp;sourceID=14","3.4")</f>
        <v>3.4</v>
      </c>
      <c r="G2568" s="4" t="str">
        <f>HYPERLINK("http://141.218.60.56/~jnz1568/getInfo.php?workbook=06_02.xlsx&amp;sheet=U0&amp;row=2568&amp;col=7&amp;number=0.000494&amp;sourceID=14","0.000494")</f>
        <v>0.000494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HYPERLINK("http://141.218.60.56/~jnz1568/getInfo.php?workbook=06_02.xlsx&amp;sheet=U0&amp;row=2569&amp;col=6&amp;number=3.5&amp;sourceID=14","3.5")</f>
        <v>3.5</v>
      </c>
      <c r="G2569" s="4" t="str">
        <f>HYPERLINK("http://141.218.60.56/~jnz1568/getInfo.php?workbook=06_02.xlsx&amp;sheet=U0&amp;row=2569&amp;col=7&amp;number=0.000493&amp;sourceID=14","0.000493")</f>
        <v>0.000493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HYPERLINK("http://141.218.60.56/~jnz1568/getInfo.php?workbook=06_02.xlsx&amp;sheet=U0&amp;row=2570&amp;col=6&amp;number=3.6&amp;sourceID=14","3.6")</f>
        <v>3.6</v>
      </c>
      <c r="G2570" s="4" t="str">
        <f>HYPERLINK("http://141.218.60.56/~jnz1568/getInfo.php?workbook=06_02.xlsx&amp;sheet=U0&amp;row=2570&amp;col=7&amp;number=0.000492&amp;sourceID=14","0.000492")</f>
        <v>0.000492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HYPERLINK("http://141.218.60.56/~jnz1568/getInfo.php?workbook=06_02.xlsx&amp;sheet=U0&amp;row=2571&amp;col=6&amp;number=3.7&amp;sourceID=14","3.7")</f>
        <v>3.7</v>
      </c>
      <c r="G2571" s="4" t="str">
        <f>HYPERLINK("http://141.218.60.56/~jnz1568/getInfo.php?workbook=06_02.xlsx&amp;sheet=U0&amp;row=2571&amp;col=7&amp;number=0.000491&amp;sourceID=14","0.000491")</f>
        <v>0.000491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HYPERLINK("http://141.218.60.56/~jnz1568/getInfo.php?workbook=06_02.xlsx&amp;sheet=U0&amp;row=2572&amp;col=6&amp;number=3.8&amp;sourceID=14","3.8")</f>
        <v>3.8</v>
      </c>
      <c r="G2572" s="4" t="str">
        <f>HYPERLINK("http://141.218.60.56/~jnz1568/getInfo.php?workbook=06_02.xlsx&amp;sheet=U0&amp;row=2572&amp;col=7&amp;number=0.00049&amp;sourceID=14","0.00049")</f>
        <v>0.00049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HYPERLINK("http://141.218.60.56/~jnz1568/getInfo.php?workbook=06_02.xlsx&amp;sheet=U0&amp;row=2573&amp;col=6&amp;number=3.9&amp;sourceID=14","3.9")</f>
        <v>3.9</v>
      </c>
      <c r="G2573" s="4" t="str">
        <f>HYPERLINK("http://141.218.60.56/~jnz1568/getInfo.php?workbook=06_02.xlsx&amp;sheet=U0&amp;row=2573&amp;col=7&amp;number=0.000488&amp;sourceID=14","0.000488")</f>
        <v>0.000488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HYPERLINK("http://141.218.60.56/~jnz1568/getInfo.php?workbook=06_02.xlsx&amp;sheet=U0&amp;row=2574&amp;col=6&amp;number=4&amp;sourceID=14","4")</f>
        <v>4</v>
      </c>
      <c r="G2574" s="4" t="str">
        <f>HYPERLINK("http://141.218.60.56/~jnz1568/getInfo.php?workbook=06_02.xlsx&amp;sheet=U0&amp;row=2574&amp;col=7&amp;number=0.000487&amp;sourceID=14","0.000487")</f>
        <v>0.000487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HYPERLINK("http://141.218.60.56/~jnz1568/getInfo.php?workbook=06_02.xlsx&amp;sheet=U0&amp;row=2575&amp;col=6&amp;number=4.1&amp;sourceID=14","4.1")</f>
        <v>4.1</v>
      </c>
      <c r="G2575" s="4" t="str">
        <f>HYPERLINK("http://141.218.60.56/~jnz1568/getInfo.php?workbook=06_02.xlsx&amp;sheet=U0&amp;row=2575&amp;col=7&amp;number=0.000484&amp;sourceID=14","0.000484")</f>
        <v>0.000484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HYPERLINK("http://141.218.60.56/~jnz1568/getInfo.php?workbook=06_02.xlsx&amp;sheet=U0&amp;row=2576&amp;col=6&amp;number=4.2&amp;sourceID=14","4.2")</f>
        <v>4.2</v>
      </c>
      <c r="G2576" s="4" t="str">
        <f>HYPERLINK("http://141.218.60.56/~jnz1568/getInfo.php?workbook=06_02.xlsx&amp;sheet=U0&amp;row=2576&amp;col=7&amp;number=0.000481&amp;sourceID=14","0.000481")</f>
        <v>0.000481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HYPERLINK("http://141.218.60.56/~jnz1568/getInfo.php?workbook=06_02.xlsx&amp;sheet=U0&amp;row=2577&amp;col=6&amp;number=4.3&amp;sourceID=14","4.3")</f>
        <v>4.3</v>
      </c>
      <c r="G2577" s="4" t="str">
        <f>HYPERLINK("http://141.218.60.56/~jnz1568/getInfo.php?workbook=06_02.xlsx&amp;sheet=U0&amp;row=2577&amp;col=7&amp;number=0.000477&amp;sourceID=14","0.000477")</f>
        <v>0.000477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HYPERLINK("http://141.218.60.56/~jnz1568/getInfo.php?workbook=06_02.xlsx&amp;sheet=U0&amp;row=2578&amp;col=6&amp;number=4.4&amp;sourceID=14","4.4")</f>
        <v>4.4</v>
      </c>
      <c r="G2578" s="4" t="str">
        <f>HYPERLINK("http://141.218.60.56/~jnz1568/getInfo.php?workbook=06_02.xlsx&amp;sheet=U0&amp;row=2578&amp;col=7&amp;number=0.000473&amp;sourceID=14","0.000473")</f>
        <v>0.000473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HYPERLINK("http://141.218.60.56/~jnz1568/getInfo.php?workbook=06_02.xlsx&amp;sheet=U0&amp;row=2579&amp;col=6&amp;number=4.5&amp;sourceID=14","4.5")</f>
        <v>4.5</v>
      </c>
      <c r="G2579" s="4" t="str">
        <f>HYPERLINK("http://141.218.60.56/~jnz1568/getInfo.php?workbook=06_02.xlsx&amp;sheet=U0&amp;row=2579&amp;col=7&amp;number=0.000467&amp;sourceID=14","0.000467")</f>
        <v>0.000467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HYPERLINK("http://141.218.60.56/~jnz1568/getInfo.php?workbook=06_02.xlsx&amp;sheet=U0&amp;row=2580&amp;col=6&amp;number=4.6&amp;sourceID=14","4.6")</f>
        <v>4.6</v>
      </c>
      <c r="G2580" s="4" t="str">
        <f>HYPERLINK("http://141.218.60.56/~jnz1568/getInfo.php?workbook=06_02.xlsx&amp;sheet=U0&amp;row=2580&amp;col=7&amp;number=0.00046&amp;sourceID=14","0.00046")</f>
        <v>0.00046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HYPERLINK("http://141.218.60.56/~jnz1568/getInfo.php?workbook=06_02.xlsx&amp;sheet=U0&amp;row=2581&amp;col=6&amp;number=4.7&amp;sourceID=14","4.7")</f>
        <v>4.7</v>
      </c>
      <c r="G2581" s="4" t="str">
        <f>HYPERLINK("http://141.218.60.56/~jnz1568/getInfo.php?workbook=06_02.xlsx&amp;sheet=U0&amp;row=2581&amp;col=7&amp;number=0.000451&amp;sourceID=14","0.000451")</f>
        <v>0.000451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HYPERLINK("http://141.218.60.56/~jnz1568/getInfo.php?workbook=06_02.xlsx&amp;sheet=U0&amp;row=2582&amp;col=6&amp;number=4.8&amp;sourceID=14","4.8")</f>
        <v>4.8</v>
      </c>
      <c r="G2582" s="4" t="str">
        <f>HYPERLINK("http://141.218.60.56/~jnz1568/getInfo.php?workbook=06_02.xlsx&amp;sheet=U0&amp;row=2582&amp;col=7&amp;number=0.00044&amp;sourceID=14","0.00044")</f>
        <v>0.00044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HYPERLINK("http://141.218.60.56/~jnz1568/getInfo.php?workbook=06_02.xlsx&amp;sheet=U0&amp;row=2583&amp;col=6&amp;number=4.9&amp;sourceID=14","4.9")</f>
        <v>4.9</v>
      </c>
      <c r="G2583" s="4" t="str">
        <f>HYPERLINK("http://141.218.60.56/~jnz1568/getInfo.php?workbook=06_02.xlsx&amp;sheet=U0&amp;row=2583&amp;col=7&amp;number=0.000427&amp;sourceID=14","0.000427")</f>
        <v>0.000427</v>
      </c>
    </row>
    <row r="2584" spans="1:7">
      <c r="A2584" s="3">
        <v>6</v>
      </c>
      <c r="B2584" s="3">
        <v>2</v>
      </c>
      <c r="C2584" s="3">
        <v>3</v>
      </c>
      <c r="D2584" s="3">
        <v>47</v>
      </c>
      <c r="E2584" s="3">
        <v>1</v>
      </c>
      <c r="F2584" s="4" t="str">
        <f>HYPERLINK("http://141.218.60.56/~jnz1568/getInfo.php?workbook=06_02.xlsx&amp;sheet=U0&amp;row=2584&amp;col=6&amp;number=3&amp;sourceID=14","3")</f>
        <v>3</v>
      </c>
      <c r="G2584" s="4" t="str">
        <f>HYPERLINK("http://141.218.60.56/~jnz1568/getInfo.php?workbook=06_02.xlsx&amp;sheet=U0&amp;row=2584&amp;col=7&amp;number=0.000483&amp;sourceID=14","0.000483")</f>
        <v>0.000483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HYPERLINK("http://141.218.60.56/~jnz1568/getInfo.php?workbook=06_02.xlsx&amp;sheet=U0&amp;row=2585&amp;col=6&amp;number=3.1&amp;sourceID=14","3.1")</f>
        <v>3.1</v>
      </c>
      <c r="G2585" s="4" t="str">
        <f>HYPERLINK("http://141.218.60.56/~jnz1568/getInfo.php?workbook=06_02.xlsx&amp;sheet=U0&amp;row=2585&amp;col=7&amp;number=0.000483&amp;sourceID=14","0.000483")</f>
        <v>0.000483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HYPERLINK("http://141.218.60.56/~jnz1568/getInfo.php?workbook=06_02.xlsx&amp;sheet=U0&amp;row=2586&amp;col=6&amp;number=3.2&amp;sourceID=14","3.2")</f>
        <v>3.2</v>
      </c>
      <c r="G2586" s="4" t="str">
        <f>HYPERLINK("http://141.218.60.56/~jnz1568/getInfo.php?workbook=06_02.xlsx&amp;sheet=U0&amp;row=2586&amp;col=7&amp;number=0.000483&amp;sourceID=14","0.000483")</f>
        <v>0.000483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HYPERLINK("http://141.218.60.56/~jnz1568/getInfo.php?workbook=06_02.xlsx&amp;sheet=U0&amp;row=2587&amp;col=6&amp;number=3.3&amp;sourceID=14","3.3")</f>
        <v>3.3</v>
      </c>
      <c r="G2587" s="4" t="str">
        <f>HYPERLINK("http://141.218.60.56/~jnz1568/getInfo.php?workbook=06_02.xlsx&amp;sheet=U0&amp;row=2587&amp;col=7&amp;number=0.000483&amp;sourceID=14","0.000483")</f>
        <v>0.000483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HYPERLINK("http://141.218.60.56/~jnz1568/getInfo.php?workbook=06_02.xlsx&amp;sheet=U0&amp;row=2588&amp;col=6&amp;number=3.4&amp;sourceID=14","3.4")</f>
        <v>3.4</v>
      </c>
      <c r="G2588" s="4" t="str">
        <f>HYPERLINK("http://141.218.60.56/~jnz1568/getInfo.php?workbook=06_02.xlsx&amp;sheet=U0&amp;row=2588&amp;col=7&amp;number=0.000483&amp;sourceID=14","0.000483")</f>
        <v>0.000483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HYPERLINK("http://141.218.60.56/~jnz1568/getInfo.php?workbook=06_02.xlsx&amp;sheet=U0&amp;row=2589&amp;col=6&amp;number=3.5&amp;sourceID=14","3.5")</f>
        <v>3.5</v>
      </c>
      <c r="G2589" s="4" t="str">
        <f>HYPERLINK("http://141.218.60.56/~jnz1568/getInfo.php?workbook=06_02.xlsx&amp;sheet=U0&amp;row=2589&amp;col=7&amp;number=0.000483&amp;sourceID=14","0.000483")</f>
        <v>0.000483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HYPERLINK("http://141.218.60.56/~jnz1568/getInfo.php?workbook=06_02.xlsx&amp;sheet=U0&amp;row=2590&amp;col=6&amp;number=3.6&amp;sourceID=14","3.6")</f>
        <v>3.6</v>
      </c>
      <c r="G2590" s="4" t="str">
        <f>HYPERLINK("http://141.218.60.56/~jnz1568/getInfo.php?workbook=06_02.xlsx&amp;sheet=U0&amp;row=2590&amp;col=7&amp;number=0.000483&amp;sourceID=14","0.000483")</f>
        <v>0.000483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HYPERLINK("http://141.218.60.56/~jnz1568/getInfo.php?workbook=06_02.xlsx&amp;sheet=U0&amp;row=2591&amp;col=6&amp;number=3.7&amp;sourceID=14","3.7")</f>
        <v>3.7</v>
      </c>
      <c r="G2591" s="4" t="str">
        <f>HYPERLINK("http://141.218.60.56/~jnz1568/getInfo.php?workbook=06_02.xlsx&amp;sheet=U0&amp;row=2591&amp;col=7&amp;number=0.000483&amp;sourceID=14","0.000483")</f>
        <v>0.000483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HYPERLINK("http://141.218.60.56/~jnz1568/getInfo.php?workbook=06_02.xlsx&amp;sheet=U0&amp;row=2592&amp;col=6&amp;number=3.8&amp;sourceID=14","3.8")</f>
        <v>3.8</v>
      </c>
      <c r="G2592" s="4" t="str">
        <f>HYPERLINK("http://141.218.60.56/~jnz1568/getInfo.php?workbook=06_02.xlsx&amp;sheet=U0&amp;row=2592&amp;col=7&amp;number=0.000482&amp;sourceID=14","0.000482")</f>
        <v>0.000482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HYPERLINK("http://141.218.60.56/~jnz1568/getInfo.php?workbook=06_02.xlsx&amp;sheet=U0&amp;row=2593&amp;col=6&amp;number=3.9&amp;sourceID=14","3.9")</f>
        <v>3.9</v>
      </c>
      <c r="G2593" s="4" t="str">
        <f>HYPERLINK("http://141.218.60.56/~jnz1568/getInfo.php?workbook=06_02.xlsx&amp;sheet=U0&amp;row=2593&amp;col=7&amp;number=0.000482&amp;sourceID=14","0.000482")</f>
        <v>0.000482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HYPERLINK("http://141.218.60.56/~jnz1568/getInfo.php?workbook=06_02.xlsx&amp;sheet=U0&amp;row=2594&amp;col=6&amp;number=4&amp;sourceID=14","4")</f>
        <v>4</v>
      </c>
      <c r="G2594" s="4" t="str">
        <f>HYPERLINK("http://141.218.60.56/~jnz1568/getInfo.php?workbook=06_02.xlsx&amp;sheet=U0&amp;row=2594&amp;col=7&amp;number=0.000482&amp;sourceID=14","0.000482")</f>
        <v>0.000482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HYPERLINK("http://141.218.60.56/~jnz1568/getInfo.php?workbook=06_02.xlsx&amp;sheet=U0&amp;row=2595&amp;col=6&amp;number=4.1&amp;sourceID=14","4.1")</f>
        <v>4.1</v>
      </c>
      <c r="G2595" s="4" t="str">
        <f>HYPERLINK("http://141.218.60.56/~jnz1568/getInfo.php?workbook=06_02.xlsx&amp;sheet=U0&amp;row=2595&amp;col=7&amp;number=0.000481&amp;sourceID=14","0.000481")</f>
        <v>0.000481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HYPERLINK("http://141.218.60.56/~jnz1568/getInfo.php?workbook=06_02.xlsx&amp;sheet=U0&amp;row=2596&amp;col=6&amp;number=4.2&amp;sourceID=14","4.2")</f>
        <v>4.2</v>
      </c>
      <c r="G2596" s="4" t="str">
        <f>HYPERLINK("http://141.218.60.56/~jnz1568/getInfo.php?workbook=06_02.xlsx&amp;sheet=U0&amp;row=2596&amp;col=7&amp;number=0.000481&amp;sourceID=14","0.000481")</f>
        <v>0.000481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HYPERLINK("http://141.218.60.56/~jnz1568/getInfo.php?workbook=06_02.xlsx&amp;sheet=U0&amp;row=2597&amp;col=6&amp;number=4.3&amp;sourceID=14","4.3")</f>
        <v>4.3</v>
      </c>
      <c r="G2597" s="4" t="str">
        <f>HYPERLINK("http://141.218.60.56/~jnz1568/getInfo.php?workbook=06_02.xlsx&amp;sheet=U0&amp;row=2597&amp;col=7&amp;number=0.00048&amp;sourceID=14","0.00048")</f>
        <v>0.00048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HYPERLINK("http://141.218.60.56/~jnz1568/getInfo.php?workbook=06_02.xlsx&amp;sheet=U0&amp;row=2598&amp;col=6&amp;number=4.4&amp;sourceID=14","4.4")</f>
        <v>4.4</v>
      </c>
      <c r="G2598" s="4" t="str">
        <f>HYPERLINK("http://141.218.60.56/~jnz1568/getInfo.php?workbook=06_02.xlsx&amp;sheet=U0&amp;row=2598&amp;col=7&amp;number=0.000479&amp;sourceID=14","0.000479")</f>
        <v>0.000479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HYPERLINK("http://141.218.60.56/~jnz1568/getInfo.php?workbook=06_02.xlsx&amp;sheet=U0&amp;row=2599&amp;col=6&amp;number=4.5&amp;sourceID=14","4.5")</f>
        <v>4.5</v>
      </c>
      <c r="G2599" s="4" t="str">
        <f>HYPERLINK("http://141.218.60.56/~jnz1568/getInfo.php?workbook=06_02.xlsx&amp;sheet=U0&amp;row=2599&amp;col=7&amp;number=0.000478&amp;sourceID=14","0.000478")</f>
        <v>0.000478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HYPERLINK("http://141.218.60.56/~jnz1568/getInfo.php?workbook=06_02.xlsx&amp;sheet=U0&amp;row=2600&amp;col=6&amp;number=4.6&amp;sourceID=14","4.6")</f>
        <v>4.6</v>
      </c>
      <c r="G2600" s="4" t="str">
        <f>HYPERLINK("http://141.218.60.56/~jnz1568/getInfo.php?workbook=06_02.xlsx&amp;sheet=U0&amp;row=2600&amp;col=7&amp;number=0.000477&amp;sourceID=14","0.000477")</f>
        <v>0.000477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HYPERLINK("http://141.218.60.56/~jnz1568/getInfo.php?workbook=06_02.xlsx&amp;sheet=U0&amp;row=2601&amp;col=6&amp;number=4.7&amp;sourceID=14","4.7")</f>
        <v>4.7</v>
      </c>
      <c r="G2601" s="4" t="str">
        <f>HYPERLINK("http://141.218.60.56/~jnz1568/getInfo.php?workbook=06_02.xlsx&amp;sheet=U0&amp;row=2601&amp;col=7&amp;number=0.000475&amp;sourceID=14","0.000475")</f>
        <v>0.000475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HYPERLINK("http://141.218.60.56/~jnz1568/getInfo.php?workbook=06_02.xlsx&amp;sheet=U0&amp;row=2602&amp;col=6&amp;number=4.8&amp;sourceID=14","4.8")</f>
        <v>4.8</v>
      </c>
      <c r="G2602" s="4" t="str">
        <f>HYPERLINK("http://141.218.60.56/~jnz1568/getInfo.php?workbook=06_02.xlsx&amp;sheet=U0&amp;row=2602&amp;col=7&amp;number=0.000473&amp;sourceID=14","0.000473")</f>
        <v>0.000473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HYPERLINK("http://141.218.60.56/~jnz1568/getInfo.php?workbook=06_02.xlsx&amp;sheet=U0&amp;row=2603&amp;col=6&amp;number=4.9&amp;sourceID=14","4.9")</f>
        <v>4.9</v>
      </c>
      <c r="G2603" s="4" t="str">
        <f>HYPERLINK("http://141.218.60.56/~jnz1568/getInfo.php?workbook=06_02.xlsx&amp;sheet=U0&amp;row=2603&amp;col=7&amp;number=0.000471&amp;sourceID=14","0.000471")</f>
        <v>0.000471</v>
      </c>
    </row>
    <row r="2604" spans="1:7">
      <c r="A2604" s="3">
        <v>6</v>
      </c>
      <c r="B2604" s="3">
        <v>2</v>
      </c>
      <c r="C2604" s="3">
        <v>3</v>
      </c>
      <c r="D2604" s="3">
        <v>48</v>
      </c>
      <c r="E2604" s="3">
        <v>1</v>
      </c>
      <c r="F2604" s="4" t="str">
        <f>HYPERLINK("http://141.218.60.56/~jnz1568/getInfo.php?workbook=06_02.xlsx&amp;sheet=U0&amp;row=2604&amp;col=6&amp;number=3&amp;sourceID=14","3")</f>
        <v>3</v>
      </c>
      <c r="G2604" s="4" t="str">
        <f>HYPERLINK("http://141.218.60.56/~jnz1568/getInfo.php?workbook=06_02.xlsx&amp;sheet=U0&amp;row=2604&amp;col=7&amp;number=0.00061&amp;sourceID=14","0.00061")</f>
        <v>0.00061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HYPERLINK("http://141.218.60.56/~jnz1568/getInfo.php?workbook=06_02.xlsx&amp;sheet=U0&amp;row=2605&amp;col=6&amp;number=3.1&amp;sourceID=14","3.1")</f>
        <v>3.1</v>
      </c>
      <c r="G2605" s="4" t="str">
        <f>HYPERLINK("http://141.218.60.56/~jnz1568/getInfo.php?workbook=06_02.xlsx&amp;sheet=U0&amp;row=2605&amp;col=7&amp;number=0.00061&amp;sourceID=14","0.00061")</f>
        <v>0.00061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HYPERLINK("http://141.218.60.56/~jnz1568/getInfo.php?workbook=06_02.xlsx&amp;sheet=U0&amp;row=2606&amp;col=6&amp;number=3.2&amp;sourceID=14","3.2")</f>
        <v>3.2</v>
      </c>
      <c r="G2606" s="4" t="str">
        <f>HYPERLINK("http://141.218.60.56/~jnz1568/getInfo.php?workbook=06_02.xlsx&amp;sheet=U0&amp;row=2606&amp;col=7&amp;number=0.000609&amp;sourceID=14","0.000609")</f>
        <v>0.000609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HYPERLINK("http://141.218.60.56/~jnz1568/getInfo.php?workbook=06_02.xlsx&amp;sheet=U0&amp;row=2607&amp;col=6&amp;number=3.3&amp;sourceID=14","3.3")</f>
        <v>3.3</v>
      </c>
      <c r="G2607" s="4" t="str">
        <f>HYPERLINK("http://141.218.60.56/~jnz1568/getInfo.php?workbook=06_02.xlsx&amp;sheet=U0&amp;row=2607&amp;col=7&amp;number=0.000609&amp;sourceID=14","0.000609")</f>
        <v>0.000609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HYPERLINK("http://141.218.60.56/~jnz1568/getInfo.php?workbook=06_02.xlsx&amp;sheet=U0&amp;row=2608&amp;col=6&amp;number=3.4&amp;sourceID=14","3.4")</f>
        <v>3.4</v>
      </c>
      <c r="G2608" s="4" t="str">
        <f>HYPERLINK("http://141.218.60.56/~jnz1568/getInfo.php?workbook=06_02.xlsx&amp;sheet=U0&amp;row=2608&amp;col=7&amp;number=0.000608&amp;sourceID=14","0.000608")</f>
        <v>0.000608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HYPERLINK("http://141.218.60.56/~jnz1568/getInfo.php?workbook=06_02.xlsx&amp;sheet=U0&amp;row=2609&amp;col=6&amp;number=3.5&amp;sourceID=14","3.5")</f>
        <v>3.5</v>
      </c>
      <c r="G2609" s="4" t="str">
        <f>HYPERLINK("http://141.218.60.56/~jnz1568/getInfo.php?workbook=06_02.xlsx&amp;sheet=U0&amp;row=2609&amp;col=7&amp;number=0.000607&amp;sourceID=14","0.000607")</f>
        <v>0.000607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HYPERLINK("http://141.218.60.56/~jnz1568/getInfo.php?workbook=06_02.xlsx&amp;sheet=U0&amp;row=2610&amp;col=6&amp;number=3.6&amp;sourceID=14","3.6")</f>
        <v>3.6</v>
      </c>
      <c r="G2610" s="4" t="str">
        <f>HYPERLINK("http://141.218.60.56/~jnz1568/getInfo.php?workbook=06_02.xlsx&amp;sheet=U0&amp;row=2610&amp;col=7&amp;number=0.000606&amp;sourceID=14","0.000606")</f>
        <v>0.000606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HYPERLINK("http://141.218.60.56/~jnz1568/getInfo.php?workbook=06_02.xlsx&amp;sheet=U0&amp;row=2611&amp;col=6&amp;number=3.7&amp;sourceID=14","3.7")</f>
        <v>3.7</v>
      </c>
      <c r="G2611" s="4" t="str">
        <f>HYPERLINK("http://141.218.60.56/~jnz1568/getInfo.php?workbook=06_02.xlsx&amp;sheet=U0&amp;row=2611&amp;col=7&amp;number=0.000605&amp;sourceID=14","0.000605")</f>
        <v>0.000605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HYPERLINK("http://141.218.60.56/~jnz1568/getInfo.php?workbook=06_02.xlsx&amp;sheet=U0&amp;row=2612&amp;col=6&amp;number=3.8&amp;sourceID=14","3.8")</f>
        <v>3.8</v>
      </c>
      <c r="G2612" s="4" t="str">
        <f>HYPERLINK("http://141.218.60.56/~jnz1568/getInfo.php?workbook=06_02.xlsx&amp;sheet=U0&amp;row=2612&amp;col=7&amp;number=0.000603&amp;sourceID=14","0.000603")</f>
        <v>0.000603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HYPERLINK("http://141.218.60.56/~jnz1568/getInfo.php?workbook=06_02.xlsx&amp;sheet=U0&amp;row=2613&amp;col=6&amp;number=3.9&amp;sourceID=14","3.9")</f>
        <v>3.9</v>
      </c>
      <c r="G2613" s="4" t="str">
        <f>HYPERLINK("http://141.218.60.56/~jnz1568/getInfo.php?workbook=06_02.xlsx&amp;sheet=U0&amp;row=2613&amp;col=7&amp;number=0.000601&amp;sourceID=14","0.000601")</f>
        <v>0.000601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HYPERLINK("http://141.218.60.56/~jnz1568/getInfo.php?workbook=06_02.xlsx&amp;sheet=U0&amp;row=2614&amp;col=6&amp;number=4&amp;sourceID=14","4")</f>
        <v>4</v>
      </c>
      <c r="G2614" s="4" t="str">
        <f>HYPERLINK("http://141.218.60.56/~jnz1568/getInfo.php?workbook=06_02.xlsx&amp;sheet=U0&amp;row=2614&amp;col=7&amp;number=0.000599&amp;sourceID=14","0.000599")</f>
        <v>0.000599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HYPERLINK("http://141.218.60.56/~jnz1568/getInfo.php?workbook=06_02.xlsx&amp;sheet=U0&amp;row=2615&amp;col=6&amp;number=4.1&amp;sourceID=14","4.1")</f>
        <v>4.1</v>
      </c>
      <c r="G2615" s="4" t="str">
        <f>HYPERLINK("http://141.218.60.56/~jnz1568/getInfo.php?workbook=06_02.xlsx&amp;sheet=U0&amp;row=2615&amp;col=7&amp;number=0.000596&amp;sourceID=14","0.000596")</f>
        <v>0.000596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HYPERLINK("http://141.218.60.56/~jnz1568/getInfo.php?workbook=06_02.xlsx&amp;sheet=U0&amp;row=2616&amp;col=6&amp;number=4.2&amp;sourceID=14","4.2")</f>
        <v>4.2</v>
      </c>
      <c r="G2616" s="4" t="str">
        <f>HYPERLINK("http://141.218.60.56/~jnz1568/getInfo.php?workbook=06_02.xlsx&amp;sheet=U0&amp;row=2616&amp;col=7&amp;number=0.000592&amp;sourceID=14","0.000592")</f>
        <v>0.000592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HYPERLINK("http://141.218.60.56/~jnz1568/getInfo.php?workbook=06_02.xlsx&amp;sheet=U0&amp;row=2617&amp;col=6&amp;number=4.3&amp;sourceID=14","4.3")</f>
        <v>4.3</v>
      </c>
      <c r="G2617" s="4" t="str">
        <f>HYPERLINK("http://141.218.60.56/~jnz1568/getInfo.php?workbook=06_02.xlsx&amp;sheet=U0&amp;row=2617&amp;col=7&amp;number=0.000587&amp;sourceID=14","0.000587")</f>
        <v>0.000587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HYPERLINK("http://141.218.60.56/~jnz1568/getInfo.php?workbook=06_02.xlsx&amp;sheet=U0&amp;row=2618&amp;col=6&amp;number=4.4&amp;sourceID=14","4.4")</f>
        <v>4.4</v>
      </c>
      <c r="G2618" s="4" t="str">
        <f>HYPERLINK("http://141.218.60.56/~jnz1568/getInfo.php?workbook=06_02.xlsx&amp;sheet=U0&amp;row=2618&amp;col=7&amp;number=0.000581&amp;sourceID=14","0.000581")</f>
        <v>0.000581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HYPERLINK("http://141.218.60.56/~jnz1568/getInfo.php?workbook=06_02.xlsx&amp;sheet=U0&amp;row=2619&amp;col=6&amp;number=4.5&amp;sourceID=14","4.5")</f>
        <v>4.5</v>
      </c>
      <c r="G2619" s="4" t="str">
        <f>HYPERLINK("http://141.218.60.56/~jnz1568/getInfo.php?workbook=06_02.xlsx&amp;sheet=U0&amp;row=2619&amp;col=7&amp;number=0.000574&amp;sourceID=14","0.000574")</f>
        <v>0.000574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HYPERLINK("http://141.218.60.56/~jnz1568/getInfo.php?workbook=06_02.xlsx&amp;sheet=U0&amp;row=2620&amp;col=6&amp;number=4.6&amp;sourceID=14","4.6")</f>
        <v>4.6</v>
      </c>
      <c r="G2620" s="4" t="str">
        <f>HYPERLINK("http://141.218.60.56/~jnz1568/getInfo.php?workbook=06_02.xlsx&amp;sheet=U0&amp;row=2620&amp;col=7&amp;number=0.000565&amp;sourceID=14","0.000565")</f>
        <v>0.000565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HYPERLINK("http://141.218.60.56/~jnz1568/getInfo.php?workbook=06_02.xlsx&amp;sheet=U0&amp;row=2621&amp;col=6&amp;number=4.7&amp;sourceID=14","4.7")</f>
        <v>4.7</v>
      </c>
      <c r="G2621" s="4" t="str">
        <f>HYPERLINK("http://141.218.60.56/~jnz1568/getInfo.php?workbook=06_02.xlsx&amp;sheet=U0&amp;row=2621&amp;col=7&amp;number=0.000554&amp;sourceID=14","0.000554")</f>
        <v>0.000554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HYPERLINK("http://141.218.60.56/~jnz1568/getInfo.php?workbook=06_02.xlsx&amp;sheet=U0&amp;row=2622&amp;col=6&amp;number=4.8&amp;sourceID=14","4.8")</f>
        <v>4.8</v>
      </c>
      <c r="G2622" s="4" t="str">
        <f>HYPERLINK("http://141.218.60.56/~jnz1568/getInfo.php?workbook=06_02.xlsx&amp;sheet=U0&amp;row=2622&amp;col=7&amp;number=0.00054&amp;sourceID=14","0.00054")</f>
        <v>0.00054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HYPERLINK("http://141.218.60.56/~jnz1568/getInfo.php?workbook=06_02.xlsx&amp;sheet=U0&amp;row=2623&amp;col=6&amp;number=4.9&amp;sourceID=14","4.9")</f>
        <v>4.9</v>
      </c>
      <c r="G2623" s="4" t="str">
        <f>HYPERLINK("http://141.218.60.56/~jnz1568/getInfo.php?workbook=06_02.xlsx&amp;sheet=U0&amp;row=2623&amp;col=7&amp;number=0.000524&amp;sourceID=14","0.000524")</f>
        <v>0.000524</v>
      </c>
    </row>
    <row r="2624" spans="1:7">
      <c r="A2624" s="3">
        <v>6</v>
      </c>
      <c r="B2624" s="3">
        <v>2</v>
      </c>
      <c r="C2624" s="3">
        <v>3</v>
      </c>
      <c r="D2624" s="3">
        <v>49</v>
      </c>
      <c r="E2624" s="3">
        <v>1</v>
      </c>
      <c r="F2624" s="4" t="str">
        <f>HYPERLINK("http://141.218.60.56/~jnz1568/getInfo.php?workbook=06_02.xlsx&amp;sheet=U0&amp;row=2624&amp;col=6&amp;number=3&amp;sourceID=14","3")</f>
        <v>3</v>
      </c>
      <c r="G2624" s="4" t="str">
        <f>HYPERLINK("http://141.218.60.56/~jnz1568/getInfo.php?workbook=06_02.xlsx&amp;sheet=U0&amp;row=2624&amp;col=7&amp;number=0.000484&amp;sourceID=14","0.000484")</f>
        <v>0.000484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HYPERLINK("http://141.218.60.56/~jnz1568/getInfo.php?workbook=06_02.xlsx&amp;sheet=U0&amp;row=2625&amp;col=6&amp;number=3.1&amp;sourceID=14","3.1")</f>
        <v>3.1</v>
      </c>
      <c r="G2625" s="4" t="str">
        <f>HYPERLINK("http://141.218.60.56/~jnz1568/getInfo.php?workbook=06_02.xlsx&amp;sheet=U0&amp;row=2625&amp;col=7&amp;number=0.000484&amp;sourceID=14","0.000484")</f>
        <v>0.000484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HYPERLINK("http://141.218.60.56/~jnz1568/getInfo.php?workbook=06_02.xlsx&amp;sheet=U0&amp;row=2626&amp;col=6&amp;number=3.2&amp;sourceID=14","3.2")</f>
        <v>3.2</v>
      </c>
      <c r="G2626" s="4" t="str">
        <f>HYPERLINK("http://141.218.60.56/~jnz1568/getInfo.php?workbook=06_02.xlsx&amp;sheet=U0&amp;row=2626&amp;col=7&amp;number=0.000484&amp;sourceID=14","0.000484")</f>
        <v>0.000484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HYPERLINK("http://141.218.60.56/~jnz1568/getInfo.php?workbook=06_02.xlsx&amp;sheet=U0&amp;row=2627&amp;col=6&amp;number=3.3&amp;sourceID=14","3.3")</f>
        <v>3.3</v>
      </c>
      <c r="G2627" s="4" t="str">
        <f>HYPERLINK("http://141.218.60.56/~jnz1568/getInfo.php?workbook=06_02.xlsx&amp;sheet=U0&amp;row=2627&amp;col=7&amp;number=0.000484&amp;sourceID=14","0.000484")</f>
        <v>0.000484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HYPERLINK("http://141.218.60.56/~jnz1568/getInfo.php?workbook=06_02.xlsx&amp;sheet=U0&amp;row=2628&amp;col=6&amp;number=3.4&amp;sourceID=14","3.4")</f>
        <v>3.4</v>
      </c>
      <c r="G2628" s="4" t="str">
        <f>HYPERLINK("http://141.218.60.56/~jnz1568/getInfo.php?workbook=06_02.xlsx&amp;sheet=U0&amp;row=2628&amp;col=7&amp;number=0.000484&amp;sourceID=14","0.000484")</f>
        <v>0.000484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HYPERLINK("http://141.218.60.56/~jnz1568/getInfo.php?workbook=06_02.xlsx&amp;sheet=U0&amp;row=2629&amp;col=6&amp;number=3.5&amp;sourceID=14","3.5")</f>
        <v>3.5</v>
      </c>
      <c r="G2629" s="4" t="str">
        <f>HYPERLINK("http://141.218.60.56/~jnz1568/getInfo.php?workbook=06_02.xlsx&amp;sheet=U0&amp;row=2629&amp;col=7&amp;number=0.000484&amp;sourceID=14","0.000484")</f>
        <v>0.000484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HYPERLINK("http://141.218.60.56/~jnz1568/getInfo.php?workbook=06_02.xlsx&amp;sheet=U0&amp;row=2630&amp;col=6&amp;number=3.6&amp;sourceID=14","3.6")</f>
        <v>3.6</v>
      </c>
      <c r="G2630" s="4" t="str">
        <f>HYPERLINK("http://141.218.60.56/~jnz1568/getInfo.php?workbook=06_02.xlsx&amp;sheet=U0&amp;row=2630&amp;col=7&amp;number=0.000484&amp;sourceID=14","0.000484")</f>
        <v>0.000484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HYPERLINK("http://141.218.60.56/~jnz1568/getInfo.php?workbook=06_02.xlsx&amp;sheet=U0&amp;row=2631&amp;col=6&amp;number=3.7&amp;sourceID=14","3.7")</f>
        <v>3.7</v>
      </c>
      <c r="G2631" s="4" t="str">
        <f>HYPERLINK("http://141.218.60.56/~jnz1568/getInfo.php?workbook=06_02.xlsx&amp;sheet=U0&amp;row=2631&amp;col=7&amp;number=0.000484&amp;sourceID=14","0.000484")</f>
        <v>0.000484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HYPERLINK("http://141.218.60.56/~jnz1568/getInfo.php?workbook=06_02.xlsx&amp;sheet=U0&amp;row=2632&amp;col=6&amp;number=3.8&amp;sourceID=14","3.8")</f>
        <v>3.8</v>
      </c>
      <c r="G2632" s="4" t="str">
        <f>HYPERLINK("http://141.218.60.56/~jnz1568/getInfo.php?workbook=06_02.xlsx&amp;sheet=U0&amp;row=2632&amp;col=7&amp;number=0.000484&amp;sourceID=14","0.000484")</f>
        <v>0.000484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HYPERLINK("http://141.218.60.56/~jnz1568/getInfo.php?workbook=06_02.xlsx&amp;sheet=U0&amp;row=2633&amp;col=6&amp;number=3.9&amp;sourceID=14","3.9")</f>
        <v>3.9</v>
      </c>
      <c r="G2633" s="4" t="str">
        <f>HYPERLINK("http://141.218.60.56/~jnz1568/getInfo.php?workbook=06_02.xlsx&amp;sheet=U0&amp;row=2633&amp;col=7&amp;number=0.000484&amp;sourceID=14","0.000484")</f>
        <v>0.000484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HYPERLINK("http://141.218.60.56/~jnz1568/getInfo.php?workbook=06_02.xlsx&amp;sheet=U0&amp;row=2634&amp;col=6&amp;number=4&amp;sourceID=14","4")</f>
        <v>4</v>
      </c>
      <c r="G2634" s="4" t="str">
        <f>HYPERLINK("http://141.218.60.56/~jnz1568/getInfo.php?workbook=06_02.xlsx&amp;sheet=U0&amp;row=2634&amp;col=7&amp;number=0.000484&amp;sourceID=14","0.000484")</f>
        <v>0.000484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HYPERLINK("http://141.218.60.56/~jnz1568/getInfo.php?workbook=06_02.xlsx&amp;sheet=U0&amp;row=2635&amp;col=6&amp;number=4.1&amp;sourceID=14","4.1")</f>
        <v>4.1</v>
      </c>
      <c r="G2635" s="4" t="str">
        <f>HYPERLINK("http://141.218.60.56/~jnz1568/getInfo.php?workbook=06_02.xlsx&amp;sheet=U0&amp;row=2635&amp;col=7&amp;number=0.000484&amp;sourceID=14","0.000484")</f>
        <v>0.000484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HYPERLINK("http://141.218.60.56/~jnz1568/getInfo.php?workbook=06_02.xlsx&amp;sheet=U0&amp;row=2636&amp;col=6&amp;number=4.2&amp;sourceID=14","4.2")</f>
        <v>4.2</v>
      </c>
      <c r="G2636" s="4" t="str">
        <f>HYPERLINK("http://141.218.60.56/~jnz1568/getInfo.php?workbook=06_02.xlsx&amp;sheet=U0&amp;row=2636&amp;col=7&amp;number=0.000484&amp;sourceID=14","0.000484")</f>
        <v>0.000484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HYPERLINK("http://141.218.60.56/~jnz1568/getInfo.php?workbook=06_02.xlsx&amp;sheet=U0&amp;row=2637&amp;col=6&amp;number=4.3&amp;sourceID=14","4.3")</f>
        <v>4.3</v>
      </c>
      <c r="G2637" s="4" t="str">
        <f>HYPERLINK("http://141.218.60.56/~jnz1568/getInfo.php?workbook=06_02.xlsx&amp;sheet=U0&amp;row=2637&amp;col=7&amp;number=0.000484&amp;sourceID=14","0.000484")</f>
        <v>0.000484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HYPERLINK("http://141.218.60.56/~jnz1568/getInfo.php?workbook=06_02.xlsx&amp;sheet=U0&amp;row=2638&amp;col=6&amp;number=4.4&amp;sourceID=14","4.4")</f>
        <v>4.4</v>
      </c>
      <c r="G2638" s="4" t="str">
        <f>HYPERLINK("http://141.218.60.56/~jnz1568/getInfo.php?workbook=06_02.xlsx&amp;sheet=U0&amp;row=2638&amp;col=7&amp;number=0.000484&amp;sourceID=14","0.000484")</f>
        <v>0.000484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HYPERLINK("http://141.218.60.56/~jnz1568/getInfo.php?workbook=06_02.xlsx&amp;sheet=U0&amp;row=2639&amp;col=6&amp;number=4.5&amp;sourceID=14","4.5")</f>
        <v>4.5</v>
      </c>
      <c r="G2639" s="4" t="str">
        <f>HYPERLINK("http://141.218.60.56/~jnz1568/getInfo.php?workbook=06_02.xlsx&amp;sheet=U0&amp;row=2639&amp;col=7&amp;number=0.000483&amp;sourceID=14","0.000483")</f>
        <v>0.000483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HYPERLINK("http://141.218.60.56/~jnz1568/getInfo.php?workbook=06_02.xlsx&amp;sheet=U0&amp;row=2640&amp;col=6&amp;number=4.6&amp;sourceID=14","4.6")</f>
        <v>4.6</v>
      </c>
      <c r="G2640" s="4" t="str">
        <f>HYPERLINK("http://141.218.60.56/~jnz1568/getInfo.php?workbook=06_02.xlsx&amp;sheet=U0&amp;row=2640&amp;col=7&amp;number=0.000483&amp;sourceID=14","0.000483")</f>
        <v>0.000483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HYPERLINK("http://141.218.60.56/~jnz1568/getInfo.php?workbook=06_02.xlsx&amp;sheet=U0&amp;row=2641&amp;col=6&amp;number=4.7&amp;sourceID=14","4.7")</f>
        <v>4.7</v>
      </c>
      <c r="G2641" s="4" t="str">
        <f>HYPERLINK("http://141.218.60.56/~jnz1568/getInfo.php?workbook=06_02.xlsx&amp;sheet=U0&amp;row=2641&amp;col=7&amp;number=0.000483&amp;sourceID=14","0.000483")</f>
        <v>0.000483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HYPERLINK("http://141.218.60.56/~jnz1568/getInfo.php?workbook=06_02.xlsx&amp;sheet=U0&amp;row=2642&amp;col=6&amp;number=4.8&amp;sourceID=14","4.8")</f>
        <v>4.8</v>
      </c>
      <c r="G2642" s="4" t="str">
        <f>HYPERLINK("http://141.218.60.56/~jnz1568/getInfo.php?workbook=06_02.xlsx&amp;sheet=U0&amp;row=2642&amp;col=7&amp;number=0.000483&amp;sourceID=14","0.000483")</f>
        <v>0.000483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HYPERLINK("http://141.218.60.56/~jnz1568/getInfo.php?workbook=06_02.xlsx&amp;sheet=U0&amp;row=2643&amp;col=6&amp;number=4.9&amp;sourceID=14","4.9")</f>
        <v>4.9</v>
      </c>
      <c r="G2643" s="4" t="str">
        <f>HYPERLINK("http://141.218.60.56/~jnz1568/getInfo.php?workbook=06_02.xlsx&amp;sheet=U0&amp;row=2643&amp;col=7&amp;number=0.000483&amp;sourceID=14","0.000483")</f>
        <v>0.000483</v>
      </c>
    </row>
    <row r="2644" spans="1:7">
      <c r="A2644" s="3">
        <v>6</v>
      </c>
      <c r="B2644" s="3">
        <v>2</v>
      </c>
      <c r="C2644" s="3">
        <v>2</v>
      </c>
      <c r="D2644" s="3">
        <v>4</v>
      </c>
      <c r="E2644" s="3">
        <v>1</v>
      </c>
      <c r="F2644" s="4" t="str">
        <f>HYPERLINK("http://141.218.60.56/~jnz1568/getInfo.php?workbook=06_02.xlsx&amp;sheet=U0&amp;row=2644&amp;col=6&amp;number=3&amp;sourceID=14","3")</f>
        <v>3</v>
      </c>
      <c r="G2644" s="4" t="str">
        <f>HYPERLINK("http://141.218.60.56/~jnz1568/getInfo.php?workbook=06_02.xlsx&amp;sheet=U0&amp;row=2644&amp;col=7&amp;number=1.51&amp;sourceID=14","1.51")</f>
        <v>1.51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HYPERLINK("http://141.218.60.56/~jnz1568/getInfo.php?workbook=06_02.xlsx&amp;sheet=U0&amp;row=2645&amp;col=6&amp;number=3.1&amp;sourceID=14","3.1")</f>
        <v>3.1</v>
      </c>
      <c r="G2645" s="4" t="str">
        <f>HYPERLINK("http://141.218.60.56/~jnz1568/getInfo.php?workbook=06_02.xlsx&amp;sheet=U0&amp;row=2645&amp;col=7&amp;number=1.51&amp;sourceID=14","1.51")</f>
        <v>1.51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HYPERLINK("http://141.218.60.56/~jnz1568/getInfo.php?workbook=06_02.xlsx&amp;sheet=U0&amp;row=2646&amp;col=6&amp;number=3.2&amp;sourceID=14","3.2")</f>
        <v>3.2</v>
      </c>
      <c r="G2646" s="4" t="str">
        <f>HYPERLINK("http://141.218.60.56/~jnz1568/getInfo.php?workbook=06_02.xlsx&amp;sheet=U0&amp;row=2646&amp;col=7&amp;number=1.52&amp;sourceID=14","1.52")</f>
        <v>1.52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HYPERLINK("http://141.218.60.56/~jnz1568/getInfo.php?workbook=06_02.xlsx&amp;sheet=U0&amp;row=2647&amp;col=6&amp;number=3.3&amp;sourceID=14","3.3")</f>
        <v>3.3</v>
      </c>
      <c r="G2647" s="4" t="str">
        <f>HYPERLINK("http://141.218.60.56/~jnz1568/getInfo.php?workbook=06_02.xlsx&amp;sheet=U0&amp;row=2647&amp;col=7&amp;number=1.52&amp;sourceID=14","1.52")</f>
        <v>1.52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HYPERLINK("http://141.218.60.56/~jnz1568/getInfo.php?workbook=06_02.xlsx&amp;sheet=U0&amp;row=2648&amp;col=6&amp;number=3.4&amp;sourceID=14","3.4")</f>
        <v>3.4</v>
      </c>
      <c r="G2648" s="4" t="str">
        <f>HYPERLINK("http://141.218.60.56/~jnz1568/getInfo.php?workbook=06_02.xlsx&amp;sheet=U0&amp;row=2648&amp;col=7&amp;number=1.52&amp;sourceID=14","1.52")</f>
        <v>1.52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HYPERLINK("http://141.218.60.56/~jnz1568/getInfo.php?workbook=06_02.xlsx&amp;sheet=U0&amp;row=2649&amp;col=6&amp;number=3.5&amp;sourceID=14","3.5")</f>
        <v>3.5</v>
      </c>
      <c r="G2649" s="4" t="str">
        <f>HYPERLINK("http://141.218.60.56/~jnz1568/getInfo.php?workbook=06_02.xlsx&amp;sheet=U0&amp;row=2649&amp;col=7&amp;number=1.52&amp;sourceID=14","1.52")</f>
        <v>1.52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HYPERLINK("http://141.218.60.56/~jnz1568/getInfo.php?workbook=06_02.xlsx&amp;sheet=U0&amp;row=2650&amp;col=6&amp;number=3.6&amp;sourceID=14","3.6")</f>
        <v>3.6</v>
      </c>
      <c r="G2650" s="4" t="str">
        <f>HYPERLINK("http://141.218.60.56/~jnz1568/getInfo.php?workbook=06_02.xlsx&amp;sheet=U0&amp;row=2650&amp;col=7&amp;number=1.52&amp;sourceID=14","1.52")</f>
        <v>1.52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HYPERLINK("http://141.218.60.56/~jnz1568/getInfo.php?workbook=06_02.xlsx&amp;sheet=U0&amp;row=2651&amp;col=6&amp;number=3.7&amp;sourceID=14","3.7")</f>
        <v>3.7</v>
      </c>
      <c r="G2651" s="4" t="str">
        <f>HYPERLINK("http://141.218.60.56/~jnz1568/getInfo.php?workbook=06_02.xlsx&amp;sheet=U0&amp;row=2651&amp;col=7&amp;number=1.53&amp;sourceID=14","1.53")</f>
        <v>1.53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HYPERLINK("http://141.218.60.56/~jnz1568/getInfo.php?workbook=06_02.xlsx&amp;sheet=U0&amp;row=2652&amp;col=6&amp;number=3.8&amp;sourceID=14","3.8")</f>
        <v>3.8</v>
      </c>
      <c r="G2652" s="4" t="str">
        <f>HYPERLINK("http://141.218.60.56/~jnz1568/getInfo.php?workbook=06_02.xlsx&amp;sheet=U0&amp;row=2652&amp;col=7&amp;number=1.53&amp;sourceID=14","1.53")</f>
        <v>1.53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HYPERLINK("http://141.218.60.56/~jnz1568/getInfo.php?workbook=06_02.xlsx&amp;sheet=U0&amp;row=2653&amp;col=6&amp;number=3.9&amp;sourceID=14","3.9")</f>
        <v>3.9</v>
      </c>
      <c r="G2653" s="4" t="str">
        <f>HYPERLINK("http://141.218.60.56/~jnz1568/getInfo.php?workbook=06_02.xlsx&amp;sheet=U0&amp;row=2653&amp;col=7&amp;number=1.53&amp;sourceID=14","1.53")</f>
        <v>1.53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HYPERLINK("http://141.218.60.56/~jnz1568/getInfo.php?workbook=06_02.xlsx&amp;sheet=U0&amp;row=2654&amp;col=6&amp;number=4&amp;sourceID=14","4")</f>
        <v>4</v>
      </c>
      <c r="G2654" s="4" t="str">
        <f>HYPERLINK("http://141.218.60.56/~jnz1568/getInfo.php?workbook=06_02.xlsx&amp;sheet=U0&amp;row=2654&amp;col=7&amp;number=1.54&amp;sourceID=14","1.54")</f>
        <v>1.54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HYPERLINK("http://141.218.60.56/~jnz1568/getInfo.php?workbook=06_02.xlsx&amp;sheet=U0&amp;row=2655&amp;col=6&amp;number=4.1&amp;sourceID=14","4.1")</f>
        <v>4.1</v>
      </c>
      <c r="G2655" s="4" t="str">
        <f>HYPERLINK("http://141.218.60.56/~jnz1568/getInfo.php?workbook=06_02.xlsx&amp;sheet=U0&amp;row=2655&amp;col=7&amp;number=1.55&amp;sourceID=14","1.55")</f>
        <v>1.55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HYPERLINK("http://141.218.60.56/~jnz1568/getInfo.php?workbook=06_02.xlsx&amp;sheet=U0&amp;row=2656&amp;col=6&amp;number=4.2&amp;sourceID=14","4.2")</f>
        <v>4.2</v>
      </c>
      <c r="G2656" s="4" t="str">
        <f>HYPERLINK("http://141.218.60.56/~jnz1568/getInfo.php?workbook=06_02.xlsx&amp;sheet=U0&amp;row=2656&amp;col=7&amp;number=1.56&amp;sourceID=14","1.56")</f>
        <v>1.56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HYPERLINK("http://141.218.60.56/~jnz1568/getInfo.php?workbook=06_02.xlsx&amp;sheet=U0&amp;row=2657&amp;col=6&amp;number=4.3&amp;sourceID=14","4.3")</f>
        <v>4.3</v>
      </c>
      <c r="G2657" s="4" t="str">
        <f>HYPERLINK("http://141.218.60.56/~jnz1568/getInfo.php?workbook=06_02.xlsx&amp;sheet=U0&amp;row=2657&amp;col=7&amp;number=1.57&amp;sourceID=14","1.57")</f>
        <v>1.57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HYPERLINK("http://141.218.60.56/~jnz1568/getInfo.php?workbook=06_02.xlsx&amp;sheet=U0&amp;row=2658&amp;col=6&amp;number=4.4&amp;sourceID=14","4.4")</f>
        <v>4.4</v>
      </c>
      <c r="G2658" s="4" t="str">
        <f>HYPERLINK("http://141.218.60.56/~jnz1568/getInfo.php?workbook=06_02.xlsx&amp;sheet=U0&amp;row=2658&amp;col=7&amp;number=1.58&amp;sourceID=14","1.58")</f>
        <v>1.58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HYPERLINK("http://141.218.60.56/~jnz1568/getInfo.php?workbook=06_02.xlsx&amp;sheet=U0&amp;row=2659&amp;col=6&amp;number=4.5&amp;sourceID=14","4.5")</f>
        <v>4.5</v>
      </c>
      <c r="G2659" s="4" t="str">
        <f>HYPERLINK("http://141.218.60.56/~jnz1568/getInfo.php?workbook=06_02.xlsx&amp;sheet=U0&amp;row=2659&amp;col=7&amp;number=1.6&amp;sourceID=14","1.6")</f>
        <v>1.6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HYPERLINK("http://141.218.60.56/~jnz1568/getInfo.php?workbook=06_02.xlsx&amp;sheet=U0&amp;row=2660&amp;col=6&amp;number=4.6&amp;sourceID=14","4.6")</f>
        <v>4.6</v>
      </c>
      <c r="G2660" s="4" t="str">
        <f>HYPERLINK("http://141.218.60.56/~jnz1568/getInfo.php?workbook=06_02.xlsx&amp;sheet=U0&amp;row=2660&amp;col=7&amp;number=1.61&amp;sourceID=14","1.61")</f>
        <v>1.61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HYPERLINK("http://141.218.60.56/~jnz1568/getInfo.php?workbook=06_02.xlsx&amp;sheet=U0&amp;row=2661&amp;col=6&amp;number=4.7&amp;sourceID=14","4.7")</f>
        <v>4.7</v>
      </c>
      <c r="G2661" s="4" t="str">
        <f>HYPERLINK("http://141.218.60.56/~jnz1568/getInfo.php?workbook=06_02.xlsx&amp;sheet=U0&amp;row=2661&amp;col=7&amp;number=1.63&amp;sourceID=14","1.63")</f>
        <v>1.63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HYPERLINK("http://141.218.60.56/~jnz1568/getInfo.php?workbook=06_02.xlsx&amp;sheet=U0&amp;row=2662&amp;col=6&amp;number=4.8&amp;sourceID=14","4.8")</f>
        <v>4.8</v>
      </c>
      <c r="G2662" s="4" t="str">
        <f>HYPERLINK("http://141.218.60.56/~jnz1568/getInfo.php?workbook=06_02.xlsx&amp;sheet=U0&amp;row=2662&amp;col=7&amp;number=1.66&amp;sourceID=14","1.66")</f>
        <v>1.66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HYPERLINK("http://141.218.60.56/~jnz1568/getInfo.php?workbook=06_02.xlsx&amp;sheet=U0&amp;row=2663&amp;col=6&amp;number=4.9&amp;sourceID=14","4.9")</f>
        <v>4.9</v>
      </c>
      <c r="G2663" s="4" t="str">
        <f>HYPERLINK("http://141.218.60.56/~jnz1568/getInfo.php?workbook=06_02.xlsx&amp;sheet=U0&amp;row=2663&amp;col=7&amp;number=1.68&amp;sourceID=14","1.68")</f>
        <v>1.68</v>
      </c>
    </row>
    <row r="2664" spans="1:7">
      <c r="A2664" s="3">
        <v>6</v>
      </c>
      <c r="B2664" s="3">
        <v>2</v>
      </c>
      <c r="C2664" s="3">
        <v>2</v>
      </c>
      <c r="D2664" s="3">
        <v>5</v>
      </c>
      <c r="E2664" s="3">
        <v>1</v>
      </c>
      <c r="F2664" s="4" t="str">
        <f>HYPERLINK("http://141.218.60.56/~jnz1568/getInfo.php?workbook=06_02.xlsx&amp;sheet=U0&amp;row=2664&amp;col=6&amp;number=3&amp;sourceID=14","3")</f>
        <v>3</v>
      </c>
      <c r="G2664" s="4" t="str">
        <f>HYPERLINK("http://141.218.60.56/~jnz1568/getInfo.php?workbook=06_02.xlsx&amp;sheet=U0&amp;row=2664&amp;col=7&amp;number=4.7&amp;sourceID=14","4.7")</f>
        <v>4.7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HYPERLINK("http://141.218.60.56/~jnz1568/getInfo.php?workbook=06_02.xlsx&amp;sheet=U0&amp;row=2665&amp;col=6&amp;number=3.1&amp;sourceID=14","3.1")</f>
        <v>3.1</v>
      </c>
      <c r="G2665" s="4" t="str">
        <f>HYPERLINK("http://141.218.60.56/~jnz1568/getInfo.php?workbook=06_02.xlsx&amp;sheet=U0&amp;row=2665&amp;col=7&amp;number=4.7&amp;sourceID=14","4.7")</f>
        <v>4.7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HYPERLINK("http://141.218.60.56/~jnz1568/getInfo.php?workbook=06_02.xlsx&amp;sheet=U0&amp;row=2666&amp;col=6&amp;number=3.2&amp;sourceID=14","3.2")</f>
        <v>3.2</v>
      </c>
      <c r="G2666" s="4" t="str">
        <f>HYPERLINK("http://141.218.60.56/~jnz1568/getInfo.php?workbook=06_02.xlsx&amp;sheet=U0&amp;row=2666&amp;col=7&amp;number=4.71&amp;sourceID=14","4.71")</f>
        <v>4.71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HYPERLINK("http://141.218.60.56/~jnz1568/getInfo.php?workbook=06_02.xlsx&amp;sheet=U0&amp;row=2667&amp;col=6&amp;number=3.3&amp;sourceID=14","3.3")</f>
        <v>3.3</v>
      </c>
      <c r="G2667" s="4" t="str">
        <f>HYPERLINK("http://141.218.60.56/~jnz1568/getInfo.php?workbook=06_02.xlsx&amp;sheet=U0&amp;row=2667&amp;col=7&amp;number=4.71&amp;sourceID=14","4.71")</f>
        <v>4.71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HYPERLINK("http://141.218.60.56/~jnz1568/getInfo.php?workbook=06_02.xlsx&amp;sheet=U0&amp;row=2668&amp;col=6&amp;number=3.4&amp;sourceID=14","3.4")</f>
        <v>3.4</v>
      </c>
      <c r="G2668" s="4" t="str">
        <f>HYPERLINK("http://141.218.60.56/~jnz1568/getInfo.php?workbook=06_02.xlsx&amp;sheet=U0&amp;row=2668&amp;col=7&amp;number=4.71&amp;sourceID=14","4.71")</f>
        <v>4.71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HYPERLINK("http://141.218.60.56/~jnz1568/getInfo.php?workbook=06_02.xlsx&amp;sheet=U0&amp;row=2669&amp;col=6&amp;number=3.5&amp;sourceID=14","3.5")</f>
        <v>3.5</v>
      </c>
      <c r="G2669" s="4" t="str">
        <f>HYPERLINK("http://141.218.60.56/~jnz1568/getInfo.php?workbook=06_02.xlsx&amp;sheet=U0&amp;row=2669&amp;col=7&amp;number=4.71&amp;sourceID=14","4.71")</f>
        <v>4.71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HYPERLINK("http://141.218.60.56/~jnz1568/getInfo.php?workbook=06_02.xlsx&amp;sheet=U0&amp;row=2670&amp;col=6&amp;number=3.6&amp;sourceID=14","3.6")</f>
        <v>3.6</v>
      </c>
      <c r="G2670" s="4" t="str">
        <f>HYPERLINK("http://141.218.60.56/~jnz1568/getInfo.php?workbook=06_02.xlsx&amp;sheet=U0&amp;row=2670&amp;col=7&amp;number=4.72&amp;sourceID=14","4.72")</f>
        <v>4.72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HYPERLINK("http://141.218.60.56/~jnz1568/getInfo.php?workbook=06_02.xlsx&amp;sheet=U0&amp;row=2671&amp;col=6&amp;number=3.7&amp;sourceID=14","3.7")</f>
        <v>3.7</v>
      </c>
      <c r="G2671" s="4" t="str">
        <f>HYPERLINK("http://141.218.60.56/~jnz1568/getInfo.php?workbook=06_02.xlsx&amp;sheet=U0&amp;row=2671&amp;col=7&amp;number=4.73&amp;sourceID=14","4.73")</f>
        <v>4.73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HYPERLINK("http://141.218.60.56/~jnz1568/getInfo.php?workbook=06_02.xlsx&amp;sheet=U0&amp;row=2672&amp;col=6&amp;number=3.8&amp;sourceID=14","3.8")</f>
        <v>3.8</v>
      </c>
      <c r="G2672" s="4" t="str">
        <f>HYPERLINK("http://141.218.60.56/~jnz1568/getInfo.php?workbook=06_02.xlsx&amp;sheet=U0&amp;row=2672&amp;col=7&amp;number=4.73&amp;sourceID=14","4.73")</f>
        <v>4.73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HYPERLINK("http://141.218.60.56/~jnz1568/getInfo.php?workbook=06_02.xlsx&amp;sheet=U0&amp;row=2673&amp;col=6&amp;number=3.9&amp;sourceID=14","3.9")</f>
        <v>3.9</v>
      </c>
      <c r="G2673" s="4" t="str">
        <f>HYPERLINK("http://141.218.60.56/~jnz1568/getInfo.php?workbook=06_02.xlsx&amp;sheet=U0&amp;row=2673&amp;col=7&amp;number=4.74&amp;sourceID=14","4.74")</f>
        <v>4.74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HYPERLINK("http://141.218.60.56/~jnz1568/getInfo.php?workbook=06_02.xlsx&amp;sheet=U0&amp;row=2674&amp;col=6&amp;number=4&amp;sourceID=14","4")</f>
        <v>4</v>
      </c>
      <c r="G2674" s="4" t="str">
        <f>HYPERLINK("http://141.218.60.56/~jnz1568/getInfo.php?workbook=06_02.xlsx&amp;sheet=U0&amp;row=2674&amp;col=7&amp;number=4.75&amp;sourceID=14","4.75")</f>
        <v>4.75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HYPERLINK("http://141.218.60.56/~jnz1568/getInfo.php?workbook=06_02.xlsx&amp;sheet=U0&amp;row=2675&amp;col=6&amp;number=4.1&amp;sourceID=14","4.1")</f>
        <v>4.1</v>
      </c>
      <c r="G2675" s="4" t="str">
        <f>HYPERLINK("http://141.218.60.56/~jnz1568/getInfo.php?workbook=06_02.xlsx&amp;sheet=U0&amp;row=2675&amp;col=7&amp;number=4.77&amp;sourceID=14","4.77")</f>
        <v>4.77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HYPERLINK("http://141.218.60.56/~jnz1568/getInfo.php?workbook=06_02.xlsx&amp;sheet=U0&amp;row=2676&amp;col=6&amp;number=4.2&amp;sourceID=14","4.2")</f>
        <v>4.2</v>
      </c>
      <c r="G2676" s="4" t="str">
        <f>HYPERLINK("http://141.218.60.56/~jnz1568/getInfo.php?workbook=06_02.xlsx&amp;sheet=U0&amp;row=2676&amp;col=7&amp;number=4.78&amp;sourceID=14","4.78")</f>
        <v>4.78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HYPERLINK("http://141.218.60.56/~jnz1568/getInfo.php?workbook=06_02.xlsx&amp;sheet=U0&amp;row=2677&amp;col=6&amp;number=4.3&amp;sourceID=14","4.3")</f>
        <v>4.3</v>
      </c>
      <c r="G2677" s="4" t="str">
        <f>HYPERLINK("http://141.218.60.56/~jnz1568/getInfo.php?workbook=06_02.xlsx&amp;sheet=U0&amp;row=2677&amp;col=7&amp;number=4.8&amp;sourceID=14","4.8")</f>
        <v>4.8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HYPERLINK("http://141.218.60.56/~jnz1568/getInfo.php?workbook=06_02.xlsx&amp;sheet=U0&amp;row=2678&amp;col=6&amp;number=4.4&amp;sourceID=14","4.4")</f>
        <v>4.4</v>
      </c>
      <c r="G2678" s="4" t="str">
        <f>HYPERLINK("http://141.218.60.56/~jnz1568/getInfo.php?workbook=06_02.xlsx&amp;sheet=U0&amp;row=2678&amp;col=7&amp;number=4.82&amp;sourceID=14","4.82")</f>
        <v>4.82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HYPERLINK("http://141.218.60.56/~jnz1568/getInfo.php?workbook=06_02.xlsx&amp;sheet=U0&amp;row=2679&amp;col=6&amp;number=4.5&amp;sourceID=14","4.5")</f>
        <v>4.5</v>
      </c>
      <c r="G2679" s="4" t="str">
        <f>HYPERLINK("http://141.218.60.56/~jnz1568/getInfo.php?workbook=06_02.xlsx&amp;sheet=U0&amp;row=2679&amp;col=7&amp;number=4.85&amp;sourceID=14","4.85")</f>
        <v>4.85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HYPERLINK("http://141.218.60.56/~jnz1568/getInfo.php?workbook=06_02.xlsx&amp;sheet=U0&amp;row=2680&amp;col=6&amp;number=4.6&amp;sourceID=14","4.6")</f>
        <v>4.6</v>
      </c>
      <c r="G2680" s="4" t="str">
        <f>HYPERLINK("http://141.218.60.56/~jnz1568/getInfo.php?workbook=06_02.xlsx&amp;sheet=U0&amp;row=2680&amp;col=7&amp;number=4.87&amp;sourceID=14","4.87")</f>
        <v>4.87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HYPERLINK("http://141.218.60.56/~jnz1568/getInfo.php?workbook=06_02.xlsx&amp;sheet=U0&amp;row=2681&amp;col=6&amp;number=4.7&amp;sourceID=14","4.7")</f>
        <v>4.7</v>
      </c>
      <c r="G2681" s="4" t="str">
        <f>HYPERLINK("http://141.218.60.56/~jnz1568/getInfo.php?workbook=06_02.xlsx&amp;sheet=U0&amp;row=2681&amp;col=7&amp;number=4.9&amp;sourceID=14","4.9")</f>
        <v>4.9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HYPERLINK("http://141.218.60.56/~jnz1568/getInfo.php?workbook=06_02.xlsx&amp;sheet=U0&amp;row=2682&amp;col=6&amp;number=4.8&amp;sourceID=14","4.8")</f>
        <v>4.8</v>
      </c>
      <c r="G2682" s="4" t="str">
        <f>HYPERLINK("http://141.218.60.56/~jnz1568/getInfo.php?workbook=06_02.xlsx&amp;sheet=U0&amp;row=2682&amp;col=7&amp;number=4.94&amp;sourceID=14","4.94")</f>
        <v>4.94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HYPERLINK("http://141.218.60.56/~jnz1568/getInfo.php?workbook=06_02.xlsx&amp;sheet=U0&amp;row=2683&amp;col=6&amp;number=4.9&amp;sourceID=14","4.9")</f>
        <v>4.9</v>
      </c>
      <c r="G2683" s="4" t="str">
        <f>HYPERLINK("http://141.218.60.56/~jnz1568/getInfo.php?workbook=06_02.xlsx&amp;sheet=U0&amp;row=2683&amp;col=7&amp;number=4.99&amp;sourceID=14","4.99")</f>
        <v>4.99</v>
      </c>
    </row>
    <row r="2684" spans="1:7">
      <c r="A2684" s="3">
        <v>6</v>
      </c>
      <c r="B2684" s="3">
        <v>2</v>
      </c>
      <c r="C2684" s="3">
        <v>2</v>
      </c>
      <c r="D2684" s="3">
        <v>6</v>
      </c>
      <c r="E2684" s="3">
        <v>1</v>
      </c>
      <c r="F2684" s="4" t="str">
        <f>HYPERLINK("http://141.218.60.56/~jnz1568/getInfo.php?workbook=06_02.xlsx&amp;sheet=U0&amp;row=2684&amp;col=6&amp;number=3&amp;sourceID=14","3")</f>
        <v>3</v>
      </c>
      <c r="G2684" s="4" t="str">
        <f>HYPERLINK("http://141.218.60.56/~jnz1568/getInfo.php?workbook=06_02.xlsx&amp;sheet=U0&amp;row=2684&amp;col=7&amp;number=7.83&amp;sourceID=14","7.83")</f>
        <v>7.83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HYPERLINK("http://141.218.60.56/~jnz1568/getInfo.php?workbook=06_02.xlsx&amp;sheet=U0&amp;row=2685&amp;col=6&amp;number=3.1&amp;sourceID=14","3.1")</f>
        <v>3.1</v>
      </c>
      <c r="G2685" s="4" t="str">
        <f>HYPERLINK("http://141.218.60.56/~jnz1568/getInfo.php?workbook=06_02.xlsx&amp;sheet=U0&amp;row=2685&amp;col=7&amp;number=7.83&amp;sourceID=14","7.83")</f>
        <v>7.83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HYPERLINK("http://141.218.60.56/~jnz1568/getInfo.php?workbook=06_02.xlsx&amp;sheet=U0&amp;row=2686&amp;col=6&amp;number=3.2&amp;sourceID=14","3.2")</f>
        <v>3.2</v>
      </c>
      <c r="G2686" s="4" t="str">
        <f>HYPERLINK("http://141.218.60.56/~jnz1568/getInfo.php?workbook=06_02.xlsx&amp;sheet=U0&amp;row=2686&amp;col=7&amp;number=7.84&amp;sourceID=14","7.84")</f>
        <v>7.84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HYPERLINK("http://141.218.60.56/~jnz1568/getInfo.php?workbook=06_02.xlsx&amp;sheet=U0&amp;row=2687&amp;col=6&amp;number=3.3&amp;sourceID=14","3.3")</f>
        <v>3.3</v>
      </c>
      <c r="G2687" s="4" t="str">
        <f>HYPERLINK("http://141.218.60.56/~jnz1568/getInfo.php?workbook=06_02.xlsx&amp;sheet=U0&amp;row=2687&amp;col=7&amp;number=7.84&amp;sourceID=14","7.84")</f>
        <v>7.84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HYPERLINK("http://141.218.60.56/~jnz1568/getInfo.php?workbook=06_02.xlsx&amp;sheet=U0&amp;row=2688&amp;col=6&amp;number=3.4&amp;sourceID=14","3.4")</f>
        <v>3.4</v>
      </c>
      <c r="G2688" s="4" t="str">
        <f>HYPERLINK("http://141.218.60.56/~jnz1568/getInfo.php?workbook=06_02.xlsx&amp;sheet=U0&amp;row=2688&amp;col=7&amp;number=7.85&amp;sourceID=14","7.85")</f>
        <v>7.85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HYPERLINK("http://141.218.60.56/~jnz1568/getInfo.php?workbook=06_02.xlsx&amp;sheet=U0&amp;row=2689&amp;col=6&amp;number=3.5&amp;sourceID=14","3.5")</f>
        <v>3.5</v>
      </c>
      <c r="G2689" s="4" t="str">
        <f>HYPERLINK("http://141.218.60.56/~jnz1568/getInfo.php?workbook=06_02.xlsx&amp;sheet=U0&amp;row=2689&amp;col=7&amp;number=7.86&amp;sourceID=14","7.86")</f>
        <v>7.86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HYPERLINK("http://141.218.60.56/~jnz1568/getInfo.php?workbook=06_02.xlsx&amp;sheet=U0&amp;row=2690&amp;col=6&amp;number=3.6&amp;sourceID=14","3.6")</f>
        <v>3.6</v>
      </c>
      <c r="G2690" s="4" t="str">
        <f>HYPERLINK("http://141.218.60.56/~jnz1568/getInfo.php?workbook=06_02.xlsx&amp;sheet=U0&amp;row=2690&amp;col=7&amp;number=7.87&amp;sourceID=14","7.87")</f>
        <v>7.87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HYPERLINK("http://141.218.60.56/~jnz1568/getInfo.php?workbook=06_02.xlsx&amp;sheet=U0&amp;row=2691&amp;col=6&amp;number=3.7&amp;sourceID=14","3.7")</f>
        <v>3.7</v>
      </c>
      <c r="G2691" s="4" t="str">
        <f>HYPERLINK("http://141.218.60.56/~jnz1568/getInfo.php?workbook=06_02.xlsx&amp;sheet=U0&amp;row=2691&amp;col=7&amp;number=7.88&amp;sourceID=14","7.88")</f>
        <v>7.88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HYPERLINK("http://141.218.60.56/~jnz1568/getInfo.php?workbook=06_02.xlsx&amp;sheet=U0&amp;row=2692&amp;col=6&amp;number=3.8&amp;sourceID=14","3.8")</f>
        <v>3.8</v>
      </c>
      <c r="G2692" s="4" t="str">
        <f>HYPERLINK("http://141.218.60.56/~jnz1568/getInfo.php?workbook=06_02.xlsx&amp;sheet=U0&amp;row=2692&amp;col=7&amp;number=7.9&amp;sourceID=14","7.9")</f>
        <v>7.9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HYPERLINK("http://141.218.60.56/~jnz1568/getInfo.php?workbook=06_02.xlsx&amp;sheet=U0&amp;row=2693&amp;col=6&amp;number=3.9&amp;sourceID=14","3.9")</f>
        <v>3.9</v>
      </c>
      <c r="G2693" s="4" t="str">
        <f>HYPERLINK("http://141.218.60.56/~jnz1568/getInfo.php?workbook=06_02.xlsx&amp;sheet=U0&amp;row=2693&amp;col=7&amp;number=7.92&amp;sourceID=14","7.92")</f>
        <v>7.92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HYPERLINK("http://141.218.60.56/~jnz1568/getInfo.php?workbook=06_02.xlsx&amp;sheet=U0&amp;row=2694&amp;col=6&amp;number=4&amp;sourceID=14","4")</f>
        <v>4</v>
      </c>
      <c r="G2694" s="4" t="str">
        <f>HYPERLINK("http://141.218.60.56/~jnz1568/getInfo.php?workbook=06_02.xlsx&amp;sheet=U0&amp;row=2694&amp;col=7&amp;number=7.95&amp;sourceID=14","7.95")</f>
        <v>7.95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HYPERLINK("http://141.218.60.56/~jnz1568/getInfo.php?workbook=06_02.xlsx&amp;sheet=U0&amp;row=2695&amp;col=6&amp;number=4.1&amp;sourceID=14","4.1")</f>
        <v>4.1</v>
      </c>
      <c r="G2695" s="4" t="str">
        <f>HYPERLINK("http://141.218.60.56/~jnz1568/getInfo.php?workbook=06_02.xlsx&amp;sheet=U0&amp;row=2695&amp;col=7&amp;number=7.98&amp;sourceID=14","7.98")</f>
        <v>7.98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HYPERLINK("http://141.218.60.56/~jnz1568/getInfo.php?workbook=06_02.xlsx&amp;sheet=U0&amp;row=2696&amp;col=6&amp;number=4.2&amp;sourceID=14","4.2")</f>
        <v>4.2</v>
      </c>
      <c r="G2696" s="4" t="str">
        <f>HYPERLINK("http://141.218.60.56/~jnz1568/getInfo.php?workbook=06_02.xlsx&amp;sheet=U0&amp;row=2696&amp;col=7&amp;number=8.02&amp;sourceID=14","8.02")</f>
        <v>8.02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HYPERLINK("http://141.218.60.56/~jnz1568/getInfo.php?workbook=06_02.xlsx&amp;sheet=U0&amp;row=2697&amp;col=6&amp;number=4.3&amp;sourceID=14","4.3")</f>
        <v>4.3</v>
      </c>
      <c r="G2697" s="4" t="str">
        <f>HYPERLINK("http://141.218.60.56/~jnz1568/getInfo.php?workbook=06_02.xlsx&amp;sheet=U0&amp;row=2697&amp;col=7&amp;number=8.06&amp;sourceID=14","8.06")</f>
        <v>8.06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HYPERLINK("http://141.218.60.56/~jnz1568/getInfo.php?workbook=06_02.xlsx&amp;sheet=U0&amp;row=2698&amp;col=6&amp;number=4.4&amp;sourceID=14","4.4")</f>
        <v>4.4</v>
      </c>
      <c r="G2698" s="4" t="str">
        <f>HYPERLINK("http://141.218.60.56/~jnz1568/getInfo.php?workbook=06_02.xlsx&amp;sheet=U0&amp;row=2698&amp;col=7&amp;number=8.11&amp;sourceID=14","8.11")</f>
        <v>8.11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HYPERLINK("http://141.218.60.56/~jnz1568/getInfo.php?workbook=06_02.xlsx&amp;sheet=U0&amp;row=2699&amp;col=6&amp;number=4.5&amp;sourceID=14","4.5")</f>
        <v>4.5</v>
      </c>
      <c r="G2699" s="4" t="str">
        <f>HYPERLINK("http://141.218.60.56/~jnz1568/getInfo.php?workbook=06_02.xlsx&amp;sheet=U0&amp;row=2699&amp;col=7&amp;number=8.17&amp;sourceID=14","8.17")</f>
        <v>8.17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HYPERLINK("http://141.218.60.56/~jnz1568/getInfo.php?workbook=06_02.xlsx&amp;sheet=U0&amp;row=2700&amp;col=6&amp;number=4.6&amp;sourceID=14","4.6")</f>
        <v>4.6</v>
      </c>
      <c r="G2700" s="4" t="str">
        <f>HYPERLINK("http://141.218.60.56/~jnz1568/getInfo.php?workbook=06_02.xlsx&amp;sheet=U0&amp;row=2700&amp;col=7&amp;number=8.24&amp;sourceID=14","8.24")</f>
        <v>8.24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HYPERLINK("http://141.218.60.56/~jnz1568/getInfo.php?workbook=06_02.xlsx&amp;sheet=U0&amp;row=2701&amp;col=6&amp;number=4.7&amp;sourceID=14","4.7")</f>
        <v>4.7</v>
      </c>
      <c r="G2701" s="4" t="str">
        <f>HYPERLINK("http://141.218.60.56/~jnz1568/getInfo.php?workbook=06_02.xlsx&amp;sheet=U0&amp;row=2701&amp;col=7&amp;number=8.32&amp;sourceID=14","8.32")</f>
        <v>8.32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HYPERLINK("http://141.218.60.56/~jnz1568/getInfo.php?workbook=06_02.xlsx&amp;sheet=U0&amp;row=2702&amp;col=6&amp;number=4.8&amp;sourceID=14","4.8")</f>
        <v>4.8</v>
      </c>
      <c r="G2702" s="4" t="str">
        <f>HYPERLINK("http://141.218.60.56/~jnz1568/getInfo.php?workbook=06_02.xlsx&amp;sheet=U0&amp;row=2702&amp;col=7&amp;number=8.41&amp;sourceID=14","8.41")</f>
        <v>8.41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HYPERLINK("http://141.218.60.56/~jnz1568/getInfo.php?workbook=06_02.xlsx&amp;sheet=U0&amp;row=2703&amp;col=6&amp;number=4.9&amp;sourceID=14","4.9")</f>
        <v>4.9</v>
      </c>
      <c r="G2703" s="4" t="str">
        <f>HYPERLINK("http://141.218.60.56/~jnz1568/getInfo.php?workbook=06_02.xlsx&amp;sheet=U0&amp;row=2703&amp;col=7&amp;number=8.5&amp;sourceID=14","8.5")</f>
        <v>8.5</v>
      </c>
    </row>
    <row r="2704" spans="1:7">
      <c r="A2704" s="3">
        <v>6</v>
      </c>
      <c r="B2704" s="3">
        <v>2</v>
      </c>
      <c r="C2704" s="3">
        <v>3</v>
      </c>
      <c r="D2704" s="3">
        <v>7</v>
      </c>
      <c r="E2704" s="3">
        <v>1</v>
      </c>
      <c r="F2704" s="4" t="str">
        <f>HYPERLINK("http://141.218.60.56/~jnz1568/getInfo.php?workbook=06_02.xlsx&amp;sheet=U0&amp;row=2704&amp;col=6&amp;number=3&amp;sourceID=14","3")</f>
        <v>3</v>
      </c>
      <c r="G2704" s="4" t="str">
        <f>HYPERLINK("http://141.218.60.56/~jnz1568/getInfo.php?workbook=06_02.xlsx&amp;sheet=U0&amp;row=2704&amp;col=7&amp;number=6.37&amp;sourceID=14","6.37")</f>
        <v>6.37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HYPERLINK("http://141.218.60.56/~jnz1568/getInfo.php?workbook=06_02.xlsx&amp;sheet=U0&amp;row=2705&amp;col=6&amp;number=3.1&amp;sourceID=14","3.1")</f>
        <v>3.1</v>
      </c>
      <c r="G2705" s="4" t="str">
        <f>HYPERLINK("http://141.218.60.56/~jnz1568/getInfo.php?workbook=06_02.xlsx&amp;sheet=U0&amp;row=2705&amp;col=7&amp;number=6.36&amp;sourceID=14","6.36")</f>
        <v>6.36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HYPERLINK("http://141.218.60.56/~jnz1568/getInfo.php?workbook=06_02.xlsx&amp;sheet=U0&amp;row=2706&amp;col=6&amp;number=3.2&amp;sourceID=14","3.2")</f>
        <v>3.2</v>
      </c>
      <c r="G2706" s="4" t="str">
        <f>HYPERLINK("http://141.218.60.56/~jnz1568/getInfo.php?workbook=06_02.xlsx&amp;sheet=U0&amp;row=2706&amp;col=7&amp;number=6.36&amp;sourceID=14","6.36")</f>
        <v>6.36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HYPERLINK("http://141.218.60.56/~jnz1568/getInfo.php?workbook=06_02.xlsx&amp;sheet=U0&amp;row=2707&amp;col=6&amp;number=3.3&amp;sourceID=14","3.3")</f>
        <v>3.3</v>
      </c>
      <c r="G2707" s="4" t="str">
        <f>HYPERLINK("http://141.218.60.56/~jnz1568/getInfo.php?workbook=06_02.xlsx&amp;sheet=U0&amp;row=2707&amp;col=7&amp;number=6.36&amp;sourceID=14","6.36")</f>
        <v>6.36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HYPERLINK("http://141.218.60.56/~jnz1568/getInfo.php?workbook=06_02.xlsx&amp;sheet=U0&amp;row=2708&amp;col=6&amp;number=3.4&amp;sourceID=14","3.4")</f>
        <v>3.4</v>
      </c>
      <c r="G2708" s="4" t="str">
        <f>HYPERLINK("http://141.218.60.56/~jnz1568/getInfo.php?workbook=06_02.xlsx&amp;sheet=U0&amp;row=2708&amp;col=7&amp;number=6.36&amp;sourceID=14","6.36")</f>
        <v>6.36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HYPERLINK("http://141.218.60.56/~jnz1568/getInfo.php?workbook=06_02.xlsx&amp;sheet=U0&amp;row=2709&amp;col=6&amp;number=3.5&amp;sourceID=14","3.5")</f>
        <v>3.5</v>
      </c>
      <c r="G2709" s="4" t="str">
        <f>HYPERLINK("http://141.218.60.56/~jnz1568/getInfo.php?workbook=06_02.xlsx&amp;sheet=U0&amp;row=2709&amp;col=7&amp;number=6.35&amp;sourceID=14","6.35")</f>
        <v>6.35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HYPERLINK("http://141.218.60.56/~jnz1568/getInfo.php?workbook=06_02.xlsx&amp;sheet=U0&amp;row=2710&amp;col=6&amp;number=3.6&amp;sourceID=14","3.6")</f>
        <v>3.6</v>
      </c>
      <c r="G2710" s="4" t="str">
        <f>HYPERLINK("http://141.218.60.56/~jnz1568/getInfo.php?workbook=06_02.xlsx&amp;sheet=U0&amp;row=2710&amp;col=7&amp;number=6.35&amp;sourceID=14","6.35")</f>
        <v>6.35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HYPERLINK("http://141.218.60.56/~jnz1568/getInfo.php?workbook=06_02.xlsx&amp;sheet=U0&amp;row=2711&amp;col=6&amp;number=3.7&amp;sourceID=14","3.7")</f>
        <v>3.7</v>
      </c>
      <c r="G2711" s="4" t="str">
        <f>HYPERLINK("http://141.218.60.56/~jnz1568/getInfo.php?workbook=06_02.xlsx&amp;sheet=U0&amp;row=2711&amp;col=7&amp;number=6.34&amp;sourceID=14","6.34")</f>
        <v>6.34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HYPERLINK("http://141.218.60.56/~jnz1568/getInfo.php?workbook=06_02.xlsx&amp;sheet=U0&amp;row=2712&amp;col=6&amp;number=3.8&amp;sourceID=14","3.8")</f>
        <v>3.8</v>
      </c>
      <c r="G2712" s="4" t="str">
        <f>HYPERLINK("http://141.218.60.56/~jnz1568/getInfo.php?workbook=06_02.xlsx&amp;sheet=U0&amp;row=2712&amp;col=7&amp;number=6.33&amp;sourceID=14","6.33")</f>
        <v>6.33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HYPERLINK("http://141.218.60.56/~jnz1568/getInfo.php?workbook=06_02.xlsx&amp;sheet=U0&amp;row=2713&amp;col=6&amp;number=3.9&amp;sourceID=14","3.9")</f>
        <v>3.9</v>
      </c>
      <c r="G2713" s="4" t="str">
        <f>HYPERLINK("http://141.218.60.56/~jnz1568/getInfo.php?workbook=06_02.xlsx&amp;sheet=U0&amp;row=2713&amp;col=7&amp;number=6.32&amp;sourceID=14","6.32")</f>
        <v>6.32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HYPERLINK("http://141.218.60.56/~jnz1568/getInfo.php?workbook=06_02.xlsx&amp;sheet=U0&amp;row=2714&amp;col=6&amp;number=4&amp;sourceID=14","4")</f>
        <v>4</v>
      </c>
      <c r="G2714" s="4" t="str">
        <f>HYPERLINK("http://141.218.60.56/~jnz1568/getInfo.php?workbook=06_02.xlsx&amp;sheet=U0&amp;row=2714&amp;col=7&amp;number=6.3&amp;sourceID=14","6.3")</f>
        <v>6.3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HYPERLINK("http://141.218.60.56/~jnz1568/getInfo.php?workbook=06_02.xlsx&amp;sheet=U0&amp;row=2715&amp;col=6&amp;number=4.1&amp;sourceID=14","4.1")</f>
        <v>4.1</v>
      </c>
      <c r="G2715" s="4" t="str">
        <f>HYPERLINK("http://141.218.60.56/~jnz1568/getInfo.php?workbook=06_02.xlsx&amp;sheet=U0&amp;row=2715&amp;col=7&amp;number=6.28&amp;sourceID=14","6.28")</f>
        <v>6.28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HYPERLINK("http://141.218.60.56/~jnz1568/getInfo.php?workbook=06_02.xlsx&amp;sheet=U0&amp;row=2716&amp;col=6&amp;number=4.2&amp;sourceID=14","4.2")</f>
        <v>4.2</v>
      </c>
      <c r="G2716" s="4" t="str">
        <f>HYPERLINK("http://141.218.60.56/~jnz1568/getInfo.php?workbook=06_02.xlsx&amp;sheet=U0&amp;row=2716&amp;col=7&amp;number=6.25&amp;sourceID=14","6.25")</f>
        <v>6.25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HYPERLINK("http://141.218.60.56/~jnz1568/getInfo.php?workbook=06_02.xlsx&amp;sheet=U0&amp;row=2717&amp;col=6&amp;number=4.3&amp;sourceID=14","4.3")</f>
        <v>4.3</v>
      </c>
      <c r="G2717" s="4" t="str">
        <f>HYPERLINK("http://141.218.60.56/~jnz1568/getInfo.php?workbook=06_02.xlsx&amp;sheet=U0&amp;row=2717&amp;col=7&amp;number=6.22&amp;sourceID=14","6.22")</f>
        <v>6.22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HYPERLINK("http://141.218.60.56/~jnz1568/getInfo.php?workbook=06_02.xlsx&amp;sheet=U0&amp;row=2718&amp;col=6&amp;number=4.4&amp;sourceID=14","4.4")</f>
        <v>4.4</v>
      </c>
      <c r="G2718" s="4" t="str">
        <f>HYPERLINK("http://141.218.60.56/~jnz1568/getInfo.php?workbook=06_02.xlsx&amp;sheet=U0&amp;row=2718&amp;col=7&amp;number=6.17&amp;sourceID=14","6.17")</f>
        <v>6.17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HYPERLINK("http://141.218.60.56/~jnz1568/getInfo.php?workbook=06_02.xlsx&amp;sheet=U0&amp;row=2719&amp;col=6&amp;number=4.5&amp;sourceID=14","4.5")</f>
        <v>4.5</v>
      </c>
      <c r="G2719" s="4" t="str">
        <f>HYPERLINK("http://141.218.60.56/~jnz1568/getInfo.php?workbook=06_02.xlsx&amp;sheet=U0&amp;row=2719&amp;col=7&amp;number=6.11&amp;sourceID=14","6.11")</f>
        <v>6.11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HYPERLINK("http://141.218.60.56/~jnz1568/getInfo.php?workbook=06_02.xlsx&amp;sheet=U0&amp;row=2720&amp;col=6&amp;number=4.6&amp;sourceID=14","4.6")</f>
        <v>4.6</v>
      </c>
      <c r="G2720" s="4" t="str">
        <f>HYPERLINK("http://141.218.60.56/~jnz1568/getInfo.php?workbook=06_02.xlsx&amp;sheet=U0&amp;row=2720&amp;col=7&amp;number=6.04&amp;sourceID=14","6.04")</f>
        <v>6.04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HYPERLINK("http://141.218.60.56/~jnz1568/getInfo.php?workbook=06_02.xlsx&amp;sheet=U0&amp;row=2721&amp;col=6&amp;number=4.7&amp;sourceID=14","4.7")</f>
        <v>4.7</v>
      </c>
      <c r="G2721" s="4" t="str">
        <f>HYPERLINK("http://141.218.60.56/~jnz1568/getInfo.php?workbook=06_02.xlsx&amp;sheet=U0&amp;row=2721&amp;col=7&amp;number=5.96&amp;sourceID=14","5.96")</f>
        <v>5.96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HYPERLINK("http://141.218.60.56/~jnz1568/getInfo.php?workbook=06_02.xlsx&amp;sheet=U0&amp;row=2722&amp;col=6&amp;number=4.8&amp;sourceID=14","4.8")</f>
        <v>4.8</v>
      </c>
      <c r="G2722" s="4" t="str">
        <f>HYPERLINK("http://141.218.60.56/~jnz1568/getInfo.php?workbook=06_02.xlsx&amp;sheet=U0&amp;row=2722&amp;col=7&amp;number=5.88&amp;sourceID=14","5.88")</f>
        <v>5.88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HYPERLINK("http://141.218.60.56/~jnz1568/getInfo.php?workbook=06_02.xlsx&amp;sheet=U0&amp;row=2723&amp;col=6&amp;number=4.9&amp;sourceID=14","4.9")</f>
        <v>4.9</v>
      </c>
      <c r="G2723" s="4" t="str">
        <f>HYPERLINK("http://141.218.60.56/~jnz1568/getInfo.php?workbook=06_02.xlsx&amp;sheet=U0&amp;row=2723&amp;col=7&amp;number=5.82&amp;sourceID=14","5.82")</f>
        <v>5.82</v>
      </c>
    </row>
    <row r="2724" spans="1:7">
      <c r="A2724" s="3">
        <v>6</v>
      </c>
      <c r="B2724" s="3">
        <v>2</v>
      </c>
      <c r="C2724" s="3">
        <v>4</v>
      </c>
      <c r="D2724" s="3">
        <v>7</v>
      </c>
      <c r="E2724" s="3">
        <v>1</v>
      </c>
      <c r="F2724" s="4" t="str">
        <f>HYPERLINK("http://141.218.60.56/~jnz1568/getInfo.php?workbook=06_02.xlsx&amp;sheet=U0&amp;row=2724&amp;col=6&amp;number=3&amp;sourceID=14","3")</f>
        <v>3</v>
      </c>
      <c r="G2724" s="4" t="str">
        <f>HYPERLINK("http://141.218.60.56/~jnz1568/getInfo.php?workbook=06_02.xlsx&amp;sheet=U0&amp;row=2724&amp;col=7&amp;number=0.136&amp;sourceID=14","0.136")</f>
        <v>0.136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HYPERLINK("http://141.218.60.56/~jnz1568/getInfo.php?workbook=06_02.xlsx&amp;sheet=U0&amp;row=2725&amp;col=6&amp;number=3.1&amp;sourceID=14","3.1")</f>
        <v>3.1</v>
      </c>
      <c r="G2725" s="4" t="str">
        <f>HYPERLINK("http://141.218.60.56/~jnz1568/getInfo.php?workbook=06_02.xlsx&amp;sheet=U0&amp;row=2725&amp;col=7&amp;number=0.136&amp;sourceID=14","0.136")</f>
        <v>0.136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HYPERLINK("http://141.218.60.56/~jnz1568/getInfo.php?workbook=06_02.xlsx&amp;sheet=U0&amp;row=2726&amp;col=6&amp;number=3.2&amp;sourceID=14","3.2")</f>
        <v>3.2</v>
      </c>
      <c r="G2726" s="4" t="str">
        <f>HYPERLINK("http://141.218.60.56/~jnz1568/getInfo.php?workbook=06_02.xlsx&amp;sheet=U0&amp;row=2726&amp;col=7&amp;number=0.136&amp;sourceID=14","0.136")</f>
        <v>0.136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HYPERLINK("http://141.218.60.56/~jnz1568/getInfo.php?workbook=06_02.xlsx&amp;sheet=U0&amp;row=2727&amp;col=6&amp;number=3.3&amp;sourceID=14","3.3")</f>
        <v>3.3</v>
      </c>
      <c r="G2727" s="4" t="str">
        <f>HYPERLINK("http://141.218.60.56/~jnz1568/getInfo.php?workbook=06_02.xlsx&amp;sheet=U0&amp;row=2727&amp;col=7&amp;number=0.136&amp;sourceID=14","0.136")</f>
        <v>0.136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HYPERLINK("http://141.218.60.56/~jnz1568/getInfo.php?workbook=06_02.xlsx&amp;sheet=U0&amp;row=2728&amp;col=6&amp;number=3.4&amp;sourceID=14","3.4")</f>
        <v>3.4</v>
      </c>
      <c r="G2728" s="4" t="str">
        <f>HYPERLINK("http://141.218.60.56/~jnz1568/getInfo.php?workbook=06_02.xlsx&amp;sheet=U0&amp;row=2728&amp;col=7&amp;number=0.136&amp;sourceID=14","0.136")</f>
        <v>0.136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HYPERLINK("http://141.218.60.56/~jnz1568/getInfo.php?workbook=06_02.xlsx&amp;sheet=U0&amp;row=2729&amp;col=6&amp;number=3.5&amp;sourceID=14","3.5")</f>
        <v>3.5</v>
      </c>
      <c r="G2729" s="4" t="str">
        <f>HYPERLINK("http://141.218.60.56/~jnz1568/getInfo.php?workbook=06_02.xlsx&amp;sheet=U0&amp;row=2729&amp;col=7&amp;number=0.136&amp;sourceID=14","0.136")</f>
        <v>0.136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HYPERLINK("http://141.218.60.56/~jnz1568/getInfo.php?workbook=06_02.xlsx&amp;sheet=U0&amp;row=2730&amp;col=6&amp;number=3.6&amp;sourceID=14","3.6")</f>
        <v>3.6</v>
      </c>
      <c r="G2730" s="4" t="str">
        <f>HYPERLINK("http://141.218.60.56/~jnz1568/getInfo.php?workbook=06_02.xlsx&amp;sheet=U0&amp;row=2730&amp;col=7&amp;number=0.136&amp;sourceID=14","0.136")</f>
        <v>0.136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HYPERLINK("http://141.218.60.56/~jnz1568/getInfo.php?workbook=06_02.xlsx&amp;sheet=U0&amp;row=2731&amp;col=6&amp;number=3.7&amp;sourceID=14","3.7")</f>
        <v>3.7</v>
      </c>
      <c r="G2731" s="4" t="str">
        <f>HYPERLINK("http://141.218.60.56/~jnz1568/getInfo.php?workbook=06_02.xlsx&amp;sheet=U0&amp;row=2731&amp;col=7&amp;number=0.136&amp;sourceID=14","0.136")</f>
        <v>0.136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HYPERLINK("http://141.218.60.56/~jnz1568/getInfo.php?workbook=06_02.xlsx&amp;sheet=U0&amp;row=2732&amp;col=6&amp;number=3.8&amp;sourceID=14","3.8")</f>
        <v>3.8</v>
      </c>
      <c r="G2732" s="4" t="str">
        <f>HYPERLINK("http://141.218.60.56/~jnz1568/getInfo.php?workbook=06_02.xlsx&amp;sheet=U0&amp;row=2732&amp;col=7&amp;number=0.136&amp;sourceID=14","0.136")</f>
        <v>0.136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HYPERLINK("http://141.218.60.56/~jnz1568/getInfo.php?workbook=06_02.xlsx&amp;sheet=U0&amp;row=2733&amp;col=6&amp;number=3.9&amp;sourceID=14","3.9")</f>
        <v>3.9</v>
      </c>
      <c r="G2733" s="4" t="str">
        <f>HYPERLINK("http://141.218.60.56/~jnz1568/getInfo.php?workbook=06_02.xlsx&amp;sheet=U0&amp;row=2733&amp;col=7&amp;number=0.136&amp;sourceID=14","0.136")</f>
        <v>0.136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HYPERLINK("http://141.218.60.56/~jnz1568/getInfo.php?workbook=06_02.xlsx&amp;sheet=U0&amp;row=2734&amp;col=6&amp;number=4&amp;sourceID=14","4")</f>
        <v>4</v>
      </c>
      <c r="G2734" s="4" t="str">
        <f>HYPERLINK("http://141.218.60.56/~jnz1568/getInfo.php?workbook=06_02.xlsx&amp;sheet=U0&amp;row=2734&amp;col=7&amp;number=0.136&amp;sourceID=14","0.136")</f>
        <v>0.136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HYPERLINK("http://141.218.60.56/~jnz1568/getInfo.php?workbook=06_02.xlsx&amp;sheet=U0&amp;row=2735&amp;col=6&amp;number=4.1&amp;sourceID=14","4.1")</f>
        <v>4.1</v>
      </c>
      <c r="G2735" s="4" t="str">
        <f>HYPERLINK("http://141.218.60.56/~jnz1568/getInfo.php?workbook=06_02.xlsx&amp;sheet=U0&amp;row=2735&amp;col=7&amp;number=0.136&amp;sourceID=14","0.136")</f>
        <v>0.136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HYPERLINK("http://141.218.60.56/~jnz1568/getInfo.php?workbook=06_02.xlsx&amp;sheet=U0&amp;row=2736&amp;col=6&amp;number=4.2&amp;sourceID=14","4.2")</f>
        <v>4.2</v>
      </c>
      <c r="G2736" s="4" t="str">
        <f>HYPERLINK("http://141.218.60.56/~jnz1568/getInfo.php?workbook=06_02.xlsx&amp;sheet=U0&amp;row=2736&amp;col=7&amp;number=0.136&amp;sourceID=14","0.136")</f>
        <v>0.136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HYPERLINK("http://141.218.60.56/~jnz1568/getInfo.php?workbook=06_02.xlsx&amp;sheet=U0&amp;row=2737&amp;col=6&amp;number=4.3&amp;sourceID=14","4.3")</f>
        <v>4.3</v>
      </c>
      <c r="G2737" s="4" t="str">
        <f>HYPERLINK("http://141.218.60.56/~jnz1568/getInfo.php?workbook=06_02.xlsx&amp;sheet=U0&amp;row=2737&amp;col=7&amp;number=0.136&amp;sourceID=14","0.136")</f>
        <v>0.136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HYPERLINK("http://141.218.60.56/~jnz1568/getInfo.php?workbook=06_02.xlsx&amp;sheet=U0&amp;row=2738&amp;col=6&amp;number=4.4&amp;sourceID=14","4.4")</f>
        <v>4.4</v>
      </c>
      <c r="G2738" s="4" t="str">
        <f>HYPERLINK("http://141.218.60.56/~jnz1568/getInfo.php?workbook=06_02.xlsx&amp;sheet=U0&amp;row=2738&amp;col=7&amp;number=0.136&amp;sourceID=14","0.136")</f>
        <v>0.136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HYPERLINK("http://141.218.60.56/~jnz1568/getInfo.php?workbook=06_02.xlsx&amp;sheet=U0&amp;row=2739&amp;col=6&amp;number=4.5&amp;sourceID=14","4.5")</f>
        <v>4.5</v>
      </c>
      <c r="G2739" s="4" t="str">
        <f>HYPERLINK("http://141.218.60.56/~jnz1568/getInfo.php?workbook=06_02.xlsx&amp;sheet=U0&amp;row=2739&amp;col=7&amp;number=0.136&amp;sourceID=14","0.136")</f>
        <v>0.136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HYPERLINK("http://141.218.60.56/~jnz1568/getInfo.php?workbook=06_02.xlsx&amp;sheet=U0&amp;row=2740&amp;col=6&amp;number=4.6&amp;sourceID=14","4.6")</f>
        <v>4.6</v>
      </c>
      <c r="G2740" s="4" t="str">
        <f>HYPERLINK("http://141.218.60.56/~jnz1568/getInfo.php?workbook=06_02.xlsx&amp;sheet=U0&amp;row=2740&amp;col=7&amp;number=0.136&amp;sourceID=14","0.136")</f>
        <v>0.136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HYPERLINK("http://141.218.60.56/~jnz1568/getInfo.php?workbook=06_02.xlsx&amp;sheet=U0&amp;row=2741&amp;col=6&amp;number=4.7&amp;sourceID=14","4.7")</f>
        <v>4.7</v>
      </c>
      <c r="G2741" s="4" t="str">
        <f>HYPERLINK("http://141.218.60.56/~jnz1568/getInfo.php?workbook=06_02.xlsx&amp;sheet=U0&amp;row=2741&amp;col=7&amp;number=0.136&amp;sourceID=14","0.136")</f>
        <v>0.136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HYPERLINK("http://141.218.60.56/~jnz1568/getInfo.php?workbook=06_02.xlsx&amp;sheet=U0&amp;row=2742&amp;col=6&amp;number=4.8&amp;sourceID=14","4.8")</f>
        <v>4.8</v>
      </c>
      <c r="G2742" s="4" t="str">
        <f>HYPERLINK("http://141.218.60.56/~jnz1568/getInfo.php?workbook=06_02.xlsx&amp;sheet=U0&amp;row=2742&amp;col=7&amp;number=0.136&amp;sourceID=14","0.136")</f>
        <v>0.136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HYPERLINK("http://141.218.60.56/~jnz1568/getInfo.php?workbook=06_02.xlsx&amp;sheet=U0&amp;row=2743&amp;col=6&amp;number=4.9&amp;sourceID=14","4.9")</f>
        <v>4.9</v>
      </c>
      <c r="G2743" s="4" t="str">
        <f>HYPERLINK("http://141.218.60.56/~jnz1568/getInfo.php?workbook=06_02.xlsx&amp;sheet=U0&amp;row=2743&amp;col=7&amp;number=0.135&amp;sourceID=14","0.135")</f>
        <v>0.135</v>
      </c>
    </row>
    <row r="2744" spans="1:7">
      <c r="A2744" s="3">
        <v>6</v>
      </c>
      <c r="B2744" s="3">
        <v>2</v>
      </c>
      <c r="C2744" s="3">
        <v>5</v>
      </c>
      <c r="D2744" s="3">
        <v>7</v>
      </c>
      <c r="E2744" s="3">
        <v>1</v>
      </c>
      <c r="F2744" s="4" t="str">
        <f>HYPERLINK("http://141.218.60.56/~jnz1568/getInfo.php?workbook=06_02.xlsx&amp;sheet=U0&amp;row=2744&amp;col=6&amp;number=3&amp;sourceID=14","3")</f>
        <v>3</v>
      </c>
      <c r="G2744" s="4" t="str">
        <f>HYPERLINK("http://141.218.60.56/~jnz1568/getInfo.php?workbook=06_02.xlsx&amp;sheet=U0&amp;row=2744&amp;col=7&amp;number=0.434&amp;sourceID=14","0.434")</f>
        <v>0.434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HYPERLINK("http://141.218.60.56/~jnz1568/getInfo.php?workbook=06_02.xlsx&amp;sheet=U0&amp;row=2745&amp;col=6&amp;number=3.1&amp;sourceID=14","3.1")</f>
        <v>3.1</v>
      </c>
      <c r="G2745" s="4" t="str">
        <f>HYPERLINK("http://141.218.60.56/~jnz1568/getInfo.php?workbook=06_02.xlsx&amp;sheet=U0&amp;row=2745&amp;col=7&amp;number=0.434&amp;sourceID=14","0.434")</f>
        <v>0.434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HYPERLINK("http://141.218.60.56/~jnz1568/getInfo.php?workbook=06_02.xlsx&amp;sheet=U0&amp;row=2746&amp;col=6&amp;number=3.2&amp;sourceID=14","3.2")</f>
        <v>3.2</v>
      </c>
      <c r="G2746" s="4" t="str">
        <f>HYPERLINK("http://141.218.60.56/~jnz1568/getInfo.php?workbook=06_02.xlsx&amp;sheet=U0&amp;row=2746&amp;col=7&amp;number=0.434&amp;sourceID=14","0.434")</f>
        <v>0.434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HYPERLINK("http://141.218.60.56/~jnz1568/getInfo.php?workbook=06_02.xlsx&amp;sheet=U0&amp;row=2747&amp;col=6&amp;number=3.3&amp;sourceID=14","3.3")</f>
        <v>3.3</v>
      </c>
      <c r="G2747" s="4" t="str">
        <f>HYPERLINK("http://141.218.60.56/~jnz1568/getInfo.php?workbook=06_02.xlsx&amp;sheet=U0&amp;row=2747&amp;col=7&amp;number=0.434&amp;sourceID=14","0.434")</f>
        <v>0.434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HYPERLINK("http://141.218.60.56/~jnz1568/getInfo.php?workbook=06_02.xlsx&amp;sheet=U0&amp;row=2748&amp;col=6&amp;number=3.4&amp;sourceID=14","3.4")</f>
        <v>3.4</v>
      </c>
      <c r="G2748" s="4" t="str">
        <f>HYPERLINK("http://141.218.60.56/~jnz1568/getInfo.php?workbook=06_02.xlsx&amp;sheet=U0&amp;row=2748&amp;col=7&amp;number=0.434&amp;sourceID=14","0.434")</f>
        <v>0.434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HYPERLINK("http://141.218.60.56/~jnz1568/getInfo.php?workbook=06_02.xlsx&amp;sheet=U0&amp;row=2749&amp;col=6&amp;number=3.5&amp;sourceID=14","3.5")</f>
        <v>3.5</v>
      </c>
      <c r="G2749" s="4" t="str">
        <f>HYPERLINK("http://141.218.60.56/~jnz1568/getInfo.php?workbook=06_02.xlsx&amp;sheet=U0&amp;row=2749&amp;col=7&amp;number=0.434&amp;sourceID=14","0.434")</f>
        <v>0.434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HYPERLINK("http://141.218.60.56/~jnz1568/getInfo.php?workbook=06_02.xlsx&amp;sheet=U0&amp;row=2750&amp;col=6&amp;number=3.6&amp;sourceID=14","3.6")</f>
        <v>3.6</v>
      </c>
      <c r="G2750" s="4" t="str">
        <f>HYPERLINK("http://141.218.60.56/~jnz1568/getInfo.php?workbook=06_02.xlsx&amp;sheet=U0&amp;row=2750&amp;col=7&amp;number=0.434&amp;sourceID=14","0.434")</f>
        <v>0.434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HYPERLINK("http://141.218.60.56/~jnz1568/getInfo.php?workbook=06_02.xlsx&amp;sheet=U0&amp;row=2751&amp;col=6&amp;number=3.7&amp;sourceID=14","3.7")</f>
        <v>3.7</v>
      </c>
      <c r="G2751" s="4" t="str">
        <f>HYPERLINK("http://141.218.60.56/~jnz1568/getInfo.php?workbook=06_02.xlsx&amp;sheet=U0&amp;row=2751&amp;col=7&amp;number=0.433&amp;sourceID=14","0.433")</f>
        <v>0.433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HYPERLINK("http://141.218.60.56/~jnz1568/getInfo.php?workbook=06_02.xlsx&amp;sheet=U0&amp;row=2752&amp;col=6&amp;number=3.8&amp;sourceID=14","3.8")</f>
        <v>3.8</v>
      </c>
      <c r="G2752" s="4" t="str">
        <f>HYPERLINK("http://141.218.60.56/~jnz1568/getInfo.php?workbook=06_02.xlsx&amp;sheet=U0&amp;row=2752&amp;col=7&amp;number=0.433&amp;sourceID=14","0.433")</f>
        <v>0.433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HYPERLINK("http://141.218.60.56/~jnz1568/getInfo.php?workbook=06_02.xlsx&amp;sheet=U0&amp;row=2753&amp;col=6&amp;number=3.9&amp;sourceID=14","3.9")</f>
        <v>3.9</v>
      </c>
      <c r="G2753" s="4" t="str">
        <f>HYPERLINK("http://141.218.60.56/~jnz1568/getInfo.php?workbook=06_02.xlsx&amp;sheet=U0&amp;row=2753&amp;col=7&amp;number=0.433&amp;sourceID=14","0.433")</f>
        <v>0.433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HYPERLINK("http://141.218.60.56/~jnz1568/getInfo.php?workbook=06_02.xlsx&amp;sheet=U0&amp;row=2754&amp;col=6&amp;number=4&amp;sourceID=14","4")</f>
        <v>4</v>
      </c>
      <c r="G2754" s="4" t="str">
        <f>HYPERLINK("http://141.218.60.56/~jnz1568/getInfo.php?workbook=06_02.xlsx&amp;sheet=U0&amp;row=2754&amp;col=7&amp;number=0.432&amp;sourceID=14","0.432")</f>
        <v>0.432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HYPERLINK("http://141.218.60.56/~jnz1568/getInfo.php?workbook=06_02.xlsx&amp;sheet=U0&amp;row=2755&amp;col=6&amp;number=4.1&amp;sourceID=14","4.1")</f>
        <v>4.1</v>
      </c>
      <c r="G2755" s="4" t="str">
        <f>HYPERLINK("http://141.218.60.56/~jnz1568/getInfo.php?workbook=06_02.xlsx&amp;sheet=U0&amp;row=2755&amp;col=7&amp;number=0.432&amp;sourceID=14","0.432")</f>
        <v>0.432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HYPERLINK("http://141.218.60.56/~jnz1568/getInfo.php?workbook=06_02.xlsx&amp;sheet=U0&amp;row=2756&amp;col=6&amp;number=4.2&amp;sourceID=14","4.2")</f>
        <v>4.2</v>
      </c>
      <c r="G2756" s="4" t="str">
        <f>HYPERLINK("http://141.218.60.56/~jnz1568/getInfo.php?workbook=06_02.xlsx&amp;sheet=U0&amp;row=2756&amp;col=7&amp;number=0.431&amp;sourceID=14","0.431")</f>
        <v>0.431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HYPERLINK("http://141.218.60.56/~jnz1568/getInfo.php?workbook=06_02.xlsx&amp;sheet=U0&amp;row=2757&amp;col=6&amp;number=4.3&amp;sourceID=14","4.3")</f>
        <v>4.3</v>
      </c>
      <c r="G2757" s="4" t="str">
        <f>HYPERLINK("http://141.218.60.56/~jnz1568/getInfo.php?workbook=06_02.xlsx&amp;sheet=U0&amp;row=2757&amp;col=7&amp;number=0.43&amp;sourceID=14","0.43")</f>
        <v>0.43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HYPERLINK("http://141.218.60.56/~jnz1568/getInfo.php?workbook=06_02.xlsx&amp;sheet=U0&amp;row=2758&amp;col=6&amp;number=4.4&amp;sourceID=14","4.4")</f>
        <v>4.4</v>
      </c>
      <c r="G2758" s="4" t="str">
        <f>HYPERLINK("http://141.218.60.56/~jnz1568/getInfo.php?workbook=06_02.xlsx&amp;sheet=U0&amp;row=2758&amp;col=7&amp;number=0.429&amp;sourceID=14","0.429")</f>
        <v>0.429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HYPERLINK("http://141.218.60.56/~jnz1568/getInfo.php?workbook=06_02.xlsx&amp;sheet=U0&amp;row=2759&amp;col=6&amp;number=4.5&amp;sourceID=14","4.5")</f>
        <v>4.5</v>
      </c>
      <c r="G2759" s="4" t="str">
        <f>HYPERLINK("http://141.218.60.56/~jnz1568/getInfo.php?workbook=06_02.xlsx&amp;sheet=U0&amp;row=2759&amp;col=7&amp;number=0.428&amp;sourceID=14","0.428")</f>
        <v>0.428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HYPERLINK("http://141.218.60.56/~jnz1568/getInfo.php?workbook=06_02.xlsx&amp;sheet=U0&amp;row=2760&amp;col=6&amp;number=4.6&amp;sourceID=14","4.6")</f>
        <v>4.6</v>
      </c>
      <c r="G2760" s="4" t="str">
        <f>HYPERLINK("http://141.218.60.56/~jnz1568/getInfo.php?workbook=06_02.xlsx&amp;sheet=U0&amp;row=2760&amp;col=7&amp;number=0.426&amp;sourceID=14","0.426")</f>
        <v>0.426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HYPERLINK("http://141.218.60.56/~jnz1568/getInfo.php?workbook=06_02.xlsx&amp;sheet=U0&amp;row=2761&amp;col=6&amp;number=4.7&amp;sourceID=14","4.7")</f>
        <v>4.7</v>
      </c>
      <c r="G2761" s="4" t="str">
        <f>HYPERLINK("http://141.218.60.56/~jnz1568/getInfo.php?workbook=06_02.xlsx&amp;sheet=U0&amp;row=2761&amp;col=7&amp;number=0.423&amp;sourceID=14","0.423")</f>
        <v>0.423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HYPERLINK("http://141.218.60.56/~jnz1568/getInfo.php?workbook=06_02.xlsx&amp;sheet=U0&amp;row=2762&amp;col=6&amp;number=4.8&amp;sourceID=14","4.8")</f>
        <v>4.8</v>
      </c>
      <c r="G2762" s="4" t="str">
        <f>HYPERLINK("http://141.218.60.56/~jnz1568/getInfo.php?workbook=06_02.xlsx&amp;sheet=U0&amp;row=2762&amp;col=7&amp;number=0.421&amp;sourceID=14","0.421")</f>
        <v>0.421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HYPERLINK("http://141.218.60.56/~jnz1568/getInfo.php?workbook=06_02.xlsx&amp;sheet=U0&amp;row=2763&amp;col=6&amp;number=4.9&amp;sourceID=14","4.9")</f>
        <v>4.9</v>
      </c>
      <c r="G2763" s="4" t="str">
        <f>HYPERLINK("http://141.218.60.56/~jnz1568/getInfo.php?workbook=06_02.xlsx&amp;sheet=U0&amp;row=2763&amp;col=7&amp;number=0.417&amp;sourceID=14","0.417")</f>
        <v>0.417</v>
      </c>
    </row>
    <row r="2764" spans="1:7">
      <c r="A2764" s="3">
        <v>6</v>
      </c>
      <c r="B2764" s="3">
        <v>2</v>
      </c>
      <c r="C2764" s="3">
        <v>6</v>
      </c>
      <c r="D2764" s="3">
        <v>7</v>
      </c>
      <c r="E2764" s="3">
        <v>1</v>
      </c>
      <c r="F2764" s="4" t="str">
        <f>HYPERLINK("http://141.218.60.56/~jnz1568/getInfo.php?workbook=06_02.xlsx&amp;sheet=U0&amp;row=2764&amp;col=6&amp;number=3&amp;sourceID=14","3")</f>
        <v>3</v>
      </c>
      <c r="G2764" s="4" t="str">
        <f>HYPERLINK("http://141.218.60.56/~jnz1568/getInfo.php?workbook=06_02.xlsx&amp;sheet=U0&amp;row=2764&amp;col=7&amp;number=0.797&amp;sourceID=14","0.797")</f>
        <v>0.797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HYPERLINK("http://141.218.60.56/~jnz1568/getInfo.php?workbook=06_02.xlsx&amp;sheet=U0&amp;row=2765&amp;col=6&amp;number=3.1&amp;sourceID=14","3.1")</f>
        <v>3.1</v>
      </c>
      <c r="G2765" s="4" t="str">
        <f>HYPERLINK("http://141.218.60.56/~jnz1568/getInfo.php?workbook=06_02.xlsx&amp;sheet=U0&amp;row=2765&amp;col=7&amp;number=0.797&amp;sourceID=14","0.797")</f>
        <v>0.797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HYPERLINK("http://141.218.60.56/~jnz1568/getInfo.php?workbook=06_02.xlsx&amp;sheet=U0&amp;row=2766&amp;col=6&amp;number=3.2&amp;sourceID=14","3.2")</f>
        <v>3.2</v>
      </c>
      <c r="G2766" s="4" t="str">
        <f>HYPERLINK("http://141.218.60.56/~jnz1568/getInfo.php?workbook=06_02.xlsx&amp;sheet=U0&amp;row=2766&amp;col=7&amp;number=0.797&amp;sourceID=14","0.797")</f>
        <v>0.797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HYPERLINK("http://141.218.60.56/~jnz1568/getInfo.php?workbook=06_02.xlsx&amp;sheet=U0&amp;row=2767&amp;col=6&amp;number=3.3&amp;sourceID=14","3.3")</f>
        <v>3.3</v>
      </c>
      <c r="G2767" s="4" t="str">
        <f>HYPERLINK("http://141.218.60.56/~jnz1568/getInfo.php?workbook=06_02.xlsx&amp;sheet=U0&amp;row=2767&amp;col=7&amp;number=0.796&amp;sourceID=14","0.796")</f>
        <v>0.796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HYPERLINK("http://141.218.60.56/~jnz1568/getInfo.php?workbook=06_02.xlsx&amp;sheet=U0&amp;row=2768&amp;col=6&amp;number=3.4&amp;sourceID=14","3.4")</f>
        <v>3.4</v>
      </c>
      <c r="G2768" s="4" t="str">
        <f>HYPERLINK("http://141.218.60.56/~jnz1568/getInfo.php?workbook=06_02.xlsx&amp;sheet=U0&amp;row=2768&amp;col=7&amp;number=0.796&amp;sourceID=14","0.796")</f>
        <v>0.796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HYPERLINK("http://141.218.60.56/~jnz1568/getInfo.php?workbook=06_02.xlsx&amp;sheet=U0&amp;row=2769&amp;col=6&amp;number=3.5&amp;sourceID=14","3.5")</f>
        <v>3.5</v>
      </c>
      <c r="G2769" s="4" t="str">
        <f>HYPERLINK("http://141.218.60.56/~jnz1568/getInfo.php?workbook=06_02.xlsx&amp;sheet=U0&amp;row=2769&amp;col=7&amp;number=0.795&amp;sourceID=14","0.795")</f>
        <v>0.795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HYPERLINK("http://141.218.60.56/~jnz1568/getInfo.php?workbook=06_02.xlsx&amp;sheet=U0&amp;row=2770&amp;col=6&amp;number=3.6&amp;sourceID=14","3.6")</f>
        <v>3.6</v>
      </c>
      <c r="G2770" s="4" t="str">
        <f>HYPERLINK("http://141.218.60.56/~jnz1568/getInfo.php?workbook=06_02.xlsx&amp;sheet=U0&amp;row=2770&amp;col=7&amp;number=0.794&amp;sourceID=14","0.794")</f>
        <v>0.794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HYPERLINK("http://141.218.60.56/~jnz1568/getInfo.php?workbook=06_02.xlsx&amp;sheet=U0&amp;row=2771&amp;col=6&amp;number=3.7&amp;sourceID=14","3.7")</f>
        <v>3.7</v>
      </c>
      <c r="G2771" s="4" t="str">
        <f>HYPERLINK("http://141.218.60.56/~jnz1568/getInfo.php?workbook=06_02.xlsx&amp;sheet=U0&amp;row=2771&amp;col=7&amp;number=0.793&amp;sourceID=14","0.793")</f>
        <v>0.793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HYPERLINK("http://141.218.60.56/~jnz1568/getInfo.php?workbook=06_02.xlsx&amp;sheet=U0&amp;row=2772&amp;col=6&amp;number=3.8&amp;sourceID=14","3.8")</f>
        <v>3.8</v>
      </c>
      <c r="G2772" s="4" t="str">
        <f>HYPERLINK("http://141.218.60.56/~jnz1568/getInfo.php?workbook=06_02.xlsx&amp;sheet=U0&amp;row=2772&amp;col=7&amp;number=0.792&amp;sourceID=14","0.792")</f>
        <v>0.792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HYPERLINK("http://141.218.60.56/~jnz1568/getInfo.php?workbook=06_02.xlsx&amp;sheet=U0&amp;row=2773&amp;col=6&amp;number=3.9&amp;sourceID=14","3.9")</f>
        <v>3.9</v>
      </c>
      <c r="G2773" s="4" t="str">
        <f>HYPERLINK("http://141.218.60.56/~jnz1568/getInfo.php?workbook=06_02.xlsx&amp;sheet=U0&amp;row=2773&amp;col=7&amp;number=0.79&amp;sourceID=14","0.79")</f>
        <v>0.79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HYPERLINK("http://141.218.60.56/~jnz1568/getInfo.php?workbook=06_02.xlsx&amp;sheet=U0&amp;row=2774&amp;col=6&amp;number=4&amp;sourceID=14","4")</f>
        <v>4</v>
      </c>
      <c r="G2774" s="4" t="str">
        <f>HYPERLINK("http://141.218.60.56/~jnz1568/getInfo.php?workbook=06_02.xlsx&amp;sheet=U0&amp;row=2774&amp;col=7&amp;number=0.788&amp;sourceID=14","0.788")</f>
        <v>0.788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HYPERLINK("http://141.218.60.56/~jnz1568/getInfo.php?workbook=06_02.xlsx&amp;sheet=U0&amp;row=2775&amp;col=6&amp;number=4.1&amp;sourceID=14","4.1")</f>
        <v>4.1</v>
      </c>
      <c r="G2775" s="4" t="str">
        <f>HYPERLINK("http://141.218.60.56/~jnz1568/getInfo.php?workbook=06_02.xlsx&amp;sheet=U0&amp;row=2775&amp;col=7&amp;number=0.785&amp;sourceID=14","0.785")</f>
        <v>0.785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HYPERLINK("http://141.218.60.56/~jnz1568/getInfo.php?workbook=06_02.xlsx&amp;sheet=U0&amp;row=2776&amp;col=6&amp;number=4.2&amp;sourceID=14","4.2")</f>
        <v>4.2</v>
      </c>
      <c r="G2776" s="4" t="str">
        <f>HYPERLINK("http://141.218.60.56/~jnz1568/getInfo.php?workbook=06_02.xlsx&amp;sheet=U0&amp;row=2776&amp;col=7&amp;number=0.782&amp;sourceID=14","0.782")</f>
        <v>0.782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HYPERLINK("http://141.218.60.56/~jnz1568/getInfo.php?workbook=06_02.xlsx&amp;sheet=U0&amp;row=2777&amp;col=6&amp;number=4.3&amp;sourceID=14","4.3")</f>
        <v>4.3</v>
      </c>
      <c r="G2777" s="4" t="str">
        <f>HYPERLINK("http://141.218.60.56/~jnz1568/getInfo.php?workbook=06_02.xlsx&amp;sheet=U0&amp;row=2777&amp;col=7&amp;number=0.778&amp;sourceID=14","0.778")</f>
        <v>0.778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HYPERLINK("http://141.218.60.56/~jnz1568/getInfo.php?workbook=06_02.xlsx&amp;sheet=U0&amp;row=2778&amp;col=6&amp;number=4.4&amp;sourceID=14","4.4")</f>
        <v>4.4</v>
      </c>
      <c r="G2778" s="4" t="str">
        <f>HYPERLINK("http://141.218.60.56/~jnz1568/getInfo.php?workbook=06_02.xlsx&amp;sheet=U0&amp;row=2778&amp;col=7&amp;number=0.773&amp;sourceID=14","0.773")</f>
        <v>0.773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HYPERLINK("http://141.218.60.56/~jnz1568/getInfo.php?workbook=06_02.xlsx&amp;sheet=U0&amp;row=2779&amp;col=6&amp;number=4.5&amp;sourceID=14","4.5")</f>
        <v>4.5</v>
      </c>
      <c r="G2779" s="4" t="str">
        <f>HYPERLINK("http://141.218.60.56/~jnz1568/getInfo.php?workbook=06_02.xlsx&amp;sheet=U0&amp;row=2779&amp;col=7&amp;number=0.766&amp;sourceID=14","0.766")</f>
        <v>0.766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HYPERLINK("http://141.218.60.56/~jnz1568/getInfo.php?workbook=06_02.xlsx&amp;sheet=U0&amp;row=2780&amp;col=6&amp;number=4.6&amp;sourceID=14","4.6")</f>
        <v>4.6</v>
      </c>
      <c r="G2780" s="4" t="str">
        <f>HYPERLINK("http://141.218.60.56/~jnz1568/getInfo.php?workbook=06_02.xlsx&amp;sheet=U0&amp;row=2780&amp;col=7&amp;number=0.758&amp;sourceID=14","0.758")</f>
        <v>0.758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HYPERLINK("http://141.218.60.56/~jnz1568/getInfo.php?workbook=06_02.xlsx&amp;sheet=U0&amp;row=2781&amp;col=6&amp;number=4.7&amp;sourceID=14","4.7")</f>
        <v>4.7</v>
      </c>
      <c r="G2781" s="4" t="str">
        <f>HYPERLINK("http://141.218.60.56/~jnz1568/getInfo.php?workbook=06_02.xlsx&amp;sheet=U0&amp;row=2781&amp;col=7&amp;number=0.749&amp;sourceID=14","0.749")</f>
        <v>0.749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HYPERLINK("http://141.218.60.56/~jnz1568/getInfo.php?workbook=06_02.xlsx&amp;sheet=U0&amp;row=2782&amp;col=6&amp;number=4.8&amp;sourceID=14","4.8")</f>
        <v>4.8</v>
      </c>
      <c r="G2782" s="4" t="str">
        <f>HYPERLINK("http://141.218.60.56/~jnz1568/getInfo.php?workbook=06_02.xlsx&amp;sheet=U0&amp;row=2782&amp;col=7&amp;number=0.737&amp;sourceID=14","0.737")</f>
        <v>0.737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HYPERLINK("http://141.218.60.56/~jnz1568/getInfo.php?workbook=06_02.xlsx&amp;sheet=U0&amp;row=2783&amp;col=6&amp;number=4.9&amp;sourceID=14","4.9")</f>
        <v>4.9</v>
      </c>
      <c r="G2783" s="4" t="str">
        <f>HYPERLINK("http://141.218.60.56/~jnz1568/getInfo.php?workbook=06_02.xlsx&amp;sheet=U0&amp;row=2783&amp;col=7&amp;number=0.723&amp;sourceID=14","0.723")</f>
        <v>0.723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2015-04-20T06:36:18Z</dcterms:created>
  <dcterms:modified xsi:type="dcterms:W3CDTF">2015-04-20T06:36:18Z</dcterms:modified>
</cp:coreProperties>
</file>