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<sst xmlns="http://schemas.openxmlformats.org/spreadsheetml/2006/main" count="4532" uniqueCount="4530">
  <si>
    <t>Sentence Id</t>
  </si>
  <si>
    <t>English</t>
  </si>
  <si>
    <t>Hindi</t>
  </si>
  <si>
    <t xml:space="preserve"> arctic_a0001 </t>
  </si>
  <si>
    <t>Author of the danger trail, Philip Steels, etc.</t>
  </si>
  <si>
    <t>खतरे के निशान के लेखक, फिलिप स्टील्स, आदि।</t>
  </si>
  <si>
    <t xml:space="preserve"> arctic_a0002 </t>
  </si>
  <si>
    <t>Not at this particular case, Tom, apologized Whittemore.</t>
  </si>
  <si>
    <t>इस विशेष मामले में नहीं, टॉम ने व्हिटमोर से माफी मांगी।</t>
  </si>
  <si>
    <t xml:space="preserve"> arctic_a0003 </t>
  </si>
  <si>
    <t>For the twentieth time that evening the two men shook hands.</t>
  </si>
  <si>
    <t>उस शाम बीसवीं बार दोनों व्यक्तियों ने हाथ मिलाया।</t>
  </si>
  <si>
    <t xml:space="preserve"> arctic_a0004 </t>
  </si>
  <si>
    <t>Lord, but I'm glad to see you again, Phil.</t>
  </si>
  <si>
    <t>भगवान, लेकिन मैं आपको फिर से देखकर खुश हूं, फिल।</t>
  </si>
  <si>
    <t xml:space="preserve"> arctic_a0005 </t>
  </si>
  <si>
    <t>Will we ever forget it.</t>
  </si>
  <si>
    <t>क्या हम इसे कभी भूल पाएंगे।</t>
  </si>
  <si>
    <t xml:space="preserve"> arctic_a0006 </t>
  </si>
  <si>
    <t>God bless 'em, I hope I'll go on seeing them forever.</t>
  </si>
  <si>
    <t>भगवान उन्हें आशीर्वाद दें, मुझे आशा है कि मैं उन्हें हमेशा के लिए देखता रहूंगा।</t>
  </si>
  <si>
    <t xml:space="preserve"> arctic_a0007 </t>
  </si>
  <si>
    <t>And you always want to see it in the superlative degree.</t>
  </si>
  <si>
    <t>और आप हमेशा इसे अतिशयोक्तिपूर्ण डिग्री में देखना चाहते हैं।</t>
  </si>
  <si>
    <t xml:space="preserve"> arctic_a0008 </t>
  </si>
  <si>
    <t>Gad, your letter came just in time.</t>
  </si>
  <si>
    <t>गाद, आपका पत्र बिल्कुल समय पर आया।</t>
  </si>
  <si>
    <t xml:space="preserve"> arctic_a0009 </t>
  </si>
  <si>
    <t>He turned sharply, and faced Gregson across the table.</t>
  </si>
  <si>
    <t>वह तेजी से मुड़ा, और मेज के पार ग्रेगसन का सामना किया।</t>
  </si>
  <si>
    <t xml:space="preserve"> arctic_a0010 </t>
  </si>
  <si>
    <t>I'm playing a single hand in what looks like a losing game.</t>
  </si>
  <si>
    <t>मैं एक हाथ से खेल रहा हूं जो एक हारने वाले खेल की तरह दिखता है।</t>
  </si>
  <si>
    <t xml:space="preserve"> arctic_a0011 </t>
  </si>
  <si>
    <t>If I ever needed a fighter in my life I need one now.</t>
  </si>
  <si>
    <t>अगर मुझे अपने जीवन में कभी एक फाइटर की जरूरत पड़ी तो मुझे अभी एक फाइटर की जरूरत है।</t>
  </si>
  <si>
    <t xml:space="preserve"> arctic_a0012 </t>
  </si>
  <si>
    <t>Gregson shoved back his chair and rose to his feet.</t>
  </si>
  <si>
    <t>ग्रेगसन ने अपनी कुर्सी पीछे खिसका दी और अपने पैरों पर खड़ा हो गया।</t>
  </si>
  <si>
    <t xml:space="preserve"> arctic_a0013 </t>
  </si>
  <si>
    <t>He was a head shorter than his companion, of almost delicate physique.</t>
  </si>
  <si>
    <t>वह अपने साथी से छोटा सिर था, लगभग नाजुक काया का।</t>
  </si>
  <si>
    <t>वह अपने साथी से छोटा था, लगभग नाजुक काया का।</t>
  </si>
  <si>
    <t xml:space="preserve"> arctic_a0014 </t>
  </si>
  <si>
    <t>Now you're coming down to business, Phil, he exclaimed.</t>
  </si>
  <si>
    <t>अब आप व्यवसाय में आ रहे हैं, फिल, उन्होंने कहा।</t>
  </si>
  <si>
    <t>अब आप व्यवसाय में नीचे आ रहे हैं, फिल, उन्होंने कहा।</t>
  </si>
  <si>
    <t xml:space="preserve"> arctic_a0015 </t>
  </si>
  <si>
    <t>It's the aurora borealis.</t>
  </si>
  <si>
    <t>यह औरोरा बोरेलिस है।</t>
  </si>
  <si>
    <t xml:space="preserve"> arctic_a0016 </t>
  </si>
  <si>
    <t>There's Fort Churchill, a rifle-shot beyond the ridge, asleep.</t>
  </si>
  <si>
    <t>वहाँ फ़ोर्ट चर्चिल है, रिज से परे एक राइफल-शॉट, सो रहा है।</t>
  </si>
  <si>
    <t xml:space="preserve"> arctic_a0017 </t>
  </si>
  <si>
    <t>From that moment his friendship for Belize turns to hatred and jealousy.</t>
  </si>
  <si>
    <t>उसी क्षण से बेलीज के लिए उसकी दोस्ती नफरत और ईर्ष्या में बदल जाती है।</t>
  </si>
  <si>
    <t xml:space="preserve"> arctic_a0018 </t>
  </si>
  <si>
    <t>There was a change now.</t>
  </si>
  <si>
    <t>अब एक बदलाव था।</t>
  </si>
  <si>
    <t xml:space="preserve"> arctic_a0019 </t>
  </si>
  <si>
    <t>I followed the line of the proposed railroad, looking for chances.</t>
  </si>
  <si>
    <t>मैंने संभावनाओं की तलाश में प्रस्तावित रेलमार्ग की लाइन का अनुसरण किया।</t>
  </si>
  <si>
    <t xml:space="preserve"> arctic_a0020 </t>
  </si>
  <si>
    <t>Clubs and balls and cities grew to be only memories.</t>
  </si>
  <si>
    <t>क्लब और गेंदें और शहर केवल यादें बन गए।</t>
  </si>
  <si>
    <t xml:space="preserve"> arctic_a0021 </t>
  </si>
  <si>
    <t>It fairly clubbed me into recognizing it.</t>
  </si>
  <si>
    <t>इसने मुझे इसे पहचानने में काफी हद तक जोड़ा।</t>
  </si>
  <si>
    <t xml:space="preserve"> arctic_a0022 </t>
  </si>
  <si>
    <t>Hardly were our plans made public before we were met by powerful opposition.</t>
  </si>
  <si>
    <t>शक्तिशाली विपक्ष से मिलने से पहले शायद ही हमारी योजनाओं को सार्वजनिक किया गया था।</t>
  </si>
  <si>
    <t xml:space="preserve"> arctic_a0023 </t>
  </si>
  <si>
    <t>A combination of Canadian capital quickly organized and petitioned for the same privileges.</t>
  </si>
  <si>
    <t>कनाडा की राजधानी के एक संयोजन ने समान विशेषाधिकारों के लिए जल्दी से संगठित और याचिका दायर की।</t>
  </si>
  <si>
    <t xml:space="preserve"> arctic_a0024 </t>
  </si>
  <si>
    <t>It was my reports from the north which chiefly induced people to buy.</t>
  </si>
  <si>
    <t>यह उत्तर से मेरी रिपोर्ट थी जिसने मुख्य रूप से लोगों को खरीदने के लिए प्रेरित किया।</t>
  </si>
  <si>
    <t xml:space="preserve"> arctic_a0025 </t>
  </si>
  <si>
    <t>I was about to do this when cooler judgment prevailed.</t>
  </si>
  <si>
    <t>मैं ऐसा करने ही वाला था कि कूलर का निर्णय प्रबल हो गया।</t>
  </si>
  <si>
    <t xml:space="preserve"> arctic_a0026 </t>
  </si>
  <si>
    <t>It occurred to me that there would have to be an accounting.</t>
  </si>
  <si>
    <t>मेरे साथ ऐसा हुआ कि लेखा-जोखा होना चाहिए।</t>
  </si>
  <si>
    <t xml:space="preserve"> arctic_a0027 </t>
  </si>
  <si>
    <t>To my surprise he began to show actual enthusiasm in my favor.</t>
  </si>
  <si>
    <t>मेरे आश्चर्य के लिए उन्होंने मेरे पक्ष में वास्तविक उत्साह दिखाना शुरू कर दिया।</t>
  </si>
  <si>
    <t xml:space="preserve"> arctic_a0028 </t>
  </si>
  <si>
    <t xml:space="preserve">Robbery, bribery, fraud, </t>
  </si>
  <si>
    <t>डकैती, घूसखोरी, धोखाधड़ी,</t>
  </si>
  <si>
    <t xml:space="preserve"> arctic_a0029 </t>
  </si>
  <si>
    <t>Their forces were already moving into the north country.</t>
  </si>
  <si>
    <t>उनकी सेना पहले से ही उत्तरी देश में जा रही थी।</t>
  </si>
  <si>
    <t xml:space="preserve"> arctic_a0030 </t>
  </si>
  <si>
    <t>I had faith in them.</t>
  </si>
  <si>
    <t>मुझे उन पर विश्वास था।</t>
  </si>
  <si>
    <t xml:space="preserve"> arctic_a0031 </t>
  </si>
  <si>
    <t>They were three hundred yards apart.</t>
  </si>
  <si>
    <t>वे तीन सौ गज की दूरी पर थे।</t>
  </si>
  <si>
    <t xml:space="preserve"> arctic_a0032 </t>
  </si>
  <si>
    <t>Since then some mysterious force has been fighting us at every step.</t>
  </si>
  <si>
    <t>तब से हर कदम पर कोई न कोई रहस्यमयी ताकत हमसे लड़ रही है।</t>
  </si>
  <si>
    <t xml:space="preserve"> arctic_a0033 </t>
  </si>
  <si>
    <t>He unfolded a long typewritten letter, and handed it to Gregson.</t>
  </si>
  <si>
    <t>उसने एक लंबा टाइप किया हुआ पत्र खोला, और उसे ग्रेगसन को सौंप दिया।</t>
  </si>
  <si>
    <t xml:space="preserve"> arctic_a0034 </t>
  </si>
  <si>
    <t>Men of Selden's stamp don't stop at women and children.</t>
  </si>
  <si>
    <t>सेल्डन की मुहर के पुरुष महिलाओं और बच्चों पर नहीं रुकते।</t>
  </si>
  <si>
    <t xml:space="preserve"> arctic_a0035 </t>
  </si>
  <si>
    <t>He stopped, and Philip nodded at the horrified question in his eyes.</t>
  </si>
  <si>
    <t>वह रुक गया, और फिलिप ने उसकी आँखों में भयानक प्रश्न पर सिर हिलाया।</t>
  </si>
  <si>
    <t xml:space="preserve"> arctic_a0036 </t>
  </si>
  <si>
    <t>She turned in at the hotel.</t>
  </si>
  <si>
    <t>वह होटल में मुड़ी।</t>
  </si>
  <si>
    <t xml:space="preserve"> arctic_a0037 </t>
  </si>
  <si>
    <t>I was the only one who remained sitting.</t>
  </si>
  <si>
    <t>मैं अकेला था जो बैठा रहा।</t>
  </si>
  <si>
    <t xml:space="preserve"> arctic_a0038 </t>
  </si>
  <si>
    <t>We'll have to watch our chances.</t>
  </si>
  <si>
    <t>हमें अपने मौके देखने होंगे।</t>
  </si>
  <si>
    <t xml:space="preserve"> arctic_a0039 </t>
  </si>
  <si>
    <t>The ship should be in within a week or ten days.</t>
  </si>
  <si>
    <t>जहाज एक सप्ताह या दस दिनों के भीतर होना चाहिए।</t>
  </si>
  <si>
    <t xml:space="preserve"> arctic_a0040 </t>
  </si>
  <si>
    <t>I suppose you wonder why she is coming up here.</t>
  </si>
  <si>
    <t>मुझे लगता है कि आपको आश्चर्य है कि वह यहाँ क्यों आ रही है।</t>
  </si>
  <si>
    <t xml:space="preserve"> arctic_a0041 </t>
  </si>
  <si>
    <t>Meanwhile I'll go out to breathe a spell.</t>
  </si>
  <si>
    <t>इस बीच मैं एक सांस लेने के लिए बाहर जाऊंगा।</t>
  </si>
  <si>
    <t xml:space="preserve"> arctic_a0042 </t>
  </si>
  <si>
    <t>How could he explain his possession of the sketch.</t>
  </si>
  <si>
    <t>वह स्केच के अपने कब्जे की व्याख्या कैसे कर सकता है।</t>
  </si>
  <si>
    <t xml:space="preserve"> arctic_a0043 </t>
  </si>
  <si>
    <t>It seemed nearer to him since he had seen and talked with Gregson.</t>
  </si>
  <si>
    <t>जब से उसने ग्रेगसन को देखा और उसके साथ बात की थी, वह उसके करीब लग रहा था।</t>
  </si>
  <si>
    <t xml:space="preserve"> arctic_a0044 </t>
  </si>
  <si>
    <t>Her own betrayal of herself was like tonic to Philip.</t>
  </si>
  <si>
    <t>स्वयं के प्रति उसका विश्वासघात फिलिप्पुस के लिए टॉनिक के समान था।</t>
  </si>
  <si>
    <t xml:space="preserve"> arctic_a0045 </t>
  </si>
  <si>
    <t>He moved away as quietly as he had come.</t>
  </si>
  <si>
    <t>वह जैसे आया था वैसे ही चुपचाप चला गया।</t>
  </si>
  <si>
    <t xml:space="preserve"> arctic_a0046 </t>
  </si>
  <si>
    <t>The girl faced him, her eyes shining with sudden fear.</t>
  </si>
  <si>
    <t>लड़की ने उसका सामना किया, उसकी आँखें अचानक डर से चमक उठीं।</t>
  </si>
  <si>
    <t xml:space="preserve"> arctic_a0047 </t>
  </si>
  <si>
    <t>Close beside him gleamed the white fangs of the wolf-dog.</t>
  </si>
  <si>
    <t>उसके बगल में भेड़िया-कुत्ते के सफेद नुकीले दांत चमक रहे थे।</t>
  </si>
  <si>
    <t xml:space="preserve"> arctic_a0048 </t>
  </si>
  <si>
    <t>He looked at the handkerchief more, closely.</t>
  </si>
  <si>
    <t>उसने रुमाल को और करीब से देखा।</t>
  </si>
  <si>
    <t xml:space="preserve"> arctic_a0049 </t>
  </si>
  <si>
    <t>Gregson was asleep when he re-entered the cabin.</t>
  </si>
  <si>
    <t>केबिन में दोबारा प्रवेश करने पर ग्रेगसन सो रहा था।</t>
  </si>
  <si>
    <t xml:space="preserve"> arctic_a0050 </t>
  </si>
  <si>
    <t>In spite of their absurdity the words affected Philip curiously.</t>
  </si>
  <si>
    <t>बेतुकेपन के बावजूद इन शब्दों ने फिलिप को उत्सुकता से प्रभावित किया।</t>
  </si>
  <si>
    <t xml:space="preserve"> arctic_a0051 </t>
  </si>
  <si>
    <t>The lace was of a delicate ivory color, faintly tinted with yellow.</t>
  </si>
  <si>
    <t>फीता एक नाजुक हाथीदांत रंग का था, जो हल्के पीले रंग से रंगा हुआ था।</t>
  </si>
  <si>
    <t xml:space="preserve"> arctic_a0052 </t>
  </si>
  <si>
    <t>It was a curious coincidence.</t>
  </si>
  <si>
    <t>यह एक जिज्ञासु संयोग था।</t>
  </si>
  <si>
    <t xml:space="preserve"> arctic_a0053 </t>
  </si>
  <si>
    <t>Suddenly his fingers closed tightly over the handkerchief.</t>
  </si>
  <si>
    <t>अचानक उसकी उंगलियां रूमाल पर कसकर बंद हो गईं।</t>
  </si>
  <si>
    <t xml:space="preserve"> arctic_a0054 </t>
  </si>
  <si>
    <t>There was nothing on the rock.</t>
  </si>
  <si>
    <t>चट्टान पर कुछ भी नहीं था।</t>
  </si>
  <si>
    <t xml:space="preserve"> arctic_a0055 </t>
  </si>
  <si>
    <t>Philip stood undecided, his ears strained to catch the slightest sound.</t>
  </si>
  <si>
    <t>फिलिप अनिर्णीत खड़ा रहा, उसके कान थोड़ी सी भी आवाज पकड़ने के लिए तनाव में आ गए।</t>
  </si>
  <si>
    <t xml:space="preserve"> arctic_a0056 </t>
  </si>
  <si>
    <t>Pearce's little eyes were fixed on him shrewdly.</t>
  </si>
  <si>
    <t>पीयर्स की नन्ही निगाहें चतुराई से उस पर टिकी थीं।</t>
  </si>
  <si>
    <t xml:space="preserve"> arctic_a0057 </t>
  </si>
  <si>
    <t>I have no idea, replied Philip.</t>
  </si>
  <si>
    <t>मुझे पता नहीं है, फिलिप ने उत्तर दिया।</t>
  </si>
  <si>
    <t xml:space="preserve"> arctic_a0058 </t>
  </si>
  <si>
    <t>I came for information more out of curiosity than anything else.</t>
  </si>
  <si>
    <t>मैं किसी और चीज से ज्यादा जिज्ञासा से जानकारी के लिए आया हूं।</t>
  </si>
  <si>
    <t xml:space="preserve"> arctic_a0059 </t>
  </si>
  <si>
    <t>His immaculate appearance was gone.</t>
  </si>
  <si>
    <t>उनका बेदाग रूप गायब हो गया था।</t>
  </si>
  <si>
    <t xml:space="preserve"> arctic_a0060 </t>
  </si>
  <si>
    <t>Anyway, no one saw her like that.</t>
  </si>
  <si>
    <t>वैसे भी उसे किसी ने ऐसे नहीं देखा था।</t>
  </si>
  <si>
    <t xml:space="preserve"> arctic_a0061 </t>
  </si>
  <si>
    <t>Philip snatched at the letter which Gregson held out to him.</t>
  </si>
  <si>
    <t>फिलिप ने उस पत्र को छीन लिया जो ग्रेगसन ने अपने पास रखा था।</t>
  </si>
  <si>
    <t xml:space="preserve"> arctic_a0062 </t>
  </si>
  <si>
    <t>The men stared into each other's face.</t>
  </si>
  <si>
    <t>पुरुष एक-दूसरे का मुंह देखने लगे।</t>
  </si>
  <si>
    <t xml:space="preserve"> arctic_a0063 </t>
  </si>
  <si>
    <t>Yes, it was a man who asked, a stranger.</t>
  </si>
  <si>
    <t>हाँ, यह एक आदमी था जिसने पूछा, एक अजनबी।</t>
  </si>
  <si>
    <t xml:space="preserve"> arctic_a0064 </t>
  </si>
  <si>
    <t>The fourth and fifth days passed without any developments.</t>
  </si>
  <si>
    <t>चौथा और पाँचवाँ दिन बिना किसी घटनाक्रम के बीत गया।</t>
  </si>
  <si>
    <t xml:space="preserve"> arctic_a0065 </t>
  </si>
  <si>
    <t>They closed now until his fingers were like cords of steel.</t>
  </si>
  <si>
    <t>वे अब तब तक बंद रहे जब तक कि उसकी उंगलियां स्टील की डोरियों की तरह नहीं हो गईं।</t>
  </si>
  <si>
    <t xml:space="preserve"> arctic_a0066 </t>
  </si>
  <si>
    <t>He saw Jeanne falter for a moment.</t>
  </si>
  <si>
    <t>उसने देखा कि जीन एक पल के लिए लड़खड़ा गया।</t>
  </si>
  <si>
    <t xml:space="preserve"> arctic_a0067 </t>
  </si>
  <si>
    <t>Surely I will excuse you, she cried.</t>
  </si>
  <si>
    <t>ज़रूर मैं तुम्हें माफ़ करूँगा, वह रोई।</t>
  </si>
  <si>
    <t xml:space="preserve"> arctic_a0068 </t>
  </si>
  <si>
    <t>In a flash Philip followed its direction.</t>
  </si>
  <si>
    <t>एक फ्लैश में फिलिप ने अपने निर्देश का पालन किया।</t>
  </si>
  <si>
    <t xml:space="preserve"> arctic_a0069 </t>
  </si>
  <si>
    <t>It was his intention to return to Eileen and her father.</t>
  </si>
  <si>
    <t>उसका इरादा एलीन और उसके पिता के पास लौटने का था।</t>
  </si>
  <si>
    <t xml:space="preserve"> arctic_a0070 </t>
  </si>
  <si>
    <t>He would first hunt up Gregson and begin his work there.</t>
  </si>
  <si>
    <t>वह पहले ग्रेगसन का शिकार करेगा और वहां अपना काम शुरू करेगा।</t>
  </si>
  <si>
    <t xml:space="preserve"> arctic_a0071 </t>
  </si>
  <si>
    <t>What was the object of your little sensation.</t>
  </si>
  <si>
    <t>आपकी छोटी सी सनसनी का क्या उद्देश्य था।</t>
  </si>
  <si>
    <t xml:space="preserve"> arctic_a0072 </t>
  </si>
  <si>
    <t>But who was Eileen's double.</t>
  </si>
  <si>
    <t>लेकिन एलीन का डबल कौन था।</t>
  </si>
  <si>
    <t xml:space="preserve"> arctic_a0073 </t>
  </si>
  <si>
    <t>The promoter's eyes were heavy, with little puffy bags under them.</t>
  </si>
  <si>
    <t>प्रमोटर की आंखें भारी थीं, जिनके नीचे छोटे-छोटे फूले हुए बैग थे।</t>
  </si>
  <si>
    <t xml:space="preserve"> arctic_a0074 </t>
  </si>
  <si>
    <t>And now, down there, Eileen was waiting for him.</t>
  </si>
  <si>
    <t>और अब, वहाँ नीचे, एलीन उसकी प्रतीक्षा कर रही थी।</t>
  </si>
  <si>
    <t xml:space="preserve"> arctic_a0075 </t>
  </si>
  <si>
    <t>There has been a change, she interrupted him.</t>
  </si>
  <si>
    <t>एक बदलाव आया है, उसने उसे बाधित किया।</t>
  </si>
  <si>
    <t xml:space="preserve"> arctic_a0076 </t>
  </si>
  <si>
    <t>The gray eyes faltered; the flush deepened.</t>
  </si>
  <si>
    <t>भूरी आँखें लड़खड़ा गईं; फ्लश गहरा गया।</t>
  </si>
  <si>
    <t xml:space="preserve"> arctic_a0077 </t>
  </si>
  <si>
    <t>It is the fire, partly, she said.</t>
  </si>
  <si>
    <t>यह आग है, आंशिक रूप से, उसने कहा।</t>
  </si>
  <si>
    <t xml:space="preserve"> arctic_a0078 </t>
  </si>
  <si>
    <t>Then, and at supper, he tried to fathom her.</t>
  </si>
  <si>
    <t>फिर, और रात के खाने में, उसने उसे थाह लेने की कोशिश की।</t>
  </si>
  <si>
    <t xml:space="preserve"> arctic_a0079 </t>
  </si>
  <si>
    <t>It was a large canoe.</t>
  </si>
  <si>
    <t>यह एक बड़ी डोंगी थी।</t>
  </si>
  <si>
    <t xml:space="preserve"> arctic_a0080 </t>
  </si>
  <si>
    <t>What if Jeanne failed him.</t>
  </si>
  <si>
    <t>क्या होगा अगर जीन ने उसे विफल कर दिया।</t>
  </si>
  <si>
    <t xml:space="preserve"> arctic_a0081 </t>
  </si>
  <si>
    <t>What if she did not come to the rock.</t>
  </si>
  <si>
    <t>क्या हुआ अगर वह चट्टान पर नहीं आई।</t>
  </si>
  <si>
    <t xml:space="preserve"> arctic_a0082 </t>
  </si>
  <si>
    <t>His face was streaming with blood.</t>
  </si>
  <si>
    <t>उसका चेहरा खून से लथपथ था।</t>
  </si>
  <si>
    <t xml:space="preserve"> arctic_a0083 </t>
  </si>
  <si>
    <t>A shadow was creeping over Pierre's eyes.</t>
  </si>
  <si>
    <t>पियरे की आँखों पर एक छाया रेंग रही थी।</t>
  </si>
  <si>
    <t xml:space="preserve"> arctic_a0084 </t>
  </si>
  <si>
    <t>Scarcely had he uttered the name when Pierre's closing eyes shot open.</t>
  </si>
  <si>
    <t>जब पियरे की बंद आँखें खुलीं तो उसने शायद ही नाम का उच्चारण किया था।</t>
  </si>
  <si>
    <t xml:space="preserve"> arctic_a0085 </t>
  </si>
  <si>
    <t>A trickle of fresh blood ran over his face.</t>
  </si>
  <si>
    <t>उसके चेहरे पर ताजा खून की धारा बह निकली।</t>
  </si>
  <si>
    <t xml:space="preserve"> arctic_a0086 </t>
  </si>
  <si>
    <t>Death had come with terrible suddenness.</t>
  </si>
  <si>
    <t>मृत्यु भयानक आकस्मिकता के साथ आई थी।</t>
  </si>
  <si>
    <t xml:space="preserve"> arctic_a0087 </t>
  </si>
  <si>
    <t>Philip bent lower, and stared into the face of the dead man.</t>
  </si>
  <si>
    <t>फिलिप नीचे झुक गया, और मरे हुए आदमी के चेहरे की ओर देखा।</t>
  </si>
  <si>
    <t xml:space="preserve"> arctic_a0088 </t>
  </si>
  <si>
    <t>He made sure that the magazine was loaded, and resumed his paddling.</t>
  </si>
  <si>
    <t>उन्होंने सुनिश्चित किया कि पत्रिका भरी हुई है, और अपना पैडलिंग फिर से शुरू किया।</t>
  </si>
  <si>
    <t xml:space="preserve"> arctic_a0089 </t>
  </si>
  <si>
    <t>The nightglow was treacherous to shoot by.</t>
  </si>
  <si>
    <t>नाइटग्लो द्वारा शूट करना विश्वासघाती था।</t>
  </si>
  <si>
    <t xml:space="preserve"> arctic_a0090 </t>
  </si>
  <si>
    <t>The singing voice approached rapidly.</t>
  </si>
  <si>
    <t>गायन की आवाज तेजी से निकट आई।</t>
  </si>
  <si>
    <t xml:space="preserve"> arctic_a0091 </t>
  </si>
  <si>
    <t>His blood grew hot with rage at the thought.</t>
  </si>
  <si>
    <t>इस विचार पर क्रोध से उसका खून गर्म हो गया।</t>
  </si>
  <si>
    <t xml:space="preserve"> arctic_a0092 </t>
  </si>
  <si>
    <t>He went down in midstream, searching the shadows of both shores.</t>
  </si>
  <si>
    <t>वह दोनों किनारों की परछाइयों को खोजते हुए, बीच में नीचे चला गया।</t>
  </si>
  <si>
    <t xml:space="preserve"> arctic_a0093 </t>
  </si>
  <si>
    <t>For a full minute he crouched and listened.</t>
  </si>
  <si>
    <t>पूरे एक मिनट तक वह झुक कर सुनता रहा।</t>
  </si>
  <si>
    <t xml:space="preserve"> arctic_a0094 </t>
  </si>
  <si>
    <t>He had barely entered this when he saw the glow of a fire.</t>
  </si>
  <si>
    <t>वह बमुश्किल इसमें प्रवेश कर पाया था कि उसने आग की चमक देखी।</t>
  </si>
  <si>
    <t xml:space="preserve"> arctic_a0095 </t>
  </si>
  <si>
    <t>A big canvas tent was the first thing to come within his vision.</t>
  </si>
  <si>
    <t>एक बड़ा कैनवास तम्बू उनकी दृष्टि में सबसे पहले आया था।</t>
  </si>
  <si>
    <t xml:space="preserve"> arctic_a0096 </t>
  </si>
  <si>
    <t>Perhaps she had already met her fate a little deeper in the forest.</t>
  </si>
  <si>
    <t>शायद वह अपने भाग्य से पहले ही जंगल में थोड़ी गहराई में मिल गई थी।</t>
  </si>
  <si>
    <t xml:space="preserve"> arctic_a0097 </t>
  </si>
  <si>
    <t>Then you can arrange yourself comfortably among these robes in the bow.</t>
  </si>
  <si>
    <t>फिर आप धनुष में इन वस्त्रों के बीच आराम से खुद को व्यवस्थित कर सकते हैं।</t>
  </si>
  <si>
    <t xml:space="preserve"> arctic_a0098 </t>
  </si>
  <si>
    <t>Shall I carry you.</t>
  </si>
  <si>
    <t>क्या मैं तुम्हें ले जाऊं।</t>
  </si>
  <si>
    <t xml:space="preserve"> arctic_a0099 </t>
  </si>
  <si>
    <t>A maddening joy pounded in his brain.</t>
  </si>
  <si>
    <t>उसके दिमाग में एक अजीब सी खुशी छा गई।</t>
  </si>
  <si>
    <t xml:space="preserve"> arctic_a0100 </t>
  </si>
  <si>
    <t>You must sleep, he urged.</t>
  </si>
  <si>
    <t>आपको सोना चाहिए, उसने आग्रह किया।</t>
  </si>
  <si>
    <t xml:space="preserve"> arctic_a0101 </t>
  </si>
  <si>
    <t>You, you would not keep the truth from me.</t>
  </si>
  <si>
    <t>तुम, तुम मुझसे सच्चाई को दूर नहीं रखोगे।</t>
  </si>
  <si>
    <t xml:space="preserve"> arctic_a0102 </t>
  </si>
  <si>
    <t>He will follow us soon.</t>
  </si>
  <si>
    <t>वह जल्द ही हमारा पीछा करेगा।</t>
  </si>
  <si>
    <t xml:space="preserve"> arctic_a0103 </t>
  </si>
  <si>
    <t>But there came no promise from the bow of the canoe.</t>
  </si>
  <si>
    <t>लेकिन डोंगी के धनुष से कोई वादा नहीं आया।</t>
  </si>
  <si>
    <t xml:space="preserve"> arctic_a0104 </t>
  </si>
  <si>
    <t>She was sleeping under his protection as sweetly as a child.</t>
  </si>
  <si>
    <t>वह उनके संरक्षण में एक बच्चे की तरह मीठे रूप से सो रही थी।</t>
  </si>
  <si>
    <t xml:space="preserve"> arctic_a0105 </t>
  </si>
  <si>
    <t>Only, it is so wonderful, so almost impossible to believe.</t>
  </si>
  <si>
    <t>केवल, यह इतना अद्भुत है, इस पर विश्वास करना लगभग असंभव है।</t>
  </si>
  <si>
    <t xml:space="preserve"> arctic_a0106 </t>
  </si>
  <si>
    <t>The emotion which she had suppressed burst forth now in a choking sob.</t>
  </si>
  <si>
    <t>जिस भावना को उसने दबा रखा था वह अब घुटन भरी सिसकियों में फूट पड़ी।</t>
  </si>
  <si>
    <t xml:space="preserve"> arctic_a0107 </t>
  </si>
  <si>
    <t>If you only could know how I thank you.</t>
  </si>
  <si>
    <t>यदि आप केवल यह जान सकते हैं कि मैं आपको कैसे धन्यवाद देता हूं।</t>
  </si>
  <si>
    <t xml:space="preserve"> arctic_a0108 </t>
  </si>
  <si>
    <t>He waded into the edge of the water and began scrubbing himself.</t>
  </si>
  <si>
    <t>वह पानी के किनारे में चला गया और खुद को साफ़ करने लगा।</t>
  </si>
  <si>
    <t xml:space="preserve"> arctic_a0109 </t>
  </si>
  <si>
    <t>Do you know that you are shaking my confidence in you.</t>
  </si>
  <si>
    <t>क्या आप जानते हैं कि आप अपने ऊपर से मेरा विश्वास डगमगा रहे हैं।</t>
  </si>
  <si>
    <t xml:space="preserve"> arctic_a0110 </t>
  </si>
  <si>
    <t>Much, replied Jeanne, as tersely.</t>
  </si>
  <si>
    <t>बहुत, जीन ने उत्तर दिया, संक्षेप में।</t>
  </si>
  <si>
    <t xml:space="preserve"> arctic_a0111 </t>
  </si>
  <si>
    <t>Instead, he joined her; and they ate like two hungry children.</t>
  </si>
  <si>
    <t>इसके बजाय, वह उससे जुड़ गया; और वे दो भूखे बच्चों की नाईं खा गए।</t>
  </si>
  <si>
    <t xml:space="preserve"> arctic_a0112 </t>
  </si>
  <si>
    <t>He was wounded in the arm.</t>
  </si>
  <si>
    <t>वह हाथ में जख्मी हो गया।</t>
  </si>
  <si>
    <t xml:space="preserve"> arctic_a0113 </t>
  </si>
  <si>
    <t>I suppose you picked that lingo up among the Indians.</t>
  </si>
  <si>
    <t>मुझे लगता है कि आपने भारतीयों के बीच उस लिंगो को चुना है।</t>
  </si>
  <si>
    <t xml:space="preserve"> arctic_a0114 </t>
  </si>
  <si>
    <t>Her words sent a strange chill through Philip.</t>
  </si>
  <si>
    <t>उसके शब्दों ने फिलिप के माध्यम से एक अजीब सी ठंडक पहुंचाई।</t>
  </si>
  <si>
    <t xml:space="preserve"> arctic_a0115 </t>
  </si>
  <si>
    <t>He had no excuse for the feelings which were aroused in him.</t>
  </si>
  <si>
    <t>उसके मन में जो भावनाएँ थीं, उनके लिए उसके पास कोई बहाना नहीं था।</t>
  </si>
  <si>
    <t xml:space="preserve"> arctic_a0116 </t>
  </si>
  <si>
    <t>Was it the rendezvous of those who were striving to work his ruin.</t>
  </si>
  <si>
    <t>क्या यह उन लोगों का मिलन था जो उसकी बर्बादी का काम करने की कोशिश कर रहे थे।</t>
  </si>
  <si>
    <t xml:space="preserve"> arctic_a0117 </t>
  </si>
  <si>
    <t>She added, with genuine sympathy in her face and voice.</t>
  </si>
  <si>
    <t>उसने जोड़ा, उसके चेहरे और आवाज में सच्ची सहानुभूति के साथ।</t>
  </si>
  <si>
    <t xml:space="preserve"> arctic_a0118 </t>
  </si>
  <si>
    <t>Pierre obeys me when we are together.</t>
  </si>
  <si>
    <t>जब हम साथ होते हैं तो पियरे मेरी बात मानते हैं।</t>
  </si>
  <si>
    <t xml:space="preserve"> arctic_a0119 </t>
  </si>
  <si>
    <t>Jeanne was turning the bow shoreward.</t>
  </si>
  <si>
    <t>जीन धनुष को किनारे कर रही थी।</t>
  </si>
  <si>
    <t xml:space="preserve"> arctic_a0120 </t>
  </si>
  <si>
    <t>My right foot feels like that of a Chinese debutante.</t>
  </si>
  <si>
    <t>मेरा दाहिना पैर एक चीनी डेब्यूटेंट जैसा लगता है।</t>
  </si>
  <si>
    <t xml:space="preserve"> arctic_a0121 </t>
  </si>
  <si>
    <t>They ate dinner at the fifth, and rested for two hours.</t>
  </si>
  <si>
    <t>उन्होंने पाँचवे दिन रात का खाना खाया और दो घंटे आराम किया।</t>
  </si>
  <si>
    <t xml:space="preserve"> arctic_a0122 </t>
  </si>
  <si>
    <t>Two years ago I gave up civilization for this.</t>
  </si>
  <si>
    <t>दो साल पहले मैंने इसके लिए सभ्यता छोड़ दी थी।</t>
  </si>
  <si>
    <t xml:space="preserve"> arctic_a0123 </t>
  </si>
  <si>
    <t>She had died from cold and starvation.</t>
  </si>
  <si>
    <t>उसकी मौत ठंड और भूख से हुई थी।</t>
  </si>
  <si>
    <t xml:space="preserve"> arctic_a0124 </t>
  </si>
  <si>
    <t>It was Jeanne singing softly over beyond the rocks.</t>
  </si>
  <si>
    <t>यह जीन चट्टानों से परे धीरे से गा रहा था।</t>
  </si>
  <si>
    <t xml:space="preserve"> arctic_a0125 </t>
  </si>
  <si>
    <t>He was determined now to maintain a more certain hold upon himself.</t>
  </si>
  <si>
    <t>वह अब अपने ऊपर एक और निश्चित पकड़ बनाए रखने के लिए दृढ़ था।</t>
  </si>
  <si>
    <t xml:space="preserve"> arctic_a0126 </t>
  </si>
  <si>
    <t>Each day she became a more vital part of him.</t>
  </si>
  <si>
    <t>हर दिन वह उसका एक और महत्वपूर्ण हिस्सा बन गई।</t>
  </si>
  <si>
    <t xml:space="preserve"> arctic_a0127 </t>
  </si>
  <si>
    <t>It was a temptation, but he resisted it.</t>
  </si>
  <si>
    <t>यह एक प्रलोभन था, लेकिन उन्होंने इसका विरोध किया।</t>
  </si>
  <si>
    <t xml:space="preserve"> arctic_a0128 </t>
  </si>
  <si>
    <t>This one hope was destroyed as quickly as it was born.</t>
  </si>
  <si>
    <t>यह एक आशा पैदा होते ही नष्ट हो गई।</t>
  </si>
  <si>
    <t xml:space="preserve"> arctic_a0129 </t>
  </si>
  <si>
    <t>Her face was against his breast.</t>
  </si>
  <si>
    <t>उसका चेहरा उसके स्तन के खिलाफ था।</t>
  </si>
  <si>
    <t xml:space="preserve"> arctic_a0130 </t>
  </si>
  <si>
    <t>She was his now, forever.</t>
  </si>
  <si>
    <t>वह अब उसकी थी, हमेशा के लिए।</t>
  </si>
  <si>
    <t xml:space="preserve"> arctic_a0131 </t>
  </si>
  <si>
    <t>Providence had delivered him through the maelstrom.</t>
  </si>
  <si>
    <t>प्रोविडेंस ने उसे भंवर से छुड़ाया था।</t>
  </si>
  <si>
    <t xml:space="preserve"> arctic_a0132 </t>
  </si>
  <si>
    <t>A cry of joy burst from Philip's lips.</t>
  </si>
  <si>
    <t>फिलिप के होठों से खुशी की चीख निकल गई।</t>
  </si>
  <si>
    <t xml:space="preserve"> arctic_a0133 </t>
  </si>
  <si>
    <t>Philip began to feel that he had foolishly overestimated his strength.</t>
  </si>
  <si>
    <t>फिलिप को लगने लगा कि उसने मूर्खता से अपनी ताकत को कम कर दिया है।</t>
  </si>
  <si>
    <t xml:space="preserve"> arctic_a0134 </t>
  </si>
  <si>
    <t>He obeyed the pressure of her hand.</t>
  </si>
  <si>
    <t>उसने उसके हाथ के दबाव का पालन किया।</t>
  </si>
  <si>
    <t xml:space="preserve"> arctic_a0135 </t>
  </si>
  <si>
    <t>I am going to surprise father, and you will go with Pierre.</t>
  </si>
  <si>
    <t>मैं पिताजी को आश्चर्यचकित करने जा रहा हूँ, और तुम पियरे के साथ जाओगे।</t>
  </si>
  <si>
    <t xml:space="preserve"> arctic_a0136 </t>
  </si>
  <si>
    <t>About him, everywhere, were the evidences of luxury and of age.</t>
  </si>
  <si>
    <t>उसके बारे में, हर जगह, विलासिता और उम्र के प्रमाण थे।</t>
  </si>
  <si>
    <t xml:space="preserve"> arctic_a0137 </t>
  </si>
  <si>
    <t>Then he stepped back with a low cry of pleasure.</t>
  </si>
  <si>
    <t>फिर वह खुशी के कम रोने के साथ पीछे हट गया।</t>
  </si>
  <si>
    <t xml:space="preserve"> arctic_a0138 </t>
  </si>
  <si>
    <t>In the picture he saw each moment a greater resemblance to Jeanne.</t>
  </si>
  <si>
    <t>तस्वीर में उन्होंने हर पल जीन के साथ एक बड़ी समानता देखी।</t>
  </si>
  <si>
    <t xml:space="preserve"> arctic_a0139 </t>
  </si>
  <si>
    <t>He told himself that as he washed himself and groomed his disheveled clothes.</t>
  </si>
  <si>
    <t>उसने खुद से कहा कि जैसे उसने खुद को धोया और अपने अस्त-व्यस्त कपड़े तैयार किए।</t>
  </si>
  <si>
    <t xml:space="preserve"> arctic_a0140 </t>
  </si>
  <si>
    <t>Accept a father's blessing, and with it, this.</t>
  </si>
  <si>
    <t>एक पिता का आशीर्वाद स्वीकार करें, और इसके साथ, यह।</t>
  </si>
  <si>
    <t xml:space="preserve"> arctic_a0141 </t>
  </si>
  <si>
    <t>It seems like a strange pointing of the hand of God.</t>
  </si>
  <si>
    <t>यह भगवान के हाथ का एक अजीब इशारा लगता है।</t>
  </si>
  <si>
    <t xml:space="preserve"> arctic_a0142 </t>
  </si>
  <si>
    <t>Such things had occurred before, he told Philip.</t>
  </si>
  <si>
    <t>ऐसी बातें पहले भी हुई थीं, उसने फिलिप्पुस को बताया।</t>
  </si>
  <si>
    <t xml:space="preserve"> arctic_a0143 </t>
  </si>
  <si>
    <t>Ah, I had forgotten, he exclaimed.</t>
  </si>
  <si>
    <t>आह, मैं भूल गया था, उसने कहा।</t>
  </si>
  <si>
    <t xml:space="preserve"> arctic_a0144 </t>
  </si>
  <si>
    <t>But there was something even more startling than this resemblance.</t>
  </si>
  <si>
    <t>लेकिन इस समानता से भी ज्यादा चौंकाने वाली बात कुछ और थी।</t>
  </si>
  <si>
    <t xml:space="preserve"> arctic_a0145 </t>
  </si>
  <si>
    <t>I have to be careful of them, as they tear very easily.</t>
  </si>
  <si>
    <t>मुझे उनसे सावधान रहना होगा, क्योंकि वे बहुत आसानी से फट जाते हैं।</t>
  </si>
  <si>
    <t xml:space="preserve"> arctic_a0146 </t>
  </si>
  <si>
    <t>Of course, that is uninteresting, she continued.</t>
  </si>
  <si>
    <t>बेशक, वह दिलचस्प नहीं है, उसने जारी रखा।</t>
  </si>
  <si>
    <t xml:space="preserve"> arctic_a0147 </t>
  </si>
  <si>
    <t>A moment before he was intoxicated by a joy that was almost madness.</t>
  </si>
  <si>
    <t>एक क्षण पहले वह एक ऐसी खुशी के नशे में था जो लगभग पागलपन थी।</t>
  </si>
  <si>
    <t xml:space="preserve"> arctic_a0148 </t>
  </si>
  <si>
    <t>Now these things had been struck dead within him.</t>
  </si>
  <si>
    <t>अब ये बातें उसके भीतर मर चुकी थीं।</t>
  </si>
  <si>
    <t xml:space="preserve"> arctic_a0149 </t>
  </si>
  <si>
    <t>For an instant he saw Pierre drawn like a silhouette against the sky.</t>
  </si>
  <si>
    <t>एक पल के लिए उसने पियरे को आकाश के खिलाफ एक सिल्हूट की तरह खींचा हुआ देखा।</t>
  </si>
  <si>
    <t xml:space="preserve"> arctic_a0150 </t>
  </si>
  <si>
    <t>Goodbye, Pierre, he shouted.</t>
  </si>
  <si>
    <t>अलविदा, पियरे, वह चिल्लाया।</t>
  </si>
  <si>
    <t xml:space="preserve"> arctic_a0151 </t>
  </si>
  <si>
    <t>And MacDougall was beyond the trail, with three weeks to spare.</t>
  </si>
  <si>
    <t>और मैकडॉगल निशान से परे था, जिसमें तीन सप्ताह शेष थे।</t>
  </si>
  <si>
    <t xml:space="preserve"> arctic_a0152 </t>
  </si>
  <si>
    <t>Philip thrust himself against it and entered.</t>
  </si>
  <si>
    <t>फिलिप ने खुद को इसके खिलाफ जोर दिया और प्रवेश किया।</t>
  </si>
  <si>
    <t xml:space="preserve"> arctic_a0153 </t>
  </si>
  <si>
    <t>MacDougall tapped his forehead suspiciously with a stubby forefinger.</t>
  </si>
  <si>
    <t>मैकडॉगल ने अपने माथे को एक ठूंठदार तर्जनी से संदिग्ध रूप से थपथपाया।</t>
  </si>
  <si>
    <t xml:space="preserve"> arctic_a0154 </t>
  </si>
  <si>
    <t>He was smooth-shaven, and his hair and eyes were black.</t>
  </si>
  <si>
    <t>वह चिकने मुंडा था, और उसके बाल और आँखें काली थीं।</t>
  </si>
  <si>
    <t xml:space="preserve"> arctic_a0155 </t>
  </si>
  <si>
    <t>Won't you draw up, gentlemen.</t>
  </si>
  <si>
    <t>सज्जनों, क्या आप आकर्षित नहीं करेंगे।</t>
  </si>
  <si>
    <t xml:space="preserve"> arctic_a0156 </t>
  </si>
  <si>
    <t>A strange fire burned in his eyes when Thorpe turned.</t>
  </si>
  <si>
    <t>थोर्प के मुड़ने पर उसकी आँखों में एक अजीब सी आग जल गई।</t>
  </si>
  <si>
    <t xml:space="preserve"> arctic_a0157 </t>
  </si>
  <si>
    <t>He had worshiped her, as Dante might have worshiped Beatrice.</t>
  </si>
  <si>
    <t>उसने उसकी पूजा की थी, जैसे दांते ने बीट्राइस की पूजा की होगी।</t>
  </si>
  <si>
    <t xml:space="preserve"> arctic_a0158 </t>
  </si>
  <si>
    <t>Does that look good.</t>
  </si>
  <si>
    <t>क्या यह अच्छा लगता है।</t>
  </si>
  <si>
    <t xml:space="preserve"> arctic_a0159 </t>
  </si>
  <si>
    <t>They look as though he had been drumming a piano all his life.</t>
  </si>
  <si>
    <t>वे ऐसे दिखते हैं जैसे वह जीवन भर पियानो बजाता रहा हो।</t>
  </si>
  <si>
    <t xml:space="preserve"> arctic_a0160 </t>
  </si>
  <si>
    <t>You want to go over and see his gang throw dirt.</t>
  </si>
  <si>
    <t>आप ऊपर जाकर उसके गिरोह को गंदगी फेंकते देखना चाहते हैं।</t>
  </si>
  <si>
    <t xml:space="preserve"> arctic_a0161 </t>
  </si>
  <si>
    <t>Take away their foreman and they wouldn't be worth their grub.</t>
  </si>
  <si>
    <t>उनके फोरमैन को दूर ले जाओ और वे अपने ग्रब के लायक नहीं होंगे।</t>
  </si>
  <si>
    <t xml:space="preserve"> arctic_a0162 </t>
  </si>
  <si>
    <t>That's the sub-foreman, explained Thorpe.</t>
  </si>
  <si>
    <t>वह सब-फोरमैन है, थोर्प ने समझाया।</t>
  </si>
  <si>
    <t xml:space="preserve"> arctic_a0163 </t>
  </si>
  <si>
    <t>Philip made no effort to follow.</t>
  </si>
  <si>
    <t>फिलिप ने अनुसरण करने का कोई प्रयास नहीं किया।</t>
  </si>
  <si>
    <t xml:space="preserve"> arctic_a0164 </t>
  </si>
  <si>
    <t>He came first a year ago, and revealed himself to Jeanne.</t>
  </si>
  <si>
    <t>वह एक साल पहले पहली बार आया था, और उसने खुद को जीन के सामने प्रकट किया।</t>
  </si>
  <si>
    <t xml:space="preserve"> arctic_a0165 </t>
  </si>
  <si>
    <t>They are to attack your camp tomorrow night.</t>
  </si>
  <si>
    <t>वे कल रात तुम्हारे शिविर पर आक्रमण करेंगे।</t>
  </si>
  <si>
    <t xml:space="preserve"> arctic_a0166 </t>
  </si>
  <si>
    <t>Two days ago Jeanne learned where her father's men were hiding.</t>
  </si>
  <si>
    <t>दो दिन पहले जीन को पता चला कि उसके पिता के आदमी कहाँ छिपे हुए हैं।</t>
  </si>
  <si>
    <t xml:space="preserve"> arctic_a0167 </t>
  </si>
  <si>
    <t>I was near the cabin, and saw you.</t>
  </si>
  <si>
    <t>मैं केबिन के पास था, और तुम्हें देखा।</t>
  </si>
  <si>
    <t xml:space="preserve"> arctic_a0168 </t>
  </si>
  <si>
    <t>Low bush whipped him in the face and left no sting.</t>
  </si>
  <si>
    <t>नीची झाड़ी ने उसके चेहरे पर वार किया और कोई डंक नहीं छोड़ा।</t>
  </si>
  <si>
    <t xml:space="preserve"> arctic_a0169 </t>
  </si>
  <si>
    <t>Suddenly Jeanne stopped for an instant.</t>
  </si>
  <si>
    <t>अचानक जीन एक पल के लिए रुक गया।</t>
  </si>
  <si>
    <t xml:space="preserve"> arctic_a0170 </t>
  </si>
  <si>
    <t>There was none of the joy of meeting in his face.</t>
  </si>
  <si>
    <t>उनके चेहरे पर मिलने की खुशी का ठिकाना नहीं था।</t>
  </si>
  <si>
    <t xml:space="preserve"> arctic_a0171 </t>
  </si>
  <si>
    <t>And when you come back in a few days, bring Eileen.</t>
  </si>
  <si>
    <t>और जब तुम कुछ दिनों में वापस आओ, तो एलीन को ले आओ।</t>
  </si>
  <si>
    <t xml:space="preserve"> arctic_a0172 </t>
  </si>
  <si>
    <t>Gregson had left the outer door slightly ajar.</t>
  </si>
  <si>
    <t>ग्रेगसन ने बाहरी दरवाजे को थोड़ा अजर छोड़ दिया था।</t>
  </si>
  <si>
    <t xml:space="preserve"> arctic_a0173 </t>
  </si>
  <si>
    <t>The date was nearly eighteen years old.</t>
  </si>
  <si>
    <t>बात करीब अट्ठारह साल पुरानी थी।</t>
  </si>
  <si>
    <t xml:space="preserve"> arctic_a0174 </t>
  </si>
  <si>
    <t>They were the presage of storm.</t>
  </si>
  <si>
    <t>वे तूफान के अग्रदूत थे।</t>
  </si>
  <si>
    <t xml:space="preserve"> arctic_a0175 </t>
  </si>
  <si>
    <t>Down there the earth was already swelling with life.</t>
  </si>
  <si>
    <t>वहाँ नीचे पृथ्वी पहले से ही जीवन से फूल रही थी।</t>
  </si>
  <si>
    <t xml:space="preserve"> arctic_a0176 </t>
  </si>
  <si>
    <t>For the first time in his life he was yearning for a scrap.</t>
  </si>
  <si>
    <t>अपने जीवन में पहली बार वह एक स्क्रैप के लिए तरस रहा था।</t>
  </si>
  <si>
    <t xml:space="preserve"> arctic_a0177 </t>
  </si>
  <si>
    <t>She had been thoroughly and efficiently mauled.</t>
  </si>
  <si>
    <t>उसे पूरी तरह से और कुशलता से तराशा गया था।</t>
  </si>
  <si>
    <t xml:space="preserve"> arctic_a0178 </t>
  </si>
  <si>
    <t>Every bone in her aged body seemed broken or dislocated.</t>
  </si>
  <si>
    <t>उसके वृद्ध शरीर की हर हड्डी टूटी हुई या अव्यवस्थित लग रही थी।</t>
  </si>
  <si>
    <t xml:space="preserve"> arctic_a0179 </t>
  </si>
  <si>
    <t>Tomorrow I'm going after that bear, he said.</t>
  </si>
  <si>
    <t>कल मैं उस भालू के पीछे जा रहा हूँ, उसने कहा।</t>
  </si>
  <si>
    <t xml:space="preserve"> arctic_a0180 </t>
  </si>
  <si>
    <t>If not, let's say our prayers and go to bed.</t>
  </si>
  <si>
    <t>यदि नहीं, तो हम प्रार्थना करें और सो जाएँ।</t>
  </si>
  <si>
    <t xml:space="preserve"> arctic_a0181 </t>
  </si>
  <si>
    <t>So cheer up, and give us your paw.</t>
  </si>
  <si>
    <t>तो खुश हो जाओ, और हमें अपना पंजा दो।</t>
  </si>
  <si>
    <t xml:space="preserve"> arctic_a0182 </t>
  </si>
  <si>
    <t>This time he did not yap for mercy.</t>
  </si>
  <si>
    <t>इस बार उसने दया के लिए याप नहीं की।</t>
  </si>
  <si>
    <t xml:space="preserve"> arctic_a0183 </t>
  </si>
  <si>
    <t>And the air was growing chilly.</t>
  </si>
  <si>
    <t>और हवा सर्द हो रही थी।</t>
  </si>
  <si>
    <t xml:space="preserve"> arctic_a0184 </t>
  </si>
  <si>
    <t>Don't you see, I'm chewing this thing in two.</t>
  </si>
  <si>
    <t>क्या तुम नहीं देखते, मैं इस चीज़ को दो भागों में चबा रहा हूँ।</t>
  </si>
  <si>
    <t xml:space="preserve"> arctic_a0185 </t>
  </si>
  <si>
    <t>The questions may have come vaguely in his mind.</t>
  </si>
  <si>
    <t>हो सकता है कि उसके मन में सवाल अस्पष्ट रूप से आए हों।</t>
  </si>
  <si>
    <t xml:space="preserve"> arctic_a0186 </t>
  </si>
  <si>
    <t>Like a flash he launched himself into the feathered mass of the owl.</t>
  </si>
  <si>
    <t>एक फ्लैश की तरह उसने खुद को उल्लू के पंख वाले द्रव्यमान में लॉन्च किया।</t>
  </si>
  <si>
    <t xml:space="preserve"> arctic_a0187 </t>
  </si>
  <si>
    <t>Ahead of them they saw a glimmer of sunshine.</t>
  </si>
  <si>
    <t>उनके आगे उन्होंने धूप की एक झलक देखी।</t>
  </si>
  <si>
    <t xml:space="preserve"> arctic_a0188 </t>
  </si>
  <si>
    <t>Two gigantic owls were tearing at the carcass.</t>
  </si>
  <si>
    <t>दो विशालकाय उल्लू शव को फाड़ रहे थे।</t>
  </si>
  <si>
    <t xml:space="preserve"> arctic_a0189 </t>
  </si>
  <si>
    <t>The big-eyed, clucking moose-birds were most annoying.</t>
  </si>
  <si>
    <t>बड़ी-आंखों वाले, मूज-पक्षी सबसे अधिक परेशान करने वाले थे।</t>
  </si>
  <si>
    <t xml:space="preserve"> arctic_a0190 </t>
  </si>
  <si>
    <t>Next to them the Canada jays were most persistent.</t>
  </si>
  <si>
    <t>उनके आगे कनाडा के जेज़ सबसे लगातार थे।</t>
  </si>
  <si>
    <t xml:space="preserve"> arctic_a0191 </t>
  </si>
  <si>
    <t>For a time the exciting thrill of his adventure was gone.</t>
  </si>
  <si>
    <t>कुछ समय के लिए उनके साहसिक कार्य का रोमांचक रोमांच चला गया।</t>
  </si>
  <si>
    <t xml:space="preserve"> arctic_a0192 </t>
  </si>
  <si>
    <t>He did not rush in.</t>
  </si>
  <si>
    <t>उसने जल्दी नहीं किया।</t>
  </si>
  <si>
    <t xml:space="preserve"> arctic_a0193 </t>
  </si>
  <si>
    <t>It was edged with ice.</t>
  </si>
  <si>
    <t>यह बर्फ से धारित था।</t>
  </si>
  <si>
    <t xml:space="preserve"> arctic_a0194 </t>
  </si>
  <si>
    <t>He drank of the water cautiously.</t>
  </si>
  <si>
    <t>उसने सावधानी से पानी पिया।</t>
  </si>
  <si>
    <t xml:space="preserve"> arctic_a0195 </t>
  </si>
  <si>
    <t>But a strange thing happened.</t>
  </si>
  <si>
    <t>लेकिन एक अजीब बात हुई।</t>
  </si>
  <si>
    <t xml:space="preserve"> arctic_a0196 </t>
  </si>
  <si>
    <t>He began to follow the footprints of the dog.</t>
  </si>
  <si>
    <t>वह कुत्ते के पदचिन्हों पर चलने लगा।</t>
  </si>
  <si>
    <t xml:space="preserve"> arctic_a0197 </t>
  </si>
  <si>
    <t>Such a dog the wise driver kills, or turns loose.</t>
  </si>
  <si>
    <t>ऐसा कुत्ता बुद्धिमान चालक मार देता है, या छूट जाता है।</t>
  </si>
  <si>
    <t xml:space="preserve"> arctic_a0198 </t>
  </si>
  <si>
    <t>Sometimes her dreams were filled with visions.</t>
  </si>
  <si>
    <t>कभी-कभी उसके सपने सपनों से भर जाते थे।</t>
  </si>
  <si>
    <t xml:space="preserve"> arctic_a0199 </t>
  </si>
  <si>
    <t>Thus had the raw wilderness prepared him for this day.</t>
  </si>
  <si>
    <t>इस प्रकार कच्चे जंगल ने उसे इस दिन के लिए तैयार किया था।</t>
  </si>
  <si>
    <t xml:space="preserve"> arctic_a0200 </t>
  </si>
  <si>
    <t>He leapt again, and the club caught him once more.</t>
  </si>
  <si>
    <t>वह फिर से उछला और क्लब ने उसे एक बार फिर पकड़ लिया।</t>
  </si>
  <si>
    <t xml:space="preserve"> arctic_a0201 </t>
  </si>
  <si>
    <t>He cried, and swung the club wildly.</t>
  </si>
  <si>
    <t>वह रोया, और क्लब को बेतहाशा घुमाया।</t>
  </si>
  <si>
    <t xml:space="preserve"> arctic_a0202 </t>
  </si>
  <si>
    <t>She turned, fearing that Jacques might see what was in her face.</t>
  </si>
  <si>
    <t>वह इस डर से मुड़ी कि जैक्स उसके चेहरे पर क्या देख सकता है।</t>
  </si>
  <si>
    <t xml:space="preserve"> arctic_a0203 </t>
  </si>
  <si>
    <t>They were following the shore of a lake.</t>
  </si>
  <si>
    <t>वे एक झील के किनारे का पीछा कर रहे थे।</t>
  </si>
  <si>
    <t xml:space="preserve"> arctic_a0204 </t>
  </si>
  <si>
    <t>The wolf-dog thrust his gaunt muzzle toward him.</t>
  </si>
  <si>
    <t>भेड़िया-कुत्ते ने अपना घिनौना थूथन उसकी ओर झोंक दिया।</t>
  </si>
  <si>
    <t xml:space="preserve"> arctic_a0205 </t>
  </si>
  <si>
    <t>From now on we're pals.</t>
  </si>
  <si>
    <t>अब से हम दोस्त हैं।</t>
  </si>
  <si>
    <t xml:space="preserve"> arctic_a0206 </t>
  </si>
  <si>
    <t>He says he bought him of Jacques Le Beau.</t>
  </si>
  <si>
    <t>वह कहता है कि उसने उसे जैक्स ले ब्यू से खरीदा था।</t>
  </si>
  <si>
    <t xml:space="preserve"> arctic_a0207 </t>
  </si>
  <si>
    <t>How much was it.</t>
  </si>
  <si>
    <t>यह कितना था।</t>
  </si>
  <si>
    <t xml:space="preserve"> arctic_a0208 </t>
  </si>
  <si>
    <t>Youth had come back to her, freed from the yoke of oppression.</t>
  </si>
  <si>
    <t>यौवन उसके पास वापस आ गया था, उत्पीड़न के जुए से मुक्त होकर।</t>
  </si>
  <si>
    <t xml:space="preserve"> arctic_a0209 </t>
  </si>
  <si>
    <t>It was not a large lake, and almost round.</t>
  </si>
  <si>
    <t>यह एक बड़ी झील नहीं थी, और लगभग गोल थी।</t>
  </si>
  <si>
    <t xml:space="preserve"> arctic_a0210 </t>
  </si>
  <si>
    <t>Its diameter was not more than two hundred yards.</t>
  </si>
  <si>
    <t>इसका व्यास दो सौ गज से अधिक नहीं था।</t>
  </si>
  <si>
    <t xml:space="preserve"> arctic_a0211 </t>
  </si>
  <si>
    <t>It drowned all sound that brute agony and death may have made.</t>
  </si>
  <si>
    <t>इसने उन सभी आवाजों को डुबो दिया जो क्रूर पीड़ा और मृत्यु ने की हो सकती हैं।</t>
  </si>
  <si>
    <t xml:space="preserve"> arctic_a0212 </t>
  </si>
  <si>
    <t>Fresh cases, still able to walk, they clustered about the spokesman.</t>
  </si>
  <si>
    <t>ताजा मामले, अभी भी चलने में सक्षम, उन्होंने प्रवक्ता के बारे में बताया।</t>
  </si>
  <si>
    <t xml:space="preserve"> arctic_a0213 </t>
  </si>
  <si>
    <t>Between him and the beach was the cane-grass fence of the compound.</t>
  </si>
  <si>
    <t>उसके और समुद्र तट के बीच परिसर की बेंत-घास की बाड़ थी।</t>
  </si>
  <si>
    <t xml:space="preserve"> arctic_a0214 </t>
  </si>
  <si>
    <t>Besides, he was paid one case of tobacco per head.</t>
  </si>
  <si>
    <t>इसके अलावा, उन्हें प्रति व्यक्ति तंबाकू के एक मामले का भुगतान किया गया था।</t>
  </si>
  <si>
    <t xml:space="preserve"> arctic_a0215 </t>
  </si>
  <si>
    <t>They die out of spite.</t>
  </si>
  <si>
    <t>वे द्वेष से मर जाते हैं।</t>
  </si>
  <si>
    <t xml:space="preserve"> arctic_a0216 </t>
  </si>
  <si>
    <t>The other felt a sudden wave of irritation rush through him.</t>
  </si>
  <si>
    <t>दूसरे ने महसूस किया कि उसके माध्यम से अचानक जलन की लहर दौड़ गई।</t>
  </si>
  <si>
    <t xml:space="preserve"> arctic_a0217 </t>
  </si>
  <si>
    <t>Oppressive as the heat had been, it was now even more oppressive.</t>
  </si>
  <si>
    <t>गर्मी जितनी दमनकारी थी, वह अब और भी अधिक दमनकारी थी।</t>
  </si>
  <si>
    <t xml:space="preserve"> arctic_a0218 </t>
  </si>
  <si>
    <t>The ringing of the big bell aroused him.</t>
  </si>
  <si>
    <t>बड़ी घंटी बजने से वह उत्तेजित हो गया।</t>
  </si>
  <si>
    <t xml:space="preserve"> arctic_a0219 </t>
  </si>
  <si>
    <t>At first he puzzled over something untoward he was sure had happened.</t>
  </si>
  <si>
    <t>पहले तो उसने कुछ अनहोनी के बारे में सोचा, उसे यकीन था कि हुआ था।</t>
  </si>
  <si>
    <t xml:space="preserve"> arctic_a0220 </t>
  </si>
  <si>
    <t>A dead man is of no use on a plantation.</t>
  </si>
  <si>
    <t>एक मरा हुआ आदमी एक वृक्षारोपण पर किसी काम का नहीं है।</t>
  </si>
  <si>
    <t xml:space="preserve"> arctic_a0221 </t>
  </si>
  <si>
    <t>I don't know why you're here at all.</t>
  </si>
  <si>
    <t>मुझे नहीं पता कि तुम यहाँ क्यों हो।</t>
  </si>
  <si>
    <t xml:space="preserve"> arctic_a0222 </t>
  </si>
  <si>
    <t>What part of the United States is your home.</t>
  </si>
  <si>
    <t>आपका घर संयुक्त राज्य अमेरिका का कौन सा हिस्सा है।</t>
  </si>
  <si>
    <t xml:space="preserve"> arctic_a0223 </t>
  </si>
  <si>
    <t>My, I'm almost homesick for it already.</t>
  </si>
  <si>
    <t>मेरा, मैं इसके लिए लगभग पहले से ही परेशान हूँ।</t>
  </si>
  <si>
    <t xml:space="preserve"> arctic_a0224 </t>
  </si>
  <si>
    <t>She nodded, and her eyes grew soft and moist.</t>
  </si>
  <si>
    <t>उसने सिर हिलाया, और उसकी आँखें कोमल और नम हो गईं।</t>
  </si>
  <si>
    <t xml:space="preserve"> arctic_a0225 </t>
  </si>
  <si>
    <t>I was brought up the way most girls in Hawaii are brought up.</t>
  </si>
  <si>
    <t>मेरी परवरिश उसी तरह हुई है जैसे हवाई में ज्यादातर लड़कियों को पाला जाता है।</t>
  </si>
  <si>
    <t xml:space="preserve"> arctic_a0226 </t>
  </si>
  <si>
    <t>That came before my A B C's.</t>
  </si>
  <si>
    <t>वह मेरे एबी सी से पहले आया था।</t>
  </si>
  <si>
    <t xml:space="preserve"> arctic_a0227 </t>
  </si>
  <si>
    <t>It was the same way with our revolvers and rifles.</t>
  </si>
  <si>
    <t>हमारे रिवॉल्वर और राइफल्स के साथ भी ऐसा ही था।</t>
  </si>
  <si>
    <t xml:space="preserve"> arctic_a0228 </t>
  </si>
  <si>
    <t>But it contributed to the smash.</t>
  </si>
  <si>
    <t>लेकिन इसने स्मैश में योगदान दिया।</t>
  </si>
  <si>
    <t xml:space="preserve"> arctic_a0229 </t>
  </si>
  <si>
    <t>The last one I knew was an overseer.</t>
  </si>
  <si>
    <t>आखिरी जिसे मैं जानता था वह एक ओवरसियर था।</t>
  </si>
  <si>
    <t xml:space="preserve"> arctic_a0230 </t>
  </si>
  <si>
    <t>Do you know any good land around here.</t>
  </si>
  <si>
    <t>क्या आप यहां के आसपास कोई अच्छी जमीन जानते हैं।</t>
  </si>
  <si>
    <t xml:space="preserve"> arctic_a0231 </t>
  </si>
  <si>
    <t>The Resident Commissioner is away in Australia.</t>
  </si>
  <si>
    <t>रेजिडेंट कमिश्नर ऑस्ट्रेलिया में दूर है।</t>
  </si>
  <si>
    <t xml:space="preserve"> arctic_a0232 </t>
  </si>
  <si>
    <t>I cannot follow you, she said.</t>
  </si>
  <si>
    <t>मैं आपका अनुसरण नहीं कर सकता, उसने कहा।</t>
  </si>
  <si>
    <t xml:space="preserve"> arctic_a0233 </t>
  </si>
  <si>
    <t>I never allow what can't be changed to annoy me.</t>
  </si>
  <si>
    <t>जो मुझे नाराज़ करने के लिए बदला नहीं जा सकता, मैं उसे कभी अनुमति नहीं देता।</t>
  </si>
  <si>
    <t xml:space="preserve"> arctic_a0234 </t>
  </si>
  <si>
    <t>Why, the average review is more nauseating than cod liver oil.</t>
  </si>
  <si>
    <t>क्यों, कॉड लिवर तेल की तुलना में औसत समीक्षा अधिक मतली है।</t>
  </si>
  <si>
    <t xml:space="preserve"> arctic_a0235 </t>
  </si>
  <si>
    <t>His voice was passionately rebellious.</t>
  </si>
  <si>
    <t>उनकी आवाज भावुक रूप से विद्रोही थी।</t>
  </si>
  <si>
    <t xml:space="preserve"> arctic_a0236 </t>
  </si>
  <si>
    <t>Don't you see I hate you.</t>
  </si>
  <si>
    <t>क्या तुम नहीं देखते कि मैं तुमसे नफरत करता हूँ।</t>
  </si>
  <si>
    <t xml:space="preserve"> arctic_a0237 </t>
  </si>
  <si>
    <t>So Hughie and I did the managing ourselves.</t>
  </si>
  <si>
    <t>इसलिए ह्यूगी और मैंने खुद प्रबंधन किया।</t>
  </si>
  <si>
    <t xml:space="preserve"> arctic_a0238 </t>
  </si>
  <si>
    <t>It happened to him at the Gallina Society in Oakland one afternoon.</t>
  </si>
  <si>
    <t>यह उसके साथ एक दोपहर ओकलैंड में गैलिना सोसाइटी में हुआ।</t>
  </si>
  <si>
    <t xml:space="preserve"> arctic_a0239 </t>
  </si>
  <si>
    <t>He cried in such genuine dismay that she broke into hearty laughter.</t>
  </si>
  <si>
    <t>वह इतनी वास्तविक निराशा में रोया कि वह हार्दिक हँसी में टूट गई।</t>
  </si>
  <si>
    <t xml:space="preserve"> arctic_a0240 </t>
  </si>
  <si>
    <t>Wash your hands of me.</t>
  </si>
  <si>
    <t>मुझसे हाथ धो लो।</t>
  </si>
  <si>
    <t xml:space="preserve"> arctic_a0241 </t>
  </si>
  <si>
    <t>I think it's much nicer to quarrel.</t>
  </si>
  <si>
    <t>मुझे लगता है कि झगड़ा करना ज्यादा अच्छा है।</t>
  </si>
  <si>
    <t xml:space="preserve"> arctic_a0242 </t>
  </si>
  <si>
    <t>I saw it when she rolled.</t>
  </si>
  <si>
    <t>जब वह लुढ़क गई तो मैंने उसे देखा।</t>
  </si>
  <si>
    <t xml:space="preserve"> arctic_a0243 </t>
  </si>
  <si>
    <t>I only read the quotations.</t>
  </si>
  <si>
    <t>मैं केवल उद्धरण पढ़ता हूं।</t>
  </si>
  <si>
    <t xml:space="preserve"> arctic_a0244 </t>
  </si>
  <si>
    <t>He was the soul of devotion to his employers.</t>
  </si>
  <si>
    <t>वह अपने नियोक्ताओं के प्रति समर्पण की आत्मा थे।</t>
  </si>
  <si>
    <t xml:space="preserve"> arctic_a0245 </t>
  </si>
  <si>
    <t>Out of his eighteen hundred, he laid aside sixteen hundred each year.</t>
  </si>
  <si>
    <t>उसने अपने अठारह सौ में से हर साल सोलह सौ अलग रखे।</t>
  </si>
  <si>
    <t xml:space="preserve"> arctic_a0246 </t>
  </si>
  <si>
    <t>You have heard always how he was the lover of the Princess Naomi.</t>
  </si>
  <si>
    <t>आपने हमेशा सुना होगा कि कैसे वह राजकुमारी नाओमी का प्रेमी था।</t>
  </si>
  <si>
    <t xml:space="preserve"> arctic_a0247 </t>
  </si>
  <si>
    <t>They ought to pass here some time today.</t>
  </si>
  <si>
    <t>उन्हें आज यहां कुछ समय गुजारना चाहिए।</t>
  </si>
  <si>
    <t xml:space="preserve"> arctic_a0248 </t>
  </si>
  <si>
    <t>I had been sad too long already.</t>
  </si>
  <si>
    <t>मैं बहुत पहले से ही उदास था।</t>
  </si>
  <si>
    <t xml:space="preserve"> arctic_a0249 </t>
  </si>
  <si>
    <t>All eyes, however, were staring at him in certitude of expectancy.</t>
  </si>
  <si>
    <t>हालाँकि, सभी की निगाहें उसे उम्मीद की दृष्टि से देख रही थीं।</t>
  </si>
  <si>
    <t xml:space="preserve"> arctic_a0250 </t>
  </si>
  <si>
    <t>He had observed the business life of Hawaii and developed a vaulting ambition.</t>
  </si>
  <si>
    <t>उन्होंने हवाई के व्यावसायिक जीवन को देखा था और एक तिजोरी महत्वाकांक्षा विकसित की थी।</t>
  </si>
  <si>
    <t xml:space="preserve"> arctic_a0251 </t>
  </si>
  <si>
    <t>I may manage to freight a cargo back as well.</t>
  </si>
  <si>
    <t>मैं एक कार्गो वापस माल ढुलाई का प्रबंधन भी कर सकता हूं।</t>
  </si>
  <si>
    <t xml:space="preserve"> arctic_a0252 </t>
  </si>
  <si>
    <t>O'Brien had been a clean living young man with ideals.</t>
  </si>
  <si>
    <t>ओ'ब्रायन आदर्शों वाला एक स्वच्छ जीवन जीने वाला युवक था।</t>
  </si>
  <si>
    <t xml:space="preserve"> arctic_a0253 </t>
  </si>
  <si>
    <t>He it was that lived to found the family of the Patino.</t>
  </si>
  <si>
    <t>वह वह था जो पैटिनो के परिवार को खोजने के लिए जीवित था।</t>
  </si>
  <si>
    <t xml:space="preserve"> arctic_a0254 </t>
  </si>
  <si>
    <t>Straight out they swam, their heads growing smaller and smaller.</t>
  </si>
  <si>
    <t>वे सीधे तैर गए, उनके सिर छोटे और छोटे होते जा रहे थे।</t>
  </si>
  <si>
    <t xml:space="preserve"> arctic_a0255 </t>
  </si>
  <si>
    <t>You won't die of malnutrition, be sure of that.</t>
  </si>
  <si>
    <t>आप कुपोषण से नहीं मरेंगे, यह सुनिश्चित करें।</t>
  </si>
  <si>
    <t xml:space="preserve"> arctic_a0256 </t>
  </si>
  <si>
    <t>See the length of the body and that elongated neck.</t>
  </si>
  <si>
    <t>शरीर की लंबाई और उस लम्बी गर्दन को देखें।</t>
  </si>
  <si>
    <t xml:space="preserve"> arctic_a0257 </t>
  </si>
  <si>
    <t>They are coming ashore, whoever they are.</t>
  </si>
  <si>
    <t>वे किनारे पर आ रहे हैं, वे कोई भी हों।</t>
  </si>
  <si>
    <t xml:space="preserve"> arctic_a0258 </t>
  </si>
  <si>
    <t>Soaked in seawater they offset the heat rays.</t>
  </si>
  <si>
    <t>समुद्री जल में भिगोकर वे गर्मी की किरणों की भरपाई करते हैं।</t>
  </si>
  <si>
    <t xml:space="preserve"> arctic_a0259 </t>
  </si>
  <si>
    <t>Think of investing in such an adventure.</t>
  </si>
  <si>
    <t>ऐसे साहसिक कार्य में निवेश करने के बारे में सोचें।</t>
  </si>
  <si>
    <t xml:space="preserve"> arctic_a0260 </t>
  </si>
  <si>
    <t>Nobody knew his history, they of the Junta least of all.</t>
  </si>
  <si>
    <t>उनके इतिहास को कोई नहीं जानता था, वे जुंटा के कम से कम।</t>
  </si>
  <si>
    <t xml:space="preserve"> arctic_a0261 </t>
  </si>
  <si>
    <t>I have been doubly baptized.</t>
  </si>
  <si>
    <t>मेरा दोहरा बपतिस्मा हो चुका है।</t>
  </si>
  <si>
    <t xml:space="preserve"> arctic_a0262 </t>
  </si>
  <si>
    <t>They wouldn't be sweeping a big vessel like the Martha.</t>
  </si>
  <si>
    <t>वे मार्था जैसे बड़े बर्तन में झाडू नहीं लगा रहे होंगे।</t>
  </si>
  <si>
    <t xml:space="preserve"> arctic_a0263 </t>
  </si>
  <si>
    <t>Joan looked triumphantly at Sheldon, who bowed.</t>
  </si>
  <si>
    <t>जोन ने विजयी रूप से शेल्डन को देखा, जो झुक गया।</t>
  </si>
  <si>
    <t xml:space="preserve"> arctic_a0264 </t>
  </si>
  <si>
    <t>And I hope you've got plenty of chain out, Captain Young.</t>
  </si>
  <si>
    <t>और मुझे आशा है कि आपके पास बहुत सी चेन आउट हो गई होगी, कैप्टन यंग।</t>
  </si>
  <si>
    <t xml:space="preserve"> arctic_a0265 </t>
  </si>
  <si>
    <t>The discovery seemed to have been made on the spur of the moment.</t>
  </si>
  <si>
    <t>ऐसा लग रहा था कि खोज इस समय की गई थी।</t>
  </si>
  <si>
    <t xml:space="preserve"> arctic_a0266 </t>
  </si>
  <si>
    <t>They handled two men already, both grub-thieves.</t>
  </si>
  <si>
    <t>उन्होंने पहले से ही दो आदमियों को संभाला, दोनों ग्रब-चोर।</t>
  </si>
  <si>
    <t xml:space="preserve"> arctic_a0267 </t>
  </si>
  <si>
    <t>Eli Harding asked, as Shunk started to follow.</t>
  </si>
  <si>
    <t>एली हार्डिंग ने पूछा, जैसे ही शंक ने पीछा करना शुरू किया।</t>
  </si>
  <si>
    <t xml:space="preserve"> arctic_a0268 </t>
  </si>
  <si>
    <t>Now go ahead and tell me in a straightforward way what has happened.</t>
  </si>
  <si>
    <t>अब आगे बढ़ो और मुझे सीधे-सीधे बताओ कि क्या हुआ है।</t>
  </si>
  <si>
    <t xml:space="preserve"> arctic_a0269 </t>
  </si>
  <si>
    <t>That's where they cut off the Scottish Chiefs and killed all hands.</t>
  </si>
  <si>
    <t>यहीं पर उन्होंने स्कॉटिश प्रमुखों को काट दिया और सभी हाथों को मार डाला।</t>
  </si>
  <si>
    <t xml:space="preserve"> arctic_a0270 </t>
  </si>
  <si>
    <t>And after the bath a shave would not be bad.</t>
  </si>
  <si>
    <t>और नहाने के बाद दाढ़ी खराब नहीं होगी।</t>
  </si>
  <si>
    <t xml:space="preserve"> arctic_a0271 </t>
  </si>
  <si>
    <t>Now please give a plain statement of what occurred.</t>
  </si>
  <si>
    <t>अब जो हुआ उसका स्पष्ट विवरण दें।</t>
  </si>
  <si>
    <t xml:space="preserve"> arctic_a0272 </t>
  </si>
  <si>
    <t>You can take a vacation on pay.</t>
  </si>
  <si>
    <t>आप वेतन पर छुट्टी ले सकते हैं।</t>
  </si>
  <si>
    <t xml:space="preserve"> arctic_a0273 </t>
  </si>
  <si>
    <t>They are big trees and require plenty of room.</t>
  </si>
  <si>
    <t>वे बड़े पेड़ हैं और उन्हें बहुत जगह की आवश्यकता होती है।</t>
  </si>
  <si>
    <t xml:space="preserve"> arctic_a0274 </t>
  </si>
  <si>
    <t>And Raoul listened again to the tale of the house.</t>
  </si>
  <si>
    <t>और राउल ने फिर से घर की कहानी सुनी।</t>
  </si>
  <si>
    <t xml:space="preserve"> arctic_a0275 </t>
  </si>
  <si>
    <t>There are no kiddies and half grown youths among them.</t>
  </si>
  <si>
    <t>उनमें कोई बच्चा और आधा वयस्क युवा नहीं है।</t>
  </si>
  <si>
    <t xml:space="preserve"> arctic_a0276 </t>
  </si>
  <si>
    <t>Oolong Atoll was one hundred and forty miles in circumference.</t>
  </si>
  <si>
    <t>ऊलोंग एटोल की परिधि एक सौ चालीस मील थी।</t>
  </si>
  <si>
    <t xml:space="preserve"> arctic_a0277 </t>
  </si>
  <si>
    <t>McCoy found a stifling, poisonous atmosphere in the pent cabin.</t>
  </si>
  <si>
    <t>मैककॉय को पेन्ट केबिन में एक दमदार, जहरीला वातावरण मिला।</t>
  </si>
  <si>
    <t xml:space="preserve"> arctic_a0278 </t>
  </si>
  <si>
    <t>It would give me nervous prostration.</t>
  </si>
  <si>
    <t>यह मुझे नर्वस साष्टांग प्रणाम करेगा।</t>
  </si>
  <si>
    <t xml:space="preserve"> arctic_a0279 </t>
  </si>
  <si>
    <t>She said with chattering teeth.</t>
  </si>
  <si>
    <t>उसने बड़बड़ाते हुए दांतों से कहा।</t>
  </si>
  <si>
    <t xml:space="preserve"> arctic_a0280 </t>
  </si>
  <si>
    <t>I'll be out of my head in fifteen minutes.</t>
  </si>
  <si>
    <t>मैं पंद्रह मिनट में अपने सिर से बाहर हो जाऊंगा।</t>
  </si>
  <si>
    <t xml:space="preserve"> arctic_a0281 </t>
  </si>
  <si>
    <t>I do not blame you for anything; remember that.</t>
  </si>
  <si>
    <t>मैं तुम्हें किसी भी चीज़ के लिए दोष नहीं देता; उसे याद रखो।</t>
  </si>
  <si>
    <t xml:space="preserve"> arctic_a0282 </t>
  </si>
  <si>
    <t>If you mean to insinuate -- Brentwood began hotly.</t>
  </si>
  <si>
    <t>यदि आपका मतलब है - ब्रेंटवुड ने गर्मजोशी से शुरुआत की।</t>
  </si>
  <si>
    <t xml:space="preserve"> arctic_a0283 </t>
  </si>
  <si>
    <t>The woman in you is only incidental, accidental, and irrelevant.</t>
  </si>
  <si>
    <t>आप में महिला केवल आकस्मिक, आकस्मिक और अप्रासंगिक है।</t>
  </si>
  <si>
    <t xml:space="preserve"> arctic_a0284 </t>
  </si>
  <si>
    <t>There was no forecasting this strange girl's processes.</t>
  </si>
  <si>
    <t>इस अजीब लड़की की प्रक्रियाओं का कोई पूर्वानुमान नहीं था।</t>
  </si>
  <si>
    <t xml:space="preserve"> arctic_a0285 </t>
  </si>
  <si>
    <t>But what they want with your toothbrush is more than I can imagine.</t>
  </si>
  <si>
    <t>लेकिन वे आपके टूथब्रश से जो चाहते हैं वह मेरी कल्पना से कहीं अधिक है।</t>
  </si>
  <si>
    <t xml:space="preserve"> arctic_a0286 </t>
  </si>
  <si>
    <t>Give them their choice between a fine or an official whipping.</t>
  </si>
  <si>
    <t>उन्हें जुर्माना या आधिकारिक सजा के बीच उनकी पसंद दें।</t>
  </si>
  <si>
    <t xml:space="preserve"> arctic_a0287 </t>
  </si>
  <si>
    <t>Keep an eye on him.</t>
  </si>
  <si>
    <t>उस पर नजर रखें।</t>
  </si>
  <si>
    <t xml:space="preserve"> arctic_a0288 </t>
  </si>
  <si>
    <t>Those are my oysters, he said at last.</t>
  </si>
  <si>
    <t>वे मेरी सीप हैं, उसने आखिर में कहा।</t>
  </si>
  <si>
    <t xml:space="preserve"> arctic_a0289 </t>
  </si>
  <si>
    <t>They are not regular oyster pirates, Nicholas continued.</t>
  </si>
  <si>
    <t>वे नियमित सीप समुद्री डाकू नहीं हैं, निकोलस ने जारी रखा।</t>
  </si>
  <si>
    <t xml:space="preserve"> arctic_a0290 </t>
  </si>
  <si>
    <t>One by one the boys were captured.</t>
  </si>
  <si>
    <t>एक-एक कर लड़कों को पकड़ लिया गया।</t>
  </si>
  <si>
    <t xml:space="preserve"> arctic_a0291 </t>
  </si>
  <si>
    <t>The weeks had gone by, and no overt acts had been attempted.</t>
  </si>
  <si>
    <t>सप्ताह बीत चुके थे, और कोई भी प्रत्यक्ष कार्य करने का प्रयास नहीं किया गया था।</t>
  </si>
  <si>
    <t xml:space="preserve"> arctic_a0292 </t>
  </si>
  <si>
    <t>Here, in the midmorning, the first casualty occurred.</t>
  </si>
  <si>
    <t>इधर, मध्याह्न में पहली हताहत हुई।</t>
  </si>
  <si>
    <t xml:space="preserve"> arctic_a0293 </t>
  </si>
  <si>
    <t>They were deep in the primeval forest.</t>
  </si>
  <si>
    <t>वे आदिकालीन वन में गहरे थे।</t>
  </si>
  <si>
    <t xml:space="preserve"> arctic_a0294 </t>
  </si>
  <si>
    <t>He had been foiled in his attempt to escape.</t>
  </si>
  <si>
    <t>भागने की कोशिश में उसे नाकाम कर दिया गया था।</t>
  </si>
  <si>
    <t xml:space="preserve"> arctic_a0295 </t>
  </si>
  <si>
    <t>And twenty men could hold it with spears and arrows.</t>
  </si>
  <si>
    <t>और बीस आदमी उसे भाले और तीरों से पकड़ सकते थे।</t>
  </si>
  <si>
    <t xml:space="preserve"> arctic_a0296 </t>
  </si>
  <si>
    <t>Bassett was a fastidious man.</t>
  </si>
  <si>
    <t>बैसेट एक तेजतर्रार व्यक्ति था।</t>
  </si>
  <si>
    <t xml:space="preserve"> arctic_a0297 </t>
  </si>
  <si>
    <t>There's a big English general right now whose name is Roberts.</t>
  </si>
  <si>
    <t>अभी एक बड़ा अंग्रेज जनरल है जिसका नाम रॉबर्ट्स है।</t>
  </si>
  <si>
    <t xml:space="preserve"> arctic_a0298 </t>
  </si>
  <si>
    <t>This tacit promise of continued acquaintance gave Saxon a little joy-thrill.</t>
  </si>
  <si>
    <t>निरंतर परिचित होने के इस मौन वादे ने सैक्सन को थोड़ा आनंद-रोमांच दिया।</t>
  </si>
  <si>
    <t xml:space="preserve"> arctic_a0299 </t>
  </si>
  <si>
    <t>I tell you I am disgusted with this adventure tomfoolery and rot.</t>
  </si>
  <si>
    <t>मैं आपको बताता हूं कि मैं इस साहसिक टॉमफूलरी और सड़ांध से घृणा करता हूं।</t>
  </si>
  <si>
    <t xml:space="preserve"> arctic_a0300 </t>
  </si>
  <si>
    <t>From my earliest recollection my sleep was a period of terror.</t>
  </si>
  <si>
    <t>मेरी प्रारंभिक स्मृति से मेरी नींद आतंक की अवधि थी।</t>
  </si>
  <si>
    <t xml:space="preserve"> arctic_a0301 </t>
  </si>
  <si>
    <t>But all my dreams violated this law.</t>
  </si>
  <si>
    <t>लेकिन मेरे सभी सपनों ने इस कानून का उल्लंघन किया।</t>
  </si>
  <si>
    <t xml:space="preserve"> arctic_a0302 </t>
  </si>
  <si>
    <t>It is very plausible to such people, a most convincing hypothesis.</t>
  </si>
  <si>
    <t>ऐसे लोगों के लिए यह बहुत ही प्रशंसनीय है, एक सबसे ठोस परिकल्पना है।</t>
  </si>
  <si>
    <t xml:space="preserve"> arctic_a0303 </t>
  </si>
  <si>
    <t>But they make the mistake of ignoring their own duality.</t>
  </si>
  <si>
    <t>लेकिन वे अपने द्वैत को नज़रअंदाज़ करने की गलती करते हैं।</t>
  </si>
  <si>
    <t xml:space="preserve"> arctic_a0304 </t>
  </si>
  <si>
    <t>I graduated last of my class.</t>
  </si>
  <si>
    <t>मैंने अपनी कक्षा का अंतिम स्नातक किया है।</t>
  </si>
  <si>
    <t xml:space="preserve"> arctic_a0305 </t>
  </si>
  <si>
    <t>They had no fixed values, to be altered by adjectives and adverbs.</t>
  </si>
  <si>
    <t>उनके पास कोई निश्चित मूल्य नहीं था, विशेषण और क्रियाविशेषण द्वारा परिवर्तित किया जाना था।</t>
  </si>
  <si>
    <t xml:space="preserve"> arctic_a0306 </t>
  </si>
  <si>
    <t>He was pressing beyond the limits of his vocabulary.</t>
  </si>
  <si>
    <t>वह अपनी शब्दावली की सीमा से परे दबाव डाल रहा था।</t>
  </si>
  <si>
    <t xml:space="preserve"> arctic_a0307 </t>
  </si>
  <si>
    <t>Very early in my life, I separated from my mother.</t>
  </si>
  <si>
    <t>अपने जीवन में बहुत जल्दी, मैं अपनी माँ से अलग हो गया।</t>
  </si>
  <si>
    <t xml:space="preserve"> arctic_a0308 </t>
  </si>
  <si>
    <t>His infernal chattering worries me even now as I think of it.</t>
  </si>
  <si>
    <t>उसकी राक्षसी बकबक मुझे अब भी चिंतित करती है जैसा कि मैं इसके बारे में सोचता हूं।</t>
  </si>
  <si>
    <t xml:space="preserve"> arctic_a0309 </t>
  </si>
  <si>
    <t>White Leghorns, said Mrs Mortimer.</t>
  </si>
  <si>
    <t>व्हाइट लेघोर्न्स, श्रीमती मोर्टिमर ने कहा।</t>
  </si>
  <si>
    <t xml:space="preserve"> arctic_a0310 </t>
  </si>
  <si>
    <t>Massage under tension, was the cryptic reply.</t>
  </si>
  <si>
    <t>तनाव में मालिश, गुप्त उत्तर था।</t>
  </si>
  <si>
    <t xml:space="preserve"> arctic_a0311 </t>
  </si>
  <si>
    <t>Therefore, hurrah for the game.</t>
  </si>
  <si>
    <t>इसलिए, खेल के लिए जल्दी करो।</t>
  </si>
  <si>
    <t xml:space="preserve"> arctic_a0312 </t>
  </si>
  <si>
    <t>It lived in perpetual apprehension of that quarter of the compass.</t>
  </si>
  <si>
    <t>यह कम्पास के उस चौथाई हिस्से की सतत आशंका में रहता था।</t>
  </si>
  <si>
    <t xml:space="preserve"> arctic_a0313 </t>
  </si>
  <si>
    <t>Broken-Tooth yelled with fright and pain.</t>
  </si>
  <si>
    <t>टूटा हुआ दांत डर और दर्द से चिल्लाया।</t>
  </si>
  <si>
    <t xml:space="preserve"> arctic_a0314 </t>
  </si>
  <si>
    <t>Thus was momentum gained in the Younger World.</t>
  </si>
  <si>
    <t>इस प्रकार यंगर वर्ल्ड में गति प्राप्त हुई।</t>
  </si>
  <si>
    <t xml:space="preserve"> arctic_a0315 </t>
  </si>
  <si>
    <t>Saxon waited, for she knew a fresh idea had struck Billy.</t>
  </si>
  <si>
    <t>सैक्सन ने इंतजार किया, क्योंकि वह जानती थी कि बिली को एक नया विचार आया है।</t>
  </si>
  <si>
    <t xml:space="preserve"> arctic_a0316 </t>
  </si>
  <si>
    <t>We had been chased by them ourselves, more than once.</t>
  </si>
  <si>
    <t>हम स्वयं उनके द्वारा पीछा किया गया था, एक से अधिक बार।</t>
  </si>
  <si>
    <t xml:space="preserve"> arctic_a0317 </t>
  </si>
  <si>
    <t>He was a wise hyena.</t>
  </si>
  <si>
    <t>वह एक बुद्धिमान लकड़बग्घा था।</t>
  </si>
  <si>
    <t xml:space="preserve"> arctic_a0318 </t>
  </si>
  <si>
    <t>Production is doubling and quadrupling upon itself.</t>
  </si>
  <si>
    <t>उत्पादन अपने आप दोगुना और चौगुना हो रहा है।</t>
  </si>
  <si>
    <t xml:space="preserve"> arctic_a0319 </t>
  </si>
  <si>
    <t>And the Edinburgh Evening News says, with editorial gloom.</t>
  </si>
  <si>
    <t>और एडिनबर्ग इवनिंग न्यूज संपादकीय उदासी के साथ कहता है।</t>
  </si>
  <si>
    <t xml:space="preserve"> arctic_a0320 </t>
  </si>
  <si>
    <t>With my strength I slammed it full into Red-Eye's face.</t>
  </si>
  <si>
    <t>अपनी ताकत से मैंने इसे रेड-आई के चेहरे पर पूरा पटक दिया।</t>
  </si>
  <si>
    <t xml:space="preserve"> arctic_a0321 </t>
  </si>
  <si>
    <t>The log on which Lop-Ear was lying got adrift.</t>
  </si>
  <si>
    <t>जिस लट्ठे पर लोप-ईयर पड़ा था, वह बह गया।</t>
  </si>
  <si>
    <t xml:space="preserve"> arctic_a0322 </t>
  </si>
  <si>
    <t>This is a common experience with all of us.</t>
  </si>
  <si>
    <t>यह हम सभी के साथ एक सामान्य अनुभव है।</t>
  </si>
  <si>
    <t xml:space="preserve"> arctic_a0323 </t>
  </si>
  <si>
    <t>He considered the victory already his and stepped forward to the meat.</t>
  </si>
  <si>
    <t>उसने जीत को पहले से ही अपना माना और मांस की ओर कदम बढ़ा दिया।</t>
  </si>
  <si>
    <t xml:space="preserve"> arctic_a0324 </t>
  </si>
  <si>
    <t>It was not Red-Eye's way to forego revenge so easily.</t>
  </si>
  <si>
    <t>इतनी आसानी से बदला लेने का यह रेड-आई का तरीका नहीं था।</t>
  </si>
  <si>
    <t xml:space="preserve"> arctic_a0325 </t>
  </si>
  <si>
    <t>Whiz-zip-bang. Lop-Ear screamed with sudden anguish.</t>
  </si>
  <si>
    <t>व्हिज़-ज़िप-बैंग। लोप-कान अचानक पीड़ा से चिल्लाया।</t>
  </si>
  <si>
    <t xml:space="preserve"> arctic_a0326 </t>
  </si>
  <si>
    <t>Cherokee identified himself with his instinct.</t>
  </si>
  <si>
    <t>चेरोकी ने अपनी वृत्ति से अपनी पहचान बनाई।</t>
  </si>
  <si>
    <t xml:space="preserve"> arctic_a0327 </t>
  </si>
  <si>
    <t>They were less stooped than we, less springy in their movements.</t>
  </si>
  <si>
    <t>वे हमसे कम झुके हुए थे, उनकी हरकतों में कम झरझरा था।</t>
  </si>
  <si>
    <t xml:space="preserve"> arctic_a0328 </t>
  </si>
  <si>
    <t>The Fire People, like ourselves, lived in caves.</t>
  </si>
  <si>
    <t>आग लोग, हमारी तरह, गुफाओं में रहते थे।</t>
  </si>
  <si>
    <t xml:space="preserve"> arctic_a0329 </t>
  </si>
  <si>
    <t>Ah, indeed.</t>
  </si>
  <si>
    <t>आह, वास्तव में।</t>
  </si>
  <si>
    <t xml:space="preserve"> arctic_a0330 </t>
  </si>
  <si>
    <t>Red-Eye never committed a more outrageous deed.</t>
  </si>
  <si>
    <t>रेड-आई ने कभी अधिक अपमानजनक कार्य नहीं किया।</t>
  </si>
  <si>
    <t xml:space="preserve"> arctic_a0331 </t>
  </si>
  <si>
    <t>Poor little Crooked-Leg was terribly scared.</t>
  </si>
  <si>
    <t>बेचारा कुटिल-पैर बहुत डरा हुआ था।</t>
  </si>
  <si>
    <t xml:space="preserve"> arctic_a0332 </t>
  </si>
  <si>
    <t>Unconsciously, our yells and exclamations yielded to this rhythm.</t>
  </si>
  <si>
    <t>अनजाने में, हमारे चिल्लाने और विस्मयादिबोधक इस लय में आ गए।</t>
  </si>
  <si>
    <t xml:space="preserve"> arctic_a0333 </t>
  </si>
  <si>
    <t>This is no place for you.</t>
  </si>
  <si>
    <t>यह आपके लिए कोई जगह नहीं है।</t>
  </si>
  <si>
    <t xml:space="preserve"> arctic_a0334 </t>
  </si>
  <si>
    <t>He'll knock you off a few sticks in no time.</t>
  </si>
  <si>
    <t>वह कुछ ही समय में आपको कुछ डंडे मार देगा।</t>
  </si>
  <si>
    <t xml:space="preserve"> arctic_a0335 </t>
  </si>
  <si>
    <t>Red-Eye swung back and forth on the branch farther down.</t>
  </si>
  <si>
    <t>लाल-आंख शाखा पर आगे-पीछे झुकी और नीचे की ओर।</t>
  </si>
  <si>
    <t xml:space="preserve"> arctic_a0336 </t>
  </si>
  <si>
    <t>So unexpected was my charge that I knocked him off his feet.</t>
  </si>
  <si>
    <t>मेरा आरोप इतना अप्रत्याशित था कि मैंने उसे उसके पैरों से गिरा दिया।</t>
  </si>
  <si>
    <t xml:space="preserve"> arctic_a0337 </t>
  </si>
  <si>
    <t>Encouraged by my conduct, Big-Face became a sudden ally.</t>
  </si>
  <si>
    <t>मेरे आचरण से उत्साहित होकर बिग-फेस अचानक सहयोगी बन गया।</t>
  </si>
  <si>
    <t xml:space="preserve"> arctic_a0338 </t>
  </si>
  <si>
    <t>The fighting had now become intermittent.</t>
  </si>
  <si>
    <t>लड़ाई अब रुक-रुक कर हो रही थी।</t>
  </si>
  <si>
    <t xml:space="preserve"> arctic_a0339 </t>
  </si>
  <si>
    <t>They obeyed him, and went here and there at his commands.</t>
  </si>
  <si>
    <t>उन्होंने उसकी बात मानी, और उसकी आज्ञा से इधर-उधर जाते रहे।</t>
  </si>
  <si>
    <t xml:space="preserve"> arctic_a0340 </t>
  </si>
  <si>
    <t>It was like the beating of hoofs.</t>
  </si>
  <si>
    <t>यह खुरों की पिटाई जैसा था।</t>
  </si>
  <si>
    <t xml:space="preserve"> arctic_a0341 </t>
  </si>
  <si>
    <t>Why, doggone you all, shake again.</t>
  </si>
  <si>
    <t>क्यों, तुम सब को पागल कर दो, फिर से हिलाओ।</t>
  </si>
  <si>
    <t xml:space="preserve"> arctic_a0342 </t>
  </si>
  <si>
    <t>Seventeen, no, eighteen days ago.</t>
  </si>
  <si>
    <t>सत्रह, नहीं, अठारह दिन पहले।</t>
  </si>
  <si>
    <t xml:space="preserve"> arctic_a0343 </t>
  </si>
  <si>
    <t>You mean for this State, General, Alberta.</t>
  </si>
  <si>
    <t>आपका मतलब इस राज्य के लिए है, जनरल, अल्बर्टा।</t>
  </si>
  <si>
    <t xml:space="preserve"> arctic_a0344 </t>
  </si>
  <si>
    <t>He seemed to fill it with his tremendous vitality.</t>
  </si>
  <si>
    <t>वह इसे अपनी जबरदस्त जीवन शक्ति से भरता हुआ प्रतीत होता था।</t>
  </si>
  <si>
    <t xml:space="preserve"> arctic_a0345 </t>
  </si>
  <si>
    <t>She was trying to pass the apron string around him.</t>
  </si>
  <si>
    <t>वह उसके चारों ओर एप्रन स्ट्रिंग पारित करने की कोशिश कर रही थी।</t>
  </si>
  <si>
    <t xml:space="preserve"> arctic_a0346 </t>
  </si>
  <si>
    <t>Get down and dig in.</t>
  </si>
  <si>
    <t>नीचे उतरो और खोदो।</t>
  </si>
  <si>
    <t xml:space="preserve"> arctic_a0347 </t>
  </si>
  <si>
    <t>They are greatly delighted with anything that is bright or giveth a sound.</t>
  </si>
  <si>
    <t>वे किसी भी चीज़ से बहुत प्रसन्न होते हैं जो उज्ज्वल है या ध्वनि देती है।</t>
  </si>
  <si>
    <t xml:space="preserve"> arctic_a0348 </t>
  </si>
  <si>
    <t>They only lifted seven hundred and fifty.</t>
  </si>
  <si>
    <t>उन्होंने केवल सात सौ पचास उठाया।</t>
  </si>
  <si>
    <t xml:space="preserve"> arctic_a0349 </t>
  </si>
  <si>
    <t>It was simple, in its way, and no virtue of his.</t>
  </si>
  <si>
    <t>यह अपने तरीके से सरल था, और उसका कोई गुण नहीं था।</t>
  </si>
  <si>
    <t xml:space="preserve"> arctic_a0350 </t>
  </si>
  <si>
    <t>Is that Pat Hanrahan's mug looking hungry and willing.</t>
  </si>
  <si>
    <t>क्या वह पैट हनराहन का मग भूखा और इच्छुक दिख रहा है।</t>
  </si>
  <si>
    <t xml:space="preserve"> arctic_a0351 </t>
  </si>
  <si>
    <t>It was more like sugar.</t>
  </si>
  <si>
    <t>यह चीनी की तरह अधिक था।</t>
  </si>
  <si>
    <t xml:space="preserve"> arctic_a0352 </t>
  </si>
  <si>
    <t>I'm sure going along with you all, Elijah.</t>
  </si>
  <si>
    <t>मुझे यकीन है कि आप सभी के साथ, एलिय्याह।</t>
  </si>
  <si>
    <t xml:space="preserve"> arctic_a0353 </t>
  </si>
  <si>
    <t>Here the explosion of mirth drowned him out.</t>
  </si>
  <si>
    <t>यहां खुशी के विस्फोट ने उसे डुबो दिया।</t>
  </si>
  <si>
    <t xml:space="preserve"> arctic_a0354 </t>
  </si>
  <si>
    <t>Fresh meat they failed to obtain.</t>
  </si>
  <si>
    <t>ताजा मांस वे प्राप्त करने में विफल रहे।</t>
  </si>
  <si>
    <t xml:space="preserve"> arctic_a0355 </t>
  </si>
  <si>
    <t>A burst of laughter was his reward.</t>
  </si>
  <si>
    <t>हँसी का एक विस्फोट उसका इनाम था।</t>
  </si>
  <si>
    <t xml:space="preserve"> arctic_a0356 </t>
  </si>
  <si>
    <t>You don't catch me at any such foolishness.</t>
  </si>
  <si>
    <t>तुम मुझे ऐसी किसी भी मूर्खता में मत पकड़ो।</t>
  </si>
  <si>
    <t xml:space="preserve"> arctic_a0357 </t>
  </si>
  <si>
    <t>A month passed by, and Bonanza Creek remained quiet.</t>
  </si>
  <si>
    <t>एक महीना बीत गया और बोनान्ज़ा क्रीक शांत रहा।</t>
  </si>
  <si>
    <t xml:space="preserve"> arctic_a0358 </t>
  </si>
  <si>
    <t>They continued valiantly to lie, but the truth continued to outrun them.</t>
  </si>
  <si>
    <t>वे बहादुरी से झूठ बोलते रहे, लेकिन सच्चाई उनसे आगे निकल गई।</t>
  </si>
  <si>
    <t xml:space="preserve"> arctic_a0359 </t>
  </si>
  <si>
    <t>Earth and gravel seemed to fill the pan.</t>
  </si>
  <si>
    <t>मिट्टी और बजरी पैन को भरने लगती थी।</t>
  </si>
  <si>
    <t xml:space="preserve"> arctic_a0360 </t>
  </si>
  <si>
    <t>But he no longer cared quite so much for that form of diversion.</t>
  </si>
  <si>
    <t>लेकिन वह अब उस तरह के मोड़ के लिए बहुत ज्यादा परवाह नहीं करता था।</t>
  </si>
  <si>
    <t xml:space="preserve"> arctic_a0361 </t>
  </si>
  <si>
    <t>But he did not broach it, preferring to mature it carefully.</t>
  </si>
  <si>
    <t>लेकिन उन्होंने इसे ध्यान से परिपक्व नहीं करना पसंद किया, इसे ध्यान से नहीं देखा।</t>
  </si>
  <si>
    <t xml:space="preserve"> arctic_a0362 </t>
  </si>
  <si>
    <t>Nope, not the slightest idea.</t>
  </si>
  <si>
    <t>नहीं, जरा सा भी विचार नहीं।</t>
  </si>
  <si>
    <t xml:space="preserve"> arctic_a0363 </t>
  </si>
  <si>
    <t>It is not an attempt to smash the market.</t>
  </si>
  <si>
    <t>यह बाजार को तोड़ने का प्रयास नहीं है।</t>
  </si>
  <si>
    <t xml:space="preserve"> arctic_a0364 </t>
  </si>
  <si>
    <t>We have plenty of capital ourselves, and yet we want more.</t>
  </si>
  <si>
    <t>हमारे पास स्वयं बहुत पूंजी है, और फिर भी हम और अधिक चाहते हैं।</t>
  </si>
  <si>
    <t xml:space="preserve"> arctic_a0365 </t>
  </si>
  <si>
    <t>These rumors may even originate with us.</t>
  </si>
  <si>
    <t>ये अफवाहें हमारे साथ भी उत्पन्न हो सकती हैं।</t>
  </si>
  <si>
    <t xml:space="preserve"> arctic_a0366 </t>
  </si>
  <si>
    <t>A wildly exciting time was his during the week preceding Thursday the eighteenth.</t>
  </si>
  <si>
    <t>अठारहवें गुरुवार से पहले के सप्ताह के दौरान उनका बेतहाशा रोमांचक समय था।</t>
  </si>
  <si>
    <t xml:space="preserve"> arctic_a0367 </t>
  </si>
  <si>
    <t>There is not an iota of truth in it, certainly not.</t>
  </si>
  <si>
    <t>इसमें रत्ती भर भी सच्चाई नहीं है, बिल्कुल नहीं।</t>
  </si>
  <si>
    <t xml:space="preserve"> arctic_a0368 </t>
  </si>
  <si>
    <t>I just do appreciate it without being able to express my feelings.</t>
  </si>
  <si>
    <t>मैं अपनी भावनाओं को व्यक्त किए बिना इसकी सराहना करता हूं।</t>
  </si>
  <si>
    <t xml:space="preserve"> arctic_a0369 </t>
  </si>
  <si>
    <t>In partnership with Daylight, the pair raided the San Jose Interurban.</t>
  </si>
  <si>
    <t>डेलाइट के साथ साझेदारी में, इस जोड़ी ने सैन जोस इंटरर्बन पर छापा मारा।</t>
  </si>
  <si>
    <t xml:space="preserve"> arctic_a0370 </t>
  </si>
  <si>
    <t>He saw all men in the business game doing this.</t>
  </si>
  <si>
    <t>उसने व्यापार के खेल में सभी पुरुषों को ऐसा करते देखा।</t>
  </si>
  <si>
    <t xml:space="preserve"> arctic_a0371 </t>
  </si>
  <si>
    <t>It issued a rate of forty two dollars a car on charcoal.</t>
  </si>
  <si>
    <t>इसने चारकोल पर बयालीस डॉलर प्रति कार की दर से जारी किया।</t>
  </si>
  <si>
    <t xml:space="preserve"> arctic_a0372 </t>
  </si>
  <si>
    <t>He saw only the effect in a general, sketchy way.</t>
  </si>
  <si>
    <t>उन्होंने केवल सामान्य, स्केची तरीके से प्रभाव देखा।</t>
  </si>
  <si>
    <t xml:space="preserve"> arctic_a0373 </t>
  </si>
  <si>
    <t>Points of view, new ideas, life.</t>
  </si>
  <si>
    <t>दृष्टिकोण, नए विचार, जीवन।</t>
  </si>
  <si>
    <t xml:space="preserve"> arctic_a0374 </t>
  </si>
  <si>
    <t>But life's worth more than cash, she argued.</t>
  </si>
  <si>
    <t>लेकिन जीवन का मूल्य नकदी से अधिक है, उसने तर्क दिया।</t>
  </si>
  <si>
    <t xml:space="preserve"> arctic_a0375 </t>
  </si>
  <si>
    <t>The butchers and meat cutters refused to handle meat destined for unfair restaurants.</t>
  </si>
  <si>
    <t>कसाई और मांस काटने वालों ने अनुचित रेस्तरां के लिए नियत मांस को संभालने से इनकार कर दिया।</t>
  </si>
  <si>
    <t xml:space="preserve"> arctic_a0376 </t>
  </si>
  <si>
    <t>Your price, my son, is just about thirty per week.</t>
  </si>
  <si>
    <t>तेरी कीमत, मेरे बेटे, प्रति सप्ताह लगभग तीस है।</t>
  </si>
  <si>
    <t xml:space="preserve"> arctic_a0377 </t>
  </si>
  <si>
    <t>This sound did not disturb the hush and awe of the place.</t>
  </si>
  <si>
    <t>इस आवाज ने उस जगह के सन्नाटे और खौफ को विचलित नहीं किया।</t>
  </si>
  <si>
    <t xml:space="preserve"> arctic_a0378 </t>
  </si>
  <si>
    <t>That's why its boundaries are all gouged and jagged.</t>
  </si>
  <si>
    <t>यही कारण है कि इसकी सभी सीमाएँ कटी हुई और टेढ़ी-मेढ़ी हैं।</t>
  </si>
  <si>
    <t xml:space="preserve"> arctic_a0379 </t>
  </si>
  <si>
    <t>How old are you, daddy.</t>
  </si>
  <si>
    <t>आप कितने साल के हैं, पिताजी।</t>
  </si>
  <si>
    <t xml:space="preserve"> arctic_a0380 </t>
  </si>
  <si>
    <t>But in the canyons water was plentiful and also a luxuriant forest growth.</t>
  </si>
  <si>
    <t>लेकिन घाटियों में पानी प्रचुर मात्रा में था और एक शानदार वन विकास भी था।</t>
  </si>
  <si>
    <t xml:space="preserve"> arctic_a0381 </t>
  </si>
  <si>
    <t>My name's Ferguson.</t>
  </si>
  <si>
    <t>मेरा नाम फर्ग्यूसन है।</t>
  </si>
  <si>
    <t xml:space="preserve"> arctic_a0382 </t>
  </si>
  <si>
    <t>Daylight found himself charmed and made curious by the little man.</t>
  </si>
  <si>
    <t>दिन के उजाले ने खुद को आकर्षक पाया और छोटे आदमी ने उसे जिज्ञासु बना दिया।</t>
  </si>
  <si>
    <t xml:space="preserve"> arctic_a0383 </t>
  </si>
  <si>
    <t>To his surprise, her answer was flat and uncompromising.</t>
  </si>
  <si>
    <t>उसके आश्चर्य के लिए, उसका जवाब सपाट और समझौताहीन था।</t>
  </si>
  <si>
    <t xml:space="preserve"> arctic_a0384 </t>
  </si>
  <si>
    <t>The farmer works the soil and produces grain.</t>
  </si>
  <si>
    <t>किसान मिट्टी का काम करता है और अनाज पैदा करता है।</t>
  </si>
  <si>
    <t xml:space="preserve"> arctic_a0385 </t>
  </si>
  <si>
    <t>That's what Carnegie did.</t>
  </si>
  <si>
    <t>कार्नेगी ने यही किया।</t>
  </si>
  <si>
    <t xml:space="preserve"> arctic_a0386 </t>
  </si>
  <si>
    <t>I can't argue with you, and you know that.</t>
  </si>
  <si>
    <t>मैं आपसे बहस नहीं कर सकता, और आप यह जानते हैं।</t>
  </si>
  <si>
    <t xml:space="preserve"> arctic_a0387 </t>
  </si>
  <si>
    <t>Bob, growing disgusted, turned back suddenly and attempted to pass Mab.</t>
  </si>
  <si>
    <t>बॉब, घृणित बढ़ रहा है, अचानक वापस आ गया और माब को पार करने का प्रयास किया।</t>
  </si>
  <si>
    <t xml:space="preserve"> arctic_a0388 </t>
  </si>
  <si>
    <t>It was my idea to a tee.</t>
  </si>
  <si>
    <t>एक टी के लिए यह मेरा विचार था।</t>
  </si>
  <si>
    <t xml:space="preserve"> arctic_a0389 </t>
  </si>
  <si>
    <t>Mab, she said.</t>
  </si>
  <si>
    <t>माब, उसने कहा।</t>
  </si>
  <si>
    <t xml:space="preserve"> arctic_a0390 </t>
  </si>
  <si>
    <t>I'll go over tomorrow afternoon.</t>
  </si>
  <si>
    <t>मैं कल दोपहर चलूँगा।</t>
  </si>
  <si>
    <t xml:space="preserve"> arctic_a0391 </t>
  </si>
  <si>
    <t>But he reconciled himself to it by an act of faith.</t>
  </si>
  <si>
    <t>लेकिन उसने विश्वास के एक कार्य के द्वारा खुद को इसके साथ समेट लिया।</t>
  </si>
  <si>
    <t xml:space="preserve"> arctic_a0392 </t>
  </si>
  <si>
    <t>There is that magnificent Bob, eating his head off in the stable.</t>
  </si>
  <si>
    <t>वहाँ वह शानदार बॉब है, जो अस्तबल में अपना सिर काट रहा है।</t>
  </si>
  <si>
    <t xml:space="preserve"> arctic_a0393 </t>
  </si>
  <si>
    <t>Already he had begun borrowing from the banks.</t>
  </si>
  <si>
    <t>उन्होंने पहले ही बैंकों से कर्ज लेना शुरू कर दिया था।</t>
  </si>
  <si>
    <t xml:space="preserve"> arctic_a0394 </t>
  </si>
  <si>
    <t>It's the strap hangers that'll keep us from going under.</t>
  </si>
  <si>
    <t>यह स्ट्रैप हैंगर हैं जो हमें नीचे जाने से रोकेंगे।</t>
  </si>
  <si>
    <t xml:space="preserve"> arctic_a0395 </t>
  </si>
  <si>
    <t>As for himself, weren't the street railway earnings increasing steadily.</t>
  </si>
  <si>
    <t>जहां तक खुद की बात है, क्या स्ट्रीट रेलवे की कमाई लगातार नहीं बढ़ रही थी।</t>
  </si>
  <si>
    <t xml:space="preserve"> arctic_a0396 </t>
  </si>
  <si>
    <t>A rising tide of fat had submerged them.</t>
  </si>
  <si>
    <t>चर्बी के बढ़ते ज्वार ने उन्हें डूबा दिया था।</t>
  </si>
  <si>
    <t xml:space="preserve"> arctic_a0397 </t>
  </si>
  <si>
    <t>Call me that again, he murmured ecstatically.</t>
  </si>
  <si>
    <t>मुझे फिर से बुलाओ, वह खुशी से बड़बड़ाया।</t>
  </si>
  <si>
    <t xml:space="preserve"> arctic_a0398 </t>
  </si>
  <si>
    <t>In the car were Unwin and Harrison, while Jones sat with the chauffeur.</t>
  </si>
  <si>
    <t>कार में अनविन और हैरिसन थे, जबकि जोन्स चालक के साथ बैठे थे।</t>
  </si>
  <si>
    <t xml:space="preserve"> arctic_a0399 </t>
  </si>
  <si>
    <t>And here's another idea.</t>
  </si>
  <si>
    <t>और यहाँ एक और विचार है।</t>
  </si>
  <si>
    <t xml:space="preserve"> arctic_a0400 </t>
  </si>
  <si>
    <t>Manuel had one besetting sin.</t>
  </si>
  <si>
    <t>मैनुएल के पास एक भयावह पाप था।</t>
  </si>
  <si>
    <t xml:space="preserve"> arctic_a0401 </t>
  </si>
  <si>
    <t>The man smiled grimly, and brought a hatchet and a club.</t>
  </si>
  <si>
    <t>वह आदमी गंभीर रूप से मुस्कुराया, और एक कुल्हाड़ी और एक क्लब लाया।</t>
  </si>
  <si>
    <t xml:space="preserve"> arctic_a0402 </t>
  </si>
  <si>
    <t>Curly rushed her antagonist, who struck again and leaped aside.</t>
  </si>
  <si>
    <t>कर्ली ने अपने प्रतिपक्षी को दौड़ाया, जो फिर से मारा और एक तरफ छलांग लगा दी।</t>
  </si>
  <si>
    <t xml:space="preserve"> arctic_a0403 </t>
  </si>
  <si>
    <t>His newborn cunning gave him poise and control.</t>
  </si>
  <si>
    <t>उनकी नवजात चालाकी ने उन्हें संतुलन और नियंत्रण दिया।</t>
  </si>
  <si>
    <t xml:space="preserve"> arctic_a0404 </t>
  </si>
  <si>
    <t>Perrault found one with head buried in the grub box.</t>
  </si>
  <si>
    <t>पेरौल्ट को एक ग्रब बॉक्स में सिर दबा हुआ मिला।</t>
  </si>
  <si>
    <t xml:space="preserve"> arctic_a0405 </t>
  </si>
  <si>
    <t>It seemed the ordained order of things that dogs should work.</t>
  </si>
  <si>
    <t>ऐसा लग रहा था कि कुत्तों को काम करना चाहिए कि चीजों का व्यवस्थित क्रम।</t>
  </si>
  <si>
    <t xml:space="preserve"> arctic_a0406 </t>
  </si>
  <si>
    <t>And that was the last of Francois and Perrault.</t>
  </si>
  <si>
    <t>और वह फ्रेंकोइस और पेरौल्ट का आखिरी था।</t>
  </si>
  <si>
    <t xml:space="preserve"> arctic_a0407 </t>
  </si>
  <si>
    <t>Mercedes screamed, cried, laughed, and manifested the chaotic abandonment of hysteria.</t>
  </si>
  <si>
    <t>मर्सिडीज चिल्लाया, रोया, हँसा, और उन्माद के अराजक परित्याग को प्रकट किया।</t>
  </si>
  <si>
    <t xml:space="preserve"> arctic_a0408 </t>
  </si>
  <si>
    <t>The Eldorado emptied its occupants into the street to see the test.</t>
  </si>
  <si>
    <t>एल्डोरैडो ने परीक्षण देखने के लिए अपने रहने वालों को गली में खाली कर दिया।</t>
  </si>
  <si>
    <t xml:space="preserve"> arctic_a0409 </t>
  </si>
  <si>
    <t>He could feel a new stir in the land.</t>
  </si>
  <si>
    <t>वह देश में एक नई हलचल महसूस कर सकता था।</t>
  </si>
  <si>
    <t xml:space="preserve"> arctic_a0410 </t>
  </si>
  <si>
    <t>So we have to fit the boat throughout with oil lamps as well.</t>
  </si>
  <si>
    <t>इसलिए हमें तेल के दीयों के साथ-साथ नाव को भी फिट करना होगा।</t>
  </si>
  <si>
    <t xml:space="preserve"> arctic_a0411 </t>
  </si>
  <si>
    <t>It will break our hearts and our backs to hoist anchor by hand.</t>
  </si>
  <si>
    <t>हाथ से लंगर फहराने से हमारा दिल और कमर टूट जाएगी।</t>
  </si>
  <si>
    <t xml:space="preserve"> arctic_a0412 </t>
  </si>
  <si>
    <t>There is another virtue in these bulkheads.</t>
  </si>
  <si>
    <t>इन बल्कहेड्स में एक और गुण है।</t>
  </si>
  <si>
    <t xml:space="preserve"> arctic_a0413 </t>
  </si>
  <si>
    <t>But I am at the end of my resources.</t>
  </si>
  <si>
    <t>लेकिन मैं अपने संसाधनों के अंत में हूं।</t>
  </si>
  <si>
    <t xml:space="preserve"> arctic_a0414 </t>
  </si>
  <si>
    <t>Now our figuring was all right.</t>
  </si>
  <si>
    <t>अब हमारी फिगर बिल्कुल ठीक थी।</t>
  </si>
  <si>
    <t xml:space="preserve"> arctic_a0415 </t>
  </si>
  <si>
    <t>It lasted as a deterrent for two days.</t>
  </si>
  <si>
    <t>यह दो दिनों के लिए एक निवारक के रूप में चली।</t>
  </si>
  <si>
    <t xml:space="preserve"> arctic_a0416 </t>
  </si>
  <si>
    <t>The added weight had a velocity of fifteen miles per hour.</t>
  </si>
  <si>
    <t>अतिरिक्त वजन का वेग पंद्रह मील प्रति घंटे था।</t>
  </si>
  <si>
    <t xml:space="preserve"> arctic_a0417 </t>
  </si>
  <si>
    <t>It is also an insidious, deceitful sun.</t>
  </si>
  <si>
    <t>यह एक कपटी, धोखेबाज सूर्य भी है।</t>
  </si>
  <si>
    <t xml:space="preserve"> arctic_a0418 </t>
  </si>
  <si>
    <t>The Portuguese boy crawled nearer and nearer.</t>
  </si>
  <si>
    <t>पुर्तगाली लड़का रेंगता हुआ और करीब आता गया।</t>
  </si>
  <si>
    <t xml:space="preserve"> arctic_a0419 </t>
  </si>
  <si>
    <t>The Portuguese boy passed the Hawaiian.</t>
  </si>
  <si>
    <t>पुर्तगाली लड़के ने हवाई पार किया।</t>
  </si>
  <si>
    <t xml:space="preserve"> arctic_a0420 </t>
  </si>
  <si>
    <t>When I came to I was waving my hat and murmuring ecstatically.</t>
  </si>
  <si>
    <t>जब मैं आया तो मैं अपनी टोपी लहरा रहा था और खुशी से बड़बड़ा रहा था।</t>
  </si>
  <si>
    <t xml:space="preserve"> arctic_a0421 </t>
  </si>
  <si>
    <t>By golly, the boy wins.</t>
  </si>
  <si>
    <t>मूर्खता से, लड़का जीत जाता है।</t>
  </si>
  <si>
    <t xml:space="preserve"> arctic_a0422 </t>
  </si>
  <si>
    <t>Halfway around the track one donkey got into an argument with its rider.</t>
  </si>
  <si>
    <t>आधे रास्ते में ही एक गधे की अपने सवार से बहस हो गई।</t>
  </si>
  <si>
    <t xml:space="preserve"> arctic_a0423 </t>
  </si>
  <si>
    <t>McVeigh when he returns from a trip to Honolulu.</t>
  </si>
  <si>
    <t>मैकवीघ जब वह होनोलूलू की यात्रा से लौटता है।</t>
  </si>
  <si>
    <t xml:space="preserve"> arctic_a0424 </t>
  </si>
  <si>
    <t>Obviously, it was a disease that could be contracted by contact.</t>
  </si>
  <si>
    <t>जाहिर है, यह एक ऐसी बीमारी थी जिसे संपर्क से अनुबंधित किया जा सकता था।</t>
  </si>
  <si>
    <t xml:space="preserve"> arctic_a0425 </t>
  </si>
  <si>
    <t>Otherwise no restriction is put upon their seafaring.</t>
  </si>
  <si>
    <t>अन्यथा उनके समुद्री यात्रा पर कोई प्रतिबंध नहीं लगाया गया है।</t>
  </si>
  <si>
    <t xml:space="preserve"> arctic_a0426 </t>
  </si>
  <si>
    <t>They do not know the length of time of incubation.</t>
  </si>
  <si>
    <t>वे ऊष्मायन के समय की लंबाई नहीं जानते हैं।</t>
  </si>
  <si>
    <t xml:space="preserve"> arctic_a0427 </t>
  </si>
  <si>
    <t>Enters now the psychology of the situation.</t>
  </si>
  <si>
    <t>अब स्थिति के मनोविज्ञान में प्रवेश करती है।</t>
  </si>
  <si>
    <t xml:space="preserve"> arctic_a0428 </t>
  </si>
  <si>
    <t>It was not exactly a deportation.</t>
  </si>
  <si>
    <t>यह वास्तव में निर्वासन नहीं था।</t>
  </si>
  <si>
    <t xml:space="preserve"> arctic_a0429 </t>
  </si>
  <si>
    <t>Quick was the disappointment in his face, yet smiling was the acquiescence.</t>
  </si>
  <si>
    <t>उनके चेहरे पर निराशा तेज थी, फिर भी मुस्कान ही स्वीकृति थी।</t>
  </si>
  <si>
    <t xml:space="preserve"> arctic_a0430 </t>
  </si>
  <si>
    <t>Nevertheless we found ourselves once more in the high seat of abundance.</t>
  </si>
  <si>
    <t>फिर भी हमने अपने आप को एक बार फिर बहुतायत के ऊँचे आसन पर पाया।</t>
  </si>
  <si>
    <t xml:space="preserve"> arctic_a0431 </t>
  </si>
  <si>
    <t>Wada and Nakata were in a bit of a funk.</t>
  </si>
  <si>
    <t>वाडा और नकाटा थोड़े फंक में थे।</t>
  </si>
  <si>
    <t xml:space="preserve"> arctic_a0432 </t>
  </si>
  <si>
    <t>The boy at the wheel lost his head.</t>
  </si>
  <si>
    <t>पहिए पर बैठे लड़के ने अपना सिर खो दिया।</t>
  </si>
  <si>
    <t xml:space="preserve"> arctic_a0433 </t>
  </si>
  <si>
    <t>To her the bridge was tambo, which is the native for taboo.</t>
  </si>
  <si>
    <t>उसके लिए पुल तंबो था, जो वर्जित के लिए मूल है।</t>
  </si>
  <si>
    <t xml:space="preserve"> arctic_a0434 </t>
  </si>
  <si>
    <t>A half a case of tobacco was worth three pounds.</t>
  </si>
  <si>
    <t>तंबाकू के एक आधे डिब्बे की कीमत तीन पाउंड थी।</t>
  </si>
  <si>
    <t xml:space="preserve"> arctic_a0435 </t>
  </si>
  <si>
    <t>What do you mean by this outrageous conduct.</t>
  </si>
  <si>
    <t>आपका क्या मतलब है इस अपमानजनक आचरण से।</t>
  </si>
  <si>
    <t xml:space="preserve"> arctic_a0436 </t>
  </si>
  <si>
    <t>But Martin smiled a superior smile.</t>
  </si>
  <si>
    <t>लेकिन मार्टिन एक बेहतर मुस्कान के साथ मुस्कुराया।</t>
  </si>
  <si>
    <t xml:space="preserve"> arctic_a0437 </t>
  </si>
  <si>
    <t>By that answer my professional medical prestige stood or fell.</t>
  </si>
  <si>
    <t>उस उत्तर से मेरी पेशेवर चिकित्सा प्रतिष्ठा कायम रही या गिर गई।</t>
  </si>
  <si>
    <t xml:space="preserve"> arctic_a0438 </t>
  </si>
  <si>
    <t>At sea, Monday, March 16, 1908.</t>
  </si>
  <si>
    <t>समुद्र में, सोमवार, 16 मार्च, 1908।</t>
  </si>
  <si>
    <t xml:space="preserve"> arctic_a0439 </t>
  </si>
  <si>
    <t>At sea, Wednesday, March 18, 1908.</t>
  </si>
  <si>
    <t>समुद्र में, बुधवार, 18 मार्च, 1908।</t>
  </si>
  <si>
    <t xml:space="preserve"> arctic_a0440 </t>
  </si>
  <si>
    <t>Yes, sir, I corrected.</t>
  </si>
  <si>
    <t>हाँ, सर, मैंने सही किया।</t>
  </si>
  <si>
    <t xml:space="preserve"> arctic_a0441 </t>
  </si>
  <si>
    <t>Violent life and athletic sports had never appealed to me.</t>
  </si>
  <si>
    <t>हिंसक जीवन और खेलकूद ने मुझे कभी आकर्षित नहीं किया।</t>
  </si>
  <si>
    <t xml:space="preserve"> arctic_a0442 </t>
  </si>
  <si>
    <t>You live on an income which your father earned.</t>
  </si>
  <si>
    <t>आप उस आय पर जीते हैं जो आपके पिता ने अर्जित की थी।</t>
  </si>
  <si>
    <t xml:space="preserve"> arctic_a0443 </t>
  </si>
  <si>
    <t>He was worth nothing to the world.</t>
  </si>
  <si>
    <t>वह दुनिया के लिए कुछ भी लायक नहीं था।</t>
  </si>
  <si>
    <t xml:space="preserve"> arctic_a0444 </t>
  </si>
  <si>
    <t>Then you don't believe in altruism.</t>
  </si>
  <si>
    <t>तब तुम परोपकार में विश्वास नहीं करते।</t>
  </si>
  <si>
    <t xml:space="preserve"> arctic_a0445 </t>
  </si>
  <si>
    <t>The creative joy, I murmured.</t>
  </si>
  <si>
    <t>रचनात्मक खुशी, मैं बड़बड़ाया।</t>
  </si>
  <si>
    <t xml:space="preserve"> arctic_a0446 </t>
  </si>
  <si>
    <t>He deluged me, overwhelmed me with argument.</t>
  </si>
  <si>
    <t>उसने मुझे बहकाया, मुझे तर्क से अभिभूत किया।</t>
  </si>
  <si>
    <t xml:space="preserve"> arctic_a0447 </t>
  </si>
  <si>
    <t>Ah, it is growing dark and darker.</t>
  </si>
  <si>
    <t>आह, यह गहरा और गहरा होता जा रहा है।</t>
  </si>
  <si>
    <t xml:space="preserve"> arctic_a0448 </t>
  </si>
  <si>
    <t>I was Hump, cabin boy on the schooner Ghost.</t>
  </si>
  <si>
    <t>मैं हंप था, स्कूनर घोस्ट पर केबिन बॉय।</t>
  </si>
  <si>
    <t xml:space="preserve"> arctic_a0449 </t>
  </si>
  <si>
    <t>A sinewy hand, dripping with water, was clutching the rail.</t>
  </si>
  <si>
    <t>पानी से टपकता एक पापी हाथ रेल को जकड़ रहा था।</t>
  </si>
  <si>
    <t xml:space="preserve"> arctic_a0450 </t>
  </si>
  <si>
    <t>No man ate of the seal meat or the oil.</t>
  </si>
  <si>
    <t>किसी मनुष्य ने मुहर का मांस या तेल नहीं खाया।</t>
  </si>
  <si>
    <t xml:space="preserve"> arctic_a0451 </t>
  </si>
  <si>
    <t>I noticed blood spouting from Kerfoot's left hand.</t>
  </si>
  <si>
    <t>मैंने देखा कि केरफूट के बाएं हाथ से खून निकल रहा है।</t>
  </si>
  <si>
    <t xml:space="preserve"> arctic_a0452 </t>
  </si>
  <si>
    <t>Three oilers and a fourth engineer, was his greeting.</t>
  </si>
  <si>
    <t>तीन तेली और एक चौथा इंजीनियर उनका अभिवादन कर रहा था।</t>
  </si>
  <si>
    <t xml:space="preserve"> arctic_a0453 </t>
  </si>
  <si>
    <t>Eighteen hundred, he calculated.</t>
  </si>
  <si>
    <t>अठारह सौ, उन्होंने गणना की।</t>
  </si>
  <si>
    <t xml:space="preserve"> arctic_a0454 </t>
  </si>
  <si>
    <t>The sharp voice of Wolf Larsen aroused me.</t>
  </si>
  <si>
    <t>वुल्फ लार्सन की तेज आवाज ने मुझे जगाया।</t>
  </si>
  <si>
    <t xml:space="preserve"> arctic_a0455 </t>
  </si>
  <si>
    <t>I obeyed, and a minute or two later they stood before him.</t>
  </si>
  <si>
    <t>मैंने उसकी बात मानी, और एक या दो मिनट बाद वे उसके सामने खड़े हो गए।</t>
  </si>
  <si>
    <t xml:space="preserve"> arctic_a0456 </t>
  </si>
  <si>
    <t>But it won't continue, she said with easy confidence.</t>
  </si>
  <si>
    <t>लेकिन यह जारी नहीं रहेगा, उसने सहज विश्वास के साथ कहा।</t>
  </si>
  <si>
    <t xml:space="preserve"> arctic_a0457 </t>
  </si>
  <si>
    <t>What I saw I could not at first believe.</t>
  </si>
  <si>
    <t>मैंने जो देखा, पहले तो मुझे विश्वास नहीं हुआ।</t>
  </si>
  <si>
    <t xml:space="preserve"> arctic_a0458 </t>
  </si>
  <si>
    <t>The stout wood was crushed like an eggshell.</t>
  </si>
  <si>
    <t>कठोर लकड़ी को अंडे के छिलके की तरह कुचल दिया गया था।</t>
  </si>
  <si>
    <t xml:space="preserve"> arctic_a0459 </t>
  </si>
  <si>
    <t>There's too much of the schoolboy in me.</t>
  </si>
  <si>
    <t>मुझ में स्कूली छात्र बहुत है।</t>
  </si>
  <si>
    <t xml:space="preserve"> arctic_a0460 </t>
  </si>
  <si>
    <t>I had forgotten their existence.</t>
  </si>
  <si>
    <t>मैं उनका अस्तित्व भूल चुका था।</t>
  </si>
  <si>
    <t xml:space="preserve"> arctic_a0461 </t>
  </si>
  <si>
    <t>Ah, we were very close together in that moment.</t>
  </si>
  <si>
    <t>आह, हम उस पल में एक साथ बहुत करीब थे।</t>
  </si>
  <si>
    <t xml:space="preserve"> arctic_a0462 </t>
  </si>
  <si>
    <t>But she swung obediently on her heel into the wind.</t>
  </si>
  <si>
    <t>लेकिन वह आज्ञाकारी रूप से अपनी एड़ी पर हवा में झूल गई।</t>
  </si>
  <si>
    <t xml:space="preserve"> arctic_a0463 </t>
  </si>
  <si>
    <t>They are his tongue, by which he makes his knowledge articulate.</t>
  </si>
  <si>
    <t>वे उसकी जीभ हैं, जिसके द्वारा वह अपने ज्ञान को स्पष्ट करता है।</t>
  </si>
  <si>
    <t xml:space="preserve"> arctic_a0464 </t>
  </si>
  <si>
    <t>Between the rush of the cascades, streaks of rust showed everywhere.</t>
  </si>
  <si>
    <t>झरनों की भीड़ के बीच हर तरफ जंग की लकीरें दिखाई दीं।</t>
  </si>
  <si>
    <t xml:space="preserve"> arctic_a0465 </t>
  </si>
  <si>
    <t>He'll never do a tap of work the whole Voyage.</t>
  </si>
  <si>
    <t>वह पूरी यात्रा में कभी भी काम का एक नल नहीं करेगा।</t>
  </si>
  <si>
    <t xml:space="preserve"> arctic_a0466 </t>
  </si>
  <si>
    <t>Captain West may be a Samurai, but he is also human.</t>
  </si>
  <si>
    <t>कैप्टन वेस्ट एक समुराई हो सकता है, लेकिन वह भी इंसान है।</t>
  </si>
  <si>
    <t xml:space="preserve"> arctic_a0467 </t>
  </si>
  <si>
    <t>And so early in the voyage, too.</t>
  </si>
  <si>
    <t>और इतनी जल्दी यात्रा में भी।</t>
  </si>
  <si>
    <t xml:space="preserve"> arctic_a0468 </t>
  </si>
  <si>
    <t>In the matter of curry she is a sheer genius.</t>
  </si>
  <si>
    <t>करी के मामले में वह बेहद प्रतिभाशाली हैं।</t>
  </si>
  <si>
    <t xml:space="preserve"> arctic_a0469 </t>
  </si>
  <si>
    <t>The eastern heavens were equally spectacular.</t>
  </si>
  <si>
    <t>पूर्वी आकाश भी उतने ही शानदार थे।</t>
  </si>
  <si>
    <t xml:space="preserve"> arctic_a0470 </t>
  </si>
  <si>
    <t>He spat it out like so much venom.</t>
  </si>
  <si>
    <t>उसने इसे इतने विष की तरह थूक दिया।</t>
  </si>
  <si>
    <t xml:space="preserve"> arctic_a0471 </t>
  </si>
  <si>
    <t>I saw Mr Pike nod his head grimly and sarcastically.</t>
  </si>
  <si>
    <t>मैंने देखा कि मिस्टर पाइक ने अपना सिर गंभीर और व्यंग्यात्मक ढंग से हिलाया था।</t>
  </si>
  <si>
    <t xml:space="preserve"> arctic_a0472 </t>
  </si>
  <si>
    <t>He is too keenly intelligent, too sharply sensitive, successfully to endure.</t>
  </si>
  <si>
    <t>वह बहुत तेज बुद्धिमान है, बहुत तेज संवेदनशील है, सफलतापूर्वक सहन करने में सक्षम है।</t>
  </si>
  <si>
    <t xml:space="preserve"> arctic_a0473 </t>
  </si>
  <si>
    <t>The night was calm and snowy.</t>
  </si>
  <si>
    <t>रात शांत और बर्फीली थी।</t>
  </si>
  <si>
    <t xml:space="preserve"> arctic_a0474 </t>
  </si>
  <si>
    <t>I sailed third mate in the little Vampire before you were born.</t>
  </si>
  <si>
    <t>आपके पैदा होने से पहले मैंने तीसरे साथी को नन्हे वैम्पायर में भेजा था।</t>
  </si>
  <si>
    <t xml:space="preserve"> arctic_a0475 </t>
  </si>
  <si>
    <t>His outstretched arm dropped to his side, and he paused.</t>
  </si>
  <si>
    <t>उसका बढ़ा हुआ हाथ उसकी तरफ गिरा, और वह रुक गया।</t>
  </si>
  <si>
    <t xml:space="preserve"> arctic_a0476 </t>
  </si>
  <si>
    <t>At this moment I felt a stir at my shoulder.</t>
  </si>
  <si>
    <t>इस समय मुझे अपने कंधे पर एक हलचल महसूस हुई।</t>
  </si>
  <si>
    <t xml:space="preserve"> arctic_a0477 </t>
  </si>
  <si>
    <t>Wada, Louis, and the steward are servants of Asiatic breed.</t>
  </si>
  <si>
    <t>वाडा, लुई और स्टीवर्ड एशियाई नस्ल के नौकर हैं।</t>
  </si>
  <si>
    <t xml:space="preserve"> arctic_a0478 </t>
  </si>
  <si>
    <t>Also, she has forbidden them smoking their pipes in the after-room.</t>
  </si>
  <si>
    <t>साथ ही, उसने उन्हें बाद के कमरे में अपने पाइप धूम्रपान करने से मना किया है।</t>
  </si>
  <si>
    <t xml:space="preserve"> arctic_a0479 </t>
  </si>
  <si>
    <t>I tried to read George Moore last night, and was dreadfully bored.</t>
  </si>
  <si>
    <t>मैंने कल रात जॉर्ज मूर को पढ़ने की कोशिश की, और भयानक रूप से ऊब गया था।</t>
  </si>
  <si>
    <t xml:space="preserve"> arctic_a0480 </t>
  </si>
  <si>
    <t>Tom Spink has a harpoon.</t>
  </si>
  <si>
    <t>टॉम स्पिंक के पास एक हापून है।</t>
  </si>
  <si>
    <t xml:space="preserve"> arctic_a0481 </t>
  </si>
  <si>
    <t>Nimrod replied, with a slight manifestation of sensitiveness.</t>
  </si>
  <si>
    <t>निम्रोद ने संवेदनशीलता की हल्की अभिव्यक्ति के साथ उत्तर दिया।</t>
  </si>
  <si>
    <t xml:space="preserve"> arctic_a0482 </t>
  </si>
  <si>
    <t>And their chief virtue lies in that they will never wear out.</t>
  </si>
  <si>
    <t>और उनका मुख्य गुण यह है कि वे कभी भी खराब नहीं होंगे।</t>
  </si>
  <si>
    <t xml:space="preserve"> arctic_a0483 </t>
  </si>
  <si>
    <t>Beyond dispute, Corry Hutchinson had married Mabel Holmes.</t>
  </si>
  <si>
    <t>विवाद से परे, कोरी हचिंसन ने माबेल होम्स से शादी की थी।</t>
  </si>
  <si>
    <t xml:space="preserve"> arctic_a0484 </t>
  </si>
  <si>
    <t>No-sir-ee.</t>
  </si>
  <si>
    <t>नहीं-सर-ई।</t>
  </si>
  <si>
    <t xml:space="preserve"> arctic_a0485 </t>
  </si>
  <si>
    <t>Each insult added to the value of the claim.</t>
  </si>
  <si>
    <t>प्रत्येक अपमान ने दावे के मूल्य में इजाफा किया।</t>
  </si>
  <si>
    <t xml:space="preserve"> arctic_a0486 </t>
  </si>
  <si>
    <t>For the rest, he was a mere automaton.</t>
  </si>
  <si>
    <t>बाकी के लिए, वह एक मात्र ऑटोमेटन था।</t>
  </si>
  <si>
    <t xml:space="preserve"> arctic_a0487 </t>
  </si>
  <si>
    <t>The river bared its bosom, and snorting steamboats challenged the wilderness.</t>
  </si>
  <si>
    <t>नदी ने अपनी छाती खोल दी, और स्टीमबोटों को सूंघने से जंगल को चुनौती मिली।</t>
  </si>
  <si>
    <t xml:space="preserve"> arctic_a0488 </t>
  </si>
  <si>
    <t>Their love burned with increasing brightness.</t>
  </si>
  <si>
    <t>बढ़ती चमक से उनका प्यार जल गया।</t>
  </si>
  <si>
    <t xml:space="preserve"> arctic_a0489 </t>
  </si>
  <si>
    <t>They were artists, not biologists.</t>
  </si>
  <si>
    <t>वे कलाकार थे, जीवविज्ञानी नहीं।</t>
  </si>
  <si>
    <t xml:space="preserve"> arctic_a0490 </t>
  </si>
  <si>
    <t>Both Johnny and his mother shuffled their feet as they walked.</t>
  </si>
  <si>
    <t>चलते-चलते जॉनी और उसकी माँ दोनों ने अपने पांव हिलाए।</t>
  </si>
  <si>
    <t xml:space="preserve"> arctic_a0491 </t>
  </si>
  <si>
    <t>And as in denial of guilt, the one-legged boy replied.</t>
  </si>
  <si>
    <t>और जैसा कि अपराध बोध से इनकार करते हुए, एक पैर वाले लड़के ने उत्तर दिया।</t>
  </si>
  <si>
    <t xml:space="preserve"> arctic_a0492 </t>
  </si>
  <si>
    <t>Burnt out like the crater of a volcano.</t>
  </si>
  <si>
    <t>ज्वालामुखी के गड्ढे की तरह जल गया।</t>
  </si>
  <si>
    <t xml:space="preserve"> arctic_a0493 </t>
  </si>
  <si>
    <t>The boy, O'Brien, was specially maltreated.</t>
  </si>
  <si>
    <t>लड़के, ओ'ब्रायन, के साथ विशेष रूप से दुर्व्यवहार किया गया था।</t>
  </si>
  <si>
    <t xml:space="preserve"> arctic_a0494 </t>
  </si>
  <si>
    <t>O'Brien took off his coat and bared his right arm.</t>
  </si>
  <si>
    <t>ओ'ब्रायन ने अपना कोट उतार दिया और अपना दाहिना हाथ खोल दिया।</t>
  </si>
  <si>
    <t xml:space="preserve"> arctic_a0495 </t>
  </si>
  <si>
    <t>He bore no grudges and had few enemies.</t>
  </si>
  <si>
    <t>उसे कोई द्वेष नहीं था और उसके कुछ दुश्मन थे।</t>
  </si>
  <si>
    <t xml:space="preserve"> arctic_a0496 </t>
  </si>
  <si>
    <t>And Tom King patiently endured.</t>
  </si>
  <si>
    <t>और टॉम किंग ने धैर्यपूर्वक सहन किया।</t>
  </si>
  <si>
    <t xml:space="preserve"> arctic_a0497 </t>
  </si>
  <si>
    <t>King took every advantage he knew.</t>
  </si>
  <si>
    <t>राजा ने वह हर फायदा उठाया जो वह जानता था।</t>
  </si>
  <si>
    <t xml:space="preserve"> arctic_a0498 </t>
  </si>
  <si>
    <t>The lines were now very taut.</t>
  </si>
  <si>
    <t>रेखाएँ अब बहुत तनी हुई थीं।</t>
  </si>
  <si>
    <t xml:space="preserve"> arctic_a0499 </t>
  </si>
  <si>
    <t>And right there I saw and knew it all.</t>
  </si>
  <si>
    <t>और वहीं मैंने यह सब देखा और जानता था।</t>
  </si>
  <si>
    <t xml:space="preserve"> arctic_a0500 </t>
  </si>
  <si>
    <t>Who the devil gave it to you to be judge and jury.</t>
  </si>
  <si>
    <t>जिसे शैतान ने आपको न्यायाधीश और जूरी बनने के लिए दिया है।</t>
  </si>
  <si>
    <t xml:space="preserve"> arctic_a0501 </t>
  </si>
  <si>
    <t>You're joking me, sir, the other managed to articulate.</t>
  </si>
  <si>
    <t>आप मेरा मजाक उड़ा रहे हैं, महोदय, दूसरा स्पष्ट करने में कामयाब रहा।</t>
  </si>
  <si>
    <t xml:space="preserve"> arctic_a0502 </t>
  </si>
  <si>
    <t>Anything unusual or abnormal was sufficient to send a fellow to Molokai.</t>
  </si>
  <si>
    <t>कुछ भी असामान्य या असामान्य एक साथी को मोलोकाई भेजने के लिए पर्याप्त था।</t>
  </si>
  <si>
    <t xml:space="preserve"> arctic_a0503 </t>
  </si>
  <si>
    <t>His beady black eyes saw bargains where other men saw bankruptcy.</t>
  </si>
  <si>
    <t>उसकी मनमोहक काली आँखों ने मोलभाव देखा जहाँ अन्य पुरुषों ने दिवालियेपन को देखा।</t>
  </si>
  <si>
    <t xml:space="preserve"> arctic_a0504 </t>
  </si>
  <si>
    <t>He was an athlete and a giant.</t>
  </si>
  <si>
    <t>वह एक एथलीट और एक दिग्गज थे।</t>
  </si>
  <si>
    <t xml:space="preserve"> arctic_a0505 </t>
  </si>
  <si>
    <t>We fished sharks on Niihau together.</t>
  </si>
  <si>
    <t>हमने Niihau पर एक साथ शार्क मछली पकड़ी।</t>
  </si>
  <si>
    <t xml:space="preserve"> arctic_a0506 </t>
  </si>
  <si>
    <t>The Claudine was leaving next morning for Honolulu.</t>
  </si>
  <si>
    <t>क्लॉडाइन अगली सुबह होनोलूलू के लिए निकल रहा था।</t>
  </si>
  <si>
    <t xml:space="preserve"> arctic_a0508 </t>
  </si>
  <si>
    <t>Soon shall it be thrust back from off prostrate humanity.</t>
  </si>
  <si>
    <t>शीघ्र ही उसे साष्टांग प्रणाम मानवता से पीछे धकेला जाएगा।</t>
  </si>
  <si>
    <t xml:space="preserve"> arctic_a0509 </t>
  </si>
  <si>
    <t>Yet, in accordance with Ernest's test of truth, it worked.</t>
  </si>
  <si>
    <t>फिर भी, अर्नेस्ट के सत्य परीक्षण के अनुसार, इसने काम किया।</t>
  </si>
  <si>
    <t xml:space="preserve"> arctic_a0510 </t>
  </si>
  <si>
    <t>Much more Ernest told them of themselves and of his disillusionment.</t>
  </si>
  <si>
    <t>अर्नेस्ट ने उन्हें अपने बारे में और अपने मोहभंग के बारे में और भी बहुत कुछ बताया।</t>
  </si>
  <si>
    <t xml:space="preserve"> arctic_a0511 </t>
  </si>
  <si>
    <t>There is more behind this than a mere university ideal.</t>
  </si>
  <si>
    <t>इसके पीछे एक मात्र विश्वविद्यालय आदर्श से कहीं अधिक है।</t>
  </si>
  <si>
    <t xml:space="preserve"> arctic_a0512 </t>
  </si>
  <si>
    <t>No, it is a palace, wherein there are many servants.</t>
  </si>
  <si>
    <t>नहीं, यह एक महल है, जिसमें बहुत नौकर हैं।</t>
  </si>
  <si>
    <t xml:space="preserve"> arctic_a0513 </t>
  </si>
  <si>
    <t>We must give ourselves and not our money alone.</t>
  </si>
  <si>
    <t>हमें खुद को देना चाहिए न कि अपना पैसा अकेले।</t>
  </si>
  <si>
    <t xml:space="preserve"> arctic_a0514 </t>
  </si>
  <si>
    <t>We are consumed in our own flesh-pots.</t>
  </si>
  <si>
    <t>हम अपने ही मांस के बर्तनों में भस्म हो जाते हैं।</t>
  </si>
  <si>
    <t xml:space="preserve"> arctic_a0515 </t>
  </si>
  <si>
    <t>But here amongst ourselves let us speak out.</t>
  </si>
  <si>
    <t>लेकिन यहां हम आपस में बात करते हैं।</t>
  </si>
  <si>
    <t xml:space="preserve"> arctic_a0516 </t>
  </si>
  <si>
    <t>Also, there was awe in their faces.</t>
  </si>
  <si>
    <t>साथ ही उनके चेहरों पर भी खौफ था।</t>
  </si>
  <si>
    <t xml:space="preserve"> arctic_a0517 </t>
  </si>
  <si>
    <t>Out of abstractions Ernest had conjured a vision and made them see it.</t>
  </si>
  <si>
    <t>अमूर्तताओं में से अर्नेस्ट ने एक विजन तैयार किया था और उन्हें उसे दिखाया था।</t>
  </si>
  <si>
    <t xml:space="preserve"> arctic_a0518 </t>
  </si>
  <si>
    <t>Illuminating oil was becoming all profit.</t>
  </si>
  <si>
    <t>रौशनी का तेल सब मुनाफ़ा होता जा रहा था।</t>
  </si>
  <si>
    <t xml:space="preserve"> arctic_a0519 </t>
  </si>
  <si>
    <t>Such an act was in direct violation of the laws of the land.</t>
  </si>
  <si>
    <t>ऐसा कृत्य सीधे तौर पर देश के कानूनों का उल्लंघन था।</t>
  </si>
  <si>
    <t xml:space="preserve"> arctic_a0520 </t>
  </si>
  <si>
    <t>He was fond of quoting a fragment from a certain poem.</t>
  </si>
  <si>
    <t>उन्हें एक निश्चित कविता का एक अंश उद्धृत करने का शौक था।</t>
  </si>
  <si>
    <t xml:space="preserve"> arctic_a0521 </t>
  </si>
  <si>
    <t>Without them he could not run his empire.</t>
  </si>
  <si>
    <t>उनके बिना वह अपना साम्राज्य नहीं चला सकता था।</t>
  </si>
  <si>
    <t xml:space="preserve"> arctic_a0522 </t>
  </si>
  <si>
    <t>For such countries nothing remained but reorganization.</t>
  </si>
  <si>
    <t>ऐसे देशों के लिए पुनर्गठन के अलावा कुछ नहीं बचा।</t>
  </si>
  <si>
    <t xml:space="preserve"> arctic_a0523 </t>
  </si>
  <si>
    <t>They could not continue their method of producing surpluses.</t>
  </si>
  <si>
    <t>वे अधिशेष उत्पादन के अपने तरीके को जारी नहीं रख सके।</t>
  </si>
  <si>
    <t xml:space="preserve"> arctic_a0524 </t>
  </si>
  <si>
    <t>At once would be instituted a dozen cooperative commonwealth states.</t>
  </si>
  <si>
    <t>एक बार में एक दर्जन सहकारी राष्ट्रमंडल राज्यों की स्थापना की जाएगी।</t>
  </si>
  <si>
    <t xml:space="preserve"> arctic_a0525 </t>
  </si>
  <si>
    <t>The Oligarchy wanted violence, and it set its agents provocateurs to work.</t>
  </si>
  <si>
    <t>ओलिगार्की हिंसा चाहता था, और इसने अपने एजेंटों को काम करने के लिए उकसाया।</t>
  </si>
  <si>
    <t xml:space="preserve"> arctic_a0526 </t>
  </si>
  <si>
    <t>Nowhere did the raw earth appear.</t>
  </si>
  <si>
    <t>कच्ची धरती कहीं दिखाई नहीं दी।</t>
  </si>
  <si>
    <t xml:space="preserve"> arctic_a0527 </t>
  </si>
  <si>
    <t>The lush vegetation of that sheltered spot make a natural shield.</t>
  </si>
  <si>
    <t>उस आश्रय स्थल की हरी-भरी वनस्पति प्राकृतिक ढाल बनाती है।</t>
  </si>
  <si>
    <t xml:space="preserve"> arctic_a0528 </t>
  </si>
  <si>
    <t>Men who endure it, call it living death.</t>
  </si>
  <si>
    <t>इसे सहने वाले पुरुष इसे जीवित मृत्यु कहते हैं।</t>
  </si>
  <si>
    <t xml:space="preserve"> arctic_a0529 </t>
  </si>
  <si>
    <t>As I say, he had tapped the message very rapidly.</t>
  </si>
  <si>
    <t>जैसा कि मैंने कहा, उसने संदेश को बहुत तेजी से टैप किया था।</t>
  </si>
  <si>
    <t xml:space="preserve"> arctic_a0530 </t>
  </si>
  <si>
    <t>Ask him, I laughed, then turned to Pasquini.</t>
  </si>
  <si>
    <t>उससे पूछो, मैं हँसा, फिर पासक्विनी की ओर मुड़ा।</t>
  </si>
  <si>
    <t xml:space="preserve"> arctic_a0531 </t>
  </si>
  <si>
    <t>In what bucolic school of fence he had been taught was beyond imagining.</t>
  </si>
  <si>
    <t>बाड़ के किस गूढ़ विद्यालय में उन्हें पढ़ाया गया था, यह कल्पना से परे था।</t>
  </si>
  <si>
    <t xml:space="preserve"> arctic_a0532 </t>
  </si>
  <si>
    <t>May drought destroy your crops.</t>
  </si>
  <si>
    <t>सूखा आपकी फसलों को नष्ट कर सकता है।</t>
  </si>
  <si>
    <t xml:space="preserve"> arctic_a0533 </t>
  </si>
  <si>
    <t>Dunham, can your boy go along with Jesse.</t>
  </si>
  <si>
    <t>डनहम, क्या आपका लड़का जेसी के साथ जा सकता है।</t>
  </si>
  <si>
    <t xml:space="preserve"> arctic_a0534 </t>
  </si>
  <si>
    <t>But Johannes could, and did.</t>
  </si>
  <si>
    <t>लेकिन जोहान्स कर सकता था, और किया।</t>
  </si>
  <si>
    <t xml:space="preserve"> arctic_a0535 </t>
  </si>
  <si>
    <t>A new preacher and a new doctrine come to Jerusalem.</t>
  </si>
  <si>
    <t>यरूशलेम में एक नया उपदेशक और एक नया सिद्धांत आया।</t>
  </si>
  <si>
    <t xml:space="preserve"> arctic_a0536 </t>
  </si>
  <si>
    <t>He would destroy all things that are fixed.</t>
  </si>
  <si>
    <t>वह उन सभी चीजों को नष्ट कर देगा जो स्थिर हैं।</t>
  </si>
  <si>
    <t xml:space="preserve"> arctic_a0537 </t>
  </si>
  <si>
    <t>He was an enthusiast and a desert dweller.</t>
  </si>
  <si>
    <t>वह एक उत्साही और रेगिस्तानी निवासी था।</t>
  </si>
  <si>
    <t xml:space="preserve"> arctic_a0538 </t>
  </si>
  <si>
    <t>What Pascal glimpsed with the vision of a seer, I have lived.</t>
  </si>
  <si>
    <t>पास्कल ने एक द्रष्टा की दृष्टि से जो देखा, वह मैंने जिया है।</t>
  </si>
  <si>
    <t xml:space="preserve"> arctic_a0539 </t>
  </si>
  <si>
    <t>I should like to engage just for one whole life in that.</t>
  </si>
  <si>
    <t>मुझे उसमें केवल एक पूरे जीवन के लिए संलग्न होना पसंद करना चाहिए।</t>
  </si>
  <si>
    <t xml:space="preserve"> arctic_a0540 </t>
  </si>
  <si>
    <t>Yea, so are all the lesser animals of today clean.</t>
  </si>
  <si>
    <t>हाँ, आज के सभी छोटे जानवर भी स्वच्छ हैं।</t>
  </si>
  <si>
    <t xml:space="preserve"> arctic_a0541 </t>
  </si>
  <si>
    <t>The Warden with a quart of champagne.</t>
  </si>
  <si>
    <t>एक चौथाई गेलन शैंपेन के साथ वार्डन।</t>
  </si>
  <si>
    <t xml:space="preserve"> arctic_a0542 </t>
  </si>
  <si>
    <t>Without a doubt, some of them have dinner engagements.</t>
  </si>
  <si>
    <t>निःसंदेह, उनमें से कुछ ने रात्रि भोज भी किया है।</t>
  </si>
  <si>
    <t xml:space="preserve"> arctic_a0543 </t>
  </si>
  <si>
    <t>I had been born with no organic, chemical predisposition toward alcohol.</t>
  </si>
  <si>
    <t>मैं शराब के प्रति बिना किसी कार्बनिक, रासायनिक प्रवृत्ति के साथ पैदा हुआ था।</t>
  </si>
  <si>
    <t xml:space="preserve"> arctic_a0544 </t>
  </si>
  <si>
    <t>He may anticipate the day of his death.</t>
  </si>
  <si>
    <t>वह अपनी मृत्यु के दिन का अनुमान लगा सकता है।</t>
  </si>
  <si>
    <t xml:space="preserve"> arctic_a0545 </t>
  </si>
  <si>
    <t>The Italian rancho was a bachelor establishment.</t>
  </si>
  <si>
    <t>इतालवी रैंचो एक स्नातक प्रतिष्ठान था।</t>
  </si>
  <si>
    <t xml:space="preserve"> arctic_a0546 </t>
  </si>
  <si>
    <t>I lost my balance and pitched head foremost into the ooze.</t>
  </si>
  <si>
    <t>मैंने अपना संतुलन खो दिया और सिर को सबसे आगे ऊज में डाल दिया।</t>
  </si>
  <si>
    <t xml:space="preserve"> arctic_a0547 </t>
  </si>
  <si>
    <t>Men like Joe Goose dated existence from drunk to drunk.</t>
  </si>
  <si>
    <t>जो गूज जैसे पुरुषों ने नशे से लेकर नशे तक के अस्तित्व को दिनांकित किया।</t>
  </si>
  <si>
    <t xml:space="preserve"> arctic_a0548 </t>
  </si>
  <si>
    <t>Also, churches and preachers I had never known.</t>
  </si>
  <si>
    <t>इसके अलावा, चर्च और प्रचारक जिन्हें मैं कभी नहीं जानता था।</t>
  </si>
  <si>
    <t xml:space="preserve"> arctic_a0549 </t>
  </si>
  <si>
    <t>Do you know that we weigh every pound of coal we burn.</t>
  </si>
  <si>
    <t>क्या आप जानते हैं कि हम जलाए जाने वाले कोयले के हर पाउंड का वजन करते हैं।</t>
  </si>
  <si>
    <t xml:space="preserve"> arctic_a0550 </t>
  </si>
  <si>
    <t>This also became part of the daily schedule.</t>
  </si>
  <si>
    <t>यह भी दैनिक कार्यक्रम का हिस्सा बन गया।</t>
  </si>
  <si>
    <t xml:space="preserve"> arctic_a0551 </t>
  </si>
  <si>
    <t>All an appearance can know is mirage.</t>
  </si>
  <si>
    <t>केवल एक रूप जान सकता है मृगतृष्णा है।</t>
  </si>
  <si>
    <t xml:space="preserve"> arctic_a0552 </t>
  </si>
  <si>
    <t>Yet he dreams he is immortal, I argue feebly.</t>
  </si>
  <si>
    <t>फिर भी वह सपने देखता है कि वह अमर है, मैं कमजोर तर्क देता हूं।</t>
  </si>
  <si>
    <t xml:space="preserve"> arctic_a0553 </t>
  </si>
  <si>
    <t>I am writing these lines in Honolulu, Hawaii.</t>
  </si>
  <si>
    <t>मैं ये पंक्तियाँ हवाई के होनोलूलू में लिख रहा हूँ।</t>
  </si>
  <si>
    <t xml:space="preserve"> arctic_a0554 </t>
  </si>
  <si>
    <t>Jack London, Waikiki Beach, Honolulu, Oahu.</t>
  </si>
  <si>
    <t>जैक लंदन, वैकिकि बीच, होनोलूलू, ओहू।</t>
  </si>
  <si>
    <t xml:space="preserve"> arctic_a0555 </t>
  </si>
  <si>
    <t>Jerry was so secure in his nook that he did not roll away.</t>
  </si>
  <si>
    <t>जैरी अपने नुक्कड़ पर इतना सुरक्षित था कि वह लुढ़क नहीं पाया।</t>
  </si>
  <si>
    <t xml:space="preserve"> arctic_a0556 </t>
  </si>
  <si>
    <t>Why, he's bought forty pounds of goods from you already.</t>
  </si>
  <si>
    <t>क्यों, वह आपसे पहले ही चालीस पाउंड का माल खरीद चुका है।</t>
  </si>
  <si>
    <t xml:space="preserve"> arctic_a0557 </t>
  </si>
  <si>
    <t>The last refugee had passed.</t>
  </si>
  <si>
    <t>आखिरी शरणार्थी गुजर चुका था।</t>
  </si>
  <si>
    <t xml:space="preserve"> arctic_a0558 </t>
  </si>
  <si>
    <t>And the foundation stone of service, in his case, was obedience.</t>
  </si>
  <si>
    <t>और सेवा की आधारशिला, उनके मामले में, आज्ञाकारिता थी।</t>
  </si>
  <si>
    <t xml:space="preserve"> arctic_a0559 </t>
  </si>
  <si>
    <t>Peace be unto you and grace before the Lord.</t>
  </si>
  <si>
    <t>आपको शांति मिले और प्रभु के सामने अनुग्रह हो।</t>
  </si>
  <si>
    <t xml:space="preserve"> arctic_a0560 </t>
  </si>
  <si>
    <t>His mouth opened; words shaped vainly on his lips.</t>
  </si>
  <si>
    <t>उसका मुँह खुल गया; उसके होठों पर व्यर्थ के आकार के शब्द।</t>
  </si>
  <si>
    <t xml:space="preserve"> arctic_a0561 </t>
  </si>
  <si>
    <t>Bill lingered, contemplating his work with artistic appreciation.</t>
  </si>
  <si>
    <t>कलात्मक प्रशंसा के साथ अपने काम पर विचार करते हुए बिल सुस्त रहा।</t>
  </si>
  <si>
    <t xml:space="preserve"> arctic_a0562 </t>
  </si>
  <si>
    <t>What the flaming.</t>
  </si>
  <si>
    <t>क्या जल रहा है।</t>
  </si>
  <si>
    <t xml:space="preserve"> arctic_a0563 </t>
  </si>
  <si>
    <t>Mrs McFee's jaws brought together with a snap.</t>
  </si>
  <si>
    <t>श्रीमती मैकफी के जबड़े एक झटके के साथ एक साथ आ गए।</t>
  </si>
  <si>
    <t xml:space="preserve"> arctic_a0564 </t>
  </si>
  <si>
    <t>Then it is as I said, Womble announced with finality.</t>
  </si>
  <si>
    <t>फिर जैसा कि मैंने कहा, वोम्बल की घोषणा अंतिम रूप से की गई।</t>
  </si>
  <si>
    <t xml:space="preserve"> arctic_a0565 </t>
  </si>
  <si>
    <t>With them were Indians, also three other men.</t>
  </si>
  <si>
    <t>उनके साथ भारतीय भी थे, तीन अन्य पुरुष भी।</t>
  </si>
  <si>
    <t xml:space="preserve"> arctic_a0566 </t>
  </si>
  <si>
    <t>Dennin's hands were released long enough for him to sign the document.</t>
  </si>
  <si>
    <t>दस्तावेज़ पर हस्ताक्षर करने के लिए डेनिन के हाथों को काफी देर तक छोड़ दिया गया था।</t>
  </si>
  <si>
    <t xml:space="preserve"> arctic_a0567 </t>
  </si>
  <si>
    <t>Now Irvine was a man of impulse, a poet.</t>
  </si>
  <si>
    <t>अब इरविन आवेगी, कवि थे।</t>
  </si>
  <si>
    <t xml:space="preserve"> arctic_a0568 </t>
  </si>
  <si>
    <t>He was just bursting with joy, joy over what.</t>
  </si>
  <si>
    <t>वह बस खुशी से झूम रहा था, किस बात पर खुशी।</t>
  </si>
  <si>
    <t xml:space="preserve"> arctic_a0569 </t>
  </si>
  <si>
    <t>At Lake Linderman I had one canoe, very good Peterborough canoe.</t>
  </si>
  <si>
    <t>लेक लिंडरमैन में मेरे पास एक डोंगी थी, बहुत अच्छी पीटरबरो डोंगी।</t>
  </si>
  <si>
    <t xml:space="preserve"> arctic_a0570 </t>
  </si>
  <si>
    <t>Behind him lay the thousand-years-long road across all Siberia and Russia.</t>
  </si>
  <si>
    <t>उसके पीछे पूरे साइबेरिया और रूस में हजार साल लंबी सड़क थी।</t>
  </si>
  <si>
    <t xml:space="preserve"> arctic_a0571 </t>
  </si>
  <si>
    <t>He had forgotten to build a fire and thaw out.</t>
  </si>
  <si>
    <t>वह आग लगाना और पिघलना भूल गया था।</t>
  </si>
  <si>
    <t xml:space="preserve"> arctic_a0572 </t>
  </si>
  <si>
    <t>I never saw anything like her in my life.</t>
  </si>
  <si>
    <t>मैंने अपने जीवन में उसके जैसा कुछ नहीं देखा।</t>
  </si>
  <si>
    <t xml:space="preserve"> arctic_a0573 </t>
  </si>
  <si>
    <t>There was no law on the Yukon save what they made for themselves.</t>
  </si>
  <si>
    <t>युकोन पर कोई कानून नहीं था सिवाय इसके कि उन्होंने अपने लिए क्या बनाया।</t>
  </si>
  <si>
    <t xml:space="preserve"> arctic_a0574 </t>
  </si>
  <si>
    <t>Good business man, Curly, O'Brien was saying.</t>
  </si>
  <si>
    <t>अच्छा व्यवसायी, कर्ली, ओ'ब्रायन कह रहा था।</t>
  </si>
  <si>
    <t xml:space="preserve"> arctic_a0575 </t>
  </si>
  <si>
    <t>There weren't any missions, and he was the man to know.</t>
  </si>
  <si>
    <t>कोई मिशन नहीं था, और वह जानने वाला व्यक्ति था।</t>
  </si>
  <si>
    <t xml:space="preserve"> arctic_a0576 </t>
  </si>
  <si>
    <t>And the big Persian knew of his existence before he did of hers.</t>
  </si>
  <si>
    <t>और बड़ा फ़ारसी उसके अस्तित्व के बारे में उसके होने से पहले जानता था।</t>
  </si>
  <si>
    <t xml:space="preserve"> arctic_a0577 </t>
  </si>
  <si>
    <t>Once the jews harp began emitting its barbaric rhythms, Michael was helpless.</t>
  </si>
  <si>
    <t>एक बार जब यहूदी वीणा ने अपनी बर्बर लय का उत्सर्जन करना शुरू किया, तो माइकल असहाय था।</t>
  </si>
  <si>
    <t xml:space="preserve"> arctic_a0578 </t>
  </si>
  <si>
    <t>But we'll just postpone this.</t>
  </si>
  <si>
    <t>लेकिन हम इसे अभी स्थगित करेंगे।</t>
  </si>
  <si>
    <t xml:space="preserve"> arctic_a0579 </t>
  </si>
  <si>
    <t>There was the Emma Louisa.</t>
  </si>
  <si>
    <t>एम्मा लुइसा थी।</t>
  </si>
  <si>
    <t xml:space="preserve"> arctic_a0580 </t>
  </si>
  <si>
    <t>This is my fifth voyage.</t>
  </si>
  <si>
    <t>यह मेरी पांचवी यात्रा है।</t>
  </si>
  <si>
    <t xml:space="preserve"> arctic_a0581 </t>
  </si>
  <si>
    <t>It was this proposition that started the big idea in Daughtry's mind.</t>
  </si>
  <si>
    <t>यह वह प्रस्ताव था जिसने डौट्री के दिमाग में बड़े विचार की शुरुआत की।</t>
  </si>
  <si>
    <t xml:space="preserve"> arctic_a0582 </t>
  </si>
  <si>
    <t>Daughtry elaborated on the counting trick by bringing Cocky along.</t>
  </si>
  <si>
    <t>डौट्री ने कॉकी को साथ लाकर काउंटिंग ट्रिक के बारे में विस्तार से बताया।</t>
  </si>
  <si>
    <t xml:space="preserve"> arctic_a0583 </t>
  </si>
  <si>
    <t>Enjoy it he did, but principally for Steward's sake.</t>
  </si>
  <si>
    <t>उसका आनंद लें, लेकिन मुख्य रूप से स्टीवर्ड के लिए।</t>
  </si>
  <si>
    <t xml:space="preserve"> arctic_a0584 </t>
  </si>
  <si>
    <t>I have long noted your thirst unquenchable.</t>
  </si>
  <si>
    <t>मैंने लंबे समय से आपकी प्यास को बिना बुझाए देखा है।</t>
  </si>
  <si>
    <t xml:space="preserve"> arctic_a0585 </t>
  </si>
  <si>
    <t>Wonder if he's a lion dog, Charles suggested.</t>
  </si>
  <si>
    <t>आश्चर्य है कि क्या वह शेर का कुत्ता है, चार्ल्स ने सुझाव दिया।</t>
  </si>
  <si>
    <t xml:space="preserve"> arctic_a0586 </t>
  </si>
  <si>
    <t>We don't see ourselves as foolish.</t>
  </si>
  <si>
    <t>हम खुद को मूर्ख नहीं समझते।</t>
  </si>
  <si>
    <t xml:space="preserve"> arctic_a0587 </t>
  </si>
  <si>
    <t>He had comparatively no advantages at first.</t>
  </si>
  <si>
    <t>पहले तो उसे तुलनात्मक रूप से कोई लाभ नहीं था।</t>
  </si>
  <si>
    <t xml:space="preserve"> arctic_a0588 </t>
  </si>
  <si>
    <t>He had proved it today, with his amateurish and sophomoric productions.</t>
  </si>
  <si>
    <t>उन्होंने अपनी शौकिया और परिष्कार प्रस्तुतियों के साथ आज इसे साबित कर दिया था।</t>
  </si>
  <si>
    <t xml:space="preserve"> arctic_a0589 </t>
  </si>
  <si>
    <t>I was sick once -- typhoid.</t>
  </si>
  <si>
    <t>मैं एक बार बीमार था - टाइफाइड।</t>
  </si>
  <si>
    <t xml:space="preserve"> arctic_a0590 </t>
  </si>
  <si>
    <t>In a way he is my protege.</t>
  </si>
  <si>
    <t>एक तरह से वह मेरे आश्रित हैं।</t>
  </si>
  <si>
    <t xml:space="preserve"> arctic_a0591 </t>
  </si>
  <si>
    <t>We are both children together.</t>
  </si>
  <si>
    <t>हम दोनों साथ में बच्चे हैं।</t>
  </si>
  <si>
    <t xml:space="preserve"> arctic_a0592 </t>
  </si>
  <si>
    <t>It's only his indigestion I find fault with.</t>
  </si>
  <si>
    <t>यह केवल उसका अपच है जिसमें मुझे दोष लगता है।</t>
  </si>
  <si>
    <t xml:space="preserve"> arctic_a0593 </t>
  </si>
  <si>
    <t>She'd make a good wife for the cashier.</t>
  </si>
  <si>
    <t>वह खजांची के लिए एक अच्छी पत्नी बनाएगी।</t>
  </si>
  <si>
    <t xml:space="preserve"> arctic_b0001 </t>
  </si>
  <si>
    <t>Gad, do I remember it.</t>
  </si>
  <si>
    <t>गाड, क्या मुझे यह याद है।</t>
  </si>
  <si>
    <t xml:space="preserve"> arctic_b0002 </t>
  </si>
  <si>
    <t>You got out by fighting, and I through a pretty girl.</t>
  </si>
  <si>
    <t>तुम लड़कर बाहर निकले, और मैं एक सुंदर लड़की के माध्यम से।</t>
  </si>
  <si>
    <t xml:space="preserve"> arctic_b0003 </t>
  </si>
  <si>
    <t>I can see that knife now.</t>
  </si>
  <si>
    <t>मैं अब वह चाकू देख सकता हूँ।</t>
  </si>
  <si>
    <t xml:space="preserve"> arctic_b0004 </t>
  </si>
  <si>
    <t>When I can't see beauty in woman I want to die.</t>
  </si>
  <si>
    <t>जब मैं स्त्री में सुंदरता नहीं देख सकता तो मैं मरना चाहता हूं।</t>
  </si>
  <si>
    <t xml:space="preserve"> arctic_b0005 </t>
  </si>
  <si>
    <t>His slim fingers closed like steel about Philip's.</t>
  </si>
  <si>
    <t>फिलिप के बारे में उसकी पतली उंगलियां स्टील की तरह बंद हो गईं।</t>
  </si>
  <si>
    <t xml:space="preserve"> arctic_b0006 </t>
  </si>
  <si>
    <t>He seized Gregson by the arm and led him to the door.</t>
  </si>
  <si>
    <t>उसने ग्रेगसन का हाथ पकड़ लिया और उसे दरवाजे तक ले गया।</t>
  </si>
  <si>
    <t xml:space="preserve"> arctic_b0007 </t>
  </si>
  <si>
    <t>Hear the Indian dogs wailing down at Churchill.</t>
  </si>
  <si>
    <t>भारतीय कुत्तों को चर्चिल में रोते हुए सुनें।</t>
  </si>
  <si>
    <t xml:space="preserve"> arctic_b0008 </t>
  </si>
  <si>
    <t>Burke himself had criticized it because of the smile.</t>
  </si>
  <si>
    <t>मुस्कान की वजह से बर्क ने खुद इसकी आलोचना की थी।</t>
  </si>
  <si>
    <t xml:space="preserve"> arctic_b0009 </t>
  </si>
  <si>
    <t>I'd say there was going to be a glorious scrap.</t>
  </si>
  <si>
    <t>मैं कहूंगा कि एक शानदार स्क्रैप होने जा रहा था।</t>
  </si>
  <si>
    <t xml:space="preserve"> arctic_b0010 </t>
  </si>
  <si>
    <t>He turned the map to Gregson, pointing with his finger.</t>
  </si>
  <si>
    <t>उसने अपनी उंगली से इशारा करते हुए नक्शे को ग्रेगसन की ओर घुमाया।</t>
  </si>
  <si>
    <t xml:space="preserve"> arctic_b0011 </t>
  </si>
  <si>
    <t>His eyes never took themselves for an instant from his companion's face.</t>
  </si>
  <si>
    <t>उसकी आँखों ने अपने साथी के चेहरे से एक पल के लिए भी खुद को दूर नहीं किया।</t>
  </si>
  <si>
    <t xml:space="preserve"> arctic_b0012 </t>
  </si>
  <si>
    <t>Something that Whittemore had not yet said thrilled him.</t>
  </si>
  <si>
    <t>कुछ ऐसा जो व्हिटमोर ने अभी तक नहीं कहा था, उसे रोमांचित कर दिया।</t>
  </si>
  <si>
    <t xml:space="preserve"> arctic_b0013 </t>
  </si>
  <si>
    <t>Lakes and rivers, hundreds of them, thousands of them.</t>
  </si>
  <si>
    <t>झीलें और नदियाँ, उनमें से सैकड़ों, उनमें से हजारों।</t>
  </si>
  <si>
    <t xml:space="preserve"> arctic_b0014 </t>
  </si>
  <si>
    <t>Whitefish, Gregson, whitefish and trout.</t>
  </si>
  <si>
    <t>व्हाइटफिश, ग्रेगसन, व्हाइटफिश और ट्राउट।</t>
  </si>
  <si>
    <t xml:space="preserve"> arctic_b0015 </t>
  </si>
  <si>
    <t>They robbed me a few years later.</t>
  </si>
  <si>
    <t>कुछ साल बाद उन्होंने मुझे लूट लिया।</t>
  </si>
  <si>
    <t xml:space="preserve"> arctic_b0016 </t>
  </si>
  <si>
    <t>He chuckled as he pulled out his pipe and began filling it.</t>
  </si>
  <si>
    <t>जैसे ही उसने अपना पाइप निकाला और उसे भरना शुरू किया, वह मुस्कुराया।</t>
  </si>
  <si>
    <t xml:space="preserve"> arctic_b0017 </t>
  </si>
  <si>
    <t>Everything was working smoothly, better than I had expected.</t>
  </si>
  <si>
    <t>सब कुछ सुचारू रूप से चल रहा था, मेरी अपेक्षा से बेहतर।</t>
  </si>
  <si>
    <t xml:space="preserve"> arctic_b0018 </t>
  </si>
  <si>
    <t>I was completely lost in my work.</t>
  </si>
  <si>
    <t>मैं अपने काम में पूरी तरह खो गया था।</t>
  </si>
  <si>
    <t xml:space="preserve"> arctic_b0019 </t>
  </si>
  <si>
    <t>His slim hands gripped the edges of the table.</t>
  </si>
  <si>
    <t>उसके पतले हाथों ने मेज के किनारों को जकड़ लिया।</t>
  </si>
  <si>
    <t xml:space="preserve"> arctic_b0020 </t>
  </si>
  <si>
    <t>He made no reply as he waited for Whittemore to continue.</t>
  </si>
  <si>
    <t>उन्होंने कोई जवाब नहीं दिया क्योंकि उन्होंने व्हिटमोर के जारी रहने की प्रतीक्षा की।</t>
  </si>
  <si>
    <t xml:space="preserve"> arctic_b0021 </t>
  </si>
  <si>
    <t>Philip dropped back into his chair.</t>
  </si>
  <si>
    <t>फिलिप वापस अपनी कुर्सी पर गिर गया।</t>
  </si>
  <si>
    <t xml:space="preserve"> arctic_b0022 </t>
  </si>
  <si>
    <t>If I was out of the game it would be easily made.</t>
  </si>
  <si>
    <t>अगर मैं खेल से बाहर होता तो यह आसानी से बन जाता।</t>
  </si>
  <si>
    <t xml:space="preserve"> arctic_b0023 </t>
  </si>
  <si>
    <t>MacDougall, my engineer, believes it.</t>
  </si>
  <si>
    <t>मैकडॉगल, मेरे इंजीनियर, यह मानते हैं।</t>
  </si>
  <si>
    <t xml:space="preserve"> arctic_b0024 </t>
  </si>
  <si>
    <t>It is growing, every day, every hour.</t>
  </si>
  <si>
    <t>यह बढ़ रहा है, हर दिन, हर घंटे।</t>
  </si>
  <si>
    <t xml:space="preserve"> arctic_b0025 </t>
  </si>
  <si>
    <t>Now, you understand.</t>
  </si>
  <si>
    <t>अब आप समझें।</t>
  </si>
  <si>
    <t xml:space="preserve"> arctic_b0026 </t>
  </si>
  <si>
    <t>You have associated with some of these men.</t>
  </si>
  <si>
    <t>आप इनमें से कुछ पुरुषों के साथ जुड़े हैं।</t>
  </si>
  <si>
    <t xml:space="preserve"> arctic_b0027 </t>
  </si>
  <si>
    <t>And there's no chivalry, no quarter shown in this fight.</t>
  </si>
  <si>
    <t>और इस लड़ाई में कोई शिष्टता, कोई चौथाई नहीं दिखाया गया है।</t>
  </si>
  <si>
    <t xml:space="preserve"> arctic_b0028 </t>
  </si>
  <si>
    <t>Lord Fitzhugh is the key to the whole situation.</t>
  </si>
  <si>
    <t>लॉर्ड फिट्ज़हुग पूरी स्थिति की कुंजी है।</t>
  </si>
  <si>
    <t xml:space="preserve"> arctic_b0029 </t>
  </si>
  <si>
    <t>All operations have been carried on from Montreal and Toronto.</t>
  </si>
  <si>
    <t>सभी ऑपरेशन मॉन्ट्रियल और टोरंटो से किए गए हैं।</t>
  </si>
  <si>
    <t xml:space="preserve"> arctic_b0030 </t>
  </si>
  <si>
    <t>Gregson held a lighted match until it burnt his fingertips.</t>
  </si>
  <si>
    <t>ग्रेगसन ने एक हल्का मैच तब तक आयोजित किया जब तक कि उसने अपनी उंगलियों को जला नहीं दिया।</t>
  </si>
  <si>
    <t xml:space="preserve"> arctic_b0031 </t>
  </si>
  <si>
    <t>Gregson had seated himself under the lamp and was sharpening a pencil.</t>
  </si>
  <si>
    <t>ग्रेगसन खुद को दीपक के नीचे बैठा था और एक पेंसिल की धार तेज कर रहा था।</t>
  </si>
  <si>
    <t xml:space="preserve"> arctic_b0032 </t>
  </si>
  <si>
    <t>He caught himself with a jerk.</t>
  </si>
  <si>
    <t>उसने खुद को झटके से पकड़ लिया।</t>
  </si>
  <si>
    <t xml:space="preserve"> arctic_b0033 </t>
  </si>
  <si>
    <t>How does your wager look now.</t>
  </si>
  <si>
    <t>आपका दांव अब कैसा दिखता है।</t>
  </si>
  <si>
    <t xml:space="preserve"> arctic_b0034 </t>
  </si>
  <si>
    <t>He confessed that the sketch had startled him.</t>
  </si>
  <si>
    <t>उसने कबूल किया कि स्केच ने उसे चौंका दिया था।</t>
  </si>
  <si>
    <t xml:space="preserve"> arctic_b0035 </t>
  </si>
  <si>
    <t>After all, the picture was only a resemblance.</t>
  </si>
  <si>
    <t>आखिरकार, तस्वीर केवल एक समानता थी।</t>
  </si>
  <si>
    <t xml:space="preserve"> arctic_b0036 </t>
  </si>
  <si>
    <t>He wondered, too, where Roscoe was.</t>
  </si>
  <si>
    <t>उसने यह भी सोचा कि रोसको कहाँ था।</t>
  </si>
  <si>
    <t xml:space="preserve"> arctic_b0037 </t>
  </si>
  <si>
    <t>Philip knew that she was not an Indian.</t>
  </si>
  <si>
    <t>फिलिप जानता था कि वह भारतीय नहीं है।</t>
  </si>
  <si>
    <t xml:space="preserve"> arctic_b0038 </t>
  </si>
  <si>
    <t>In her haste to get away she had forgotten these things.</t>
  </si>
  <si>
    <t>दूर जाने की जल्दबाजी में वह इन बातों को भूल चुकी थी।</t>
  </si>
  <si>
    <t xml:space="preserve"> arctic_b0039 </t>
  </si>
  <si>
    <t>Philip took a step toward Gregson, half determined to awaken him.</t>
  </si>
  <si>
    <t>फिलिप ने ग्रेगसन की ओर एक कदम बढ़ाया, आधा उसे जगाने के लिए दृढ़ था।</t>
  </si>
  <si>
    <t xml:space="preserve"> arctic_b0040 </t>
  </si>
  <si>
    <t>The thought set his blood tingling.</t>
  </si>
  <si>
    <t>इस विचार ने उसके खून में झुनझुनी डाल दी।</t>
  </si>
  <si>
    <t xml:space="preserve"> arctic_b0041 </t>
  </si>
  <si>
    <t>But if Pierre did not return, until tomorrow.</t>
  </si>
  <si>
    <t>लेकिन अगर पियरे कल तक नहीं लौटा।</t>
  </si>
  <si>
    <t xml:space="preserve"> arctic_b0042 </t>
  </si>
  <si>
    <t>Ten minutes had not elapsed since he had dropped the handkerchief.</t>
  </si>
  <si>
    <t>दस मिनट भी नहीं बीते थे कि उसने रूमाल गिराया था।</t>
  </si>
  <si>
    <t xml:space="preserve"> arctic_b0043 </t>
  </si>
  <si>
    <t>It won't be for sale.</t>
  </si>
  <si>
    <t>यह बिक्री के लिए नहीं होगा।</t>
  </si>
  <si>
    <t xml:space="preserve"> arctic_b0044 </t>
  </si>
  <si>
    <t>For a few moments he ate in silence.</t>
  </si>
  <si>
    <t>कुछ पल के लिए उसने चुपचाप खाना खाया।</t>
  </si>
  <si>
    <t xml:space="preserve"> arctic_b0045 </t>
  </si>
  <si>
    <t>Philip did not pursue the subject.</t>
  </si>
  <si>
    <t>फिलिप ने इस विषय का पीछा नहीं किया।</t>
  </si>
  <si>
    <t xml:space="preserve"> arctic_b0046 </t>
  </si>
  <si>
    <t>Philip produced a couple of cigars and took a chair opposite him.</t>
  </si>
  <si>
    <t>फिलिप ने कुछ सिगार का उत्पादन किया और उसके सामने एक कुर्सी ले ली।</t>
  </si>
  <si>
    <t xml:space="preserve"> arctic_b0047 </t>
  </si>
  <si>
    <t>Suppose you saw me at work through the window.</t>
  </si>
  <si>
    <t>मान लीजिए आपने मुझे खिड़की से काम पर देखा।</t>
  </si>
  <si>
    <t xml:space="preserve"> arctic_b0048 </t>
  </si>
  <si>
    <t>He looked like one who had passed through an uncomfortable hour or two.</t>
  </si>
  <si>
    <t>वह एक ऐसे व्यक्ति की तरह लग रहा था जो एक या दो घंटे के असहज दौर से गुजरा हो।</t>
  </si>
  <si>
    <t xml:space="preserve"> arctic_b0049 </t>
  </si>
  <si>
    <t>There was nothing more, except a large ink blot under the words.</t>
  </si>
  <si>
    <t>शब्दों के नीचे एक बड़े स्याही के धब्बे के अलावा और कुछ नहीं था।</t>
  </si>
  <si>
    <t xml:space="preserve"> arctic_b0050 </t>
  </si>
  <si>
    <t>All this day Gregson remained in the cabin.</t>
  </si>
  <si>
    <t>इस पूरे दिन ग्रेगसन केबिन में रहा।</t>
  </si>
  <si>
    <t xml:space="preserve"> arctic_b0051 </t>
  </si>
  <si>
    <t>The sixth day he spent in the cabin with Gregson.</t>
  </si>
  <si>
    <t>छठा दिन उन्होंने ग्रेगसन के साथ केबिन में बिताया।</t>
  </si>
  <si>
    <t xml:space="preserve"> arctic_b0052 </t>
  </si>
  <si>
    <t>The flush was gone from her face.</t>
  </si>
  <si>
    <t>उसके चेहरे से लाली चली गई थी।</t>
  </si>
  <si>
    <t xml:space="preserve"> arctic_b0053 </t>
  </si>
  <si>
    <t>That is why I am, am rattled, he laughed.</t>
  </si>
  <si>
    <t>इसलिए मैं हतप्रभ हूँ, वह हँसा।</t>
  </si>
  <si>
    <t xml:space="preserve"> arctic_b0054 </t>
  </si>
  <si>
    <t>He understood the meaning of the look.</t>
  </si>
  <si>
    <t>वह देखने का अर्थ समझ गया।</t>
  </si>
  <si>
    <t xml:space="preserve"> arctic_b0055 </t>
  </si>
  <si>
    <t>She was even more beautiful than when I saw her, before.</t>
  </si>
  <si>
    <t>जब मैंने उसे देखा था, वह उससे भी ज्यादा खूबसूरत थी।</t>
  </si>
  <si>
    <t xml:space="preserve"> arctic_b0056 </t>
  </si>
  <si>
    <t>I'll give a thousand if you produce her, retorted Gregson.</t>
  </si>
  <si>
    <t>यदि आप उसे पैदा करते हैं तो मैं एक हजार दूंगा, ग्रेगसन ने जवाब दिया।</t>
  </si>
  <si>
    <t xml:space="preserve"> arctic_b0057 </t>
  </si>
  <si>
    <t>They have won popular sentiment through the newspapers.</t>
  </si>
  <si>
    <t>उन्होंने समाचार पत्रों के माध्यम से लोकप्रिय भावना जीती है।</t>
  </si>
  <si>
    <t xml:space="preserve"> arctic_b0058 </t>
  </si>
  <si>
    <t>We must achieve our own salvation.</t>
  </si>
  <si>
    <t>हमें अपना उद्धार स्वयं प्राप्त करना चाहिए।</t>
  </si>
  <si>
    <t xml:space="preserve"> arctic_b0059 </t>
  </si>
  <si>
    <t>In moments of mental energy Philip was restless.</t>
  </si>
  <si>
    <t>मानसिक ऊर्जा के क्षणों में फिलिप बेचैन था।</t>
  </si>
  <si>
    <t xml:space="preserve"> arctic_b0060 </t>
  </si>
  <si>
    <t>He would keep his faith with Gregson for the promised day or two.</t>
  </si>
  <si>
    <t>वह वादा किए गए एक या दो दिन के लिए ग्रेगसन के साथ अपना विश्वास बनाए रखेगा।</t>
  </si>
  <si>
    <t xml:space="preserve"> arctic_b0061 </t>
  </si>
  <si>
    <t>Something about it seemed to fascinate him, to challenge his presence.</t>
  </si>
  <si>
    <t>इसके बारे में कुछ उसे अपनी उपस्थिति को चुनौती देने के लिए मोहित करने के लिए लग रहा था।</t>
  </si>
  <si>
    <t xml:space="preserve"> arctic_b0062 </t>
  </si>
  <si>
    <t>Now it was missing from the wall.</t>
  </si>
  <si>
    <t>अब वह दीवार से गायब था।</t>
  </si>
  <si>
    <t xml:space="preserve"> arctic_b0063 </t>
  </si>
  <si>
    <t>He boiled himself some coffee and sat down to wait.</t>
  </si>
  <si>
    <t>उसने अपने लिए कुछ कॉफी उबाली और प्रतीक्षा करने बैठ गया।</t>
  </si>
  <si>
    <t xml:space="preserve"> arctic_b0064 </t>
  </si>
  <si>
    <t>I'm going down there with you, and I'm going to fight.</t>
  </si>
  <si>
    <t>मैं तुम्हारे साथ वहाँ जा रहा हूँ, और मैं लड़ने जा रहा हूँ।</t>
  </si>
  <si>
    <t xml:space="preserve"> arctic_b0065 </t>
  </si>
  <si>
    <t>Now have you got anything to say against me, Mr Philip.</t>
  </si>
  <si>
    <t>अब क्या आपके पास मेरे खिलाफ कहने के लिए मिस्टर फिलिप है।</t>
  </si>
  <si>
    <t xml:space="preserve"> arctic_b0066 </t>
  </si>
  <si>
    <t>If I meet her again I shall apologize, said Eileen.</t>
  </si>
  <si>
    <t>अगर मैं उससे दोबारा मिलूं तो मैं माफी मांग लूंगा, एलीन ने कहा।</t>
  </si>
  <si>
    <t xml:space="preserve"> arctic_b0067 </t>
  </si>
  <si>
    <t>Below him the shadow was broken into a pool of rippling starlight.</t>
  </si>
  <si>
    <t>उसके नीचे की छाया तरंगित तारों के एक कुंड में टूट गई थी।</t>
  </si>
  <si>
    <t xml:space="preserve"> arctic_b0068 </t>
  </si>
  <si>
    <t>Only the chance sound had led him to observe them.</t>
  </si>
  <si>
    <t>केवल मौका ध्वनि ने उन्हें उनका निरीक्षण करने के लिए प्रेरित किया था।</t>
  </si>
  <si>
    <t xml:space="preserve"> arctic_b0069 </t>
  </si>
  <si>
    <t>Could the incident have anything to do with Jeanne and Pierre.</t>
  </si>
  <si>
    <t>क्या इस घटना का जीन और पियरे से कोई लेना-देना हो सकता है।</t>
  </si>
  <si>
    <t xml:space="preserve"> arctic_b0070 </t>
  </si>
  <si>
    <t>There was no chance to fire without hitting him.</t>
  </si>
  <si>
    <t>उसे मारे बिना फायर करने का कोई मौका नहीं था।</t>
  </si>
  <si>
    <t xml:space="preserve"> arctic_b0071 </t>
  </si>
  <si>
    <t>There was no answer from the other side.</t>
  </si>
  <si>
    <t>दूसरी तरफ से कोई जवाब नहीं आया।</t>
  </si>
  <si>
    <t xml:space="preserve"> arctic_b0072 </t>
  </si>
  <si>
    <t>Then he hastened on, as Pierre had guided him.</t>
  </si>
  <si>
    <t>फिर वह तेजी से आगे बढ़ा, जैसा कि पियरे ने उसे निर्देशित किया था।</t>
  </si>
  <si>
    <t xml:space="preserve"> arctic_b0073 </t>
  </si>
  <si>
    <t>With these arguments he convinced himself that he should go on alone.</t>
  </si>
  <si>
    <t>इन तर्कों से उसने अपने आप को आश्वस्त किया कि उसे अकेले ही जाना चाहिए।</t>
  </si>
  <si>
    <t xml:space="preserve"> arctic_b0074 </t>
  </si>
  <si>
    <t>Yet, behind them there was another and more powerful motive.</t>
  </si>
  <si>
    <t>फिर भी, उनके पीछे एक और और अधिक शक्तिशाली मकसद था।</t>
  </si>
  <si>
    <t xml:space="preserve"> arctic_b0075 </t>
  </si>
  <si>
    <t>In that case he could not miss them, if he used caution.</t>
  </si>
  <si>
    <t>उस स्थिति में वह उन्हें याद नहीं कर सकता था, अगर वह सावधानी बरतता।</t>
  </si>
  <si>
    <t xml:space="preserve"> arctic_b0076 </t>
  </si>
  <si>
    <t>Before Philip could recover himself Jeanne's startled guards were upon him.</t>
  </si>
  <si>
    <t>इससे पहले कि फिलिप खुद को ठीक कर पाता जीन के चौंका देने वाले पहरेदार उस पर थे।</t>
  </si>
  <si>
    <t xml:space="preserve"> arctic_b0077 </t>
  </si>
  <si>
    <t>It is the nearest refuge.</t>
  </si>
  <si>
    <t>यह निकटतम शरणस्थली है।</t>
  </si>
  <si>
    <t xml:space="preserve"> arctic_b0078 </t>
  </si>
  <si>
    <t>There was pride and strength, the ring of triumph in his voice.</t>
  </si>
  <si>
    <t>उनकी आवाज में गर्व और ताकत थी, विजय की अंगूठी।</t>
  </si>
  <si>
    <t xml:space="preserve"> arctic_b0079 </t>
  </si>
  <si>
    <t>The truth of it set Jeanne quivering.</t>
  </si>
  <si>
    <t>इसकी सच्चाई ने जीन को झकझोर कर रख दिया।</t>
  </si>
  <si>
    <t xml:space="preserve"> arctic_b0080 </t>
  </si>
  <si>
    <t>Tomorrow it will be strong enough for you to stand upon.</t>
  </si>
  <si>
    <t>कल तुम्हारे लिए खड़े होने के लिए यह काफी मजबूत होगा।</t>
  </si>
  <si>
    <t xml:space="preserve"> arctic_b0081 </t>
  </si>
  <si>
    <t>You were going to leave after you saw me on the rock.</t>
  </si>
  <si>
    <t>मुझे चट्टान पर देखने के बाद तुम जाने वाले थे।</t>
  </si>
  <si>
    <t xml:space="preserve"> arctic_b0082 </t>
  </si>
  <si>
    <t>He bit his tongue, and cursed himself at this fresh break.</t>
  </si>
  <si>
    <t>उसने अपनी जीभ काट ली, और इस ताजा ब्रेक पर खुद को शाप दिया।</t>
  </si>
  <si>
    <t xml:space="preserve"> arctic_b0083 </t>
  </si>
  <si>
    <t>In it there was something that was almost tragedy.</t>
  </si>
  <si>
    <t>इसमें कुछ ऐसा था जो लगभग त्रासदी जैसा था।</t>
  </si>
  <si>
    <t xml:space="preserve"> arctic_b0084 </t>
  </si>
  <si>
    <t>Your face is red with blood.</t>
  </si>
  <si>
    <t>तुम्हारा चेहरा खून से लाल है।</t>
  </si>
  <si>
    <t xml:space="preserve"> arctic_b0085 </t>
  </si>
  <si>
    <t>Her eyes smiled truth at him as he came up the bank.</t>
  </si>
  <si>
    <t>जैसे ही वह बैंक आया, उसकी आँखों में सच्चाई की मुस्कान थी।</t>
  </si>
  <si>
    <t xml:space="preserve"> arctic_b0086 </t>
  </si>
  <si>
    <t>He can care for himself.</t>
  </si>
  <si>
    <t>वह खुद की देखभाल कर सकता है।</t>
  </si>
  <si>
    <t xml:space="preserve"> arctic_b0087 </t>
  </si>
  <si>
    <t>They will search for us between their camp and Churchill.</t>
  </si>
  <si>
    <t>वे हमें अपने शिविर और चर्चिल के बीच खोजेंगे।</t>
  </si>
  <si>
    <t xml:space="preserve"> arctic_b0088 </t>
  </si>
  <si>
    <t>Until I die, he exclaimed.</t>
  </si>
  <si>
    <t>जब तक मैं मर नहीं गया, वह चिल्लाया।</t>
  </si>
  <si>
    <t xml:space="preserve"> arctic_b0089 </t>
  </si>
  <si>
    <t>Her beautiful hair was done up in shining coils.</t>
  </si>
  <si>
    <t>उसके खूबसूरत बाल चमकते हुए कुंडलों में सजाए गए थे।</t>
  </si>
  <si>
    <t xml:space="preserve"> arctic_b0090 </t>
  </si>
  <si>
    <t>The Churchill narrowed and its current became swifter as they progressed.</t>
  </si>
  <si>
    <t>चर्चिल संकुचित हो गया और जैसे-जैसे वे आगे बढ़े, उसकी धारा तेज होती गई।</t>
  </si>
  <si>
    <t xml:space="preserve"> arctic_b0091 </t>
  </si>
  <si>
    <t>For a full half minute Jeanne looked at him without speaking.</t>
  </si>
  <si>
    <t>पूरे आधे मिनट तक जीन ने बिना कुछ बोले उसकी तरफ देखा।</t>
  </si>
  <si>
    <t xml:space="preserve"> arctic_b0092 </t>
  </si>
  <si>
    <t>I want to die in it.</t>
  </si>
  <si>
    <t>मैं इसमें मरना चाहता हूं।</t>
  </si>
  <si>
    <t xml:space="preserve"> arctic_b0093 </t>
  </si>
  <si>
    <t>Darkness hid him from Jeanne.</t>
  </si>
  <si>
    <t>अँधेरे ने उसे जीन से छुपाया।</t>
  </si>
  <si>
    <t xml:space="preserve"> arctic_b0094 </t>
  </si>
  <si>
    <t>And yet if she came he had no words to say.</t>
  </si>
  <si>
    <t>और फिर भी अगर वह आई तो उसके पास कहने के लिए शब्द नहीं थे।</t>
  </si>
  <si>
    <t xml:space="preserve"> arctic_b0095 </t>
  </si>
  <si>
    <t>He heard a sound which brought him quickly into consciousness of day.</t>
  </si>
  <si>
    <t>उसने एक आवाज सुनी जिससे वह जल्दी से दिन के होश में आ गया।</t>
  </si>
  <si>
    <t xml:space="preserve"> arctic_b0096 </t>
  </si>
  <si>
    <t>Within himself he called it no longer his own.</t>
  </si>
  <si>
    <t>अपने भीतर उन्होंने इसे अब अपना नहीं कहा।</t>
  </si>
  <si>
    <t xml:space="preserve"> arctic_b0097 </t>
  </si>
  <si>
    <t>Besides, that noise makes me deaf.</t>
  </si>
  <si>
    <t>इसके अलावा, वह शोर मुझे बहरा बना देता है।</t>
  </si>
  <si>
    <t xml:space="preserve"> arctic_b0098 </t>
  </si>
  <si>
    <t>Philip looked back from the crest and saw Jeanne leaning over the canoe.</t>
  </si>
  <si>
    <t>फिलिप ने शिखा से पीछे मुड़कर देखा और जीन को डोंगी के ऊपर झुकते देखा।</t>
  </si>
  <si>
    <t xml:space="preserve"> arctic_b0099 </t>
  </si>
  <si>
    <t>Fifty yards ahead of her were the first of the rocks.</t>
  </si>
  <si>
    <t>उससे पचास गज आगे पहली चट्टानें थीं।</t>
  </si>
  <si>
    <t xml:space="preserve"> arctic_b0100 </t>
  </si>
  <si>
    <t>There was one chance, and only one, of saving Jeanne.</t>
  </si>
  <si>
    <t>जीन को बचाने का एक मौका था, और केवल एक ही।</t>
  </si>
  <si>
    <t xml:space="preserve"> arctic_b0101 </t>
  </si>
  <si>
    <t>You're a devil for fighting, and will surely win.</t>
  </si>
  <si>
    <t>आप लड़ने के लिए शैतान हैं, और निश्चित रूप से जीतेंगे।</t>
  </si>
  <si>
    <t xml:space="preserve"> arctic_b0102 </t>
  </si>
  <si>
    <t>I'll only be in the way.</t>
  </si>
  <si>
    <t>मैं केवल रास्ते में रहूंगा।</t>
  </si>
  <si>
    <t xml:space="preserve"> arctic_b0103 </t>
  </si>
  <si>
    <t>He lifted his eyes, and a strange cry burst from his lips.</t>
  </si>
  <si>
    <t>उसने आंखें उठाईं और उसके होठों से एक अजीब सी चीख निकली।</t>
  </si>
  <si>
    <t xml:space="preserve"> arctic_b0104 </t>
  </si>
  <si>
    <t>Shooting pains passed like flashes of electricity through his body.</t>
  </si>
  <si>
    <t>शूटिंग का दर्द उसके शरीर में बिजली की चमक की तरह गुजरा।</t>
  </si>
  <si>
    <t xml:space="preserve"> arctic_b0105 </t>
  </si>
  <si>
    <t>I know that you are in charge there, and Jeanne knows.</t>
  </si>
  <si>
    <t>मुझे पता है कि आप वहां के प्रभारी हैं, और जीन जानता है।</t>
  </si>
  <si>
    <t xml:space="preserve"> arctic_b0106 </t>
  </si>
  <si>
    <t>For a full minute the two men stared into each other's face.</t>
  </si>
  <si>
    <t>पूरे एक मिनट तक दोनों आदमी एक-दूसरे का मुंह देखते रहे।</t>
  </si>
  <si>
    <t xml:space="preserve"> arctic_b0107 </t>
  </si>
  <si>
    <t>He was sure, now, of but few things.</t>
  </si>
  <si>
    <t>वह निश्चित था, अब, लेकिन कुछ चीजों के बारे में।</t>
  </si>
  <si>
    <t xml:space="preserve"> arctic_b0108 </t>
  </si>
  <si>
    <t>It was a miracle, and I owe you my life.</t>
  </si>
  <si>
    <t>यह एक चमत्कार था, और मैं अपने जीवन का ऋणी हूं।</t>
  </si>
  <si>
    <t xml:space="preserve"> arctic_b0109 </t>
  </si>
  <si>
    <t>Philip ate lightly of the food which Pierre had ready for him.</t>
  </si>
  <si>
    <t>पियरे ने जो भोजन उसके लिए तैयार किया था, फिलिप्पुस ने उसे हल्का-सा खाया।</t>
  </si>
  <si>
    <t xml:space="preserve"> arctic_b0110 </t>
  </si>
  <si>
    <t>Such men believe, when they come together.</t>
  </si>
  <si>
    <t>ऐसे पुरुष विश्वास करते हैं, जब वे एक साथ आते हैं।</t>
  </si>
  <si>
    <t xml:space="preserve"> arctic_b0111 </t>
  </si>
  <si>
    <t>The journey was continued at dawn.</t>
  </si>
  <si>
    <t>भोर में यात्रा जारी थी।</t>
  </si>
  <si>
    <t xml:space="preserve"> arctic_b0112 </t>
  </si>
  <si>
    <t>Jeanne and Pierre both gazed toward the great rock.</t>
  </si>
  <si>
    <t>जीन और पियरे दोनों ने महान चट्टान की ओर देखा।</t>
  </si>
  <si>
    <t xml:space="preserve"> arctic_b0113 </t>
  </si>
  <si>
    <t>There was something pathetic in the girl's attitude now.</t>
  </si>
  <si>
    <t>लड़की के व्यवहार में अब कुछ दयनीय था।</t>
  </si>
  <si>
    <t xml:space="preserve"> arctic_b0114 </t>
  </si>
  <si>
    <t>He moved his position, and the illusion was gone.</t>
  </si>
  <si>
    <t>उसने अपनी स्थिति बदली, और भ्रम दूर हो गया।</t>
  </si>
  <si>
    <t xml:space="preserve"> arctic_b0115 </t>
  </si>
  <si>
    <t>For two hours not a word passed between them.</t>
  </si>
  <si>
    <t>दो घंटे तक उनके बीच एक शब्द भी नहीं गुजरा।</t>
  </si>
  <si>
    <t xml:space="preserve"> arctic_b0116 </t>
  </si>
  <si>
    <t>I have hunted along this ridge, replied Philip.</t>
  </si>
  <si>
    <t>मैंने इस रिज के साथ शिकार किया है, फिलिप ने उत्तर दिया।</t>
  </si>
  <si>
    <t xml:space="preserve"> arctic_b0117 </t>
  </si>
  <si>
    <t>That's Thorpe's, said the young engineer.</t>
  </si>
  <si>
    <t>वह थोर्प है, युवा इंजीनियर ने कहा।</t>
  </si>
  <si>
    <t xml:space="preserve"> arctic_b0118 </t>
  </si>
  <si>
    <t>We saw your light, and thought you wouldn't mind a call.</t>
  </si>
  <si>
    <t>हमने आपका प्रकाश देखा, और सोचा कि आपको कॉल करने में कोई आपत्ति नहीं होगी।</t>
  </si>
  <si>
    <t xml:space="preserve"> arctic_b0119 </t>
  </si>
  <si>
    <t>Billinger may arrive in time.</t>
  </si>
  <si>
    <t>बिलिंजर समय पर आ सकता है।</t>
  </si>
  <si>
    <t xml:space="preserve"> arctic_b0120 </t>
  </si>
  <si>
    <t>There's the hitch, replied Thorpe, rolling a cigarette.</t>
  </si>
  <si>
    <t>वहाँ अड़चन है, एक सिगरेट घुमाते हुए थोर्पे ने उत्तर दिया।</t>
  </si>
  <si>
    <t xml:space="preserve"> arctic_b0121 </t>
  </si>
  <si>
    <t>I want my men to work by themselves.</t>
  </si>
  <si>
    <t>मैं चाहता हूं कि मेरे आदमी खुद काम करें।</t>
  </si>
  <si>
    <t xml:space="preserve"> arctic_b0122 </t>
  </si>
  <si>
    <t>Philip saw MacDougall soon after his short talk with Thorpe.</t>
  </si>
  <si>
    <t>थोर्प के साथ अपनी संक्षिप्त बातचीत के तुरंत बाद फिलिप ने मैकडॉगल को देखा।</t>
  </si>
  <si>
    <t xml:space="preserve"> arctic_b0123 </t>
  </si>
  <si>
    <t>Neither could they understand the growing disaffection among Thorpe's men.</t>
  </si>
  <si>
    <t>न तो वे थोर्प के आदमियों के बीच बढ़ते हुए असंतोष को समझ सके।</t>
  </si>
  <si>
    <t xml:space="preserve"> arctic_b0124 </t>
  </si>
  <si>
    <t>Two weeks passed, and in that time Thorpe left camp three times.</t>
  </si>
  <si>
    <t>दो सप्ताह बीत गए, और उस समय में थोर्प ने तीन बार शिविर छोड़ा।</t>
  </si>
  <si>
    <t xml:space="preserve"> arctic_b0125 </t>
  </si>
  <si>
    <t>It was the third or fourth time that Philip had heard MacDougall swear.</t>
  </si>
  <si>
    <t>यह तीसरी या चौथी बार था जब फिलिप ने मैकडॉगल को शपथ लेते सुना था।</t>
  </si>
  <si>
    <t xml:space="preserve"> arctic_b0126 </t>
  </si>
  <si>
    <t>Blood was oozing slowly from the wounded man's right breast.</t>
  </si>
  <si>
    <t>घायल व्यक्ति के दाहिने स्तन से धीरे-धीरे खून निकल रहा था।</t>
  </si>
  <si>
    <t xml:space="preserve"> arctic_b0127 </t>
  </si>
  <si>
    <t>He destroyed everything that had belonged to the woman.</t>
  </si>
  <si>
    <t>उसने वह सब कुछ नष्ट कर दिया जो उस स्त्री का था।</t>
  </si>
  <si>
    <t xml:space="preserve"> arctic_b0128 </t>
  </si>
  <si>
    <t>Philip bent low over Pierre.</t>
  </si>
  <si>
    <t>फिलिप पियरे के ऊपर झुक गया।</t>
  </si>
  <si>
    <t xml:space="preserve"> arctic_b0129 </t>
  </si>
  <si>
    <t>Did Thorpe go to see any one in Churchill.</t>
  </si>
  <si>
    <t>क्या थोर्प चर्चिल में किसी से मिलने गए थे।</t>
  </si>
  <si>
    <t xml:space="preserve"> arctic_b0130 </t>
  </si>
  <si>
    <t>She saw the answer in his face.</t>
  </si>
  <si>
    <t>उसने उसके चेहरे पर जवाब देखा।</t>
  </si>
  <si>
    <t xml:space="preserve"> arctic_b0131 </t>
  </si>
  <si>
    <t>Thorpe and his men were to destroy this camp, and kill you.</t>
  </si>
  <si>
    <t>थॉर्पे और उसके आदमियों को इस छावनी को नाश करना था, और तुम्हें मार डालना था।</t>
  </si>
  <si>
    <t xml:space="preserve"> arctic_b0132 </t>
  </si>
  <si>
    <t>There is no need of further detail, now -- for you can understand.</t>
  </si>
  <si>
    <t>अब और विस्तार की कोई आवश्यकता नहीं है -- क्योंकि आप समझ सकते हैं।</t>
  </si>
  <si>
    <t xml:space="preserve"> arctic_b0133 </t>
  </si>
  <si>
    <t>There followed a roar that shook the earth.</t>
  </si>
  <si>
    <t>उसके बाद एक गर्जना हुई जिसने पृथ्वी को हिला दिया।</t>
  </si>
  <si>
    <t xml:space="preserve"> arctic_b0134 </t>
  </si>
  <si>
    <t>Blind with rage, he darted in.</t>
  </si>
  <si>
    <t>क्रोध से अंधा, वह अंदर घुसा।</t>
  </si>
  <si>
    <t xml:space="preserve"> arctic_b0135 </t>
  </si>
  <si>
    <t>In it was the joy of life.</t>
  </si>
  <si>
    <t>उसमें जीवन का आनंद था।</t>
  </si>
  <si>
    <t xml:space="preserve"> arctic_b0136 </t>
  </si>
  <si>
    <t>Swiftly his eyes measured the situation.</t>
  </si>
  <si>
    <t>तेजी से उसकी आँखों ने स्थिति को नाप लिया।</t>
  </si>
  <si>
    <t xml:space="preserve"> arctic_b0137 </t>
  </si>
  <si>
    <t>But this little defect did not worry him.</t>
  </si>
  <si>
    <t>लेकिन इस छोटे से दोष ने उसकी चिंता नहीं की।</t>
  </si>
  <si>
    <t xml:space="preserve"> arctic_b0138 </t>
  </si>
  <si>
    <t>And then, steadily, he began to chew.</t>
  </si>
  <si>
    <t>और फिर, लगातार, वह चबाना शुरू कर दिया।</t>
  </si>
  <si>
    <t xml:space="preserve"> arctic_b0139 </t>
  </si>
  <si>
    <t>Together they ate the rabbit.</t>
  </si>
  <si>
    <t>दोनों ने मिलकर खरगोश को खा लिया।</t>
  </si>
  <si>
    <t xml:space="preserve"> arctic_b0140 </t>
  </si>
  <si>
    <t>They edged nearer, and stood shoulder to shoulder facing their world.</t>
  </si>
  <si>
    <t>वे करीब आ गए, और कंधे से कंधा मिलाकर अपनी दुनिया का सामना कर रहे थे।</t>
  </si>
  <si>
    <t xml:space="preserve"> arctic_b0141 </t>
  </si>
  <si>
    <t>It was beating and waiting in the ambush of those black pits.</t>
  </si>
  <si>
    <t>वह धड़क रहा था और उन काले गड्ढों के घात में इंतजार कर रहा था।</t>
  </si>
  <si>
    <t xml:space="preserve"> arctic_b0142 </t>
  </si>
  <si>
    <t>Something vastly more thrilling had come into it now.</t>
  </si>
  <si>
    <t>इसमें अब कुछ बहुत अधिक रोमांचकारी आ गया था।</t>
  </si>
  <si>
    <t xml:space="preserve"> arctic_b0143 </t>
  </si>
  <si>
    <t>It took him half an hour to reach the edge of it.</t>
  </si>
  <si>
    <t>उसे किनारे तक पहुँचने में आधा घंटा लगा।</t>
  </si>
  <si>
    <t xml:space="preserve"> arctic_b0144 </t>
  </si>
  <si>
    <t>But there was no longer the mother yearning in his heart.</t>
  </si>
  <si>
    <t>पर अब उसके मन में माँ के लिए तरस नहीं रहा।</t>
  </si>
  <si>
    <t xml:space="preserve"> arctic_b0145 </t>
  </si>
  <si>
    <t>Besides, had he not whipped the big owl in the forest.</t>
  </si>
  <si>
    <t>इसके अलावा, क्या उसने जंगल में बड़े उल्लू को नहीं मारा था।</t>
  </si>
  <si>
    <t xml:space="preserve"> arctic_b0146 </t>
  </si>
  <si>
    <t>After all, it was simply a mistake in judgment.</t>
  </si>
  <si>
    <t>आखिरकार, यह केवल निर्णय लेने में एक गलती थी।</t>
  </si>
  <si>
    <t xml:space="preserve"> arctic_b0147 </t>
  </si>
  <si>
    <t>Had it struck squarely it would have killed him.</t>
  </si>
  <si>
    <t>अगर यह सीधा वार करता तो उसकी जान ले लेता।</t>
  </si>
  <si>
    <t xml:space="preserve"> arctic_b0148 </t>
  </si>
  <si>
    <t>The Indian even poked his stick into the thick ground spruce.</t>
  </si>
  <si>
    <t>भारतीय ने अपनी छड़ी को मोटी जमीन के स्प्रूस में भी दबा दिया।</t>
  </si>
  <si>
    <t xml:space="preserve"> arctic_b0149 </t>
  </si>
  <si>
    <t>Pebbles and dirt flew along with hair and fur.</t>
  </si>
  <si>
    <t>बाल और फर के साथ कंकड़ और गंदगी उड़ गई।</t>
  </si>
  <si>
    <t xml:space="preserve"> arctic_b0150 </t>
  </si>
  <si>
    <t>And he was filled with a strange and foreboding fear.</t>
  </si>
  <si>
    <t>और वह एक अजीब और पूर्वाभास भय से भर गया था।</t>
  </si>
  <si>
    <t xml:space="preserve"> arctic_b0151 </t>
  </si>
  <si>
    <t>It was steel, a fisher trap.</t>
  </si>
  <si>
    <t>यह स्टील था, एक मछुआरा जाल।</t>
  </si>
  <si>
    <t xml:space="preserve"> arctic_b0152 </t>
  </si>
  <si>
    <t>OW, a wild dog, he growled.</t>
  </si>
  <si>
    <t>ओउ, एक जंगली कुत्ता, वह बड़ा हुआ।</t>
  </si>
  <si>
    <t xml:space="preserve"> arctic_b0153 </t>
  </si>
  <si>
    <t>He was a pariah; a wanderer without a friend or a home.</t>
  </si>
  <si>
    <t>वह एक परिया था; बिना दोस्त या घर के एक पथिक।</t>
  </si>
  <si>
    <t xml:space="preserve"> arctic_b0154 </t>
  </si>
  <si>
    <t>That is the strange part of it.</t>
  </si>
  <si>
    <t>वह इसका अजीब हिस्सा है।</t>
  </si>
  <si>
    <t xml:space="preserve"> arctic_b0155 </t>
  </si>
  <si>
    <t>His freshly caught furs he flung to the floor.</t>
  </si>
  <si>
    <t>उसके हौसले से पकड़े गए फर्स वह फर्श पर गिर गए।</t>
  </si>
  <si>
    <t xml:space="preserve"> arctic_b0156 </t>
  </si>
  <si>
    <t>For that reason Le Beau had chosen him to fight the big fight.</t>
  </si>
  <si>
    <t>इसी कारण से ले ब्यू ने उसे बड़ी लड़ाई लड़ने के लिए चुना था।</t>
  </si>
  <si>
    <t xml:space="preserve"> arctic_b0157 </t>
  </si>
  <si>
    <t>In the crib the baby sat up and began to prattle.</t>
  </si>
  <si>
    <t>पालना में बच्चा बैठ गया और खड़खड़ाने लगा।</t>
  </si>
  <si>
    <t xml:space="preserve"> arctic_b0158 </t>
  </si>
  <si>
    <t>She obeyed, shrinking back with the baby in her arms.</t>
  </si>
  <si>
    <t>उसने आज्ञा मानी, बच्चे को गोद में लेकर पीछे हट गई।</t>
  </si>
  <si>
    <t xml:space="preserve"> arctic_b0159 </t>
  </si>
  <si>
    <t>His teeth shut with a last click.</t>
  </si>
  <si>
    <t>एक आखिरी क्लिक के साथ उसके दांत बंद हो गए।</t>
  </si>
  <si>
    <t xml:space="preserve"> arctic_b0160 </t>
  </si>
  <si>
    <t>It was over when he made his way through the ring of spectators.</t>
  </si>
  <si>
    <t>यह खत्म हो गया था जब उन्होंने दर्शकों की अंगूठी के माध्यम से अपना रास्ता बनाया।</t>
  </si>
  <si>
    <t xml:space="preserve"> arctic_b0161 </t>
  </si>
  <si>
    <t>In a flash he was on his feet, facing him.</t>
  </si>
  <si>
    <t>एक झटके में वह अपने पैरों पर खड़ा हो गया, उसका सामना कर रहा था।</t>
  </si>
  <si>
    <t xml:space="preserve"> arctic_b0162 </t>
  </si>
  <si>
    <t>He thought he saw a shudder pass through the Factor's shoulders.</t>
  </si>
  <si>
    <t>उसने सोचा कि उसने एक कंपकंपी को फैक्टर के कंधों से गुजरते हुए देखा है।</t>
  </si>
  <si>
    <t xml:space="preserve"> arctic_b0163 </t>
  </si>
  <si>
    <t>The moon had already begun its westward decline.</t>
  </si>
  <si>
    <t>चंद्रमा ने पहले ही पश्चिम की ओर गिरावट शुरू कर दी थी।</t>
  </si>
  <si>
    <t xml:space="preserve"> arctic_b0164 </t>
  </si>
  <si>
    <t>They laughed like two happy children.</t>
  </si>
  <si>
    <t>वे दो खुश बच्चों की तरह हँसे।</t>
  </si>
  <si>
    <t xml:space="preserve"> arctic_b0165 </t>
  </si>
  <si>
    <t>He pulled, and the log crashed down to break his back.</t>
  </si>
  <si>
    <t>उसने खींच लिया, और उसकी पीठ तोड़ने के लिए लॉग दुर्घटनाग्रस्त हो गया।</t>
  </si>
  <si>
    <t xml:space="preserve"> arctic_b0166 </t>
  </si>
  <si>
    <t>Fast, but endure.</t>
  </si>
  <si>
    <t>तेज, लेकिन सहना।</t>
  </si>
  <si>
    <t xml:space="preserve"> arctic_b0167 </t>
  </si>
  <si>
    <t>A little before dawn of the day following, the fire relief came.</t>
  </si>
  <si>
    <t>अगले दिन भोर से थोड़ा पहले, आग से राहत मिली।</t>
  </si>
  <si>
    <t xml:space="preserve"> arctic_b0168 </t>
  </si>
  <si>
    <t>The Indian felt the worship of her warm in his heart.</t>
  </si>
  <si>
    <t>भारतीय ने उसकी पूजा को अपने दिल में गर्म महसूस किया।</t>
  </si>
  <si>
    <t xml:space="preserve"> arctic_b0169 </t>
  </si>
  <si>
    <t>He drew in a deep breath as he looked at them.</t>
  </si>
  <si>
    <t>उन्हें देखते ही उसने एक गहरी सांस ली।</t>
  </si>
  <si>
    <t xml:space="preserve"> arctic_b0170 </t>
  </si>
  <si>
    <t>Then he shouted, Shut up.</t>
  </si>
  <si>
    <t>फिर वह चिल्लाया, चुप रहो।</t>
  </si>
  <si>
    <t xml:space="preserve"> arctic_b0171 </t>
  </si>
  <si>
    <t>He changed his seat for a steamer reclining chair.</t>
  </si>
  <si>
    <t>उन्होंने स्टीमर लेटने वाली कुर्सी के लिए अपनी सीट बदली।</t>
  </si>
  <si>
    <t xml:space="preserve"> arctic_b0172 </t>
  </si>
  <si>
    <t>On the far corner of the compound fence a hawk brooded.</t>
  </si>
  <si>
    <t>अहाते की बाड़ के दूर कोने पर एक बाज ने झाँका।</t>
  </si>
  <si>
    <t xml:space="preserve"> arctic_b0173 </t>
  </si>
  <si>
    <t>To these he gave castor oil.</t>
  </si>
  <si>
    <t>इन्हें उन्होंने अरंडी का तेल दिया।</t>
  </si>
  <si>
    <t xml:space="preserve"> arctic_b0174 </t>
  </si>
  <si>
    <t>Hatred and murder and lust for revenge they possessed to overflowing.</t>
  </si>
  <si>
    <t>घृणा और हत्या और बदला लेने की लालसा उनमें उमड़ पड़ी।</t>
  </si>
  <si>
    <t xml:space="preserve"> arctic_b0175 </t>
  </si>
  <si>
    <t>Sheldon glanced at the thermometer.</t>
  </si>
  <si>
    <t>शेल्डन ने थर्मामीटर पर नज़र डाली।</t>
  </si>
  <si>
    <t xml:space="preserve"> arctic_b0176 </t>
  </si>
  <si>
    <t>I'll see to poor Hughie.</t>
  </si>
  <si>
    <t>मैं गरीब ह्यूगी को देखूंगा।</t>
  </si>
  <si>
    <t xml:space="preserve"> arctic_b0177 </t>
  </si>
  <si>
    <t>Her gray eyes were flashing, and her lips were quivering.</t>
  </si>
  <si>
    <t>उसकी भूरी आँखें चमक रही थीं, और उसके होंठ काँप रहे थे।</t>
  </si>
  <si>
    <t xml:space="preserve"> arctic_b0178 </t>
  </si>
  <si>
    <t>Also, I want information.</t>
  </si>
  <si>
    <t>साथ ही मुझे जानकारी चाहिए।</t>
  </si>
  <si>
    <t xml:space="preserve"> arctic_b0179 </t>
  </si>
  <si>
    <t>Let them go out and eat with my boys.</t>
  </si>
  <si>
    <t>उन्हें बाहर जाकर मेरे लड़कों के साथ खाने दो।</t>
  </si>
  <si>
    <t xml:space="preserve"> arctic_b0180 </t>
  </si>
  <si>
    <t>I, I beg pardon, he drawled.</t>
  </si>
  <si>
    <t>मैं, मैं क्षमा चाहता हूं, उसने खींचा।</t>
  </si>
  <si>
    <t xml:space="preserve"> arctic_b0181 </t>
  </si>
  <si>
    <t>And you preferred a cannibal isle and a cartridge belt.</t>
  </si>
  <si>
    <t>और आपने नरभक्षी टापू और कार्ट्रिज बेल्ट को प्राथमिकता दी।</t>
  </si>
  <si>
    <t xml:space="preserve"> arctic_b0182 </t>
  </si>
  <si>
    <t>I was in New York when the crash came.</t>
  </si>
  <si>
    <t>जब दुर्घटना हुई तब मैं न्यूयॉर्क में था।</t>
  </si>
  <si>
    <t xml:space="preserve"> arctic_b0183 </t>
  </si>
  <si>
    <t>No, I did not fall among thieves.</t>
  </si>
  <si>
    <t>नहीं, मैं चोरों के बीच नहीं पड़ा।</t>
  </si>
  <si>
    <t xml:space="preserve"> arctic_b0184 </t>
  </si>
  <si>
    <t>Such things in her brain were like so many oaths on her lips.</t>
  </si>
  <si>
    <t>उसके दिमाग में ऐसी बातें उसके होठों पर इतनी कसमों की तरह थीं।</t>
  </si>
  <si>
    <t xml:space="preserve"> arctic_b0185 </t>
  </si>
  <si>
    <t>Your being wrecked here has been a godsend to me.</t>
  </si>
  <si>
    <t>आपका यहाँ बर्बाद होना मेरे लिए एक ईश्वर की कृपा है।</t>
  </si>
  <si>
    <t xml:space="preserve"> arctic_b0186 </t>
  </si>
  <si>
    <t>I can't go elsewhere, by your own account.</t>
  </si>
  <si>
    <t>मैं आपके अपने खाते से कहीं और नहीं जा सकता।</t>
  </si>
  <si>
    <t xml:space="preserve"> arctic_b0187 </t>
  </si>
  <si>
    <t>Her achievements with cocoanuts were a revelation.</t>
  </si>
  <si>
    <t>नारियल के साथ उनकी उपलब्धियां एक रहस्योद्घाटन थीं।</t>
  </si>
  <si>
    <t xml:space="preserve"> arctic_b0188 </t>
  </si>
  <si>
    <t>He glanced down at her helplessly, and moistened his lips.</t>
  </si>
  <si>
    <t>उसने बेबसी से उसकी तरफ देखा और अपने होठों को गीला कर लिया।</t>
  </si>
  <si>
    <t xml:space="preserve"> arctic_b0189 </t>
  </si>
  <si>
    <t>That is what distinguishes all of us from the lower animals.</t>
  </si>
  <si>
    <t>यही हम सभी को निचले जानवरों से अलग करता है।</t>
  </si>
  <si>
    <t xml:space="preserve"> arctic_b0190 </t>
  </si>
  <si>
    <t>Idealism led him to philosophic anarchy, and his family threw him off.</t>
  </si>
  <si>
    <t>आदर्शवाद ने उन्हें दार्शनिक अराजकता की ओर अग्रसर किया और उनके परिवार ने उन्हें त्याग दिया।</t>
  </si>
  <si>
    <t xml:space="preserve"> arctic_b0191 </t>
  </si>
  <si>
    <t>He also contended that better confidence was established by carrying no weapons.</t>
  </si>
  <si>
    <t>उन्होंने यह भी तर्क दिया कि बिना हथियार के बेहतर आत्मविश्वास स्थापित किया गया था।</t>
  </si>
  <si>
    <t xml:space="preserve"> arctic_b0192 </t>
  </si>
  <si>
    <t>Outsiders are allowed five minute speeches, the sick man urged.</t>
  </si>
  <si>
    <t>बीमार व्यक्ति ने आग्रह किया कि बाहरी लोगों को पांच मिनट के भाषण की अनुमति है।</t>
  </si>
  <si>
    <t xml:space="preserve"> arctic_b0193 </t>
  </si>
  <si>
    <t>So was Packard's finish suicide.</t>
  </si>
  <si>
    <t>तो पैकार्ड की अंतिम आत्महत्या थी।</t>
  </si>
  <si>
    <t xml:space="preserve"> arctic_b0194 </t>
  </si>
  <si>
    <t>Joan cried, with shining eyes.</t>
  </si>
  <si>
    <t>जोआन रोया, चमकती आँखों से।</t>
  </si>
  <si>
    <t xml:space="preserve"> arctic_b0195 </t>
  </si>
  <si>
    <t>Nobody knows how the natives got them.</t>
  </si>
  <si>
    <t>कोई नहीं जानता कि मूल निवासियों ने उन्हें कैसे प्राप्त किया।</t>
  </si>
  <si>
    <t xml:space="preserve"> arctic_b0196 </t>
  </si>
  <si>
    <t>How can you manage all alone, Mr Young.</t>
  </si>
  <si>
    <t>मिस्टर यंग, आप अकेले कैसे प्रबंधन कर सकते हैं।</t>
  </si>
  <si>
    <t xml:space="preserve"> arctic_b0197 </t>
  </si>
  <si>
    <t>The planters are already considering the matter.</t>
  </si>
  <si>
    <t>प्लांटर्स पहले से ही इस मामले पर विचार कर रहे हैं।</t>
  </si>
  <si>
    <t xml:space="preserve"> arctic_b0198 </t>
  </si>
  <si>
    <t>I use great trouble advisedly.</t>
  </si>
  <si>
    <t>मैं सलाह के अनुसार बड़ी परेशानी का उपयोग करता हूं।</t>
  </si>
  <si>
    <t xml:space="preserve"> arctic_b0199 </t>
  </si>
  <si>
    <t>Dear Sir, Your second victim has fallen on schedule time.</t>
  </si>
  <si>
    <t>प्रिय महोदय, आपका दूसरा शिकार निर्धारित समय पर हुआ है।</t>
  </si>
  <si>
    <t xml:space="preserve"> arctic_b0200 </t>
  </si>
  <si>
    <t>We leave the eventuality to time and law.</t>
  </si>
  <si>
    <t>हम घटना को समय और कानून पर छोड़ते हैं।</t>
  </si>
  <si>
    <t xml:space="preserve"> arctic_b0201 </t>
  </si>
  <si>
    <t>I also understand that similar branch organizations have made their appearance in Europe.</t>
  </si>
  <si>
    <t>मैं यह भी समझता हूं कि इसी तरह के शाखा संगठनों ने यूरोप में अपनी उपस्थिति दर्ज कराई है।</t>
  </si>
  <si>
    <t xml:space="preserve"> arctic_b0202 </t>
  </si>
  <si>
    <t>Society is shaken to its foundations.</t>
  </si>
  <si>
    <t>समाज अपनी नींव से हिल गया है।</t>
  </si>
  <si>
    <t xml:space="preserve"> arctic_b0203 </t>
  </si>
  <si>
    <t>A month in Australia would finish me.</t>
  </si>
  <si>
    <t>ऑस्ट्रेलिया में एक महीना मुझे खत्म कर देगा।</t>
  </si>
  <si>
    <t xml:space="preserve"> arctic_b0204 </t>
  </si>
  <si>
    <t>Down through the perfume weighted air fluttered the snowy fluffs of the cottonwoods.</t>
  </si>
  <si>
    <t>इत्र के माध्यम से नीचे की ओर भारित हवा ने कपास की लकड़ी की बर्फीली फुहारों को उड़ा दिया।</t>
  </si>
  <si>
    <t xml:space="preserve"> arctic_b0205 </t>
  </si>
  <si>
    <t>You were destroying my life.</t>
  </si>
  <si>
    <t>तुम मेरे जीवन को नष्ट कर रहे थे।</t>
  </si>
  <si>
    <t xml:space="preserve"> arctic_b0206 </t>
  </si>
  <si>
    <t>Horses and rifles had been her toys, camp and trail her nursery.</t>
  </si>
  <si>
    <t>घोड़े और राइफलें उसके खिलौने, शिविर और उसकी नर्सरी का निशान थे।</t>
  </si>
  <si>
    <t xml:space="preserve"> arctic_b0207 </t>
  </si>
  <si>
    <t>I'm as good as a man, she urged.</t>
  </si>
  <si>
    <t>मैं एक आदमी के रूप में अच्छा हूँ, उसने आग्रह किया।</t>
  </si>
  <si>
    <t xml:space="preserve"> arctic_b0208 </t>
  </si>
  <si>
    <t>You read the quotations in today's paper.</t>
  </si>
  <si>
    <t>आपने आज के अखबार में उद्धरण पढ़े।</t>
  </si>
  <si>
    <t xml:space="preserve"> arctic_b0209 </t>
  </si>
  <si>
    <t>He's terribly touchy about his black wards, as he calls them.</t>
  </si>
  <si>
    <t>वह अपने काले वार्डों के बारे में बहुत ही मार्मिक है, जैसा कि वह उन्हें बुलाता है।</t>
  </si>
  <si>
    <t xml:space="preserve"> arctic_b0210 </t>
  </si>
  <si>
    <t>Whatever he guessed he locked away in the taboo room of Naomi.</t>
  </si>
  <si>
    <t>उसने जो कुछ भी अनुमान लगाया उसने नाओमी के वर्जित कमरे में बंद कर दिया।</t>
  </si>
  <si>
    <t xml:space="preserve"> arctic_b0211 </t>
  </si>
  <si>
    <t>This is eighteen eighty.</t>
  </si>
  <si>
    <t>यह अट्ठासी है।</t>
  </si>
  <si>
    <t xml:space="preserve"> arctic_b0212 </t>
  </si>
  <si>
    <t>Death is and has been ever since old Maui died.</t>
  </si>
  <si>
    <t>मृत्यु है और तब से है जब से बूढ़े माउ की मृत्यु हुई है।</t>
  </si>
  <si>
    <t xml:space="preserve"> arctic_b0213 </t>
  </si>
  <si>
    <t>Some boy, she laughed acquiescence.</t>
  </si>
  <si>
    <t>कोई लड़का, वह हंसी हंसी।</t>
  </si>
  <si>
    <t xml:space="preserve"> arctic_b0214 </t>
  </si>
  <si>
    <t>Let us talk it over and find a way out.</t>
  </si>
  <si>
    <t>आइए इस पर बात करें और कोई रास्ता निकालें।</t>
  </si>
  <si>
    <t xml:space="preserve"> arctic_b0215 </t>
  </si>
  <si>
    <t>It is a good property, and worth more than that.</t>
  </si>
  <si>
    <t>यह एक अच्छी संपत्ति है, और इससे भी अधिक मूल्य की है।</t>
  </si>
  <si>
    <t xml:space="preserve"> arctic_b0216 </t>
  </si>
  <si>
    <t>I wish you were more adaptable, Joan retorted.</t>
  </si>
  <si>
    <t>काश आप अधिक अनुकूलनीय होते, जोन ने प्रतिवाद किया।</t>
  </si>
  <si>
    <t xml:space="preserve"> arctic_b0217 </t>
  </si>
  <si>
    <t>Such is my passage engaged on the steamer.</t>
  </si>
  <si>
    <t>ऐसा मेरा मार्ग स्टीमर पर लगा हुआ है।</t>
  </si>
  <si>
    <t xml:space="preserve"> arctic_b0218 </t>
  </si>
  <si>
    <t>The issue was not in doubt.</t>
  </si>
  <si>
    <t>मामला संदेह में नहीं था।</t>
  </si>
  <si>
    <t xml:space="preserve"> arctic_b0219 </t>
  </si>
  <si>
    <t>Well, there are better men in Hawaii, that's all.</t>
  </si>
  <si>
    <t>खैर, हवाई में बेहतर पुरुष हैं, बस।</t>
  </si>
  <si>
    <t xml:space="preserve"> arctic_b0220 </t>
  </si>
  <si>
    <t>Harry Bancroft, Dave lied.</t>
  </si>
  <si>
    <t>हैरी बैनक्रॉफ्ट, डेव ने झूठ बोला।</t>
  </si>
  <si>
    <t xml:space="preserve"> arctic_b0221 </t>
  </si>
  <si>
    <t>It's a Yankee, Joan cried.</t>
  </si>
  <si>
    <t>यह एक यांकी है, जोन रोया।</t>
  </si>
  <si>
    <t xml:space="preserve"> arctic_b0222 </t>
  </si>
  <si>
    <t>He was the leader, and Tudor was his lieutenant.</t>
  </si>
  <si>
    <t>वह नेता था, और ट्यूडर उसका लेफ्टिनेंट था।</t>
  </si>
  <si>
    <t xml:space="preserve"> arctic_b0223 </t>
  </si>
  <si>
    <t>They likewise are disinclined to being eaten.</t>
  </si>
  <si>
    <t>वे वैसे ही खाने के लिए अनिच्छुक हैं।</t>
  </si>
  <si>
    <t xml:space="preserve"> arctic_b0224 </t>
  </si>
  <si>
    <t>But to culture the Revolution thus far had exhausted the Junta.</t>
  </si>
  <si>
    <t>लेकिन संस्कृति के लिए अब तक क्रांति ने जुंटा को समाप्त कर दिया था।</t>
  </si>
  <si>
    <t xml:space="preserve"> arctic_b0225 </t>
  </si>
  <si>
    <t>The President of the United States was his friend.</t>
  </si>
  <si>
    <t>संयुक्त राज्य अमेरिका के राष्ट्रपति उनके मित्र थे।</t>
  </si>
  <si>
    <t xml:space="preserve"> arctic_b0226 </t>
  </si>
  <si>
    <t>Your face was the personification of duplicity.</t>
  </si>
  <si>
    <t>आपका चेहरा दोहरेपन की पहचान था।</t>
  </si>
  <si>
    <t xml:space="preserve"> arctic_b0227 </t>
  </si>
  <si>
    <t>Shorty turned to their employers.</t>
  </si>
  <si>
    <t>छोटू ने अपने नियोक्ताओं की ओर रुख किया।</t>
  </si>
  <si>
    <t xml:space="preserve"> arctic_b0228 </t>
  </si>
  <si>
    <t>You were engaged.</t>
  </si>
  <si>
    <t>आप लगे हुए थे।</t>
  </si>
  <si>
    <t xml:space="preserve"> arctic_b0229 </t>
  </si>
  <si>
    <t>I saw it all myself, and it was splendid.</t>
  </si>
  <si>
    <t>मैंने खुद यह सब देखा, और यह शानदार था।</t>
  </si>
  <si>
    <t xml:space="preserve"> arctic_b0230 </t>
  </si>
  <si>
    <t>Now run along, and tell them to hurry.</t>
  </si>
  <si>
    <t>अब साथ दौड़ो, और उन्हें जल्दी करने के लिए कहो।</t>
  </si>
  <si>
    <t xml:space="preserve"> arctic_b0231 </t>
  </si>
  <si>
    <t>What's that grub-thief got to do with it.</t>
  </si>
  <si>
    <t>उस चोर-चोर का इससे क्या लेना-देना है।</t>
  </si>
  <si>
    <t xml:space="preserve"> arctic_b0232 </t>
  </si>
  <si>
    <t>It was a superb picture.</t>
  </si>
  <si>
    <t>यह एक शानदार तस्वीर थी।</t>
  </si>
  <si>
    <t xml:space="preserve"> arctic_b0233 </t>
  </si>
  <si>
    <t>So she said, the irate skipper dashed on.</t>
  </si>
  <si>
    <t>तो उसने कहा, क्रोधित कप्तान धराशायी हो गया।</t>
  </si>
  <si>
    <t xml:space="preserve"> arctic_b0234 </t>
  </si>
  <si>
    <t>And watch out for wet feet, was his parting advice.</t>
  </si>
  <si>
    <t>और गीले पैरों से सावधान रहें, यह उनकी बिदाई की सलाह थी।</t>
  </si>
  <si>
    <t xml:space="preserve"> arctic_b0235 </t>
  </si>
  <si>
    <t>Raoul yelled, in order to make himself heard.</t>
  </si>
  <si>
    <t>राउल चिल्लाया, ताकि खुद को सुना जा सके।</t>
  </si>
  <si>
    <t xml:space="preserve"> arctic_b0236 </t>
  </si>
  <si>
    <t>Oolong was two hundred and fifty miles from the nearest land.</t>
  </si>
  <si>
    <t>ऊलोंग निकटतम भूमि से ढाई सौ मील दूर था।</t>
  </si>
  <si>
    <t xml:space="preserve"> arctic_b0237 </t>
  </si>
  <si>
    <t>They just lay off in the bush and plugged away.</t>
  </si>
  <si>
    <t>वे बस झाड़ी में लेट गए और दूर चले गए।</t>
  </si>
  <si>
    <t xml:space="preserve"> arctic_b0238 </t>
  </si>
  <si>
    <t>The very thought of the effort to swim over was nauseating.</t>
  </si>
  <si>
    <t>तैरने के प्रयास के बारे में सोच कर ही मिचली आ रही थी।</t>
  </si>
  <si>
    <t xml:space="preserve"> arctic_b0239 </t>
  </si>
  <si>
    <t>And there was a dog that barked.</t>
  </si>
  <si>
    <t>और एक कुत्ता था जो भौंक रहा था।</t>
  </si>
  <si>
    <t xml:space="preserve"> arctic_b0240 </t>
  </si>
  <si>
    <t>There are four, all low, McCoy answered.</t>
  </si>
  <si>
    <t>चार हैं, सभी कम, मैककॉय ने उत्तर दिया।</t>
  </si>
  <si>
    <t xml:space="preserve"> arctic_b0241 </t>
  </si>
  <si>
    <t>The women they carried away with them to the Big Valley.</t>
  </si>
  <si>
    <t>उन स्त्रियों को वे अपने साथ बड़ी घाटी में ले गए।</t>
  </si>
  <si>
    <t xml:space="preserve"> arctic_b0242 </t>
  </si>
  <si>
    <t>The Japanese understood as we could never school ourselves or hope to understand.</t>
  </si>
  <si>
    <t>जापानी समझते थे कि हम खुद को कभी स्कूल नहीं कर सकते या समझने की उम्मीद नहीं कर सकते।</t>
  </si>
  <si>
    <t xml:space="preserve"> arctic_b0243 </t>
  </si>
  <si>
    <t>They had been on the same lay as ourselves.</t>
  </si>
  <si>
    <t>वे हमारे जैसे ही लेट गए थे।</t>
  </si>
  <si>
    <t xml:space="preserve"> arctic_b0244 </t>
  </si>
  <si>
    <t>You are positively soulless, he said savagely.</t>
  </si>
  <si>
    <t>आप सकारात्मक रूप से निष्प्राण हैं, उन्होंने बर्बरता से कहा।</t>
  </si>
  <si>
    <t xml:space="preserve"> arctic_b0245 </t>
  </si>
  <si>
    <t>Harrison is still my chauffeur.</t>
  </si>
  <si>
    <t>हैरिसन अभी भी मेरा ड्राइवर है।</t>
  </si>
  <si>
    <t xml:space="preserve"> arctic_b0246 </t>
  </si>
  <si>
    <t>The boy grew and prospered.</t>
  </si>
  <si>
    <t>लड़का बड़ा हुआ और समृद्ध हुआ।</t>
  </si>
  <si>
    <t xml:space="preserve"> arctic_b0247 </t>
  </si>
  <si>
    <t>He wanted to give the finish to this foe already so far gone.</t>
  </si>
  <si>
    <t>वह अब तक जा चुके इस दुश्मन को खत्म करना चाहता था।</t>
  </si>
  <si>
    <t xml:space="preserve"> arctic_b0248 </t>
  </si>
  <si>
    <t>Exciting times are the lot of the fish patrol.</t>
  </si>
  <si>
    <t>रोमांचक समय मछली गश्ती का बहुत कुछ है।</t>
  </si>
  <si>
    <t xml:space="preserve"> arctic_b0249 </t>
  </si>
  <si>
    <t>I know they are my oysters.</t>
  </si>
  <si>
    <t>मुझे पता है कि वे मेरे सीप हैं।</t>
  </si>
  <si>
    <t xml:space="preserve"> arctic_b0250 </t>
  </si>
  <si>
    <t>By this time Charley was as enraged as the Greek.</t>
  </si>
  <si>
    <t>इस समय तक चार्ली ग्रीक की तरह क्रोधित हो गया था।</t>
  </si>
  <si>
    <t xml:space="preserve"> arctic_b0251 </t>
  </si>
  <si>
    <t>They must have been swept away by the chaotic currents.</t>
  </si>
  <si>
    <t>वे अराजक धाराओं से बह गए होंगे।</t>
  </si>
  <si>
    <t xml:space="preserve"> arctic_b0252 </t>
  </si>
  <si>
    <t>It resembled tea less than lager beer resembles champagne.</t>
  </si>
  <si>
    <t>यह लेगर बियर की तुलना में चाय से कम शैंपेन जैसा दिखता था।</t>
  </si>
  <si>
    <t xml:space="preserve"> arctic_b0253 </t>
  </si>
  <si>
    <t>The very opposite is true; they are discouraged vagabonds.</t>
  </si>
  <si>
    <t>बिल्कुल विपरीत सच है; वे निराश आवारा हैं।</t>
  </si>
  <si>
    <t xml:space="preserve"> arctic_b0254 </t>
  </si>
  <si>
    <t>At the same time spears and arrows began to fall among the invaders.</t>
  </si>
  <si>
    <t>उसी समय आक्रमणकारियों के बीच भाले और तीर गिरने लगे।</t>
  </si>
  <si>
    <t xml:space="preserve"> arctic_b0255 </t>
  </si>
  <si>
    <t>Then, again, Tudor had such an irritating way about him.</t>
  </si>
  <si>
    <t>फिर, ट्यूडर के पास उसके बारे में इतना परेशान करने वाला तरीका था।</t>
  </si>
  <si>
    <t xml:space="preserve"> arctic_b0256 </t>
  </si>
  <si>
    <t>Outwardly, he maintained a calm and smiling aspect.</t>
  </si>
  <si>
    <t>बाह्य रूप से, उन्होंने एक शांत और मुस्कुराते हुए पहलू को बनाए रखा।</t>
  </si>
  <si>
    <t xml:space="preserve"> arctic_b0257 </t>
  </si>
  <si>
    <t>Tudor surveyed him with withering disgust.</t>
  </si>
  <si>
    <t>ट्यूडर ने घृणा के साथ उसका सर्वेक्षण किया।</t>
  </si>
  <si>
    <t xml:space="preserve"> arctic_b0258 </t>
  </si>
  <si>
    <t>You fired me out of your house, in short.</t>
  </si>
  <si>
    <t>आपने मुझे संक्षेप में अपने घर से निकाल दिया।</t>
  </si>
  <si>
    <t xml:space="preserve"> arctic_b0259 </t>
  </si>
  <si>
    <t>Her mouth opened, but instead of speaking she drew a long sigh.</t>
  </si>
  <si>
    <t>उसका मुंह खुल गया, लेकिन उसने बोलने के बजाय एक लंबी सांस ली।</t>
  </si>
  <si>
    <t xml:space="preserve"> arctic_b0260 </t>
  </si>
  <si>
    <t>It's worth eight dollars.</t>
  </si>
  <si>
    <t>इसकी कीमत आठ डॉलर है।</t>
  </si>
  <si>
    <t xml:space="preserve"> arctic_b0261 </t>
  </si>
  <si>
    <t>And he did hurt my arm.</t>
  </si>
  <si>
    <t>और उसने मेरे हाथ को चोट पहुंचाई।</t>
  </si>
  <si>
    <t xml:space="preserve"> arctic_b0262 </t>
  </si>
  <si>
    <t>Saxon's onto her job.</t>
  </si>
  <si>
    <t>सैक्सन अपने काम पर है।</t>
  </si>
  <si>
    <t xml:space="preserve"> arctic_b0263 </t>
  </si>
  <si>
    <t>Only once did I confide the strangeness of it all to another.</t>
  </si>
  <si>
    <t>केवल एक बार मैंने इस सब की विचित्रता दूसरे को बताई।</t>
  </si>
  <si>
    <t xml:space="preserve"> arctic_b0264 </t>
  </si>
  <si>
    <t>But this time it was Saxon who rebelled.</t>
  </si>
  <si>
    <t>लेकिन इस बार सैक्सन ने विद्रोह कर दिया।</t>
  </si>
  <si>
    <t xml:space="preserve"> arctic_b0265 </t>
  </si>
  <si>
    <t>I was not to cry out in the face of fear.</t>
  </si>
  <si>
    <t>मुझे डर के साए में रोना नहीं था।</t>
  </si>
  <si>
    <t xml:space="preserve"> arctic_b0266 </t>
  </si>
  <si>
    <t>And now put yourself in my place for a moment.</t>
  </si>
  <si>
    <t>और अब एक पल के लिए अपने आप को मेरी जगह पर रख दो।</t>
  </si>
  <si>
    <t xml:space="preserve"> arctic_b0267 </t>
  </si>
  <si>
    <t>The boy threw back his head with pride.</t>
  </si>
  <si>
    <t>लड़के ने गर्व से अपना सिर पीछे कर लिया।</t>
  </si>
  <si>
    <t xml:space="preserve"> arctic_b0268 </t>
  </si>
  <si>
    <t>Saxon nodded, and the boy frowned.</t>
  </si>
  <si>
    <t>सैक्सन ने सिर हिलाया, और लड़के ने मुंह फेर लिया।</t>
  </si>
  <si>
    <t xml:space="preserve"> arctic_b0269 </t>
  </si>
  <si>
    <t>Why not like any railroad station or ferry depot.</t>
  </si>
  <si>
    <t>किसी रेलवे स्टेशन या फेरी डिपो को पसंद क्यों नहीं है।</t>
  </si>
  <si>
    <t xml:space="preserve"> arctic_b0270 </t>
  </si>
  <si>
    <t>We could throw stones with our feet.</t>
  </si>
  <si>
    <t>हम अपने पैरों से पत्थर फेंक सकते थे।</t>
  </si>
  <si>
    <t xml:space="preserve"> arctic_b0271 </t>
  </si>
  <si>
    <t>It was put together in a casual, helter-skelter sort of way.</t>
  </si>
  <si>
    <t>इसे एक कैजुअल, हेल्टर-स्केल्टर तरह से एक साथ रखा गया था।</t>
  </si>
  <si>
    <t xml:space="preserve"> arctic_b0272 </t>
  </si>
  <si>
    <t>These were merely stout sticks an inch or so in diameter.</t>
  </si>
  <si>
    <t>ये केवल एक इंच या उससे भी अधिक व्यास के मोटे डंडे थे।</t>
  </si>
  <si>
    <t xml:space="preserve"> arctic_b0273 </t>
  </si>
  <si>
    <t>Then it was that a strange thing happened.</t>
  </si>
  <si>
    <t>तभी एक अजीब बात हुई।</t>
  </si>
  <si>
    <t xml:space="preserve"> arctic_b0274 </t>
  </si>
  <si>
    <t>From the source of light a harsh voice said.</t>
  </si>
  <si>
    <t>प्रकाश के स्रोत से एक कठोर आवाज ने कहा।</t>
  </si>
  <si>
    <t xml:space="preserve"> arctic_b0275 </t>
  </si>
  <si>
    <t>But I did not enjoy it long.</t>
  </si>
  <si>
    <t>लेकिन मुझे इसमें ज्यादा मजा नहीं आया।</t>
  </si>
  <si>
    <t xml:space="preserve"> arctic_b0276 </t>
  </si>
  <si>
    <t>We were now good friends.</t>
  </si>
  <si>
    <t>अब हम अच्छे दोस्त थे।</t>
  </si>
  <si>
    <t xml:space="preserve"> arctic_b0277 </t>
  </si>
  <si>
    <t>Two of the Folk were already up.</t>
  </si>
  <si>
    <t>लोक में से दो पहले से ही थे।</t>
  </si>
  <si>
    <t xml:space="preserve"> arctic_b0278 </t>
  </si>
  <si>
    <t>Now animals do not like mockery.</t>
  </si>
  <si>
    <t>अब जानवरों को मजाक पसंद नहीं है।</t>
  </si>
  <si>
    <t xml:space="preserve"> arctic_b0279 </t>
  </si>
  <si>
    <t>He gave one last snarl and slid from view among the trees.</t>
  </si>
  <si>
    <t>उसने एक आखिरी खर्राटा दिया और पेड़ों के बीच से फिसल गया।</t>
  </si>
  <si>
    <t xml:space="preserve"> arctic_b0280 </t>
  </si>
  <si>
    <t>Again the girls applauded, and Mrs Hall cried.</t>
  </si>
  <si>
    <t>फिर से लड़कियों ने तालियाँ बजाईं और मिसेज हॉल रो पड़ी।</t>
  </si>
  <si>
    <t xml:space="preserve"> arctic_b0281 </t>
  </si>
  <si>
    <t>Just the same I'd sooner be myself than have book indigestion.</t>
  </si>
  <si>
    <t>ठीक वैसे ही मैं किताबी अपच की तुलना में जल्द ही स्वयं हो जाऊंगा।</t>
  </si>
  <si>
    <t xml:space="preserve"> arctic_b0282 </t>
  </si>
  <si>
    <t>Some of the smaller veins had doubtless been ruptured.</t>
  </si>
  <si>
    <t>कुछ छोटी नसें निस्संदेह टूट गई थीं।</t>
  </si>
  <si>
    <t xml:space="preserve"> arctic_b0283 </t>
  </si>
  <si>
    <t>But we were without this momentum.</t>
  </si>
  <si>
    <t>लेकिन हम इस गति के बिना थे।</t>
  </si>
  <si>
    <t xml:space="preserve"> arctic_b0284 </t>
  </si>
  <si>
    <t>There was one difficulty, however.</t>
  </si>
  <si>
    <t>हालाँकि, एक कठिनाई थी।</t>
  </si>
  <si>
    <t xml:space="preserve"> arctic_b0285 </t>
  </si>
  <si>
    <t>The hyena proceeded to dine.</t>
  </si>
  <si>
    <t>लकड़बग्घा भोजन करने के लिए आगे बढ़ा।</t>
  </si>
  <si>
    <t xml:space="preserve"> arctic_b0286 </t>
  </si>
  <si>
    <t>The time was considered auspicious.</t>
  </si>
  <si>
    <t>समय शुभ माना जाता था।</t>
  </si>
  <si>
    <t xml:space="preserve"> arctic_b0287 </t>
  </si>
  <si>
    <t>Or have they already devised one.</t>
  </si>
  <si>
    <t>या उन्होंने पहले ही एक तैयार कर लिया है।</t>
  </si>
  <si>
    <t xml:space="preserve"> arctic_b0288 </t>
  </si>
  <si>
    <t>We would not spend another such night.</t>
  </si>
  <si>
    <t>हम ऐसी दूसरी रात नहीं बिताएंगे।</t>
  </si>
  <si>
    <t xml:space="preserve"> arctic_b0289 </t>
  </si>
  <si>
    <t>At first his progress was slow and erratic.</t>
  </si>
  <si>
    <t>पहले उसकी प्रगति धीमी और अनिश्चित थी।</t>
  </si>
  <si>
    <t xml:space="preserve"> arctic_b0290 </t>
  </si>
  <si>
    <t>He placed his paw on one, and its movements were accelerated.</t>
  </si>
  <si>
    <t>उसने अपना पंजा एक पर रखा, और उसकी हरकतें तेज हो गईं।</t>
  </si>
  <si>
    <t xml:space="preserve"> arctic_b0291 </t>
  </si>
  <si>
    <t>The awe of man rushed over him again.</t>
  </si>
  <si>
    <t>उस पर फिर से मनुष्य का भय छा गया।</t>
  </si>
  <si>
    <t xml:space="preserve"> arctic_b0292 </t>
  </si>
  <si>
    <t>The Fire-Men wore animal skins around their waists and across their shoulders.</t>
  </si>
  <si>
    <t>अग्नि-पुरुषों ने अपनी कमर के चारों ओर और अपने कंधों पर जानवरों की खाल पहनी थी।</t>
  </si>
  <si>
    <t xml:space="preserve"> arctic_b0293 </t>
  </si>
  <si>
    <t>Between him and all domestic animals there must be no hostilities.</t>
  </si>
  <si>
    <t>उसके और सभी घरेलू जानवरों के बीच कोई शत्रुता नहीं होनी चाहिए।</t>
  </si>
  <si>
    <t xml:space="preserve"> arctic_b0294 </t>
  </si>
  <si>
    <t>For a much longer time Lop-Ear and I remained and watched.</t>
  </si>
  <si>
    <t>बहुत अधिक समय तक लोप-ईयर और मैं बने रहे और देखते रहे।</t>
  </si>
  <si>
    <t xml:space="preserve"> arctic_b0295 </t>
  </si>
  <si>
    <t>All right, Sir, replied Jock with great regret.</t>
  </si>
  <si>
    <t>ठीक है, सर, जॉक ने बड़े अफसोस के साथ जवाब दिया।</t>
  </si>
  <si>
    <t xml:space="preserve"> arctic_b0296 </t>
  </si>
  <si>
    <t>At times I wondered where Sir Archibald got his style.</t>
  </si>
  <si>
    <t>कई बार मैं सोचता था कि सर आर्चीबाल्ड को उनका स्टाइल कहां से मिला।</t>
  </si>
  <si>
    <t xml:space="preserve"> arctic_b0297 </t>
  </si>
  <si>
    <t>Why should a fellow throw up the sponge after the first round.</t>
  </si>
  <si>
    <t>पहले दौर के बाद एक साथी को स्पंज क्यों फेंकना चाहिए?</t>
  </si>
  <si>
    <t xml:space="preserve"> arctic_b0298 </t>
  </si>
  <si>
    <t>His hand shot out and clutched Crooked-Leg by the neck.</t>
  </si>
  <si>
    <t>उसका हाथ बाहर निकल गया और गर्दन से कुटिल-पैर को पकड़ लिया।</t>
  </si>
  <si>
    <t xml:space="preserve"> arctic_b0299 </t>
  </si>
  <si>
    <t>Miss Brodie's smile was slightly sarcastic.</t>
  </si>
  <si>
    <t>मिस ब्रॉडी की मुस्कान थोड़ी व्यंग्यात्मक थी।</t>
  </si>
  <si>
    <t xml:space="preserve"> arctic_b0300 </t>
  </si>
  <si>
    <t>Does the old boy often go off at half-cock that way.</t>
  </si>
  <si>
    <t>क्या बूढ़ा लड़का अक्सर ऐसे ही आधा मुर्गा पर उतर जाता है?</t>
  </si>
  <si>
    <t xml:space="preserve"> arctic_b0301 </t>
  </si>
  <si>
    <t>A flying arrow passed between us.</t>
  </si>
  <si>
    <t>उड़ता हुआ तीर हमारे बीच से गुजरा।</t>
  </si>
  <si>
    <t xml:space="preserve"> arctic_b0302 </t>
  </si>
  <si>
    <t>I pulled, suddenly, with all my might.</t>
  </si>
  <si>
    <t>मैंने अपनी पूरी ताकत से अचानक खींच लिया।</t>
  </si>
  <si>
    <t xml:space="preserve"> arctic_b0303 </t>
  </si>
  <si>
    <t>Here we allow our solicitors to look after our legal work.</t>
  </si>
  <si>
    <t>यहां हम अपने वकीलों को अपना कानूनी कार्य देखने की अनुमति देते हैं।</t>
  </si>
  <si>
    <t xml:space="preserve"> arctic_b0304 </t>
  </si>
  <si>
    <t>His previous wives had never lived long enough to bear him children.</t>
  </si>
  <si>
    <t>उनकी पिछली पत्नियों ने उन्हें बच्चे पैदा करने के लिए कभी भी लंबे समय तक जीवित नहीं रखा था।</t>
  </si>
  <si>
    <t xml:space="preserve"> arctic_b0305 </t>
  </si>
  <si>
    <t>It was our river emerging like ourselves from the great swamp.</t>
  </si>
  <si>
    <t>यह हमारी नदी थी जो महान दलदल से हमारी तरह निकल रही थी।</t>
  </si>
  <si>
    <t xml:space="preserve"> arctic_b0306 </t>
  </si>
  <si>
    <t>Cameron looked at his hands with their long, sinewy fingers.</t>
  </si>
  <si>
    <t>कैमरून ने अपने हाथों को अपनी लंबी, सिनी उंगलियों से देखा।</t>
  </si>
  <si>
    <t xml:space="preserve"> arctic_b0307 </t>
  </si>
  <si>
    <t>We got few vegetables and fruits, and became fish eaters.</t>
  </si>
  <si>
    <t>हमें कुछ सब्जियां और फल मिले, और हम मछली खाने वाले बन गए।</t>
  </si>
  <si>
    <t xml:space="preserve"> arctic_b0308 </t>
  </si>
  <si>
    <t>We never made another migration.</t>
  </si>
  <si>
    <t>हमने कभी दूसरा प्रवास नहीं किया।</t>
  </si>
  <si>
    <t xml:space="preserve"> arctic_b0309 </t>
  </si>
  <si>
    <t>Nor was Elam Harnish an exception.</t>
  </si>
  <si>
    <t>न ही एलम हर्निश अपवाद थे।</t>
  </si>
  <si>
    <t xml:space="preserve"> arctic_b0310 </t>
  </si>
  <si>
    <t>A little treatment, massage, with some help from the doctor.</t>
  </si>
  <si>
    <t>थोड़ा इलाज, मालिश, डॉक्टर की कुछ मदद से।</t>
  </si>
  <si>
    <t xml:space="preserve"> arctic_b0311 </t>
  </si>
  <si>
    <t>The 29th very foggy.</t>
  </si>
  <si>
    <t>29वां बहुत कोहरा।</t>
  </si>
  <si>
    <t xml:space="preserve"> arctic_b0312 </t>
  </si>
  <si>
    <t>Dig in; you're sure good, was Daylight's answer.</t>
  </si>
  <si>
    <t>खाई खोदना; आप निश्चित रूप से अच्छे हैं, डेलाइट का जवाब था।</t>
  </si>
  <si>
    <t xml:space="preserve"> arctic_b0313 </t>
  </si>
  <si>
    <t>The apron string loomed near and he shied like an unbroken colt.</t>
  </si>
  <si>
    <t>एप्रन का तार निकट आ गया और वह एक अखंड बछेड़ा की तरह कांप गया।</t>
  </si>
  <si>
    <t xml:space="preserve"> arctic_b0314 </t>
  </si>
  <si>
    <t>He had been born with this endowment.</t>
  </si>
  <si>
    <t>वह इस दान के साथ पैदा हुआ था।</t>
  </si>
  <si>
    <t xml:space="preserve"> arctic_b0315 </t>
  </si>
  <si>
    <t>And this was their sole conversation throughout the meal.</t>
  </si>
  <si>
    <t>और पूरे भोजन के दौरान यही उनकी एकमात्र बातचीत थी।</t>
  </si>
  <si>
    <t xml:space="preserve"> arctic_b0316 </t>
  </si>
  <si>
    <t>Though the aurora still flamed, another day had begun.</t>
  </si>
  <si>
    <t>हालांकि औरोरा अभी भी जल रहा था, एक और दिन शुरू हो गया था।</t>
  </si>
  <si>
    <t xml:space="preserve"> arctic_b0317 </t>
  </si>
  <si>
    <t>He did not believe in the burning of daylight for such a luxury.</t>
  </si>
  <si>
    <t>वह इतनी विलासिता के लिए दिन के उजाले को जलाने में विश्वास नहीं करता था।</t>
  </si>
  <si>
    <t xml:space="preserve"> arctic_b0318 </t>
  </si>
  <si>
    <t>Again he had done the big thing.</t>
  </si>
  <si>
    <t>उन्होंने एक बार फिर बड़ा काम किया है।</t>
  </si>
  <si>
    <t xml:space="preserve"> arctic_b0319 </t>
  </si>
  <si>
    <t>Daylight was tired, profoundly tired.</t>
  </si>
  <si>
    <t>दिन का उजाला थका हुआ था, बहुत थका हुआ था।</t>
  </si>
  <si>
    <t xml:space="preserve"> arctic_b0320 </t>
  </si>
  <si>
    <t>The regret in his voice was provocative of a second burst of laughter.</t>
  </si>
  <si>
    <t>उसकी आवाज़ में पछतावा हँसी के दूसरे फटने का उत्तेजक था।</t>
  </si>
  <si>
    <t xml:space="preserve"> arctic_b0321 </t>
  </si>
  <si>
    <t>Instead, he arrived on the night of the second day.</t>
  </si>
  <si>
    <t>इसके बजाय, वह दूसरे दिन की रात को आया।</t>
  </si>
  <si>
    <t xml:space="preserve"> arctic_b0322 </t>
  </si>
  <si>
    <t>Their supply of grub was gone.</t>
  </si>
  <si>
    <t>उनके ग्रब की आपूर्ति खत्म हो गई थी।</t>
  </si>
  <si>
    <t xml:space="preserve"> arctic_b0323 </t>
  </si>
  <si>
    <t>Crickets began to chirp, and more geese and ducks flew overhead.</t>
  </si>
  <si>
    <t>क्रिकेट चहकने लगे, और अधिक हंस और बतख ऊपर उड़ गए।</t>
  </si>
  <si>
    <t xml:space="preserve"> arctic_b0324 </t>
  </si>
  <si>
    <t>Not till the twentieth of May did the river break.</t>
  </si>
  <si>
    <t>मई की बीसवीं तक नदी नहीं टूटी।</t>
  </si>
  <si>
    <t xml:space="preserve"> arctic_b0325 </t>
  </si>
  <si>
    <t>It was a gigantic inadequacy.</t>
  </si>
  <si>
    <t>यह एक बड़ी अपर्याप्तता थी।</t>
  </si>
  <si>
    <t xml:space="preserve"> arctic_b0326 </t>
  </si>
  <si>
    <t>Our Mr Howison will call upon you at your hotel.</t>
  </si>
  <si>
    <t>हमारे मिस्टर हॉविसन आपसे आपके होटल में मुलाकात करेंगे।</t>
  </si>
  <si>
    <t xml:space="preserve"> arctic_b0327 </t>
  </si>
  <si>
    <t>He had been so easy.</t>
  </si>
  <si>
    <t>वह इतना आसान था।</t>
  </si>
  <si>
    <t xml:space="preserve"> arctic_b0328 </t>
  </si>
  <si>
    <t>Change chairs, Daylight commanded.</t>
  </si>
  <si>
    <t>कुर्सियाँ बदलें, दिन के उजाले की आज्ञा।</t>
  </si>
  <si>
    <t xml:space="preserve"> arctic_b0329 </t>
  </si>
  <si>
    <t>I'd sooner have my chips back.</t>
  </si>
  <si>
    <t>मैं जल्द ही अपने चिप्स वापस ले लूंगा।</t>
  </si>
  <si>
    <t xml:space="preserve"> arctic_b0330 </t>
  </si>
  <si>
    <t>They only had a little thirty thousand dollar fire.</t>
  </si>
  <si>
    <t>उनके पास केवल तीस हजार डॉलर की आग थी।</t>
  </si>
  <si>
    <t xml:space="preserve"> arctic_b0331 </t>
  </si>
  <si>
    <t>His partners had starved and died on the Stewart.</t>
  </si>
  <si>
    <t>स्टीवर्ट पर उनके साथी भूखे और मर गए थे।</t>
  </si>
  <si>
    <t xml:space="preserve"> arctic_b0332 </t>
  </si>
  <si>
    <t>As to how she dressed, he had no ideas at all.</t>
  </si>
  <si>
    <t>उसने कैसे कपड़े पहने, उसे बिल्कुल भी अंदाजा नहीं था।</t>
  </si>
  <si>
    <t xml:space="preserve"> arctic_b0333 </t>
  </si>
  <si>
    <t>It does, was her audacious answer.</t>
  </si>
  <si>
    <t>यह करता है, उसका दुस्साहसी जवाब था।</t>
  </si>
  <si>
    <t xml:space="preserve"> arctic_b0334 </t>
  </si>
  <si>
    <t>Oh, it's just a novel, a love story.</t>
  </si>
  <si>
    <t>ओह, यह सिर्फ एक उपन्यास है, एक प्रेम कहानी।</t>
  </si>
  <si>
    <t xml:space="preserve"> arctic_b0335 </t>
  </si>
  <si>
    <t>Whoever lived on the ranch did that.</t>
  </si>
  <si>
    <t>जो कोई खेत में रहता था, वही करता था।</t>
  </si>
  <si>
    <t xml:space="preserve"> arctic_b0336 </t>
  </si>
  <si>
    <t>How old are you, mother.</t>
  </si>
  <si>
    <t>तुम कितने साल के हो, माँ।</t>
  </si>
  <si>
    <t xml:space="preserve"> arctic_b0337 </t>
  </si>
  <si>
    <t>Here he got a fresh thrill.</t>
  </si>
  <si>
    <t>यहां उन्हें एक नया रोमांच मिला।</t>
  </si>
  <si>
    <t xml:space="preserve"> arctic_b0338 </t>
  </si>
  <si>
    <t>It was unobtrusive, yet it was there.</t>
  </si>
  <si>
    <t>यह विनीत था, फिर भी यह वहां था।</t>
  </si>
  <si>
    <t xml:space="preserve"> arctic_b0339 </t>
  </si>
  <si>
    <t>Well, I'll be plumb gosh darned.</t>
  </si>
  <si>
    <t>खैर, मैं साहुल हो जाऊँगा रफ़ू।</t>
  </si>
  <si>
    <t xml:space="preserve"> arctic_b0340 </t>
  </si>
  <si>
    <t>These quick little joys of hers were sources of joy to him.</t>
  </si>
  <si>
    <t>उसकी ये छोटी-छोटी खुशियाँ उसके लिए आनन्द का स्रोत थीं।</t>
  </si>
  <si>
    <t xml:space="preserve"> arctic_b0341 </t>
  </si>
  <si>
    <t>I play that choice wide open to win.</t>
  </si>
  <si>
    <t>मैं उस पसंद को जीतने के लिए खुला खेलता हूं।</t>
  </si>
  <si>
    <t xml:space="preserve"> arctic_b0342 </t>
  </si>
  <si>
    <t>Each improvement makes the value of everything else pump up.</t>
  </si>
  <si>
    <t>प्रत्येक सुधार बाकी सभी चीजों के मूल्य को बढ़ा देता है।</t>
  </si>
  <si>
    <t xml:space="preserve"> arctic_b0343 </t>
  </si>
  <si>
    <t>But how are you going to do it.</t>
  </si>
  <si>
    <t>लेकिन आप इसे कैसे करने जा रहे हैं।</t>
  </si>
  <si>
    <t xml:space="preserve"> arctic_b0344 </t>
  </si>
  <si>
    <t>Lots of men take women buggy riding.</t>
  </si>
  <si>
    <t>बहुत से पुरुष महिलाओं को छोटी गाड़ी की सवारी करते हैं।</t>
  </si>
  <si>
    <t xml:space="preserve"> arctic_b0345 </t>
  </si>
  <si>
    <t>Daylight made no answer, and the door closed behind him.</t>
  </si>
  <si>
    <t>दिन के उजाले ने कोई जवाब नहीं दिया, और दरवाजा उसके पीछे बंद हो गया।</t>
  </si>
  <si>
    <t xml:space="preserve"> arctic_b0346 </t>
  </si>
  <si>
    <t>There's not an iota of truth in it.</t>
  </si>
  <si>
    <t>इसमें रत्ती भर भी सच्चाई नहीं है।</t>
  </si>
  <si>
    <t xml:space="preserve"> arctic_b0347 </t>
  </si>
  <si>
    <t>But ever his gaze returned to that Crouched Venus on the piano.</t>
  </si>
  <si>
    <t>लेकिन कभी उसकी निगाह पियानो पर उस झुकी हुई वीनस की ओर लौटी।</t>
  </si>
  <si>
    <t xml:space="preserve"> arctic_b0348 </t>
  </si>
  <si>
    <t>Would you be satisfied with that one hundredth part of me.</t>
  </si>
  <si>
    <t>क्या आप मेरे उस सौवें हिस्से से संतुष्ट होंगे।</t>
  </si>
  <si>
    <t xml:space="preserve"> arctic_b0349 </t>
  </si>
  <si>
    <t>In such a tumbling of values was no time to sell.</t>
  </si>
  <si>
    <t>ऐसे में मूल्यों की गिरावट में बेचने का समय नहीं था।</t>
  </si>
  <si>
    <t xml:space="preserve"> arctic_b0350 </t>
  </si>
  <si>
    <t>Stand off butcher and baker and all the rest.</t>
  </si>
  <si>
    <t>कसाई और बेकर और बाकी सब खड़े हो जाओ।</t>
  </si>
  <si>
    <t xml:space="preserve"> arctic_b0351 </t>
  </si>
  <si>
    <t>Matthewson, who's this bookkeeper, Rogers.</t>
  </si>
  <si>
    <t>मैथ्यूसन, यह मुनीम कौन है, रोजर्स।</t>
  </si>
  <si>
    <t xml:space="preserve"> arctic_b0352 </t>
  </si>
  <si>
    <t>Now just what do you want to know.</t>
  </si>
  <si>
    <t>अब बस आप क्या जानना चाहते हैं।</t>
  </si>
  <si>
    <t xml:space="preserve"> arctic_b0353 </t>
  </si>
  <si>
    <t>I want to know how all this is possible.</t>
  </si>
  <si>
    <t>मैं जानना चाहता हूं कि यह सब कैसे संभव है।</t>
  </si>
  <si>
    <t xml:space="preserve"> arctic_b0354 </t>
  </si>
  <si>
    <t>It's that much junk.</t>
  </si>
  <si>
    <t>यह इतना कबाड़ है।</t>
  </si>
  <si>
    <t xml:space="preserve"> arctic_b0355 </t>
  </si>
  <si>
    <t>There was proper division of labor in the work they individually performed.</t>
  </si>
  <si>
    <t>उनके द्वारा व्यक्तिगत रूप से किए जाने वाले कार्य में श्रम का उचित विभाजन था।</t>
  </si>
  <si>
    <t xml:space="preserve"> arctic_b0356 </t>
  </si>
  <si>
    <t>He loved to play Chinese lottery.</t>
  </si>
  <si>
    <t>उन्हें चीनी लॉटरी खेलना बहुत पसंद था।</t>
  </si>
  <si>
    <t xml:space="preserve"> arctic_b0357 </t>
  </si>
  <si>
    <t>The Law of Club and Fang</t>
  </si>
  <si>
    <t>क्लब और फेंग का कानून</t>
  </si>
  <si>
    <t xml:space="preserve"> arctic_b0358 </t>
  </si>
  <si>
    <t>The temperature dropped to fifty below zero and remained there the whole trip.</t>
  </si>
  <si>
    <t>तापमान शून्य से पचास नीचे गिर गया और पूरी यात्रा वहीं रहा।</t>
  </si>
  <si>
    <t xml:space="preserve"> arctic_b0359 </t>
  </si>
  <si>
    <t>And as never before, he was ready to obey.</t>
  </si>
  <si>
    <t>और जैसा पहले कभी नहीं था, वह आज्ञा मानने के लिए तैयार था।</t>
  </si>
  <si>
    <t xml:space="preserve"> arctic_b0360 </t>
  </si>
  <si>
    <t>This state of mind comes of an undue prominence of the ego.</t>
  </si>
  <si>
    <t>मन की यह स्थिति अहंकार की अनुचित प्रमुखता से आती है।</t>
  </si>
  <si>
    <t xml:space="preserve"> arctic_b0361 </t>
  </si>
  <si>
    <t>There are the canals of China, and the Yang-tse River.</t>
  </si>
  <si>
    <t>चीन की नहरें और यांग-त्से नदी हैं।</t>
  </si>
  <si>
    <t xml:space="preserve"> arctic_b0362 </t>
  </si>
  <si>
    <t>We threaten to be of the one mind before the voyage is completed.</t>
  </si>
  <si>
    <t>यात्रा पूरी होने से पहले हम एक मन होने की धमकी देते हैं।</t>
  </si>
  <si>
    <t xml:space="preserve"> arctic_b0363 </t>
  </si>
  <si>
    <t>She was built primarily to sail.</t>
  </si>
  <si>
    <t>वह मुख्य रूप से पाल करने के लिए बनाई गई थी।</t>
  </si>
  <si>
    <t xml:space="preserve"> arctic_b0364 </t>
  </si>
  <si>
    <t>In the Bohemian Club of San Francisco there are some crack sailors.</t>
  </si>
  <si>
    <t>सैन फ्रांसिस्को के बोहेमियन क्लब में कुछ दरार नाविक हैं।</t>
  </si>
  <si>
    <t xml:space="preserve"> arctic_b0365 </t>
  </si>
  <si>
    <t>My age, in years, is twenty two.</t>
  </si>
  <si>
    <t>मेरी उम्र, वर्षों में, बाईस है।</t>
  </si>
  <si>
    <t xml:space="preserve"> arctic_b0366 </t>
  </si>
  <si>
    <t>I forgot how easily I had taught myself from the printed page.</t>
  </si>
  <si>
    <t>मैं भूल गया था कि मैंने कितनी आसानी से खुद को छपे हुए पन्ने से पढ़ाया था।</t>
  </si>
  <si>
    <t xml:space="preserve"> arctic_b0367 </t>
  </si>
  <si>
    <t>Any average young fellow can teach himself in a week.</t>
  </si>
  <si>
    <t>कोई भी औसत युवा साथी एक हफ्ते में खुद को पढ़ा सकता है।</t>
  </si>
  <si>
    <t xml:space="preserve"> arctic_b0368 </t>
  </si>
  <si>
    <t>Please do not think that I already know it all.</t>
  </si>
  <si>
    <t>कृपया यह न सोचें कि मैं यह सब पहले से ही जानता हूं।</t>
  </si>
  <si>
    <t xml:space="preserve"> arctic_b0369 </t>
  </si>
  <si>
    <t>You see, we were teaching ourselves.</t>
  </si>
  <si>
    <t>आप देखिए, हम खुद पढ़ा रहे थे।</t>
  </si>
  <si>
    <t xml:space="preserve"> arctic_b0370 </t>
  </si>
  <si>
    <t>And now behold the perversity of things.</t>
  </si>
  <si>
    <t>और अब चीजों की विकृति को देखो।</t>
  </si>
  <si>
    <t xml:space="preserve"> arctic_b0371 </t>
  </si>
  <si>
    <t>Yield yourself to the waters that are ripping and tearing at you.</t>
  </si>
  <si>
    <t>अपने आप को उस जल के हवाले कर दो जो तुझे चीरता और फाड़ता है।</t>
  </si>
  <si>
    <t xml:space="preserve"> arctic_b0372 </t>
  </si>
  <si>
    <t>Mr McVeigh told me about him.</t>
  </si>
  <si>
    <t>मिस्टर मैकविघ ने मुझे उसके बारे में बताया।</t>
  </si>
  <si>
    <t xml:space="preserve"> arctic_b0373 </t>
  </si>
  <si>
    <t>Unlike Joshua, he stood in no need of divine assistance.</t>
  </si>
  <si>
    <t>यहोशू के विपरीत, उसे ईश्वरीय सहायता की कोई आवश्यकता नहीं थी।</t>
  </si>
  <si>
    <t xml:space="preserve"> arctic_b0374 </t>
  </si>
  <si>
    <t>To say the least, Captain Cook was a rather thorough going empiricist.</t>
  </si>
  <si>
    <t>कम से कम कहने के लिए, कैप्टन कुक एक गहन अनुभववादी थे।</t>
  </si>
  <si>
    <t xml:space="preserve"> arctic_b0375 </t>
  </si>
  <si>
    <t>Man could not conquer them.</t>
  </si>
  <si>
    <t>मनुष्य उन्हें जीत नहीं सका।</t>
  </si>
  <si>
    <t xml:space="preserve"> arctic_b0376 </t>
  </si>
  <si>
    <t>Thought I, and a worthy fool he proved.</t>
  </si>
  <si>
    <t>मैंने सोचा, और एक योग्य मूर्ख उसने साबित कर दिया।</t>
  </si>
  <si>
    <t xml:space="preserve"> arctic_b0377 </t>
  </si>
  <si>
    <t>A scarlet loincloth completed his costume.</t>
  </si>
  <si>
    <t>एक लाल रंग के लंगोटी ने उसकी पोशाक पूरी की।</t>
  </si>
  <si>
    <t xml:space="preserve"> arctic_b0378 </t>
  </si>
  <si>
    <t>I like to speculate upon the glorious future of man.</t>
  </si>
  <si>
    <t>मुझे मनुष्य के गौरवशाली भविष्य के बारे में अटकलें लगाना अच्छा लगता है।</t>
  </si>
  <si>
    <t xml:space="preserve"> arctic_b0379 </t>
  </si>
  <si>
    <t>Christmas is an easy problem compared with a Polynesian giving-feast.</t>
  </si>
  <si>
    <t>पोलीनेशियन देन-दावत की तुलना में क्रिसमस एक आसान समस्या है।</t>
  </si>
  <si>
    <t xml:space="preserve"> arctic_b0380 </t>
  </si>
  <si>
    <t>He had peeled off his shirt and was wildly waving it.</t>
  </si>
  <si>
    <t>उसने अपनी कमीज को छील दिया था और बेतहाशा उसे लहरा रहा था।</t>
  </si>
  <si>
    <t xml:space="preserve"> arctic_b0381 </t>
  </si>
  <si>
    <t>And how would we ever find ourselves.</t>
  </si>
  <si>
    <t>और हम कभी खुद को कैसे पाएंगे।</t>
  </si>
  <si>
    <t xml:space="preserve"> arctic_b0382 </t>
  </si>
  <si>
    <t>I defy any man to get a Solomon Island sore in California.</t>
  </si>
  <si>
    <t>मैं कैलिफोर्निया में सोलोमन द्वीप के दर्द के लिए किसी भी आदमी की अवहेलना करता हूं।</t>
  </si>
  <si>
    <t xml:space="preserve"> arctic_b0383 </t>
  </si>
  <si>
    <t>A bush chief had died a natural death.</t>
  </si>
  <si>
    <t>एक बुश प्रमुख की प्राकृतिक मौत हो गई थी।</t>
  </si>
  <si>
    <t xml:space="preserve"> arctic_b0384 </t>
  </si>
  <si>
    <t>The skipper's and Nakata's gymnastics served as a translation without words.</t>
  </si>
  <si>
    <t>स्किपर और नाकाटा के जिम्नास्टिक ने बिना शब्दों के अनुवाद के रूप में कार्य किया।</t>
  </si>
  <si>
    <t xml:space="preserve"> arctic_b0385 </t>
  </si>
  <si>
    <t>Last night he showed all the symptoms of coming down with pneumonia.</t>
  </si>
  <si>
    <t>कल रात उसने निमोनिया से पीड़ित होने के सभी लक्षण दिखाए।</t>
  </si>
  <si>
    <t xml:space="preserve"> arctic_b0386 </t>
  </si>
  <si>
    <t>My idea was that he would have more influence over the natives.</t>
  </si>
  <si>
    <t>मेरा विचार था कि वह मूल निवासियों पर अधिक प्रभाव डालेगा।</t>
  </si>
  <si>
    <t xml:space="preserve"> arctic_b0387 </t>
  </si>
  <si>
    <t>It is merely the simple superlative.</t>
  </si>
  <si>
    <t>यह केवल सरल अतिशयोक्ति है।</t>
  </si>
  <si>
    <t xml:space="preserve"> arctic_b0388 </t>
  </si>
  <si>
    <t>I made no more overtures.</t>
  </si>
  <si>
    <t>मैंने कोई और ओवरचर नहीं बनाया।</t>
  </si>
  <si>
    <t xml:space="preserve"> arctic_b0389 </t>
  </si>
  <si>
    <t>Among my minor afflictions, I may mention a new and mysterious one.</t>
  </si>
  <si>
    <t>मेरे छोटे-मोटे कष्टों में, मैं एक नए और रहस्यमय दुख का उल्लेख कर सकता हूं।</t>
  </si>
  <si>
    <t xml:space="preserve"> arctic_b0390 </t>
  </si>
  <si>
    <t>The voyage was our idea of a good time.</t>
  </si>
  <si>
    <t>यात्रा एक अच्छे समय का हमारा विचार था।</t>
  </si>
  <si>
    <t xml:space="preserve"> arctic_b0391 </t>
  </si>
  <si>
    <t>At sea, Tuesday, March 17, 1908.</t>
  </si>
  <si>
    <t>समुद्र में, मंगलवार, 17 मार्च, 1908।</t>
  </si>
  <si>
    <t xml:space="preserve"> arctic_b0392 </t>
  </si>
  <si>
    <t>Yes, sir, he answered, with cheerful alacrity.</t>
  </si>
  <si>
    <t>हाँ, श्रीमान, उन्होंने हर्षित उत्साह के साथ उत्तर दिया।</t>
  </si>
  <si>
    <t xml:space="preserve"> arctic_b0393 </t>
  </si>
  <si>
    <t>I was still weak from my prolonged immersion.</t>
  </si>
  <si>
    <t>मैं अपने लंबे विसर्जन से अभी भी कमजोर था।</t>
  </si>
  <si>
    <t xml:space="preserve"> arctic_b0394 </t>
  </si>
  <si>
    <t>The boy hesitated, then mastered his temper.</t>
  </si>
  <si>
    <t>लड़का झिझका, फिर अपने आपा पर काबू पाया।</t>
  </si>
  <si>
    <t xml:space="preserve"> arctic_b0395 </t>
  </si>
  <si>
    <t>I was beneath the water, suffocating and drowning.</t>
  </si>
  <si>
    <t>मैं पानी के नीचे था, दम घुट रहा था और डूब रहा था।</t>
  </si>
  <si>
    <t xml:space="preserve"> arctic_b0396 </t>
  </si>
  <si>
    <t>The pain from my hurt knee was agonizing.</t>
  </si>
  <si>
    <t>मेरे चोटिल घुटने का दर्द पीड़ादायक था।</t>
  </si>
  <si>
    <t xml:space="preserve"> arctic_b0397 </t>
  </si>
  <si>
    <t>The hunters were still arguing and roaring like some semi-human amphibious breed.</t>
  </si>
  <si>
    <t>शिकारी अभी भी किसी अर्ध-मानव उभयचर नस्ल की तरह बहस कर रहे थे और दहाड़ रहे थे।</t>
  </si>
  <si>
    <t xml:space="preserve"> arctic_b0398 </t>
  </si>
  <si>
    <t>I have been robbed, sir, I amended.</t>
  </si>
  <si>
    <t>मुझे लूट लिया गया है, महोदय, मैंने संशोधन किया है।</t>
  </si>
  <si>
    <t xml:space="preserve"> arctic_b0399 </t>
  </si>
  <si>
    <t>You were looking squeamish this afternoon, he began.</t>
  </si>
  <si>
    <t>आप आज दोपहर कर्कश दिख रहे थे, वह शुरू हुआ।</t>
  </si>
  <si>
    <t xml:space="preserve"> arctic_b0400 </t>
  </si>
  <si>
    <t>How could I answer the question on the spur of the moment.</t>
  </si>
  <si>
    <t>मैं इस समय प्रश्न का उत्तर कैसे दे सकता था।</t>
  </si>
  <si>
    <t xml:space="preserve"> arctic_b0401 </t>
  </si>
  <si>
    <t>I learned it myself in English ships.</t>
  </si>
  <si>
    <t>मैंने इसे स्वयं अंग्रेजी जहाजों में सीखा।</t>
  </si>
  <si>
    <t xml:space="preserve"> arctic_b0402 </t>
  </si>
  <si>
    <t>An altruistic act is an act performed for the welfare of others.</t>
  </si>
  <si>
    <t>परोपकारी कार्य दूसरों के कल्याण के लिए किया जाने वाला कार्य है।</t>
  </si>
  <si>
    <t xml:space="preserve"> arctic_b0403 </t>
  </si>
  <si>
    <t>Knowing him, I review the old Scandinavian myths with clearer understanding.</t>
  </si>
  <si>
    <t>उसे जानकर, मैं पुराने स्कैंडिनेवियाई मिथकों की स्पष्ट समझ के साथ समीक्षा करता हूं।</t>
  </si>
  <si>
    <t xml:space="preserve"> arctic_b0404 </t>
  </si>
  <si>
    <t>Yes, and no, sir, was the slow reply.</t>
  </si>
  <si>
    <t>हाँ, और नहीं, श्रीमान, धीमा उत्तर था।</t>
  </si>
  <si>
    <t xml:space="preserve"> arctic_b0405 </t>
  </si>
  <si>
    <t>And each year something happened, and I did not go.</t>
  </si>
  <si>
    <t>और हर साल कुछ न कुछ हुआ, और मैं नहीं गया।</t>
  </si>
  <si>
    <t xml:space="preserve"> arctic_b0406 </t>
  </si>
  <si>
    <t>How in hell did he know it was you in the dark.</t>
  </si>
  <si>
    <t>नरक में वह कैसे जानता था कि यह आप अंधेरे में थे।</t>
  </si>
  <si>
    <t xml:space="preserve"> arctic_b0407 </t>
  </si>
  <si>
    <t>Of course much grumbling went on, and little outbursts were continually occurring.</t>
  </si>
  <si>
    <t>बेशक बहुत बड़बड़ाते रहे, और छोटे-छोटे विस्फोट लगातार हो रहे थे।</t>
  </si>
  <si>
    <t xml:space="preserve"> arctic_b0408 </t>
  </si>
  <si>
    <t>You have all the advantage.</t>
  </si>
  <si>
    <t>आपको पूरा फायदा है।</t>
  </si>
  <si>
    <t xml:space="preserve"> arctic_b0409 </t>
  </si>
  <si>
    <t>The dirk mentioned by Wolf Larsen rested in its sheath on my hip.</t>
  </si>
  <si>
    <t>वुल्फ लार्सन द्वारा उल्लिखित डर्क ने मेरे कूल्हे पर अपनी म्यान में आराम किया।</t>
  </si>
  <si>
    <t xml:space="preserve"> arctic_b0410 </t>
  </si>
  <si>
    <t>Have you ever earned a dollar by your own labour.</t>
  </si>
  <si>
    <t>क्या आपने कभी अपने श्रम से एक डॉलर कमाया है?</t>
  </si>
  <si>
    <t xml:space="preserve"> arctic_b0411 </t>
  </si>
  <si>
    <t>He gave no reason, but his motive was obvious enough.</t>
  </si>
  <si>
    <t>उन्होंने कोई कारण नहीं बताया, लेकिन उनका मकसद काफी स्पष्ट था।</t>
  </si>
  <si>
    <t xml:space="preserve"> arctic_b0412 </t>
  </si>
  <si>
    <t>Ah, it was sweet in my ears.</t>
  </si>
  <si>
    <t>आह, यह मेरे कानों में मीठा था।</t>
  </si>
  <si>
    <t xml:space="preserve"> arctic_b0413 </t>
  </si>
  <si>
    <t>He may desire to escape pain, or to enjoy pleasure.</t>
  </si>
  <si>
    <t>वह दर्द से बचने, या आनंद का आनंद लेने की इच्छा कर सकता है।</t>
  </si>
  <si>
    <t xml:space="preserve"> arctic_b0414 </t>
  </si>
  <si>
    <t>It was impossible to hoist sail and claw off that shore.</t>
  </si>
  <si>
    <t>उस किनारे से पाल और पंजा फहराना असंभव था।</t>
  </si>
  <si>
    <t xml:space="preserve"> arctic_b0415 </t>
  </si>
  <si>
    <t>There was nothing for us but the wide raw ocean.</t>
  </si>
  <si>
    <t>हमारे लिए विस्तृत कच्चे सागर के अलावा कुछ नहीं था।</t>
  </si>
  <si>
    <t xml:space="preserve"> arctic_b0416 </t>
  </si>
  <si>
    <t>I arose obediently and went down the beach.</t>
  </si>
  <si>
    <t>मैं आज्ञाकारी रूप से उठा और समुद्र तट पर चला गया।</t>
  </si>
  <si>
    <t xml:space="preserve"> arctic_b0417 </t>
  </si>
  <si>
    <t>The next thing to watch out for is bed sores.</t>
  </si>
  <si>
    <t>ध्यान रखने वाली अगली चीज़ बेड सोर है।</t>
  </si>
  <si>
    <t xml:space="preserve"> arctic_b0418 </t>
  </si>
  <si>
    <t>At that moment I got the impression that she was willowy.</t>
  </si>
  <si>
    <t>उस पल मुझे ऐसा आभास हुआ कि वह विलोवी है।</t>
  </si>
  <si>
    <t xml:space="preserve"> arctic_b0419 </t>
  </si>
  <si>
    <t>Your father's fifth command, he nodded.</t>
  </si>
  <si>
    <t>तुम्हारे पिता की पाँचवीं आज्ञा, उन्होंने सिर हिलाया।</t>
  </si>
  <si>
    <t xml:space="preserve"> arctic_b0420 </t>
  </si>
  <si>
    <t>On occasion, on this traverse, the Cape Verde Islands are raised.</t>
  </si>
  <si>
    <t>इस अवसर पर, केप वर्डे द्वीप समूह उठाए जाते हैं।</t>
  </si>
  <si>
    <t xml:space="preserve"> arctic_b0421 </t>
  </si>
  <si>
    <t>She is essentially the life-giving, life-conserving female of the species.</t>
  </si>
  <si>
    <t>वह अनिवार्य रूप से प्रजातियों की जीवनदायिनी, जीवन रक्षक महिला है।</t>
  </si>
  <si>
    <t xml:space="preserve"> arctic_b0422 </t>
  </si>
  <si>
    <t>This was when the explosion occurred.</t>
  </si>
  <si>
    <t>इसी दौरान यह धमाका हुआ।</t>
  </si>
  <si>
    <t xml:space="preserve"> arctic_b0423 </t>
  </si>
  <si>
    <t>Also, at regular intervals, he would mutter.</t>
  </si>
  <si>
    <t>इसके अलावा, वह नियमित अंतराल पर गुनगुनाता था।</t>
  </si>
  <si>
    <t xml:space="preserve"> arctic_b0424 </t>
  </si>
  <si>
    <t>It is a very tenable hypothesis, and will bear looking into.</t>
  </si>
  <si>
    <t>यह एक बहुत ही व्यवहार्य परिकल्पना है, और इस पर गौर किया जाएगा।</t>
  </si>
  <si>
    <t xml:space="preserve"> arctic_b0425 </t>
  </si>
  <si>
    <t>There were orange-green, gold-green, and a copper-green.</t>
  </si>
  <si>
    <t>नारंगी-हरे, सोने-हरे और तांबे-हरे रंग के थे।</t>
  </si>
  <si>
    <t xml:space="preserve"> arctic_b0426 </t>
  </si>
  <si>
    <t>The Gabriel voice of the Samurai rang out.</t>
  </si>
  <si>
    <t>समुराई की गेब्रियल आवाज बजी।</t>
  </si>
  <si>
    <t xml:space="preserve"> arctic_b0427 </t>
  </si>
  <si>
    <t>The sunsets grow more bizarre and spectacular off this coast of the Argentine.</t>
  </si>
  <si>
    <t>अर्जेंटीना के इस तट पर सूर्यास्त अधिक विचित्र और शानदार होते हैं।</t>
  </si>
  <si>
    <t xml:space="preserve"> arctic_b0428 </t>
  </si>
  <si>
    <t>The history of our westward-faring race is written in it.</t>
  </si>
  <si>
    <t>इसमें हमारी पश्चिमगामी जाति का इतिहास लिखा है।</t>
  </si>
  <si>
    <t xml:space="preserve"> arctic_b0429 </t>
  </si>
  <si>
    <t>And the Eurasian Chinese-Englishman bowed himself away.</t>
  </si>
  <si>
    <t>और यूरेशियन चीनी-अंग्रेज ने खुद को झुका लिया।</t>
  </si>
  <si>
    <t xml:space="preserve"> arctic_b0430 </t>
  </si>
  <si>
    <t>They were babbling and chattering all together.</t>
  </si>
  <si>
    <t>वे सब एक साथ बड़बड़ा रहे थे और बकबक कर रहे थे।</t>
  </si>
  <si>
    <t xml:space="preserve"> arctic_b0431 </t>
  </si>
  <si>
    <t>Too much, he told me, with ominous rolling head.</t>
  </si>
  <si>
    <t>बहुत ज्यादा, उसने मुझे बताया, अशुभ रोलिंग सिर के साथ।</t>
  </si>
  <si>
    <t xml:space="preserve"> arctic_b0432 </t>
  </si>
  <si>
    <t>He is a candidate, rising from the serf class to our class.</t>
  </si>
  <si>
    <t>वह एक उम्मीदवार है, जो सर्फ़ वर्ग से हमारी कक्षा तक बढ़ रहा है।</t>
  </si>
  <si>
    <t xml:space="preserve"> arctic_b0433 </t>
  </si>
  <si>
    <t>We are cooking on the coal stove and on the oil burners.</t>
  </si>
  <si>
    <t>हम कोयले के चूल्हे पर और तेल के बर्नर पर खाना बना रहे हैं।</t>
  </si>
  <si>
    <t xml:space="preserve"> arctic_b0434 </t>
  </si>
  <si>
    <t>The steward has just tendered me a respectful bit of advice.</t>
  </si>
  <si>
    <t>स्टीवर्ड ने अभी-अभी मुझे एक सम्मानजनक सलाह दी है।</t>
  </si>
  <si>
    <t xml:space="preserve"> arctic_b0435 </t>
  </si>
  <si>
    <t>Well, did they eat.</t>
  </si>
  <si>
    <t>अच्छा, क्या उन्होंने खाया।</t>
  </si>
  <si>
    <t xml:space="preserve"> arctic_b0436 </t>
  </si>
  <si>
    <t>Famine had been my great ally.</t>
  </si>
  <si>
    <t>अकाल मेरा सबसे बड़ा सहयोगी था।</t>
  </si>
  <si>
    <t xml:space="preserve"> arctic_b0437 </t>
  </si>
  <si>
    <t>Nowhere in the North is the soil so prolific.</t>
  </si>
  <si>
    <t>उत्तर में कहीं भी मिट्टी इतनी उपजाऊ नहीं है।</t>
  </si>
  <si>
    <t xml:space="preserve"> arctic_b0438 </t>
  </si>
  <si>
    <t>They ran the canoe in and climbed the high earth bank.</t>
  </si>
  <si>
    <t>उन्होंने डोंगी को अंदर चलाया और हाई अर्थ बैंक पर चढ़ गए।</t>
  </si>
  <si>
    <t xml:space="preserve"> arctic_b0439 </t>
  </si>
  <si>
    <t>The land exchanged its austere robes for the garb of a smiling wanton.</t>
  </si>
  <si>
    <t>मुस्कुराते हुए प्रचंड की आड़ में भूमि ने अपने कठोर वस्त्रों का आदान-प्रदान किया।</t>
  </si>
  <si>
    <t xml:space="preserve"> arctic_b0440 </t>
  </si>
  <si>
    <t>There were stir and bustle, new faces, and fresh facts.</t>
  </si>
  <si>
    <t>हलचल और हलचल, नए चेहरे और ताजा तथ्य थे।</t>
  </si>
  <si>
    <t xml:space="preserve"> arctic_b0441 </t>
  </si>
  <si>
    <t>And there was Ethel Baird, whom also you must remember.</t>
  </si>
  <si>
    <t>और एथेल बेयर्ड थीं, जिन्हें आपको भी याद रखना चाहिए।</t>
  </si>
  <si>
    <t xml:space="preserve"> arctic_b0442 </t>
  </si>
  <si>
    <t>He had become a man very early in life.</t>
  </si>
  <si>
    <t>वह जीवन में बहुत पहले ही एक आदमी बन गया था।</t>
  </si>
  <si>
    <t xml:space="preserve"> arctic_b0443 </t>
  </si>
  <si>
    <t>I did not think you would be so early.</t>
  </si>
  <si>
    <t>मैंने नहीं सोचा था कि तुम इतनी जल्दी हो जाओगे।</t>
  </si>
  <si>
    <t xml:space="preserve"> arctic_b0444 </t>
  </si>
  <si>
    <t>He did not know what went on in the minds of his superiors.</t>
  </si>
  <si>
    <t>उसे नहीं पता था कि उसके वरिष्ठों के मन में क्या चल रहा है।</t>
  </si>
  <si>
    <t xml:space="preserve"> arctic_b0445 </t>
  </si>
  <si>
    <t>Mops, sir, eagerly answered the sailor at the wheel.</t>
  </si>
  <si>
    <t>Mops, महोदय, उत्सुकता से पहिया पर नाविक को उत्तर दिया।</t>
  </si>
  <si>
    <t xml:space="preserve"> arctic_b0446 </t>
  </si>
  <si>
    <t>Some one had thrust a large sheath-knife into his hand.</t>
  </si>
  <si>
    <t>किसी ने उसके हाथ में एक बड़ा म्यान-चाकू थमा दिया था।</t>
  </si>
  <si>
    <t xml:space="preserve"> arctic_b0447 </t>
  </si>
  <si>
    <t>O'Brien emitted a shriek that sank swiftly to a gurgling sob.</t>
  </si>
  <si>
    <t>ओ'ब्रायन ने एक चीख़ का उत्सर्जन किया जो एक कर्कश सिसकने के लिए तेजी से डूब गया।</t>
  </si>
  <si>
    <t xml:space="preserve"> arctic_b0448 </t>
  </si>
  <si>
    <t>Sandel would never become a world champion.</t>
  </si>
  <si>
    <t>सैंडल कभी विश्व चैंपियन नहीं बनेंगे।</t>
  </si>
  <si>
    <t xml:space="preserve"> arctic_b0449 </t>
  </si>
  <si>
    <t>Also, she wouldn't walk.</t>
  </si>
  <si>
    <t>साथ ही वह चल भी नहीं सकती थी।</t>
  </si>
  <si>
    <t xml:space="preserve"> arctic_b0450 </t>
  </si>
  <si>
    <t>To my dearest and always appreciated friend, I submit myself.</t>
  </si>
  <si>
    <t>अपने सबसे प्रिय और हमेशा प्रशंसनीय मित्र के प्रति, मैं स्वयं को प्रस्तुत करता हूं।</t>
  </si>
  <si>
    <t xml:space="preserve"> arctic_b0451 </t>
  </si>
  <si>
    <t>You used to joyride like the very devil.</t>
  </si>
  <si>
    <t>तुम बिलकुल शैतान की तरह मस्ती करते थे।</t>
  </si>
  <si>
    <t xml:space="preserve"> arctic_b0452 </t>
  </si>
  <si>
    <t>They saw each other for the first time in Boston.</t>
  </si>
  <si>
    <t>उन्होंने पहली बार बोस्टन में एक-दूसरे को देखा।</t>
  </si>
  <si>
    <t xml:space="preserve"> arctic_b0453 </t>
  </si>
  <si>
    <t>Isaac Ford, the austere soldier of the Lord, the old hypocrite.</t>
  </si>
  <si>
    <t>इसहाक फोर्ड, प्रभु के कठोर सैनिक, पुराने पाखंडी।</t>
  </si>
  <si>
    <t xml:space="preserve"> arctic_b0454 </t>
  </si>
  <si>
    <t>Eighteen, he added.</t>
  </si>
  <si>
    <t>अठारह, उन्होंने जोड़ा।</t>
  </si>
  <si>
    <t xml:space="preserve"> arctic_b0455 </t>
  </si>
  <si>
    <t>His reward should have been peace and repose.</t>
  </si>
  <si>
    <t>उसका इनाम शांति और आराम होना चाहिए था।</t>
  </si>
  <si>
    <t xml:space="preserve"> arctic_b0456 </t>
  </si>
  <si>
    <t>He was an amphibian and a mountaineer.</t>
  </si>
  <si>
    <t>वह एक उभयचर और एक पर्वतारोही था।</t>
  </si>
  <si>
    <t xml:space="preserve"> arctic_b0457 </t>
  </si>
  <si>
    <t>It was sanctification and salvation.</t>
  </si>
  <si>
    <t>यह पवित्रता और मोक्ष था।</t>
  </si>
  <si>
    <t xml:space="preserve"> arctic_b0458 </t>
  </si>
  <si>
    <t>The history of the eighteenth century is written, Ernest prompted.</t>
  </si>
  <si>
    <t>अठारहवीं शताब्दी का इतिहास लिखा है, अर्नेस्ट ने प्रेरित किया।</t>
  </si>
  <si>
    <t xml:space="preserve"> arctic_b0459 </t>
  </si>
  <si>
    <t>They are not biologists nor sociologists.</t>
  </si>
  <si>
    <t>वे न तो जीवविज्ञानी हैं और न ही समाजशास्त्री।</t>
  </si>
  <si>
    <t xml:space="preserve"> arctic_b0460 </t>
  </si>
  <si>
    <t>The more his opponents grew excited, the more Ernest deliberately excited them.</t>
  </si>
  <si>
    <t>जितना अधिक उसके विरोधी उत्तेजित होते गए, उतना ही अर्नेस्ट ने जानबूझकर उन्हें उत्तेजित किया।</t>
  </si>
  <si>
    <t xml:space="preserve"> arctic_b0461 </t>
  </si>
  <si>
    <t>By virtue of that power we shall remain in power.</t>
  </si>
  <si>
    <t>उस शक्ति के बल पर हम सत्ता में बने रहेंगे।</t>
  </si>
  <si>
    <t xml:space="preserve"> arctic_b0462 </t>
  </si>
  <si>
    <t>One guess will do, Ernest retorted.</t>
  </si>
  <si>
    <t>एक अनुमान करेगा, अर्नेस्ट ने जवाब दिया।</t>
  </si>
  <si>
    <t xml:space="preserve"> arctic_b0463 </t>
  </si>
  <si>
    <t>Take my advice and accept the vacation.</t>
  </si>
  <si>
    <t>मेरी सलाह लें और छुट्टी स्वीकार करें।</t>
  </si>
  <si>
    <t xml:space="preserve"> arctic_b0464 </t>
  </si>
  <si>
    <t>I could not agree with Ernest.</t>
  </si>
  <si>
    <t>मैं अर्नेस्ट से सहमत नहीं हो सका।</t>
  </si>
  <si>
    <t xml:space="preserve"> arctic_b0465 </t>
  </si>
  <si>
    <t>But such divergence of opinion would constitute no menace to society.</t>
  </si>
  <si>
    <t>लेकिन इस तरह की राय का विचलन समाज के लिए कोई खतरा नहीं होगा।</t>
  </si>
  <si>
    <t xml:space="preserve"> arctic_b0466 </t>
  </si>
  <si>
    <t>It is dog eat dog, and you ate them up.</t>
  </si>
  <si>
    <t>यह कुत्ता खाने वाला कुत्ता है, और तुमने उन्हें खा लिया।</t>
  </si>
  <si>
    <t xml:space="preserve"> arctic_b0467 </t>
  </si>
  <si>
    <t>Let us run them for ourselves.</t>
  </si>
  <si>
    <t>आइए हम उन्हें अपने लिए चलाते हैं।</t>
  </si>
  <si>
    <t xml:space="preserve"> arctic_b0468 </t>
  </si>
  <si>
    <t>It was introduced by Representative Dick of Ohio.</t>
  </si>
  <si>
    <t>यह ओहियो के प्रतिनिधि डिक द्वारा पेश किया गया था।</t>
  </si>
  <si>
    <t xml:space="preserve"> arctic_b0469 </t>
  </si>
  <si>
    <t>Very few people knew of the existence of this law.</t>
  </si>
  <si>
    <t>इस कानून के अस्तित्व के बारे में बहुत कम लोग जानते थे।</t>
  </si>
  <si>
    <t xml:space="preserve"> arctic_b0470 </t>
  </si>
  <si>
    <t>The very thing, Ernest agreed.</t>
  </si>
  <si>
    <t>बहुत ही बात, अर्नेस्ट सहमत हो गया।</t>
  </si>
  <si>
    <t xml:space="preserve"> arctic_b0471 </t>
  </si>
  <si>
    <t>Also a fellow Senator, Chauncey Depew, said.</t>
  </si>
  <si>
    <t>इसके अलावा एक साथी सीनेटर, चाउन्सी डेप्यू ने कहा।</t>
  </si>
  <si>
    <t xml:space="preserve"> arctic_b0472 </t>
  </si>
  <si>
    <t>Ernest saw in the affair the most sinister import.</t>
  </si>
  <si>
    <t>अर्नेस्ट ने इस मामले में सबसे भयावह आयात देखा।</t>
  </si>
  <si>
    <t xml:space="preserve"> arctic_b0473 </t>
  </si>
  <si>
    <t>Then there was the campaign.</t>
  </si>
  <si>
    <t>इसके बाद अभियान चला।</t>
  </si>
  <si>
    <t xml:space="preserve"> arctic_b0474 </t>
  </si>
  <si>
    <t>He was manifestly distressed by my coming.</t>
  </si>
  <si>
    <t>मेरे आने से वह स्पष्ट रूप से व्यथित थे।</t>
  </si>
  <si>
    <t xml:space="preserve"> arctic_b0475 </t>
  </si>
  <si>
    <t>Not a wheel moved in his empire.</t>
  </si>
  <si>
    <t>उसके साम्राज्य में एक भी पहिया नहीं चला।</t>
  </si>
  <si>
    <t xml:space="preserve"> arctic_b0476 </t>
  </si>
  <si>
    <t>The reorganization of these countries took the form of revolution.</t>
  </si>
  <si>
    <t>इन देशों के पुनर्गठन ने क्रांति का रूप ले लिया।</t>
  </si>
  <si>
    <t xml:space="preserve"> arctic_b0477 </t>
  </si>
  <si>
    <t>You're going in for grab sharing.</t>
  </si>
  <si>
    <t>आप ग्रैब शेयरिंग के लिए जा रहे हैं।</t>
  </si>
  <si>
    <t xml:space="preserve"> arctic_b0478 </t>
  </si>
  <si>
    <t>The Oligarchy will encourage such ambition and the consequent competition.</t>
  </si>
  <si>
    <t>कुलीनतंत्र ऐसी महत्वाकांक्षा और परिणामी प्रतिस्पर्धा को प्रोत्साहित करेगा।</t>
  </si>
  <si>
    <t xml:space="preserve"> arctic_b0479 </t>
  </si>
  <si>
    <t>Violation of this law was made a high misdemeanor and punished accordingly.</t>
  </si>
  <si>
    <t>इस कानून के उल्लंघन को एक बहुत बड़ा अपराध बना दिया गया और तदनुसार दंडित किया गया।</t>
  </si>
  <si>
    <t xml:space="preserve"> arctic_b0480 </t>
  </si>
  <si>
    <t>Without discussion, it was the agents provocateurs who caused the Peasant Revolt.</t>
  </si>
  <si>
    <t>चर्चा के बिना, यह एजेंट उत्तेजक थे जिन्होंने किसान विद्रोह का कारण बना।</t>
  </si>
  <si>
    <t xml:space="preserve"> arctic_b0481 </t>
  </si>
  <si>
    <t>The task we set ourselves was threefold.</t>
  </si>
  <si>
    <t>हमने जो कार्य स्वयं निर्धारित किया वह तीन गुना था।</t>
  </si>
  <si>
    <t xml:space="preserve"> arctic_b0482 </t>
  </si>
  <si>
    <t>Many other similar disconcerting omissions will be noticed in the Manuscript.</t>
  </si>
  <si>
    <t>पाण्डुलिपि में इसी प्रकार की और भी बहुत सी विचलित करने वाली चूकें देखने को मिलेंगी।</t>
  </si>
  <si>
    <t xml:space="preserve"> arctic_b0483 </t>
  </si>
  <si>
    <t>The flower of the artistic and intellectual world were revolutionists.</t>
  </si>
  <si>
    <t>कलात्मक और बौद्धिक जगत के फूल क्रांतिकारी थे।</t>
  </si>
  <si>
    <t xml:space="preserve"> arctic_b0484 </t>
  </si>
  <si>
    <t>This the Iron Heel foresaw and laid its schemes accordingly.</t>
  </si>
  <si>
    <t>यह लोहे की एड़ी ने पूर्वाभास किया और उसी के अनुसार अपनी योजनाएँ रखीं।</t>
  </si>
  <si>
    <t xml:space="preserve"> arctic_b0485 </t>
  </si>
  <si>
    <t>The mob came on, but it could not advance.</t>
  </si>
  <si>
    <t>भीड़ तो आई, लेकिन आगे नहीं बढ़ सकी।</t>
  </si>
  <si>
    <t xml:space="preserve"> arctic_b0486 </t>
  </si>
  <si>
    <t>But why continue the tirade, for tirade it was.</t>
  </si>
  <si>
    <t>लेकिन तीखा हमला क्यों जारी रखें, यह तीखा हमला था।</t>
  </si>
  <si>
    <t xml:space="preserve"> arctic_b0487 </t>
  </si>
  <si>
    <t>After all superfluous flesh is gone what is left is stringy and resistant.</t>
  </si>
  <si>
    <t>आखिरकार ज़रूरत से ज़्यादा मांस चला गया है, जो बचा है वह कठोर और प्रतिरोधी है।</t>
  </si>
  <si>
    <t xml:space="preserve"> arctic_b0488 </t>
  </si>
  <si>
    <t>Beyond refusing to sell us food, they left us to ourselves.</t>
  </si>
  <si>
    <t>हमें खाना बेचने से मना करने के अलावा, उन्होंने हमें अपने पास छोड़ दिया।</t>
  </si>
  <si>
    <t xml:space="preserve"> arctic_b0489 </t>
  </si>
  <si>
    <t>He was a merry monarch, especially so for an Asiatic.</t>
  </si>
  <si>
    <t>वह एक आनंदमय सम्राट था, विशेष रूप से एक एशियाई के लिए।</t>
  </si>
  <si>
    <t xml:space="preserve"> arctic_b0490 </t>
  </si>
  <si>
    <t>What an excited whispering and conferring took place.</t>
  </si>
  <si>
    <t>क्या उत्साहित फुसफुसाहट और बातचीत हुई।</t>
  </si>
  <si>
    <t xml:space="preserve"> arctic_b0491 </t>
  </si>
  <si>
    <t>Jacob Brinker, who was his roadmate, brought the news.</t>
  </si>
  <si>
    <t>जैकब ब्रिंकर, जो उनके रोडमेट थे, खबर लाए।</t>
  </si>
  <si>
    <t xml:space="preserve"> arctic_b0492 </t>
  </si>
  <si>
    <t>Thus he turned the tenets and jargon of psychology back on me.</t>
  </si>
  <si>
    <t>इस प्रकार उन्होंने मनोविज्ञान के सिद्धांतों और शब्दजाल को मुझ पर वापस कर दिया।</t>
  </si>
  <si>
    <t xml:space="preserve"> arctic_b0493 </t>
  </si>
  <si>
    <t>You yellow giant thing of the frost.</t>
  </si>
  <si>
    <t>आप ठंढ की पीली विशालकाय चीज।</t>
  </si>
  <si>
    <t xml:space="preserve"> arctic_b0494 </t>
  </si>
  <si>
    <t>Never so strange a prophet came up to Jerusalem.</t>
  </si>
  <si>
    <t>इतना अजीब नबी यरूशलेम में कभी नहीं आया।</t>
  </si>
  <si>
    <t xml:space="preserve"> arctic_b0495 </t>
  </si>
  <si>
    <t>We who have endured so much surely can endure a little more.</t>
  </si>
  <si>
    <t>हम जिन्होंने इतना कुछ सहा है, निश्चित रूप से थोड़ा और सह सकते हैं।</t>
  </si>
  <si>
    <t xml:space="preserve"> arctic_b0496 </t>
  </si>
  <si>
    <t>I have seen myself that one man contemplated by Pascal's philosophic eye.</t>
  </si>
  <si>
    <t>मैंने अपने आप को देखा है कि एक व्यक्ति ने पास्कल की दार्शनिक दृष्टि से चिंतन किया।</t>
  </si>
  <si>
    <t xml:space="preserve"> arctic_b0497 </t>
  </si>
  <si>
    <t>One great drawback to farming in California is our long dry summer.</t>
  </si>
  <si>
    <t>कैलिफ़ोर्निया में खेती की एक बड़ी कमी हमारी लंबी शुष्क गर्मी है।</t>
  </si>
  <si>
    <t xml:space="preserve"> arctic_b0498 </t>
  </si>
  <si>
    <t>I remembered the red wine of the Italian rancho, and shuddered inwardly.</t>
  </si>
  <si>
    <t>मुझे इटालियन रैंचो की रेड वाइन याद आ गई और मैं अंदर से सिहर उठा।</t>
  </si>
  <si>
    <t xml:space="preserve"> arctic_b0499 </t>
  </si>
  <si>
    <t>I said, and dismissed the matter as not worth thinking about.</t>
  </si>
  <si>
    <t>मैंने कहा, और बात को सोचने लायक नहीं समझकर खारिज कर दिया।</t>
  </si>
  <si>
    <t xml:space="preserve"> arctic_b0500 </t>
  </si>
  <si>
    <t>Then came my boy code.</t>
  </si>
  <si>
    <t>फिर आया मेरा बॉय कोड।</t>
  </si>
  <si>
    <t xml:space="preserve"> arctic_b0501 </t>
  </si>
  <si>
    <t>And wherever I ranged, the way lay along alcohol-drenched roads.</t>
  </si>
  <si>
    <t>और मैं जिधर भी घूमता, रास्ता शराब से लथपथ सड़कों के किनारे पड़ा।</t>
  </si>
  <si>
    <t xml:space="preserve"> arctic_b0502 </t>
  </si>
  <si>
    <t>And as we hurried up town, Joe Goose explained.</t>
  </si>
  <si>
    <t>और जैसे ही हमने शहर को जल्दी किया, जो गूज ने समझाया।</t>
  </si>
  <si>
    <t xml:space="preserve"> arctic_b0503 </t>
  </si>
  <si>
    <t>The scents of strange vegetation blew off the tropic land.</t>
  </si>
  <si>
    <t>अजीबोगरीब वनस्पतियों की गंध ने उष्णकटिबंधीय भूमि को उड़ा दिया।</t>
  </si>
  <si>
    <t xml:space="preserve"> arctic_b0504 </t>
  </si>
  <si>
    <t>The life there was healthful and athletic, but too juvenile.</t>
  </si>
  <si>
    <t>वहां का जीवन स्वस्थ और पुष्ट था, लेकिन बहुत किशोर भी था।</t>
  </si>
  <si>
    <t xml:space="preserve"> arctic_b0505 </t>
  </si>
  <si>
    <t>How valiantly I went at it that first day.</t>
  </si>
  <si>
    <t>मैं उस पहले दिन कितनी बहादुरी से उस पर गया था।</t>
  </si>
  <si>
    <t xml:space="preserve"> arctic_b0506 </t>
  </si>
  <si>
    <t>It would help to tide me along until I got steady employment.</t>
  </si>
  <si>
    <t>जब तक मुझे स्थिर रोजगार नहीं मिल जाता, तब तक यह मुझे साथ में चलने में मदद करेगा।</t>
  </si>
  <si>
    <t xml:space="preserve"> arctic_b0507 </t>
  </si>
  <si>
    <t>Did I possess too much vitality.</t>
  </si>
  <si>
    <t>क्या मेरे पास बहुत अधिक जीवन शक्ति थी।</t>
  </si>
  <si>
    <t xml:space="preserve"> arctic_b0508 </t>
  </si>
  <si>
    <t>In his anxiety and solicitude and love they did not count.</t>
  </si>
  <si>
    <t>उसकी चिंता और एकांत और प्रेम में उनकी कोई गिनती नहीं थी।</t>
  </si>
  <si>
    <t xml:space="preserve"> arctic_b0509 </t>
  </si>
  <si>
    <t>He had fulfilled his duty and paid properly.</t>
  </si>
  <si>
    <t>उसने अपना कर्तव्य पूरा किया और ठीक से भुगतान किया।</t>
  </si>
  <si>
    <t xml:space="preserve"> arctic_b0510 </t>
  </si>
  <si>
    <t>He knew what taboos he was violating.</t>
  </si>
  <si>
    <t>वह जानता था कि वह किन वर्जनाओं का उल्लंघन कर रहा है।</t>
  </si>
  <si>
    <t xml:space="preserve"> arctic_b0511 </t>
  </si>
  <si>
    <t>Do you value your hide.</t>
  </si>
  <si>
    <t>क्या आप अपने छिपाने को महत्व देते हैं।</t>
  </si>
  <si>
    <t xml:space="preserve"> arctic_b0512 </t>
  </si>
  <si>
    <t>You should have seen them when they heard me spitting Chinook.</t>
  </si>
  <si>
    <t>आपने उन्हें देखा होगा जब उन्होंने मुझे चिनूक को थूकते हुए सुना।</t>
  </si>
  <si>
    <t xml:space="preserve"> arctic_b0513 </t>
  </si>
  <si>
    <t>He plodded on for half an hour, when the hallucination arose again.</t>
  </si>
  <si>
    <t>वह आधे घंटे तक डटे रहे, जब मतिभ्रम फिर से उठा।</t>
  </si>
  <si>
    <t xml:space="preserve"> arctic_b0514 </t>
  </si>
  <si>
    <t>Tomorrow or next day it might he gone.</t>
  </si>
  <si>
    <t>कल या अगले दिन हो सकता है वह चला गया हो।</t>
  </si>
  <si>
    <t xml:space="preserve"> arctic_b0515 </t>
  </si>
  <si>
    <t>But already he had composed himself.</t>
  </si>
  <si>
    <t>लेकिन उन्होंने पहले ही खुद को कंपोज कर लिया था।</t>
  </si>
  <si>
    <t xml:space="preserve"> arctic_b0516 </t>
  </si>
  <si>
    <t>Zilla relaxed her sour mouth long enough to sigh her satisfaction.</t>
  </si>
  <si>
    <t>ज़िला ने अपनी संतुष्टि की सांस लेने के लिए अपने खट्टे मुंह को काफी देर तक आराम दिया।</t>
  </si>
  <si>
    <t xml:space="preserve"> arctic_b0517 </t>
  </si>
  <si>
    <t>Eggshell is not good to eat.</t>
  </si>
  <si>
    <t>अंडे का छिलका खाना अच्छा नहीं होता है।</t>
  </si>
  <si>
    <t xml:space="preserve"> arctic_b0518 </t>
  </si>
  <si>
    <t>But there was also talk of witchcraft in the village.</t>
  </si>
  <si>
    <t>लेकिन गांव में जादू टोना की भी चर्चा थी.</t>
  </si>
  <si>
    <t xml:space="preserve"> arctic_b0519 </t>
  </si>
  <si>
    <t>Yea, I will tell thee.</t>
  </si>
  <si>
    <t>हाँ, मैं आपको बताता हूँ।</t>
  </si>
  <si>
    <t xml:space="preserve"> arctic_b0520 </t>
  </si>
  <si>
    <t>Hans hurled himself upon the prostrate man, striking madly with his fists.</t>
  </si>
  <si>
    <t>हंस ने अपनी मुट्ठियों से पागलपन से प्रहार करते हुए, साष्टांग प्रणाम पर खुद को फेंक दिया।</t>
  </si>
  <si>
    <t xml:space="preserve"> arctic_b0521 </t>
  </si>
  <si>
    <t>And he thought of Oona, and of her words.</t>
  </si>
  <si>
    <t>और उसने ऊना और उसके शब्दों के बारे में सोचा।</t>
  </si>
  <si>
    <t xml:space="preserve"> arctic_b0522 </t>
  </si>
  <si>
    <t>Nor would it thaw out his hands and feet.</t>
  </si>
  <si>
    <t>न ही यह उसके हाथ-पैरों को पिघलाएगा।</t>
  </si>
  <si>
    <t xml:space="preserve"> arctic_b0523 </t>
  </si>
  <si>
    <t>The Russian music player, the Count, was her obedient slave.</t>
  </si>
  <si>
    <t>रूसी संगीत खिलाड़ी, काउंट, उसका आज्ञाकारी दास था।</t>
  </si>
  <si>
    <t xml:space="preserve"> arctic_b0524 </t>
  </si>
  <si>
    <t>So far as flags were concerned, they were beyond all jurisdiction.</t>
  </si>
  <si>
    <t>जहां तक झंडों का संबंध था, वे सभी अधिकार क्षेत्र से बाहर थे।</t>
  </si>
  <si>
    <t xml:space="preserve"> arctic_b0525 </t>
  </si>
  <si>
    <t>New idea, he volunteered, brand new idea.</t>
  </si>
  <si>
    <t>नया विचार, उन्होंने स्वेच्छा से, एकदम नया विचार।</t>
  </si>
  <si>
    <t xml:space="preserve"> arctic_b0526 </t>
  </si>
  <si>
    <t>Thirty pounds, said the captain with finality.</t>
  </si>
  <si>
    <t>तीस पाउंड, कप्तान ने अंतिम रूप से कहा।</t>
  </si>
  <si>
    <t xml:space="preserve"> arctic_b0527 </t>
  </si>
  <si>
    <t>The very idea of it was preposterous.</t>
  </si>
  <si>
    <t>इसकी कल्पना ही निराली थी।</t>
  </si>
  <si>
    <t xml:space="preserve"> arctic_b0528 </t>
  </si>
  <si>
    <t>Captain Doane's orders were swiftly obeyed.</t>
  </si>
  <si>
    <t>कैप्टन डोएन के आदेशों का तेजी से पालन किया गया।</t>
  </si>
  <si>
    <t xml:space="preserve"> arctic_b0529 </t>
  </si>
  <si>
    <t>Come on, Del Mar challenged.</t>
  </si>
  <si>
    <t>चलो, डेल मार ने चुनौती दी।</t>
  </si>
  <si>
    <t xml:space="preserve"> arctic_b0530 </t>
  </si>
  <si>
    <t>He had a big chimpanzee that was a winner.</t>
  </si>
  <si>
    <t>उसके पास एक बड़ा चिंपैंजी था जो विजेता था।</t>
  </si>
  <si>
    <t xml:space="preserve"> arctic_b0531 </t>
  </si>
  <si>
    <t>I am sure it must have been some adventure.</t>
  </si>
  <si>
    <t>मुझे यकीन है कि यह कुछ साहसिक कार्य रहा होगा।</t>
  </si>
  <si>
    <t xml:space="preserve"> arctic_b0532 </t>
  </si>
  <si>
    <t>That Longfellow chap most likely had written countless books of poetry.</t>
  </si>
  <si>
    <t>उस लॉन्गफेलो चैप ने सबसे अधिक संभावना कविता की अनगिनत किताबें लिखी थीं।</t>
  </si>
  <si>
    <t xml:space="preserve"> arctic_b0533 </t>
  </si>
  <si>
    <t>His abnormal power of vision made abstractions take on concrete form.</t>
  </si>
  <si>
    <t>उनकी दृष्टि की असामान्य शक्ति ने अमूर्तता को मूर्त रूप दिया।</t>
  </si>
  <si>
    <t xml:space="preserve"> arctic_b0534 </t>
  </si>
  <si>
    <t>I'll tell you, the librarian said with a brightening face.</t>
  </si>
  <si>
    <t>मैं आपको बताता हूँ, लाइब्रेरियन ने चमकीले चेहरे के साथ कहा।</t>
  </si>
  <si>
    <t xml:space="preserve"> arctic_b0535 </t>
  </si>
  <si>
    <t>He read his fragments aloud.</t>
  </si>
  <si>
    <t>उसने अपने अंशों को जोर से पढ़ा।</t>
  </si>
  <si>
    <t xml:space="preserve"> arctic_b0536 </t>
  </si>
  <si>
    <t>Typhoid -- did I tell you.</t>
  </si>
  <si>
    <t>टाइफाइड - क्या मैंने आपको बताया।</t>
  </si>
  <si>
    <t xml:space="preserve"> arctic_b0537 </t>
  </si>
  <si>
    <t>But she had become an automaton.</t>
  </si>
  <si>
    <t>लेकिन वह एक ऑटोमेटन बन गई थी।</t>
  </si>
  <si>
    <t xml:space="preserve"> arctic_b0538 </t>
  </si>
  <si>
    <t>At the best, they were necessary accessories.</t>
  </si>
  <si>
    <t>सबसे अच्छे रूप में, वे आवश्यक सामान थे।</t>
  </si>
  <si>
    <t xml:space="preserve"> arctic_b0539 </t>
  </si>
  <si>
    <t>You were making them talk shop, Ruth charged him.</t>
  </si>
  <si>
    <t>आप उन्हें बात की दुकान बना रहे थे, रूथ ने उस पर आरोप लगाया।</t>
  </si>
  <si>
    <t>Transcription</t>
  </si>
  <si>
    <t>( arctic_a0001 "Author of the danger trail, Philip Steels, etc." )</t>
  </si>
  <si>
    <t>( arctic_a0002 "Not at this particular case, Tom, apologized Whittemore." )</t>
  </si>
  <si>
    <t>( arctic_a0003 "For the twentieth time that evening the two men shook hands." )</t>
  </si>
  <si>
    <t>( arctic_a0004 "Lord, but I'm glad to see you again, Phil." )</t>
  </si>
  <si>
    <t>( arctic_a0005 "Will we ever forget it." )</t>
  </si>
  <si>
    <t>( arctic_a0006 "God bless 'em, I hope I'll go on seeing them forever." )</t>
  </si>
  <si>
    <t>( arctic_a0007 "And you always want to see it in the superlative degree." )</t>
  </si>
  <si>
    <t>( arctic_a0008 "Gad, your letter came just in time." )</t>
  </si>
  <si>
    <t>( arctic_a0009 "He turned sharply, and faced Gregson across the table." )</t>
  </si>
  <si>
    <t>( arctic_a0010 "I'm playing a single hand in what looks like a losing game." )</t>
  </si>
  <si>
    <t>( arctic_a0011 "If I ever needed a fighter in my life I need one now." )</t>
  </si>
  <si>
    <t>( arctic_a0012 "Gregson shoved back his chair and rose to his feet." )</t>
  </si>
  <si>
    <t>( arctic_a0013 "He was a head shorter than his companion, of almost delicate physique." )</t>
  </si>
  <si>
    <t>( arctic_a0014 "Now you're coming down to business, Phil, he exclaimed." )</t>
  </si>
  <si>
    <t>( arctic_a0015 "It's the aurora borealis." )</t>
  </si>
  <si>
    <t>( arctic_a0016 "There's Fort Churchill, a rifle-shot beyond the ridge, asleep." )</t>
  </si>
  <si>
    <t>( arctic_a0017 "From that moment his friendship for Belize turns to hatred and jealousy." )</t>
  </si>
  <si>
    <t>( arctic_a0018 "There was a change now." )</t>
  </si>
  <si>
    <t>( arctic_a0019 "I followed the line of the proposed railroad, looking for chances." )</t>
  </si>
  <si>
    <t>( arctic_a0020 "Clubs and balls and cities grew to be only memories." )</t>
  </si>
  <si>
    <t>( arctic_a0021 "It fairly clubbed me into recognizing it." )</t>
  </si>
  <si>
    <t>( arctic_a0022 "Hardly were our plans made public before we were met by powerful opposition." )</t>
  </si>
  <si>
    <t>( arctic_a0023 "A combination of Canadian capital quickly organized and petitioned for the same privileges." )</t>
  </si>
  <si>
    <t>( arctic_a0024 "It was my reports from the north which chiefly induced people to buy." )</t>
  </si>
  <si>
    <t>( arctic_a0025 "I was about to do this when cooler judgment prevailed." )</t>
  </si>
  <si>
    <t>( arctic_a0026 "It occurred to me that there would have to be an accounting." )</t>
  </si>
  <si>
    <t>( arctic_a0027 "To my surprise he began to show actual enthusiasm in my favor." )</t>
  </si>
  <si>
    <t>( arctic_a0028 "Robbery, bribery, fraud, " )</t>
  </si>
  <si>
    <t>( arctic_a0029 "Their forces were already moving into the north country." )</t>
  </si>
  <si>
    <t>( arctic_a0030 "I had faith in them." )</t>
  </si>
  <si>
    <t>( arctic_a0031 "They were three hundred yards apart." )</t>
  </si>
  <si>
    <t>( arctic_a0032 "Since then some mysterious force has been fighting us at every step." )</t>
  </si>
  <si>
    <t>( arctic_a0033 "He unfolded a long typewritten letter, and handed it to Gregson." )</t>
  </si>
  <si>
    <t>( arctic_a0034 "Men of Selden's stamp don't stop at women and children." )</t>
  </si>
  <si>
    <t>( arctic_a0035 "He stopped, and Philip nodded at the horrified question in his eyes." )</t>
  </si>
  <si>
    <t>( arctic_a0036 "She turned in at the hotel." )</t>
  </si>
  <si>
    <t>( arctic_a0037 "I was the only one who remained sitting." )</t>
  </si>
  <si>
    <t>( arctic_a0038 "We'll have to watch our chances." )</t>
  </si>
  <si>
    <t>( arctic_a0039 "The ship should be in within a week or ten days." )</t>
  </si>
  <si>
    <t>( arctic_a0040 "I suppose you wonder why she is coming up here." )</t>
  </si>
  <si>
    <t>( arctic_a0041 "Meanwhile I'll go out to breathe a spell." )</t>
  </si>
  <si>
    <t>( arctic_a0042 "How could he explain his possession of the sketch." )</t>
  </si>
  <si>
    <t>( arctic_a0043 "It seemed nearer to him since he had seen and talked with Gregson." )</t>
  </si>
  <si>
    <t>( arctic_a0044 "Her own betrayal of herself was like tonic to Philip." )</t>
  </si>
  <si>
    <t>( arctic_a0045 "He moved away as quietly as he had come." )</t>
  </si>
  <si>
    <t>( arctic_a0046 "The girl faced him, her eyes shining with sudden fear." )</t>
  </si>
  <si>
    <t>( arctic_a0047 "Close beside him gleamed the white fangs of the wolf-dog." )</t>
  </si>
  <si>
    <t>( arctic_a0048 "He looked at the handkerchief more, closely." )</t>
  </si>
  <si>
    <t>( arctic_a0049 "Gregson was asleep when he re-entered the cabin." )</t>
  </si>
  <si>
    <t>( arctic_a0050 "In spite of their absurdity the words affected Philip curiously." )</t>
  </si>
  <si>
    <t>( arctic_a0051 "The lace was of a delicate ivory color, faintly tinted with yellow." )</t>
  </si>
  <si>
    <t>( arctic_a0052 "It was a curious coincidence." )</t>
  </si>
  <si>
    <t>( arctic_a0053 "Suddenly his fingers closed tightly over the handkerchief." )</t>
  </si>
  <si>
    <t>( arctic_a0054 "There was nothing on the rock." )</t>
  </si>
  <si>
    <t>( arctic_a0055 "Philip stood undecided, his ears strained to catch the slightest sound." )</t>
  </si>
  <si>
    <t>( arctic_a0056 "Pearce's little eyes were fixed on him shrewdly." )</t>
  </si>
  <si>
    <t>( arctic_a0057 "I have no idea, replied Philip." )</t>
  </si>
  <si>
    <t>( arctic_a0058 "I came for information more out of curiosity than anything else." )</t>
  </si>
  <si>
    <t>( arctic_a0059 "His immaculate appearance was gone." )</t>
  </si>
  <si>
    <t>( arctic_a0060 "Anyway, no one saw her like that." )</t>
  </si>
  <si>
    <t>( arctic_a0061 "Philip snatched at the letter which Gregson held out to him." )</t>
  </si>
  <si>
    <t>( arctic_a0062 "The men stared into each other's face." )</t>
  </si>
  <si>
    <t>( arctic_a0063 "Yes, it was a man who asked, a stranger." )</t>
  </si>
  <si>
    <t>( arctic_a0064 "The fourth and fifth days passed without any developments." )</t>
  </si>
  <si>
    <t>( arctic_a0065 "They closed now until his fingers were like cords of steel." )</t>
  </si>
  <si>
    <t>( arctic_a0066 "He saw Jeanne falter for a moment." )</t>
  </si>
  <si>
    <t>( arctic_a0067 "Surely I will excuse you, she cried." )</t>
  </si>
  <si>
    <t>( arctic_a0068 "In a flash Philip followed its direction." )</t>
  </si>
  <si>
    <t>( arctic_a0069 "It was his intention to return to Eileen and her father." )</t>
  </si>
  <si>
    <t>( arctic_a0070 "He would first hunt up Gregson and begin his work there." )</t>
  </si>
  <si>
    <t>( arctic_a0071 "What was the object of your little sensation." )</t>
  </si>
  <si>
    <t>( arctic_a0072 "But who was Eileen's double." )</t>
  </si>
  <si>
    <t>( arctic_a0073 "The promoter's eyes were heavy, with little puffy bags under them." )</t>
  </si>
  <si>
    <t>( arctic_a0074 "And now, down there, Eileen was waiting for him." )</t>
  </si>
  <si>
    <t>( arctic_a0075 "There has been a change, she interrupted him." )</t>
  </si>
  <si>
    <t>( arctic_a0076 "The gray eyes faltered; the flush deepened." )</t>
  </si>
  <si>
    <t>( arctic_a0077 "It is the fire, partly, she said." )</t>
  </si>
  <si>
    <t>( arctic_a0078 "Then, and at supper, he tried to fathom her." )</t>
  </si>
  <si>
    <t>( arctic_a0079 "It was a large canoe." )</t>
  </si>
  <si>
    <t>( arctic_a0080 "What if Jeanne failed him." )</t>
  </si>
  <si>
    <t>( arctic_a0081 "What if she did not come to the rock." )</t>
  </si>
  <si>
    <t>( arctic_a0082 "His face was streaming with blood." )</t>
  </si>
  <si>
    <t>( arctic_a0083 "A shadow was creeping over Pierre's eyes." )</t>
  </si>
  <si>
    <t>( arctic_a0084 "Scarcely had he uttered the name when Pierre's closing eyes shot open." )</t>
  </si>
  <si>
    <t>( arctic_a0085 "A trickle of fresh blood ran over his face." )</t>
  </si>
  <si>
    <t>( arctic_a0086 "Death had come with terrible suddenness." )</t>
  </si>
  <si>
    <t>( arctic_a0087 "Philip bent lower, and stared into the face of the dead man." )</t>
  </si>
  <si>
    <t>( arctic_a0088 "He made sure that the magazine was loaded, and resumed his paddling." )</t>
  </si>
  <si>
    <t>( arctic_a0089 "The nightglow was treacherous to shoot by." )</t>
  </si>
  <si>
    <t>( arctic_a0090 "The singing voice approached rapidly." )</t>
  </si>
  <si>
    <t>( arctic_a0091 "His blood grew hot with rage at the thought." )</t>
  </si>
  <si>
    <t>( arctic_a0092 "He went down in midstream, searching the shadows of both shores." )</t>
  </si>
  <si>
    <t>( arctic_a0093 "For a full minute he crouched and listened." )</t>
  </si>
  <si>
    <t>( arctic_a0094 "He had barely entered this when he saw the glow of a fire." )</t>
  </si>
  <si>
    <t>( arctic_a0095 "A big canvas tent was the first thing to come within his vision." )</t>
  </si>
  <si>
    <t>( arctic_a0096 "Perhaps she had already met her fate a little deeper in the forest." )</t>
  </si>
  <si>
    <t>( arctic_a0097 "Then you can arrange yourself comfortably among these robes in the bow." )</t>
  </si>
  <si>
    <t>( arctic_a0098 "Shall I carry you." )</t>
  </si>
  <si>
    <t>( arctic_a0099 "A maddening joy pounded in his brain." )</t>
  </si>
  <si>
    <t>( arctic_a0100 "You must sleep, he urged." )</t>
  </si>
  <si>
    <t>( arctic_a0101 "You, you would not keep the truth from me." )</t>
  </si>
  <si>
    <t>( arctic_a0102 "He will follow us soon." )</t>
  </si>
  <si>
    <t>( arctic_a0103 "But there came no promise from the bow of the canoe." )</t>
  </si>
  <si>
    <t>( arctic_a0104 "She was sleeping under his protection as sweetly as a child." )</t>
  </si>
  <si>
    <t>( arctic_a0105 "Only, it is so wonderful, so almost impossible to believe." )</t>
  </si>
  <si>
    <t>( arctic_a0106 "The emotion which she had suppressed burst forth now in a choking sob." )</t>
  </si>
  <si>
    <t>( arctic_a0107 "If you only could know how I thank you." )</t>
  </si>
  <si>
    <t>( arctic_a0108 "He waded into the edge of the water and began scrubbing himself." )</t>
  </si>
  <si>
    <t>( arctic_a0109 "Do you know that you are shaking my confidence in you." )</t>
  </si>
  <si>
    <t>( arctic_a0110 "Much, replied Jeanne, as tersely." )</t>
  </si>
  <si>
    <t>( arctic_a0111 "Instead, he joined her; and they ate like two hungry children." )</t>
  </si>
  <si>
    <t>( arctic_a0112 "He was wounded in the arm." )</t>
  </si>
  <si>
    <t>( arctic_a0113 "I suppose you picked that lingo up among the Indians." )</t>
  </si>
  <si>
    <t>( arctic_a0114 "Her words sent a strange chill through Philip." )</t>
  </si>
  <si>
    <t>( arctic_a0115 "He had no excuse for the feelings which were aroused in him." )</t>
  </si>
  <si>
    <t>( arctic_a0116 "Was it the rendezvous of those who were striving to work his ruin." )</t>
  </si>
  <si>
    <t>( arctic_a0117 "She added, with genuine sympathy in her face and voice." )</t>
  </si>
  <si>
    <t>( arctic_a0118 "Pierre obeys me when we are together." )</t>
  </si>
  <si>
    <t>( arctic_a0119 "Jeanne was turning the bow shoreward." )</t>
  </si>
  <si>
    <t>( arctic_a0120 "My right foot feels like that of a Chinese debutante." )</t>
  </si>
  <si>
    <t>( arctic_a0121 "They ate dinner at the fifth, and rested for two hours." )</t>
  </si>
  <si>
    <t>( arctic_a0122 "Two years ago I gave up civilization for this." )</t>
  </si>
  <si>
    <t>( arctic_a0123 "She had died from cold and starvation." )</t>
  </si>
  <si>
    <t>( arctic_a0124 "It was Jeanne singing softly over beyond the rocks." )</t>
  </si>
  <si>
    <t>( arctic_a0125 "He was determined now to maintain a more certain hold upon himself." )</t>
  </si>
  <si>
    <t>( arctic_a0126 "Each day she became a more vital part of him." )</t>
  </si>
  <si>
    <t>( arctic_a0127 "It was a temptation, but he resisted it." )</t>
  </si>
  <si>
    <t>( arctic_a0128 "This one hope was destroyed as quickly as it was born." )</t>
  </si>
  <si>
    <t>( arctic_a0129 "Her face was against his breast." )</t>
  </si>
  <si>
    <t>( arctic_a0130 "She was his now, forever." )</t>
  </si>
  <si>
    <t>( arctic_a0131 "Providence had delivered him through the maelstrom." )</t>
  </si>
  <si>
    <t>( arctic_a0132 "A cry of joy burst from Philip's lips." )</t>
  </si>
  <si>
    <t>( arctic_a0133 "Philip began to feel that he had foolishly overestimated his strength." )</t>
  </si>
  <si>
    <t>( arctic_a0134 "He obeyed the pressure of her hand." )</t>
  </si>
  <si>
    <t>( arctic_a0135 "I am going to surprise father, and you will go with Pierre." )</t>
  </si>
  <si>
    <t>( arctic_a0136 "About him, everywhere, were the evidences of luxury and of age." )</t>
  </si>
  <si>
    <t>( arctic_a0137 "Then he stepped back with a low cry of pleasure." )</t>
  </si>
  <si>
    <t>( arctic_a0138 "In the picture he saw each moment a greater resemblance to Jeanne." )</t>
  </si>
  <si>
    <t>( arctic_a0139 "He told himself that as he washed himself and groomed his disheveled clothes." )</t>
  </si>
  <si>
    <t>( arctic_a0140 "Accept a father's blessing, and with it, this." )</t>
  </si>
  <si>
    <t>( arctic_a0141 "It seems like a strange pointing of the hand of God." )</t>
  </si>
  <si>
    <t>( arctic_a0142 "Such things had occurred before, he told Philip." )</t>
  </si>
  <si>
    <t>( arctic_a0143 "Ah, I had forgotten, he exclaimed." )</t>
  </si>
  <si>
    <t>( arctic_a0144 "But there was something even more startling than this resemblance." )</t>
  </si>
  <si>
    <t>( arctic_a0145 "I have to be careful of them, as they tear very easily." )</t>
  </si>
  <si>
    <t>( arctic_a0146 "Of course, that is uninteresting, she continued." )</t>
  </si>
  <si>
    <t>( arctic_a0147 "A moment before he was intoxicated by a joy that was almost madness." )</t>
  </si>
  <si>
    <t>( arctic_a0148 "Now these things had been struck dead within him." )</t>
  </si>
  <si>
    <t>( arctic_a0149 "For an instant he saw Pierre drawn like a silhouette against the sky." )</t>
  </si>
  <si>
    <t>( arctic_a0150 "Goodbye, Pierre, he shouted." )</t>
  </si>
  <si>
    <t>( arctic_a0151 "And MacDougall was beyond the trail, with three weeks to spare." )</t>
  </si>
  <si>
    <t>( arctic_a0152 "Philip thrust himself against it and entered." )</t>
  </si>
  <si>
    <t>( arctic_a0153 "MacDougall tapped his forehead suspiciously with a stubby forefinger." )</t>
  </si>
  <si>
    <t>( arctic_a0154 "He was smooth-shaven, and his hair and eyes were black." )</t>
  </si>
  <si>
    <t>( arctic_a0155 "Won't you draw up, gentlemen." )</t>
  </si>
  <si>
    <t>( arctic_a0156 "A strange fire burned in his eyes when Thorpe turned." )</t>
  </si>
  <si>
    <t>( arctic_a0157 "He had worshiped her, as Dante might have worshiped Beatrice." )</t>
  </si>
  <si>
    <t>( arctic_a0158 "Does that look good." )</t>
  </si>
  <si>
    <t>( arctic_a0159 "They look as though he had been drumming a piano all his life." )</t>
  </si>
  <si>
    <t>( arctic_a0160 "You want to go over and see his gang throw dirt." )</t>
  </si>
  <si>
    <t>( arctic_a0161 "Take away their foreman and they wouldn't be worth their grub." )</t>
  </si>
  <si>
    <t>( arctic_a0162 "That's the sub-foreman, explained Thorpe." )</t>
  </si>
  <si>
    <t>( arctic_a0163 "Philip made no effort to follow." )</t>
  </si>
  <si>
    <t>( arctic_a0164 "He came first a year ago, and revealed himself to Jeanne." )</t>
  </si>
  <si>
    <t>( arctic_a0165 "They are to attack your camp tomorrow night." )</t>
  </si>
  <si>
    <t>( arctic_a0166 "Two days ago Jeanne learned where her father's men were hiding." )</t>
  </si>
  <si>
    <t>( arctic_a0167 "I was near the cabin, and saw you." )</t>
  </si>
  <si>
    <t>( arctic_a0168 "Low bush whipped him in the face and left no sting." )</t>
  </si>
  <si>
    <t>( arctic_a0169 "Suddenly Jeanne stopped for an instant." )</t>
  </si>
  <si>
    <t>( arctic_a0170 "There was none of the joy of meeting in his face." )</t>
  </si>
  <si>
    <t>( arctic_a0171 "And when you come back in a few days, bring Eileen." )</t>
  </si>
  <si>
    <t>( arctic_a0172 "Gregson had left the outer door slightly ajar." )</t>
  </si>
  <si>
    <t>( arctic_a0173 "The date was nearly eighteen years old." )</t>
  </si>
  <si>
    <t>( arctic_a0174 "They were the presage of storm." )</t>
  </si>
  <si>
    <t>( arctic_a0175 "Down there the earth was already swelling with life." )</t>
  </si>
  <si>
    <t>( arctic_a0176 "For the first time in his life he was yearning for a scrap." )</t>
  </si>
  <si>
    <t>( arctic_a0177 "She had been thoroughly and efficiently mauled." )</t>
  </si>
  <si>
    <t>( arctic_a0178 "Every bone in her aged body seemed broken or dislocated." )</t>
  </si>
  <si>
    <t>( arctic_a0179 "Tomorrow I'm going after that bear, he said." )</t>
  </si>
  <si>
    <t>( arctic_a0180 "If not, let's say our prayers and go to bed." )</t>
  </si>
  <si>
    <t>( arctic_a0181 "So cheer up, and give us your paw." )</t>
  </si>
  <si>
    <t>( arctic_a0182 "This time he did not yap for mercy." )</t>
  </si>
  <si>
    <t>( arctic_a0183 "And the air was growing chilly." )</t>
  </si>
  <si>
    <t>( arctic_a0184 "Don't you see, I'm chewing this thing in two." )</t>
  </si>
  <si>
    <t>( arctic_a0185 "The questions may have come vaguely in his mind." )</t>
  </si>
  <si>
    <t>( arctic_a0186 "Like a flash he launched himself into the feathered mass of the owl." )</t>
  </si>
  <si>
    <t>( arctic_a0187 "Ahead of them they saw a glimmer of sunshine." )</t>
  </si>
  <si>
    <t>( arctic_a0188 "Two gigantic owls were tearing at the carcass." )</t>
  </si>
  <si>
    <t>( arctic_a0189 "The big-eyed, clucking moose-birds were most annoying." )</t>
  </si>
  <si>
    <t>( arctic_a0190 "Next to them the Canada jays were most persistent." )</t>
  </si>
  <si>
    <t>( arctic_a0191 "For a time the exciting thrill of his adventure was gone." )</t>
  </si>
  <si>
    <t>( arctic_a0192 "He did not rush in." )</t>
  </si>
  <si>
    <t>( arctic_a0193 "It was edged with ice." )</t>
  </si>
  <si>
    <t>( arctic_a0194 "He drank of the water cautiously." )</t>
  </si>
  <si>
    <t>( arctic_a0195 "But a strange thing happened." )</t>
  </si>
  <si>
    <t>( arctic_a0196 "He began to follow the footprints of the dog." )</t>
  </si>
  <si>
    <t>( arctic_a0197 "Such a dog the wise driver kills, or turns loose." )</t>
  </si>
  <si>
    <t>( arctic_a0198 "Sometimes her dreams were filled with visions." )</t>
  </si>
  <si>
    <t>( arctic_a0199 "Thus had the raw wilderness prepared him for this day." )</t>
  </si>
  <si>
    <t>( arctic_a0200 "He leapt again, and the club caught him once more." )</t>
  </si>
  <si>
    <t>( arctic_a0201 "He cried, and swung the club wildly." )</t>
  </si>
  <si>
    <t>( arctic_a0202 "She turned, fearing that Jacques might see what was in her face." )</t>
  </si>
  <si>
    <t>( arctic_a0203 "They were following the shore of a lake." )</t>
  </si>
  <si>
    <t>( arctic_a0204 "The wolf-dog thrust his gaunt muzzle toward him." )</t>
  </si>
  <si>
    <t>( arctic_a0205 "From now on we're pals." )</t>
  </si>
  <si>
    <t>( arctic_a0206 "He says he bought him of Jacques Le Beau." )</t>
  </si>
  <si>
    <t>( arctic_a0207 "How much was it." )</t>
  </si>
  <si>
    <t>( arctic_a0208 "Youth had come back to her, freed from the yoke of oppression." )</t>
  </si>
  <si>
    <t>( arctic_a0209 "It was not a large lake, and almost round." )</t>
  </si>
  <si>
    <t>( arctic_a0210 "Its diameter was not more than two hundred yards." )</t>
  </si>
  <si>
    <t>( arctic_a0211 "It drowned all sound that brute agony and death may have made." )</t>
  </si>
  <si>
    <t>( arctic_a0212 "Fresh cases, still able to walk, they clustered about the spokesman." )</t>
  </si>
  <si>
    <t>( arctic_a0213 "Between him and the beach was the cane-grass fence of the compound." )</t>
  </si>
  <si>
    <t>( arctic_a0214 "Besides, he was paid one case of tobacco per head." )</t>
  </si>
  <si>
    <t>( arctic_a0215 "They die out of spite." )</t>
  </si>
  <si>
    <t>( arctic_a0216 "The other felt a sudden wave of irritation rush through him." )</t>
  </si>
  <si>
    <t>( arctic_a0217 "Oppressive as the heat had been, it was now even more oppressive." )</t>
  </si>
  <si>
    <t>( arctic_a0218 "The ringing of the big bell aroused him." )</t>
  </si>
  <si>
    <t>( arctic_a0219 "At first he puzzled over something untoward he was sure had happened." )</t>
  </si>
  <si>
    <t>( arctic_a0220 "A dead man is of no use on a plantation." )</t>
  </si>
  <si>
    <t>( arctic_a0221 "I don't know why you're here at all." )</t>
  </si>
  <si>
    <t>( arctic_a0222 "What part of the United States is your home." )</t>
  </si>
  <si>
    <t>( arctic_a0223 "My, I'm almost homesick for it already." )</t>
  </si>
  <si>
    <t>( arctic_a0224 "She nodded, and her eyes grew soft and moist." )</t>
  </si>
  <si>
    <t>( arctic_a0225 "I was brought up the way most girls in Hawaii are brought up." )</t>
  </si>
  <si>
    <t>( arctic_a0226 "That came before my A B C's." )</t>
  </si>
  <si>
    <t>( arctic_a0227 "It was the same way with our revolvers and rifles." )</t>
  </si>
  <si>
    <t>( arctic_a0228 "But it contributed to the smash." )</t>
  </si>
  <si>
    <t>( arctic_a0229 "The last one I knew was an overseer." )</t>
  </si>
  <si>
    <t>( arctic_a0230 "Do you know any good land around here." )</t>
  </si>
  <si>
    <t>( arctic_a0231 "The Resident Commissioner is away in Australia." )</t>
  </si>
  <si>
    <t>( arctic_a0232 "I cannot follow you, she said." )</t>
  </si>
  <si>
    <t>( arctic_a0233 "I never allow what can't be changed to annoy me." )</t>
  </si>
  <si>
    <t>( arctic_a0234 "Why, the average review is more nauseating than cod liver oil." )</t>
  </si>
  <si>
    <t>( arctic_a0235 "His voice was passionately rebellious." )</t>
  </si>
  <si>
    <t>( arctic_a0236 "Don't you see I hate you." )</t>
  </si>
  <si>
    <t>( arctic_a0237 "So Hughie and I did the managing ourselves." )</t>
  </si>
  <si>
    <t>( arctic_a0238 "It happened to him at the Gallina Society in Oakland one afternoon." )</t>
  </si>
  <si>
    <t>( arctic_a0239 "He cried in such genuine dismay that she broke into hearty laughter." )</t>
  </si>
  <si>
    <t>( arctic_a0240 "Wash your hands of me." )</t>
  </si>
  <si>
    <t>( arctic_a0241 "I think it's much nicer to quarrel." )</t>
  </si>
  <si>
    <t>( arctic_a0242 "I saw it when she rolled." )</t>
  </si>
  <si>
    <t>( arctic_a0243 "I only read the quotations." )</t>
  </si>
  <si>
    <t>( arctic_a0244 "He was the soul of devotion to his employers." )</t>
  </si>
  <si>
    <t>( arctic_a0245 "Out of his eighteen hundred, he laid aside sixteen hundred each year." )</t>
  </si>
  <si>
    <t>( arctic_a0246 "You have heard always how he was the lover of the Princess Naomi." )</t>
  </si>
  <si>
    <t>( arctic_a0247 "They ought to pass here some time today." )</t>
  </si>
  <si>
    <t>( arctic_a0248 "I had been sad too long already." )</t>
  </si>
  <si>
    <t>( arctic_a0249 "All eyes, however, were staring at him in certitude of expectancy." )</t>
  </si>
  <si>
    <t>( arctic_a0250 "He had observed the business life of Hawaii and developed a vaulting ambition." )</t>
  </si>
  <si>
    <t>( arctic_a0251 "I may manage to freight a cargo back as well." )</t>
  </si>
  <si>
    <t>( arctic_a0252 "O'Brien had been a clean living young man with ideals." )</t>
  </si>
  <si>
    <t>( arctic_a0253 "He it was that lived to found the family of the Patino." )</t>
  </si>
  <si>
    <t>( arctic_a0254 "Straight out they swam, their heads growing smaller and smaller." )</t>
  </si>
  <si>
    <t>( arctic_a0255 "You won't die of malnutrition, be sure of that." )</t>
  </si>
  <si>
    <t>( arctic_a0256 "See the length of the body and that elongated neck." )</t>
  </si>
  <si>
    <t>( arctic_a0257 "They are coming ashore, whoever they are." )</t>
  </si>
  <si>
    <t>( arctic_a0258 "Soaked in seawater they offset the heat rays." )</t>
  </si>
  <si>
    <t>( arctic_a0259 "Think of investing in such an adventure." )</t>
  </si>
  <si>
    <t>( arctic_a0260 "Nobody knew his history, they of the Junta least of all." )</t>
  </si>
  <si>
    <t>( arctic_a0261 "I have been doubly baptized." )</t>
  </si>
  <si>
    <t>( arctic_a0262 "They wouldn't be sweeping a big vessel like the Martha." )</t>
  </si>
  <si>
    <t>( arctic_a0263 "Joan looked triumphantly at Sheldon, who bowed." )</t>
  </si>
  <si>
    <t>( arctic_a0264 "And I hope you've got plenty of chain out, Captain Young." )</t>
  </si>
  <si>
    <t>( arctic_a0265 "The discovery seemed to have been made on the spur of the moment." )</t>
  </si>
  <si>
    <t>( arctic_a0266 "They handled two men already, both grub-thieves." )</t>
  </si>
  <si>
    <t>( arctic_a0267 "Eli Harding asked, as Shunk started to follow." )</t>
  </si>
  <si>
    <t>( arctic_a0268 "Now go ahead and tell me in a straightforward way what has happened." )</t>
  </si>
  <si>
    <t>( arctic_a0269 "That's where they cut off the Scottish Chiefs and killed all hands." )</t>
  </si>
  <si>
    <t>( arctic_a0270 "And after the bath a shave would not be bad." )</t>
  </si>
  <si>
    <t>( arctic_a0271 "Now please give a plain statement of what occurred." )</t>
  </si>
  <si>
    <t>( arctic_a0272 "You can take a vacation on pay." )</t>
  </si>
  <si>
    <t>( arctic_a0273 "They are big trees and require plenty of room." )</t>
  </si>
  <si>
    <t>( arctic_a0274 "And Raoul listened again to the tale of the house." )</t>
  </si>
  <si>
    <t>( arctic_a0275 "There are no kiddies and half grown youths among them." )</t>
  </si>
  <si>
    <t>( arctic_a0276 "Oolong Atoll was one hundred and forty miles in circumference." )</t>
  </si>
  <si>
    <t>( arctic_a0277 "McCoy found a stifling, poisonous atmosphere in the pent cabin." )</t>
  </si>
  <si>
    <t>( arctic_a0278 "It would give me nervous prostration." )</t>
  </si>
  <si>
    <t>( arctic_a0279 "She said with chattering teeth." )</t>
  </si>
  <si>
    <t>( arctic_a0280 "I'll be out of my head in fifteen minutes." )</t>
  </si>
  <si>
    <t>( arctic_a0281 "I do not blame you for anything; remember that." )</t>
  </si>
  <si>
    <t>( arctic_a0282 "If you mean to insinuate -- Brentwood began hotly." )</t>
  </si>
  <si>
    <t>( arctic_a0283 "The woman in you is only incidental, accidental, and irrelevant." )</t>
  </si>
  <si>
    <t>( arctic_a0284 "There was no forecasting this strange girl's processes." )</t>
  </si>
  <si>
    <t>( arctic_a0285 "But what they want with your toothbrush is more than I can imagine." )</t>
  </si>
  <si>
    <t>( arctic_a0286 "Give them their choice between a fine or an official whipping." )</t>
  </si>
  <si>
    <t>( arctic_a0287 "Keep an eye on him." )</t>
  </si>
  <si>
    <t>( arctic_a0288 "Those are my oysters, he said at last." )</t>
  </si>
  <si>
    <t>( arctic_a0289 "They are not regular oyster pirates, Nicholas continued." )</t>
  </si>
  <si>
    <t>( arctic_a0290 "One by one the boys were captured." )</t>
  </si>
  <si>
    <t>( arctic_a0291 "The weeks had gone by, and no overt acts had been attempted." )</t>
  </si>
  <si>
    <t>( arctic_a0292 "Here, in the midmorning, the first casualty occurred." )</t>
  </si>
  <si>
    <t>( arctic_a0293 "They were deep in the primeval forest." )</t>
  </si>
  <si>
    <t>( arctic_a0294 "He had been foiled in his attempt to escape." )</t>
  </si>
  <si>
    <t>( arctic_a0295 "And twenty men could hold it with spears and arrows." )</t>
  </si>
  <si>
    <t>( arctic_a0296 "Bassett was a fastidious man." )</t>
  </si>
  <si>
    <t>( arctic_a0297 "There's a big English general right now whose name is Roberts." )</t>
  </si>
  <si>
    <t>( arctic_a0298 "This tacit promise of continued acquaintance gave Saxon a little joy-thrill." )</t>
  </si>
  <si>
    <t>( arctic_a0299 "I tell you I am disgusted with this adventure tomfoolery and rot." )</t>
  </si>
  <si>
    <t>( arctic_a0300 "From my earliest recollection my sleep was a period of terror." )</t>
  </si>
  <si>
    <t>( arctic_a0301 "But all my dreams violated this law." )</t>
  </si>
  <si>
    <t>( arctic_a0302 "It is very plausible to such people, a most convincing hypothesis." )</t>
  </si>
  <si>
    <t>( arctic_a0303 "But they make the mistake of ignoring their own duality." )</t>
  </si>
  <si>
    <t>( arctic_a0304 "I graduated last of my class." )</t>
  </si>
  <si>
    <t>( arctic_a0305 "They had no fixed values, to be altered by adjectives and adverbs." )</t>
  </si>
  <si>
    <t>( arctic_a0306 "He was pressing beyond the limits of his vocabulary." )</t>
  </si>
  <si>
    <t>( arctic_a0307 "Very early in my life, I separated from my mother." )</t>
  </si>
  <si>
    <t>( arctic_a0308 "His infernal chattering worries me even now as I think of it." )</t>
  </si>
  <si>
    <t>( arctic_a0309 "White Leghorns, said Mrs Mortimer." )</t>
  </si>
  <si>
    <t>( arctic_a0310 "Massage under tension, was the cryptic reply." )</t>
  </si>
  <si>
    <t>( arctic_a0311 "Therefore, hurrah for the game." )</t>
  </si>
  <si>
    <t>( arctic_a0312 "It lived in perpetual apprehension of that quarter of the compass." )</t>
  </si>
  <si>
    <t>( arctic_a0313 "Broken-Tooth yelled with fright and pain." )</t>
  </si>
  <si>
    <t>( arctic_a0314 "Thus was momentum gained in the Younger World." )</t>
  </si>
  <si>
    <t>( arctic_a0315 "Saxon waited, for she knew a fresh idea had struck Billy." )</t>
  </si>
  <si>
    <t>( arctic_a0316 "We had been chased by them ourselves, more than once." )</t>
  </si>
  <si>
    <t>( arctic_a0317 "He was a wise hyena." )</t>
  </si>
  <si>
    <t>( arctic_a0318 "Production is doubling and quadrupling upon itself." )</t>
  </si>
  <si>
    <t>( arctic_a0319 "And the Edinburgh Evening News says, with editorial gloom." )</t>
  </si>
  <si>
    <t>( arctic_a0320 "With my strength I slammed it full into Red-Eye's face." )</t>
  </si>
  <si>
    <t>( arctic_a0321 "The log on which Lop-Ear was lying got adrift." )</t>
  </si>
  <si>
    <t>( arctic_a0322 "This is a common experience with all of us." )</t>
  </si>
  <si>
    <t>( arctic_a0323 "He considered the victory already his and stepped forward to the meat." )</t>
  </si>
  <si>
    <t>( arctic_a0324 "It was not Red-Eye's way to forego revenge so easily." )</t>
  </si>
  <si>
    <t>( arctic_a0325 "Whiz-zip-bang. Lop-Ear screamed with sudden anguish." )</t>
  </si>
  <si>
    <t>( arctic_a0326 "Cherokee identified himself with his instinct." )</t>
  </si>
  <si>
    <t>( arctic_a0327 "They were less stooped than we, less springy in their movements." )</t>
  </si>
  <si>
    <t>( arctic_a0328 "The Fire People, like ourselves, lived in caves." )</t>
  </si>
  <si>
    <t>( arctic_a0329 "Ah, indeed." )</t>
  </si>
  <si>
    <t>( arctic_a0330 "Red-Eye never committed a more outrageous deed." )</t>
  </si>
  <si>
    <t>( arctic_a0331 "Poor little Crooked-Leg was terribly scared." )</t>
  </si>
  <si>
    <t>( arctic_a0332 "Unconsciously, our yells and exclamations yielded to this rhythm." )</t>
  </si>
  <si>
    <t>( arctic_a0333 "This is no place for you." )</t>
  </si>
  <si>
    <t>( arctic_a0334 "He'll knock you off a few sticks in no time." )</t>
  </si>
  <si>
    <t>( arctic_a0335 "Red-Eye swung back and forth on the branch farther down." )</t>
  </si>
  <si>
    <t>( arctic_a0336 "So unexpected was my charge that I knocked him off his feet." )</t>
  </si>
  <si>
    <t>( arctic_a0337 "Encouraged by my conduct, Big-Face became a sudden ally." )</t>
  </si>
  <si>
    <t>( arctic_a0338 "The fighting had now become intermittent." )</t>
  </si>
  <si>
    <t>( arctic_a0339 "They obeyed him, and went here and there at his commands." )</t>
  </si>
  <si>
    <t>( arctic_a0340 "It was like the beating of hoofs." )</t>
  </si>
  <si>
    <t>( arctic_a0341 "Why, doggone you all, shake again." )</t>
  </si>
  <si>
    <t>( arctic_a0342 "Seventeen, no, eighteen days ago." )</t>
  </si>
  <si>
    <t>( arctic_a0343 "You mean for this State, General, Alberta." )</t>
  </si>
  <si>
    <t>( arctic_a0344 "He seemed to fill it with his tremendous vitality." )</t>
  </si>
  <si>
    <t>( arctic_a0345 "She was trying to pass the apron string around him." )</t>
  </si>
  <si>
    <t>( arctic_a0346 "Get down and dig in." )</t>
  </si>
  <si>
    <t>( arctic_a0347 "They are greatly delighted with anything that is bright or giveth a sound." )</t>
  </si>
  <si>
    <t>( arctic_a0348 "They only lifted seven hundred and fifty." )</t>
  </si>
  <si>
    <t>( arctic_a0349 "It was simple, in its way, and no virtue of his." )</t>
  </si>
  <si>
    <t>( arctic_a0350 "Is that Pat Hanrahan's mug looking hungry and willing." )</t>
  </si>
  <si>
    <t>( arctic_a0351 "It was more like sugar." )</t>
  </si>
  <si>
    <t>( arctic_a0352 "I'm sure going along with you all, Elijah." )</t>
  </si>
  <si>
    <t>( arctic_a0353 "Here the explosion of mirth drowned him out." )</t>
  </si>
  <si>
    <t>( arctic_a0354 "Fresh meat they failed to obtain." )</t>
  </si>
  <si>
    <t>( arctic_a0355 "A burst of laughter was his reward." )</t>
  </si>
  <si>
    <t>( arctic_a0356 "You don't catch me at any such foolishness." )</t>
  </si>
  <si>
    <t>( arctic_a0357 "A month passed by, and Bonanza Creek remained quiet." )</t>
  </si>
  <si>
    <t>( arctic_a0358 "They continued valiantly to lie, but the truth continued to outrun them." )</t>
  </si>
  <si>
    <t>( arctic_a0359 "Earth and gravel seemed to fill the pan." )</t>
  </si>
  <si>
    <t>( arctic_a0360 "But he no longer cared quite so much for that form of diversion." )</t>
  </si>
  <si>
    <t>( arctic_a0361 "But he did not broach it, preferring to mature it carefully." )</t>
  </si>
  <si>
    <t>( arctic_a0362 "Nope, not the slightest idea." )</t>
  </si>
  <si>
    <t>( arctic_a0363 "It is not an attempt to smash the market." )</t>
  </si>
  <si>
    <t>( arctic_a0364 "We have plenty of capital ourselves, and yet we want more." )</t>
  </si>
  <si>
    <t>( arctic_a0365 "These rumors may even originate with us." )</t>
  </si>
  <si>
    <t>( arctic_a0366 "A wildly exciting time was his during the week preceding Thursday the eighteenth." )</t>
  </si>
  <si>
    <t>( arctic_a0367 "There is not an iota of truth in it, certainly not." )</t>
  </si>
  <si>
    <t>( arctic_a0368 "I just do appreciate it without being able to express my feelings." )</t>
  </si>
  <si>
    <t>( arctic_a0369 "In partnership with Daylight, the pair raided the San Jose Interurban." )</t>
  </si>
  <si>
    <t>( arctic_a0370 "He saw all men in the business game doing this." )</t>
  </si>
  <si>
    <t>( arctic_a0371 "It issued a rate of forty two dollars a car on charcoal." )</t>
  </si>
  <si>
    <t>( arctic_a0372 "He saw only the effect in a general, sketchy way." )</t>
  </si>
  <si>
    <t>( arctic_a0373 "Points of view, new ideas, life." )</t>
  </si>
  <si>
    <t>( arctic_a0374 "But life's worth more than cash, she argued." )</t>
  </si>
  <si>
    <t>( arctic_a0375 "The butchers and meat cutters refused to handle meat destined for unfair restaurants." )</t>
  </si>
  <si>
    <t>( arctic_a0376 "Your price, my son, is just about thirty per week." )</t>
  </si>
  <si>
    <t>( arctic_a0377 "This sound did not disturb the hush and awe of the place." )</t>
  </si>
  <si>
    <t>( arctic_a0378 "That's why its boundaries are all gouged and jagged." )</t>
  </si>
  <si>
    <t>( arctic_a0379 "How old are you, daddy." )</t>
  </si>
  <si>
    <t>( arctic_a0380 "But in the canyons water was plentiful and also a luxuriant forest growth." )</t>
  </si>
  <si>
    <t>( arctic_a0381 "My name's Ferguson." )</t>
  </si>
  <si>
    <t>( arctic_a0382 "Daylight found himself charmed and made curious by the little man." )</t>
  </si>
  <si>
    <t>( arctic_a0383 "To his surprise, her answer was flat and uncompromising." )</t>
  </si>
  <si>
    <t>( arctic_a0384 "The farmer works the soil and produces grain." )</t>
  </si>
  <si>
    <t>( arctic_a0385 "That's what Carnegie did." )</t>
  </si>
  <si>
    <t>( arctic_a0386 "I can't argue with you, and you know that." )</t>
  </si>
  <si>
    <t>( arctic_a0387 "Bob, growing disgusted, turned back suddenly and attempted to pass Mab." )</t>
  </si>
  <si>
    <t>( arctic_a0388 "It was my idea to a tee." )</t>
  </si>
  <si>
    <t>( arctic_a0389 "Mab, she said." )</t>
  </si>
  <si>
    <t>( arctic_a0390 "I'll go over tomorrow afternoon." )</t>
  </si>
  <si>
    <t>( arctic_a0391 "But he reconciled himself to it by an act of faith." )</t>
  </si>
  <si>
    <t>( arctic_a0392 "There is that magnificent Bob, eating his head off in the stable." )</t>
  </si>
  <si>
    <t>( arctic_a0393 "Already he had begun borrowing from the banks." )</t>
  </si>
  <si>
    <t>( arctic_a0394 "It's the strap hangers that'll keep us from going under." )</t>
  </si>
  <si>
    <t>( arctic_a0395 "As for himself, weren't the street railway earnings increasing steadily." )</t>
  </si>
  <si>
    <t>( arctic_a0396 "A rising tide of fat had submerged them." )</t>
  </si>
  <si>
    <t>( arctic_a0397 "Call me that again, he murmured ecstatically." )</t>
  </si>
  <si>
    <t>( arctic_a0398 "In the car were Unwin and Harrison, while Jones sat with the chauffeur." )</t>
  </si>
  <si>
    <t>( arctic_a0399 "And here's another idea." )</t>
  </si>
  <si>
    <t>( arctic_a0400 "Manuel had one besetting sin." )</t>
  </si>
  <si>
    <t>( arctic_a0401 "The man smiled grimly, and brought a hatchet and a club." )</t>
  </si>
  <si>
    <t>( arctic_a0402 "Curly rushed her antagonist, who struck again and leaped aside." )</t>
  </si>
  <si>
    <t>( arctic_a0403 "His newborn cunning gave him poise and control." )</t>
  </si>
  <si>
    <t>( arctic_a0404 "Perrault found one with head buried in the grub box." )</t>
  </si>
  <si>
    <t>( arctic_a0405 "It seemed the ordained order of things that dogs should work." )</t>
  </si>
  <si>
    <t>( arctic_a0406 "And that was the last of Francois and Perrault." )</t>
  </si>
  <si>
    <t>( arctic_a0407 "Mercedes screamed, cried, laughed, and manifested the chaotic abandonment of hysteria." )</t>
  </si>
  <si>
    <t>( arctic_a0408 "The Eldorado emptied its occupants into the street to see the test." )</t>
  </si>
  <si>
    <t>( arctic_a0409 "He could feel a new stir in the land." )</t>
  </si>
  <si>
    <t>( arctic_a0410 "So we have to fit the boat throughout with oil lamps as well." )</t>
  </si>
  <si>
    <t>( arctic_a0411 "It will break our hearts and our backs to hoist anchor by hand." )</t>
  </si>
  <si>
    <t>( arctic_a0412 "There is another virtue in these bulkheads." )</t>
  </si>
  <si>
    <t>( arctic_a0413 "But I am at the end of my resources." )</t>
  </si>
  <si>
    <t>( arctic_a0414 "Now our figuring was all right." )</t>
  </si>
  <si>
    <t>( arctic_a0415 "It lasted as a deterrent for two days." )</t>
  </si>
  <si>
    <t>( arctic_a0416 "The added weight had a velocity of fifteen miles per hour." )</t>
  </si>
  <si>
    <t>( arctic_a0417 "It is also an insidious, deceitful sun." )</t>
  </si>
  <si>
    <t>( arctic_a0418 "The Portuguese boy crawled nearer and nearer." )</t>
  </si>
  <si>
    <t>( arctic_a0419 "The Portuguese boy passed the Hawaiian." )</t>
  </si>
  <si>
    <t>( arctic_a0420 "When I came to I was waving my hat and murmuring ecstatically." )</t>
  </si>
  <si>
    <t>( arctic_a0421 "By golly, the boy wins." )</t>
  </si>
  <si>
    <t>( arctic_a0422 "Halfway around the track one donkey got into an argument with its rider." )</t>
  </si>
  <si>
    <t>( arctic_a0423 "McVeigh when he returns from a trip to Honolulu." )</t>
  </si>
  <si>
    <t>( arctic_a0424 "Obviously, it was a disease that could be contracted by contact." )</t>
  </si>
  <si>
    <t>( arctic_a0425 "Otherwise no restriction is put upon their seafaring." )</t>
  </si>
  <si>
    <t>( arctic_a0426 "They do not know the length of time of incubation." )</t>
  </si>
  <si>
    <t>( arctic_a0427 "Enters now the psychology of the situation." )</t>
  </si>
  <si>
    <t>( arctic_a0428 "It was not exactly a deportation." )</t>
  </si>
  <si>
    <t>( arctic_a0429 "Quick was the disappointment in his face, yet smiling was the acquiescence." )</t>
  </si>
  <si>
    <t>( arctic_a0430 "Nevertheless we found ourselves once more in the high seat of abundance." )</t>
  </si>
  <si>
    <t>( arctic_a0431 "Wada and Nakata were in a bit of a funk." )</t>
  </si>
  <si>
    <t>( arctic_a0432 "The boy at the wheel lost his head." )</t>
  </si>
  <si>
    <t>( arctic_a0433 "To her the bridge was tambo, which is the native for taboo." )</t>
  </si>
  <si>
    <t>( arctic_a0434 "A half a case of tobacco was worth three pounds." )</t>
  </si>
  <si>
    <t>( arctic_a0435 "What do you mean by this outrageous conduct." )</t>
  </si>
  <si>
    <t>( arctic_a0436 "But Martin smiled a superior smile." )</t>
  </si>
  <si>
    <t>( arctic_a0437 "By that answer my professional medical prestige stood or fell." )</t>
  </si>
  <si>
    <t>( arctic_a0438 "At sea, Monday, March 16, 1908." )</t>
  </si>
  <si>
    <t>( arctic_a0439 "At sea, Wednesday, March 18, 1908." )</t>
  </si>
  <si>
    <t>( arctic_a0440 "Yes, sir, I corrected." )</t>
  </si>
  <si>
    <t>( arctic_a0441 "Violent life and athletic sports had never appealed to me." )</t>
  </si>
  <si>
    <t>( arctic_a0442 "You live on an income which your father earned." )</t>
  </si>
  <si>
    <t>( arctic_a0443 "He was worth nothing to the world." )</t>
  </si>
  <si>
    <t>( arctic_a0444 "Then you don't believe in altruism." )</t>
  </si>
  <si>
    <t>( arctic_a0445 "The creative joy, I murmured." )</t>
  </si>
  <si>
    <t>( arctic_a0446 "He deluged me, overwhelmed me with argument." )</t>
  </si>
  <si>
    <t>( arctic_a0447 "Ah, it is growing dark and darker." )</t>
  </si>
  <si>
    <t>( arctic_a0448 "I was Hump, cabin boy on the schooner Ghost." )</t>
  </si>
  <si>
    <t>( arctic_a0449 "A sinewy hand, dripping with water, was clutching the rail." )</t>
  </si>
  <si>
    <t>( arctic_a0450 "No man ate of the seal meat or the oil." )</t>
  </si>
  <si>
    <t>( arctic_a0451 "I noticed blood spouting from Kerfoot's left hand." )</t>
  </si>
  <si>
    <t>( arctic_a0452 "Three oilers and a fourth engineer, was his greeting." )</t>
  </si>
  <si>
    <t>( arctic_a0453 "Eighteen hundred, he calculated." )</t>
  </si>
  <si>
    <t>( arctic_a0454 "The sharp voice of Wolf Larsen aroused me." )</t>
  </si>
  <si>
    <t>( arctic_a0455 "I obeyed, and a minute or two later they stood before him." )</t>
  </si>
  <si>
    <t>( arctic_a0456 "But it won't continue, she said with easy confidence." )</t>
  </si>
  <si>
    <t>( arctic_a0457 "What I saw I could not at first believe." )</t>
  </si>
  <si>
    <t>( arctic_a0458 "The stout wood was crushed like an eggshell." )</t>
  </si>
  <si>
    <t>( arctic_a0459 "There's too much of the schoolboy in me." )</t>
  </si>
  <si>
    <t>( arctic_a0460 "I had forgotten their existence." )</t>
  </si>
  <si>
    <t>( arctic_a0461 "Ah, we were very close together in that moment." )</t>
  </si>
  <si>
    <t>( arctic_a0462 "But she swung obediently on her heel into the wind." )</t>
  </si>
  <si>
    <t>( arctic_a0463 "They are his tongue, by which he makes his knowledge articulate." )</t>
  </si>
  <si>
    <t>( arctic_a0464 "Between the rush of the cascades, streaks of rust showed everywhere." )</t>
  </si>
  <si>
    <t>( arctic_a0465 "He'll never do a tap of work the whole Voyage." )</t>
  </si>
  <si>
    <t>( arctic_a0466 "Captain West may be a Samurai, but he is also human." )</t>
  </si>
  <si>
    <t>( arctic_a0467 "And so early in the voyage, too." )</t>
  </si>
  <si>
    <t>( arctic_a0468 "In the matter of curry she is a sheer genius." )</t>
  </si>
  <si>
    <t>( arctic_a0469 "The eastern heavens were equally spectacular." )</t>
  </si>
  <si>
    <t>( arctic_a0470 "He spat it out like so much venom." )</t>
  </si>
  <si>
    <t>( arctic_a0471 "I saw Mr Pike nod his head grimly and sarcastically." )</t>
  </si>
  <si>
    <t>( arctic_a0472 "He is too keenly intelligent, too sharply sensitive, successfully to endure." )</t>
  </si>
  <si>
    <t>( arctic_a0473 "The night was calm and snowy." )</t>
  </si>
  <si>
    <t>( arctic_a0474 "I sailed third mate in the little Vampire before you were born." )</t>
  </si>
  <si>
    <t>( arctic_a0475 "His outstretched arm dropped to his side, and he paused." )</t>
  </si>
  <si>
    <t>( arctic_a0476 "At this moment I felt a stir at my shoulder." )</t>
  </si>
  <si>
    <t>( arctic_a0477 "Wada, Louis, and the steward are servants of Asiatic breed." )</t>
  </si>
  <si>
    <t>( arctic_a0478 "Also, she has forbidden them smoking their pipes in the after-room." )</t>
  </si>
  <si>
    <t>( arctic_a0479 "I tried to read George Moore last night, and was dreadfully bored." )</t>
  </si>
  <si>
    <t>( arctic_a0480 "Tom Spink has a harpoon." )</t>
  </si>
  <si>
    <t>( arctic_a0481 "Nimrod replied, with a slight manifestation of sensitiveness." )</t>
  </si>
  <si>
    <t>( arctic_a0482 "And their chief virtue lies in that they will never wear out." )</t>
  </si>
  <si>
    <t>( arctic_a0483 "Beyond dispute, Corry Hutchinson had married Mabel Holmes." )</t>
  </si>
  <si>
    <t>( arctic_a0484 "No-sir-ee." )</t>
  </si>
  <si>
    <t>( arctic_a0485 "Each insult added to the value of the claim." )</t>
  </si>
  <si>
    <t>( arctic_a0486 "For the rest, he was a mere automaton." )</t>
  </si>
  <si>
    <t>( arctic_a0487 "The river bared its bosom, and snorting steamboats challenged the wilderness." )</t>
  </si>
  <si>
    <t>( arctic_a0488 "Their love burned with increasing brightness." )</t>
  </si>
  <si>
    <t>( arctic_a0489 "They were artists, not biologists." )</t>
  </si>
  <si>
    <t>( arctic_a0490 "Both Johnny and his mother shuffled their feet as they walked." )</t>
  </si>
  <si>
    <t>( arctic_a0491 "And as in denial of guilt, the one-legged boy replied." )</t>
  </si>
  <si>
    <t>( arctic_a0492 "Burnt out like the crater of a volcano." )</t>
  </si>
  <si>
    <t>( arctic_a0493 "The boy, O'Brien, was specially maltreated." )</t>
  </si>
  <si>
    <t>( arctic_a0494 "O'Brien took off his coat and bared his right arm." )</t>
  </si>
  <si>
    <t>( arctic_a0495 "He bore no grudges and had few enemies." )</t>
  </si>
  <si>
    <t>( arctic_a0496 "And Tom King patiently endured." )</t>
  </si>
  <si>
    <t>( arctic_a0497 "King took every advantage he knew." )</t>
  </si>
  <si>
    <t>( arctic_a0498 "The lines were now very taut." )</t>
  </si>
  <si>
    <t>( arctic_a0499 "And right there I saw and knew it all." )</t>
  </si>
  <si>
    <t>( arctic_a0500 "Who the devil gave it to you to be judge and jury." )</t>
  </si>
  <si>
    <t>( arctic_a0501 "You're joking me, sir, the other managed to articulate." )</t>
  </si>
  <si>
    <t>( arctic_a0502 "Anything unusual or abnormal was sufficient to send a fellow to Molokai." )</t>
  </si>
  <si>
    <t>( arctic_a0503 "His beady black eyes saw bargains where other men saw bankruptcy." )</t>
  </si>
  <si>
    <t>( arctic_a0504 "He was an athlete and a giant." )</t>
  </si>
  <si>
    <t>( arctic_a0505 "We fished sharks on Niihau together." )</t>
  </si>
  <si>
    <t>( arctic_a0506 "The Claudine was leaving next morning for Honolulu." )</t>
  </si>
  <si>
    <t>( arctic_a0508 "Soon shall it be thrust back from off prostrate humanity." )</t>
  </si>
  <si>
    <t>( arctic_a0509 "Yet, in accordance with Ernest's test of truth, it worked." )</t>
  </si>
  <si>
    <t>( arctic_a0510 "Much more Ernest told them of themselves and of his disillusionment." )</t>
  </si>
  <si>
    <t>( arctic_a0511 "There is more behind this than a mere university ideal." )</t>
  </si>
  <si>
    <t>( arctic_a0512 "No, it is a palace, wherein there are many servants." )</t>
  </si>
  <si>
    <t>( arctic_a0513 "We must give ourselves and not our money alone." )</t>
  </si>
  <si>
    <t>( arctic_a0514 "We are consumed in our own flesh-pots." )</t>
  </si>
  <si>
    <t>( arctic_a0515 "But here amongst ourselves let us speak out." )</t>
  </si>
  <si>
    <t>( arctic_a0516 "Also, there was awe in their faces." )</t>
  </si>
  <si>
    <t>( arctic_a0517 "Out of abstractions Ernest had conjured a vision and made them see it." )</t>
  </si>
  <si>
    <t>( arctic_a0518 "Illuminating oil was becoming all profit." )</t>
  </si>
  <si>
    <t>( arctic_a0519 "Such an act was in direct violation of the laws of the land." )</t>
  </si>
  <si>
    <t>( arctic_a0520 "He was fond of quoting a fragment from a certain poem." )</t>
  </si>
  <si>
    <t>( arctic_a0521 "Without them he could not run his empire." )</t>
  </si>
  <si>
    <t>( arctic_a0522 "For such countries nothing remained but reorganization." )</t>
  </si>
  <si>
    <t>( arctic_a0523 "They could not continue their method of producing surpluses." )</t>
  </si>
  <si>
    <t>( arctic_a0524 "At once would be instituted a dozen cooperative commonwealth states." )</t>
  </si>
  <si>
    <t>( arctic_a0525 "The Oligarchy wanted violence, and it set its agents provocateurs to work." )</t>
  </si>
  <si>
    <t>( arctic_a0526 "Nowhere did the raw earth appear." )</t>
  </si>
  <si>
    <t>( arctic_a0527 "The lush vegetation of that sheltered spot make a natural shield." )</t>
  </si>
  <si>
    <t>( arctic_a0528 "Men who endure it, call it living death." )</t>
  </si>
  <si>
    <t>( arctic_a0529 "As I say, he had tapped the message very rapidly." )</t>
  </si>
  <si>
    <t>( arctic_a0530 "Ask him, I laughed, then turned to Pasquini." )</t>
  </si>
  <si>
    <t>( arctic_a0531 "In what bucolic school of fence he had been taught was beyond imagining." )</t>
  </si>
  <si>
    <t>( arctic_a0532 "May drought destroy your crops." )</t>
  </si>
  <si>
    <t>( arctic_a0533 "Dunham, can your boy go along with Jesse." )</t>
  </si>
  <si>
    <t>( arctic_a0534 "But Johannes could, and did." )</t>
  </si>
  <si>
    <t>( arctic_a0535 "A new preacher and a new doctrine come to Jerusalem." )</t>
  </si>
  <si>
    <t>( arctic_a0536 "He would destroy all things that are fixed." )</t>
  </si>
  <si>
    <t>( arctic_a0537 "He was an enthusiast and a desert dweller." )</t>
  </si>
  <si>
    <t>( arctic_a0538 "What Pascal glimpsed with the vision of a seer, I have lived." )</t>
  </si>
  <si>
    <t>( arctic_a0539 "I should like to engage just for one whole life in that." )</t>
  </si>
  <si>
    <t>( arctic_a0540 "Yea, so are all the lesser animals of today clean." )</t>
  </si>
  <si>
    <t>( arctic_a0541 "The Warden with a quart of champagne." )</t>
  </si>
  <si>
    <t>( arctic_a0542 "Without a doubt, some of them have dinner engagements." )</t>
  </si>
  <si>
    <t>( arctic_a0543 "I had been born with no organic, chemical predisposition toward alcohol." )</t>
  </si>
  <si>
    <t>( arctic_a0544 "He may anticipate the day of his death." )</t>
  </si>
  <si>
    <t>( arctic_a0545 "The Italian rancho was a bachelor establishment." )</t>
  </si>
  <si>
    <t>( arctic_a0546 "I lost my balance and pitched head foremost into the ooze." )</t>
  </si>
  <si>
    <t>( arctic_a0547 "Men like Joe Goose dated existence from drunk to drunk." )</t>
  </si>
  <si>
    <t>( arctic_a0548 "Also, churches and preachers I had never known." )</t>
  </si>
  <si>
    <t>( arctic_a0549 "Do you know that we weigh every pound of coal we burn." )</t>
  </si>
  <si>
    <t>( arctic_a0550 "This also became part of the daily schedule." )</t>
  </si>
  <si>
    <t>( arctic_a0551 "All an appearance can know is mirage." )</t>
  </si>
  <si>
    <t>( arctic_a0552 "Yet he dreams he is immortal, I argue feebly." )</t>
  </si>
  <si>
    <t>( arctic_a0553 "I am writing these lines in Honolulu, Hawaii." )</t>
  </si>
  <si>
    <t>( arctic_a0554 "Jack London, Waikiki Beach, Honolulu, Oahu." )</t>
  </si>
  <si>
    <t>( arctic_a0555 "Jerry was so secure in his nook that he did not roll away." )</t>
  </si>
  <si>
    <t>( arctic_a0556 "Why, he's bought forty pounds of goods from you already." )</t>
  </si>
  <si>
    <t>( arctic_a0557 "The last refugee had passed." )</t>
  </si>
  <si>
    <t>( arctic_a0558 "And the foundation stone of service, in his case, was obedience." )</t>
  </si>
  <si>
    <t>( arctic_a0559 "Peace be unto you and grace before the Lord." )</t>
  </si>
  <si>
    <t>( arctic_a0560 "His mouth opened; words shaped vainly on his lips." )</t>
  </si>
  <si>
    <t>( arctic_a0561 "Bill lingered, contemplating his work with artistic appreciation." )</t>
  </si>
  <si>
    <t>( arctic_a0562 "What the flaming." )</t>
  </si>
  <si>
    <t>( arctic_a0563 "Mrs McFee's jaws brought together with a snap." )</t>
  </si>
  <si>
    <t>( arctic_a0564 "Then it is as I said, Womble announced with finality." )</t>
  </si>
  <si>
    <t>( arctic_a0565 "With them were Indians, also three other men." )</t>
  </si>
  <si>
    <t>( arctic_a0566 "Dennin's hands were released long enough for him to sign the document." )</t>
  </si>
  <si>
    <t>( arctic_a0567 "Now Irvine was a man of impulse, a poet." )</t>
  </si>
  <si>
    <t>( arctic_a0568 "He was just bursting with joy, joy over what." )</t>
  </si>
  <si>
    <t>( arctic_a0569 "At Lake Linderman I had one canoe, very good Peterborough canoe." )</t>
  </si>
  <si>
    <t>( arctic_a0570 "Behind him lay the thousand-years-long road across all Siberia and Russia." )</t>
  </si>
  <si>
    <t>( arctic_a0571 "He had forgotten to build a fire and thaw out." )</t>
  </si>
  <si>
    <t>( arctic_a0572 "I never saw anything like her in my life." )</t>
  </si>
  <si>
    <t>( arctic_a0573 "There was no law on the Yukon save what they made for themselves." )</t>
  </si>
  <si>
    <t>( arctic_a0574 "Good business man, Curly, O'Brien was saying." )</t>
  </si>
  <si>
    <t>( arctic_a0575 "There weren't any missions, and he was the man to know." )</t>
  </si>
  <si>
    <t>( arctic_a0576 "And the big Persian knew of his existence before he did of hers." )</t>
  </si>
  <si>
    <t>( arctic_a0577 "Once the jews harp began emitting its barbaric rhythms, Michael was helpless." )</t>
  </si>
  <si>
    <t>( arctic_a0578 "But we'll just postpone this." )</t>
  </si>
  <si>
    <t>( arctic_a0579 "There was the Emma Louisa." )</t>
  </si>
  <si>
    <t>( arctic_a0580 "This is my fifth voyage." )</t>
  </si>
  <si>
    <t>( arctic_a0581 "It was this proposition that started the big idea in Daughtry's mind." )</t>
  </si>
  <si>
    <t>( arctic_a0582 "Daughtry elaborated on the counting trick by bringing Cocky along." )</t>
  </si>
  <si>
    <t>( arctic_a0583 "Enjoy it he did, but principally for Steward's sake." )</t>
  </si>
  <si>
    <t>( arctic_a0584 "I have long noted your thirst unquenchable." )</t>
  </si>
  <si>
    <t>( arctic_a0585 "Wonder if he's a lion dog, Charles suggested." )</t>
  </si>
  <si>
    <t>( arctic_a0586 "We don't see ourselves as foolish." )</t>
  </si>
  <si>
    <t>( arctic_a0587 "He had comparatively no advantages at first." )</t>
  </si>
  <si>
    <t>( arctic_a0588 "He had proved it today, with his amateurish and sophomoric productions." )</t>
  </si>
  <si>
    <t>( arctic_a0589 "I was sick once -- typhoid." )</t>
  </si>
  <si>
    <t>( arctic_a0590 "In a way he is my protege." )</t>
  </si>
  <si>
    <t>( arctic_a0591 "We are both children together." )</t>
  </si>
  <si>
    <t>( arctic_a0592 "It's only his indigestion I find fault with." )</t>
  </si>
  <si>
    <t>( arctic_a0593 "She'd make a good wife for the cashier." )</t>
  </si>
  <si>
    <t>( arctic_b0001 "Gad, do I remember it." )</t>
  </si>
  <si>
    <t>( arctic_b0002 "You got out by fighting, and I through a pretty girl." )</t>
  </si>
  <si>
    <t>( arctic_b0003 "I can see that knife now." )</t>
  </si>
  <si>
    <t>( arctic_b0004 "When I can't see beauty in woman I want to die." )</t>
  </si>
  <si>
    <t>( arctic_b0005 "His slim fingers closed like steel about Philip's." )</t>
  </si>
  <si>
    <t>( arctic_b0006 "He seized Gregson by the arm and led him to the door." )</t>
  </si>
  <si>
    <t>( arctic_b0007 "Hear the Indian dogs wailing down at Churchill." )</t>
  </si>
  <si>
    <t>( arctic_b0008 "Burke himself had criticized it because of the smile." )</t>
  </si>
  <si>
    <t>( arctic_b0009 "I'd say there was going to be a glorious scrap." )</t>
  </si>
  <si>
    <t>( arctic_b0010 "He turned the map to Gregson, pointing with his finger." )</t>
  </si>
  <si>
    <t>( arctic_b0011 "His eyes never took themselves for an instant from his companion's face." )</t>
  </si>
  <si>
    <t>( arctic_b0012 "Something that Whittemore had not yet said thrilled him." )</t>
  </si>
  <si>
    <t>( arctic_b0013 "Lakes and rivers, hundreds of them, thousands of them." )</t>
  </si>
  <si>
    <t>( arctic_b0014 "Whitefish, Gregson, whitefish and trout." )</t>
  </si>
  <si>
    <t>( arctic_b0015 "They robbed me a few years later." )</t>
  </si>
  <si>
    <t>( arctic_b0016 "He chuckled as he pulled out his pipe and began filling it." )</t>
  </si>
  <si>
    <t>( arctic_b0017 "Everything was working smoothly, better than I had expected." )</t>
  </si>
  <si>
    <t>( arctic_b0018 "I was completely lost in my work." )</t>
  </si>
  <si>
    <t>( arctic_b0019 "His slim hands gripped the edges of the table." )</t>
  </si>
  <si>
    <t>( arctic_b0020 "He made no reply as he waited for Whittemore to continue." )</t>
  </si>
  <si>
    <t>( arctic_b0021 "Philip dropped back into his chair." )</t>
  </si>
  <si>
    <t>( arctic_b0022 "If I was out of the game it would be easily made." )</t>
  </si>
  <si>
    <t>( arctic_b0023 "MacDougall, my engineer, believes it." )</t>
  </si>
  <si>
    <t>( arctic_b0024 "It is growing, every day, every hour." )</t>
  </si>
  <si>
    <t>( arctic_b0025 "Now, you understand." )</t>
  </si>
  <si>
    <t>( arctic_b0026 "You have associated with some of these men." )</t>
  </si>
  <si>
    <t>( arctic_b0027 "And there's no chivalry, no quarter shown in this fight." )</t>
  </si>
  <si>
    <t>( arctic_b0028 "Lord Fitzhugh is the key to the whole situation." )</t>
  </si>
  <si>
    <t>( arctic_b0029 "All operations have been carried on from Montreal and Toronto." )</t>
  </si>
  <si>
    <t>( arctic_b0030 "Gregson held a lighted match until it burnt his fingertips." )</t>
  </si>
  <si>
    <t>( arctic_b0031 "Gregson had seated himself under the lamp and was sharpening a pencil." )</t>
  </si>
  <si>
    <t>( arctic_b0032 "He caught himself with a jerk." )</t>
  </si>
  <si>
    <t>( arctic_b0033 "How does your wager look now." )</t>
  </si>
  <si>
    <t>( arctic_b0034 "He confessed that the sketch had startled him." )</t>
  </si>
  <si>
    <t>( arctic_b0035 "After all, the picture was only a resemblance." )</t>
  </si>
  <si>
    <t>( arctic_b0036 "He wondered, too, where Roscoe was." )</t>
  </si>
  <si>
    <t>( arctic_b0037 "Philip knew that she was not an Indian." )</t>
  </si>
  <si>
    <t>( arctic_b0038 "In her haste to get away she had forgotten these things." )</t>
  </si>
  <si>
    <t>( arctic_b0039 "Philip took a step toward Gregson, half determined to awaken him." )</t>
  </si>
  <si>
    <t>( arctic_b0040 "The thought set his blood tingling." )</t>
  </si>
  <si>
    <t>( arctic_b0041 "But if Pierre did not return, until tomorrow." )</t>
  </si>
  <si>
    <t>( arctic_b0042 "Ten minutes had not elapsed since he had dropped the handkerchief." )</t>
  </si>
  <si>
    <t>( arctic_b0043 "It won't be for sale." )</t>
  </si>
  <si>
    <t>( arctic_b0044 "For a few moments he ate in silence." )</t>
  </si>
  <si>
    <t>( arctic_b0045 "Philip did not pursue the subject." )</t>
  </si>
  <si>
    <t>( arctic_b0046 "Philip produced a couple of cigars and took a chair opposite him." )</t>
  </si>
  <si>
    <t>( arctic_b0047 "Suppose you saw me at work through the window." )</t>
  </si>
  <si>
    <t>( arctic_b0048 "He looked like one who had passed through an uncomfortable hour or two." )</t>
  </si>
  <si>
    <t>( arctic_b0049 "There was nothing more, except a large ink blot under the words." )</t>
  </si>
  <si>
    <t>( arctic_b0050 "All this day Gregson remained in the cabin." )</t>
  </si>
  <si>
    <t>( arctic_b0051 "The sixth day he spent in the cabin with Gregson." )</t>
  </si>
  <si>
    <t>( arctic_b0052 "The flush was gone from her face." )</t>
  </si>
  <si>
    <t>( arctic_b0053 "That is why I am, am rattled, he laughed." )</t>
  </si>
  <si>
    <t>( arctic_b0054 "He understood the meaning of the look." )</t>
  </si>
  <si>
    <t>( arctic_b0055 "She was even more beautiful than when I saw her, before." )</t>
  </si>
  <si>
    <t>( arctic_b0056 "I'll give a thousand if you produce her, retorted Gregson." )</t>
  </si>
  <si>
    <t>( arctic_b0057 "They have won popular sentiment through the newspapers." )</t>
  </si>
  <si>
    <t>( arctic_b0058 "We must achieve our own salvation." )</t>
  </si>
  <si>
    <t>( arctic_b0059 "In moments of mental energy Philip was restless." )</t>
  </si>
  <si>
    <t>( arctic_b0060 "He would keep his faith with Gregson for the promised day or two." )</t>
  </si>
  <si>
    <t>( arctic_b0061 "Something about it seemed to fascinate him, to challenge his presence." )</t>
  </si>
  <si>
    <t>( arctic_b0062 "Now it was missing from the wall." )</t>
  </si>
  <si>
    <t>( arctic_b0063 "He boiled himself some coffee and sat down to wait." )</t>
  </si>
  <si>
    <t>( arctic_b0064 "I'm going down there with you, and I'm going to fight." )</t>
  </si>
  <si>
    <t>( arctic_b0065 "Now have you got anything to say against me, Mr Philip." )</t>
  </si>
  <si>
    <t>( arctic_b0066 "If I meet her again I shall apologize, said Eileen." )</t>
  </si>
  <si>
    <t>( arctic_b0067 "Below him the shadow was broken into a pool of rippling starlight." )</t>
  </si>
  <si>
    <t>( arctic_b0068 "Only the chance sound had led him to observe them." )</t>
  </si>
  <si>
    <t>( arctic_b0069 "Could the incident have anything to do with Jeanne and Pierre." )</t>
  </si>
  <si>
    <t>( arctic_b0070 "There was no chance to fire without hitting him." )</t>
  </si>
  <si>
    <t>( arctic_b0071 "There was no answer from the other side." )</t>
  </si>
  <si>
    <t>( arctic_b0072 "Then he hastened on, as Pierre had guided him." )</t>
  </si>
  <si>
    <t>( arctic_b0073 "With these arguments he convinced himself that he should go on alone." )</t>
  </si>
  <si>
    <t>( arctic_b0074 "Yet, behind them there was another and more powerful motive." )</t>
  </si>
  <si>
    <t>( arctic_b0075 "In that case he could not miss them, if he used caution." )</t>
  </si>
  <si>
    <t>( arctic_b0076 "Before Philip could recover himself Jeanne's startled guards were upon him." )</t>
  </si>
  <si>
    <t>( arctic_b0077 "It is the nearest refuge." )</t>
  </si>
  <si>
    <t>( arctic_b0078 "There was pride and strength, the ring of triumph in his voice." )</t>
  </si>
  <si>
    <t>( arctic_b0079 "The truth of it set Jeanne quivering." )</t>
  </si>
  <si>
    <t>( arctic_b0080 "Tomorrow it will be strong enough for you to stand upon." )</t>
  </si>
  <si>
    <t>( arctic_b0081 "You were going to leave after you saw me on the rock." )</t>
  </si>
  <si>
    <t>( arctic_b0082 "He bit his tongue, and cursed himself at this fresh break." )</t>
  </si>
  <si>
    <t>( arctic_b0083 "In it there was something that was almost tragedy." )</t>
  </si>
  <si>
    <t>( arctic_b0084 "Your face is red with blood." )</t>
  </si>
  <si>
    <t>( arctic_b0085 "Her eyes smiled truth at him as he came up the bank." )</t>
  </si>
  <si>
    <t>( arctic_b0086 "He can care for himself." )</t>
  </si>
  <si>
    <t>( arctic_b0087 "They will search for us between their camp and Churchill." )</t>
  </si>
  <si>
    <t>( arctic_b0088 "Until I die, he exclaimed." )</t>
  </si>
  <si>
    <t>( arctic_b0089 "Her beautiful hair was done up in shining coils." )</t>
  </si>
  <si>
    <t>( arctic_b0090 "The Churchill narrowed and its current became swifter as they progressed." )</t>
  </si>
  <si>
    <t>( arctic_b0091 "For a full half minute Jeanne looked at him without speaking." )</t>
  </si>
  <si>
    <t>( arctic_b0092 "I want to die in it." )</t>
  </si>
  <si>
    <t>( arctic_b0093 "Darkness hid him from Jeanne." )</t>
  </si>
  <si>
    <t>( arctic_b0094 "And yet if she came he had no words to say." )</t>
  </si>
  <si>
    <t>( arctic_b0095 "He heard a sound which brought him quickly into consciousness of day." )</t>
  </si>
  <si>
    <t>( arctic_b0096 "Within himself he called it no longer his own." )</t>
  </si>
  <si>
    <t>( arctic_b0097 "Besides, that noise makes me deaf." )</t>
  </si>
  <si>
    <t>( arctic_b0098 "Philip looked back from the crest and saw Jeanne leaning over the canoe." )</t>
  </si>
  <si>
    <t>( arctic_b0099 "Fifty yards ahead of her were the first of the rocks." )</t>
  </si>
  <si>
    <t>( arctic_b0100 "There was one chance, and only one, of saving Jeanne." )</t>
  </si>
  <si>
    <t>( arctic_b0101 "You're a devil for fighting, and will surely win." )</t>
  </si>
  <si>
    <t>( arctic_b0102 "I'll only be in the way." )</t>
  </si>
  <si>
    <t>( arctic_b0103 "He lifted his eyes, and a strange cry burst from his lips." )</t>
  </si>
  <si>
    <t>( arctic_b0104 "Shooting pains passed like flashes of electricity through his body." )</t>
  </si>
  <si>
    <t>( arctic_b0105 "I know that you are in charge there, and Jeanne knows." )</t>
  </si>
  <si>
    <t>( arctic_b0106 "For a full minute the two men stared into each other's face." )</t>
  </si>
  <si>
    <t>( arctic_b0107 "He was sure, now, of but few things." )</t>
  </si>
  <si>
    <t>( arctic_b0108 "It was a miracle, and I owe you my life." )</t>
  </si>
  <si>
    <t>( arctic_b0109 "Philip ate lightly of the food which Pierre had ready for him." )</t>
  </si>
  <si>
    <t>( arctic_b0110 "Such men believe, when they come together." )</t>
  </si>
  <si>
    <t>( arctic_b0111 "The journey was continued at dawn." )</t>
  </si>
  <si>
    <t>( arctic_b0112 "Jeanne and Pierre both gazed toward the great rock." )</t>
  </si>
  <si>
    <t>( arctic_b0113 "There was something pathetic in the girl's attitude now." )</t>
  </si>
  <si>
    <t>( arctic_b0114 "He moved his position, and the illusion was gone." )</t>
  </si>
  <si>
    <t>( arctic_b0115 "For two hours not a word passed between them." )</t>
  </si>
  <si>
    <t>( arctic_b0116 "I have hunted along this ridge, replied Philip." )</t>
  </si>
  <si>
    <t>( arctic_b0117 "That's Thorpe's, said the young engineer." )</t>
  </si>
  <si>
    <t>( arctic_b0118 "We saw your light, and thought you wouldn't mind a call." )</t>
  </si>
  <si>
    <t>( arctic_b0119 "Billinger may arrive in time." )</t>
  </si>
  <si>
    <t>( arctic_b0120 "There's the hitch, replied Thorpe, rolling a cigarette." )</t>
  </si>
  <si>
    <t>( arctic_b0121 "I want my men to work by themselves." )</t>
  </si>
  <si>
    <t>( arctic_b0122 "Philip saw MacDougall soon after his short talk with Thorpe." )</t>
  </si>
  <si>
    <t>( arctic_b0123 "Neither could they understand the growing disaffection among Thorpe's men." )</t>
  </si>
  <si>
    <t>( arctic_b0124 "Two weeks passed, and in that time Thorpe left camp three times." )</t>
  </si>
  <si>
    <t>( arctic_b0125 "It was the third or fourth time that Philip had heard MacDougall swear." )</t>
  </si>
  <si>
    <t>( arctic_b0126 "Blood was oozing slowly from the wounded man's right breast." )</t>
  </si>
  <si>
    <t>( arctic_b0127 "He destroyed everything that had belonged to the woman." )</t>
  </si>
  <si>
    <t>( arctic_b0128 "Philip bent low over Pierre." )</t>
  </si>
  <si>
    <t>( arctic_b0129 "Did Thorpe go to see any one in Churchill." )</t>
  </si>
  <si>
    <t>( arctic_b0130 "She saw the answer in his face." )</t>
  </si>
  <si>
    <t>( arctic_b0131 "Thorpe and his men were to destroy this camp, and kill you." )</t>
  </si>
  <si>
    <t>( arctic_b0132 "There is no need of further detail, now -- for you can understand." )</t>
  </si>
  <si>
    <t>( arctic_b0133 "There followed a roar that shook the earth." )</t>
  </si>
  <si>
    <t>( arctic_b0134 "Blind with rage, he darted in." )</t>
  </si>
  <si>
    <t>( arctic_b0135 "In it was the joy of life." )</t>
  </si>
  <si>
    <t>( arctic_b0136 "Swiftly his eyes measured the situation." )</t>
  </si>
  <si>
    <t>( arctic_b0137 "But this little defect did not worry him." )</t>
  </si>
  <si>
    <t>( arctic_b0138 "And then, steadily, he began to chew." )</t>
  </si>
  <si>
    <t>( arctic_b0139 "Together they ate the rabbit." )</t>
  </si>
  <si>
    <t>( arctic_b0140 "They edged nearer, and stood shoulder to shoulder facing their world." )</t>
  </si>
  <si>
    <t>( arctic_b0141 "It was beating and waiting in the ambush of those black pits." )</t>
  </si>
  <si>
    <t>( arctic_b0142 "Something vastly more thrilling had come into it now." )</t>
  </si>
  <si>
    <t>( arctic_b0143 "It took him half an hour to reach the edge of it." )</t>
  </si>
  <si>
    <t>( arctic_b0144 "But there was no longer the mother yearning in his heart." )</t>
  </si>
  <si>
    <t>( arctic_b0145 "Besides, had he not whipped the big owl in the forest." )</t>
  </si>
  <si>
    <t>( arctic_b0146 "After all, it was simply a mistake in judgment." )</t>
  </si>
  <si>
    <t>( arctic_b0147 "Had it struck squarely it would have killed him." )</t>
  </si>
  <si>
    <t>( arctic_b0148 "The Indian even poked his stick into the thick ground spruce." )</t>
  </si>
  <si>
    <t>( arctic_b0149 "Pebbles and dirt flew along with hair and fur." )</t>
  </si>
  <si>
    <t>( arctic_b0150 "And he was filled with a strange and foreboding fear." )</t>
  </si>
  <si>
    <t>( arctic_b0151 "It was steel, a fisher trap." )</t>
  </si>
  <si>
    <t>( arctic_b0152 "OW, a wild dog, he growled." )</t>
  </si>
  <si>
    <t>( arctic_b0153 "He was a pariah; a wanderer without a friend or a home." )</t>
  </si>
  <si>
    <t>( arctic_b0154 "That is the strange part of it." )</t>
  </si>
  <si>
    <t>( arctic_b0155 "His freshly caught furs he flung to the floor." )</t>
  </si>
  <si>
    <t>( arctic_b0156 "For that reason Le Beau had chosen him to fight the big fight." )</t>
  </si>
  <si>
    <t>( arctic_b0157 "In the crib the baby sat up and began to prattle." )</t>
  </si>
  <si>
    <t>( arctic_b0158 "She obeyed, shrinking back with the baby in her arms." )</t>
  </si>
  <si>
    <t>( arctic_b0159 "His teeth shut with a last click." )</t>
  </si>
  <si>
    <t>( arctic_b0160 "It was over when he made his way through the ring of spectators." )</t>
  </si>
  <si>
    <t>( arctic_b0161 "In a flash he was on his feet, facing him." )</t>
  </si>
  <si>
    <t>( arctic_b0162 "He thought he saw a shudder pass through the Factor's shoulders." )</t>
  </si>
  <si>
    <t>( arctic_b0163 "The moon had already begun its westward decline." )</t>
  </si>
  <si>
    <t>( arctic_b0164 "They laughed like two happy children." )</t>
  </si>
  <si>
    <t>( arctic_b0165 "He pulled, and the log crashed down to break his back." )</t>
  </si>
  <si>
    <t>( arctic_b0166 "Fast, but endure." )</t>
  </si>
  <si>
    <t>( arctic_b0167 "A little before dawn of the day following, the fire relief came." )</t>
  </si>
  <si>
    <t>( arctic_b0168 "The Indian felt the worship of her warm in his heart." )</t>
  </si>
  <si>
    <t>( arctic_b0169 "He drew in a deep breath as he looked at them." )</t>
  </si>
  <si>
    <t>( arctic_b0170 "Then he shouted, Shut up." )</t>
  </si>
  <si>
    <t>( arctic_b0171 "He changed his seat for a steamer reclining chair." )</t>
  </si>
  <si>
    <t>( arctic_b0172 "On the far corner of the compound fence a hawk brooded." )</t>
  </si>
  <si>
    <t>( arctic_b0173 "To these he gave castor oil." )</t>
  </si>
  <si>
    <t>( arctic_b0174 "Hatred and murder and lust for revenge they possessed to overflowing." )</t>
  </si>
  <si>
    <t>( arctic_b0175 "Sheldon glanced at the thermometer." )</t>
  </si>
  <si>
    <t>( arctic_b0176 "I'll see to poor Hughie." )</t>
  </si>
  <si>
    <t>( arctic_b0177 "Her gray eyes were flashing, and her lips were quivering." )</t>
  </si>
  <si>
    <t>( arctic_b0178 "Also, I want information." )</t>
  </si>
  <si>
    <t>( arctic_b0179 "Let them go out and eat with my boys." )</t>
  </si>
  <si>
    <t>( arctic_b0180 "I, I beg pardon, he drawled." )</t>
  </si>
  <si>
    <t>( arctic_b0181 "And you preferred a cannibal isle and a cartridge belt." )</t>
  </si>
  <si>
    <t>( arctic_b0182 "I was in New York when the crash came." )</t>
  </si>
  <si>
    <t>( arctic_b0183 "No, I did not fall among thieves." )</t>
  </si>
  <si>
    <t>( arctic_b0184 "Such things in her brain were like so many oaths on her lips." )</t>
  </si>
  <si>
    <t>( arctic_b0185 "Your being wrecked here has been a godsend to me." )</t>
  </si>
  <si>
    <t>( arctic_b0186 "I can't go elsewhere, by your own account." )</t>
  </si>
  <si>
    <t>( arctic_b0187 "Her achievements with cocoanuts were a revelation." )</t>
  </si>
  <si>
    <t>( arctic_b0188 "He glanced down at her helplessly, and moistened his lips." )</t>
  </si>
  <si>
    <t>( arctic_b0189 "That is what distinguishes all of us from the lower animals." )</t>
  </si>
  <si>
    <t>( arctic_b0190 "Idealism led him to philosophic anarchy, and his family threw him off." )</t>
  </si>
  <si>
    <t>( arctic_b0191 "He also contended that better confidence was established by carrying no weapons." )</t>
  </si>
  <si>
    <t>( arctic_b0192 "Outsiders are allowed five minute speeches, the sick man urged." )</t>
  </si>
  <si>
    <t>( arctic_b0193 "So was Packard's finish suicide." )</t>
  </si>
  <si>
    <t>( arctic_b0194 "Joan cried, with shining eyes." )</t>
  </si>
  <si>
    <t>( arctic_b0195 "Nobody knows how the natives got them." )</t>
  </si>
  <si>
    <t>( arctic_b0196 "How can you manage all alone, Mr Young." )</t>
  </si>
  <si>
    <t>( arctic_b0197 "The planters are already considering the matter." )</t>
  </si>
  <si>
    <t>( arctic_b0198 "I use great trouble advisedly." )</t>
  </si>
  <si>
    <t>( arctic_b0199 "Dear Sir, Your second victim has fallen on schedule time." )</t>
  </si>
  <si>
    <t>( arctic_b0200 "We leave the eventuality to time and law." )</t>
  </si>
  <si>
    <t>( arctic_b0201 "I also understand that similar branch organizations have made their appearance in Europe." )</t>
  </si>
  <si>
    <t>( arctic_b0202 "Society is shaken to its foundations." )</t>
  </si>
  <si>
    <t>( arctic_b0203 "A month in Australia would finish me." )</t>
  </si>
  <si>
    <t>( arctic_b0204 "Down through the perfume weighted air fluttered the snowy fluffs of the cottonwoods." )</t>
  </si>
  <si>
    <t>( arctic_b0205 "You were destroying my life." )</t>
  </si>
  <si>
    <t>( arctic_b0206 "Horses and rifles had been her toys, camp and trail her nursery." )</t>
  </si>
  <si>
    <t>( arctic_b0207 "I'm as good as a man, she urged." )</t>
  </si>
  <si>
    <t>( arctic_b0208 "You read the quotations in today's paper." )</t>
  </si>
  <si>
    <t>( arctic_b0209 "He's terribly touchy about his black wards, as he calls them." )</t>
  </si>
  <si>
    <t>( arctic_b0210 "Whatever he guessed he locked away in the taboo room of Naomi." )</t>
  </si>
  <si>
    <t>( arctic_b0211 "This is eighteen eighty." )</t>
  </si>
  <si>
    <t>( arctic_b0212 "Death is and has been ever since old Maui died." )</t>
  </si>
  <si>
    <t>( arctic_b0213 "Some boy, she laughed acquiescence." )</t>
  </si>
  <si>
    <t>( arctic_b0214 "Let us talk it over and find a way out." )</t>
  </si>
  <si>
    <t>( arctic_b0215 "It is a good property, and worth more than that." )</t>
  </si>
  <si>
    <t>( arctic_b0216 "I wish you were more adaptable, Joan retorted." )</t>
  </si>
  <si>
    <t>( arctic_b0217 "Such is my passage engaged on the steamer." )</t>
  </si>
  <si>
    <t>( arctic_b0218 "The issue was not in doubt." )</t>
  </si>
  <si>
    <t>( arctic_b0219 "Well, there are better men in Hawaii, that's all." )</t>
  </si>
  <si>
    <t>( arctic_b0220 "Harry Bancroft, Dave lied." )</t>
  </si>
  <si>
    <t>( arctic_b0221 "It's a Yankee, Joan cried." )</t>
  </si>
  <si>
    <t>( arctic_b0222 "He was the leader, and Tudor was his lieutenant." )</t>
  </si>
  <si>
    <t>( arctic_b0223 "They likewise are disinclined to being eaten." )</t>
  </si>
  <si>
    <t>( arctic_b0224 "But to culture the Revolution thus far had exhausted the Junta." )</t>
  </si>
  <si>
    <t>( arctic_b0225 "The President of the United States was his friend." )</t>
  </si>
  <si>
    <t>( arctic_b0226 "Your face was the personification of duplicity." )</t>
  </si>
  <si>
    <t>( arctic_b0227 "Shorty turned to their employers." )</t>
  </si>
  <si>
    <t>( arctic_b0228 "You were engaged." )</t>
  </si>
  <si>
    <t>( arctic_b0229 "I saw it all myself, and it was splendid." )</t>
  </si>
  <si>
    <t>( arctic_b0230 "Now run along, and tell them to hurry." )</t>
  </si>
  <si>
    <t>( arctic_b0231 "What's that grub-thief got to do with it." )</t>
  </si>
  <si>
    <t>( arctic_b0232 "It was a superb picture." )</t>
  </si>
  <si>
    <t>( arctic_b0233 "So she said, the irate skipper dashed on." )</t>
  </si>
  <si>
    <t>( arctic_b0234 "And watch out for wet feet, was his parting advice." )</t>
  </si>
  <si>
    <t>( arctic_b0235 "Raoul yelled, in order to make himself heard." )</t>
  </si>
  <si>
    <t>( arctic_b0236 "Oolong was two hundred and fifty miles from the nearest land." )</t>
  </si>
  <si>
    <t>( arctic_b0237 "They just lay off in the bush and plugged away." )</t>
  </si>
  <si>
    <t>( arctic_b0238 "The very thought of the effort to swim over was nauseating." )</t>
  </si>
  <si>
    <t>( arctic_b0239 "And there was a dog that barked." )</t>
  </si>
  <si>
    <t>( arctic_b0240 "There are four, all low, McCoy answered." )</t>
  </si>
  <si>
    <t>( arctic_b0241 "The women they carried away with them to the Big Valley." )</t>
  </si>
  <si>
    <t>( arctic_b0242 "The Japanese understood as we could never school ourselves or hope to understand." )</t>
  </si>
  <si>
    <t>( arctic_b0243 "They had been on the same lay as ourselves." )</t>
  </si>
  <si>
    <t>( arctic_b0244 "You are positively soulless, he said savagely." )</t>
  </si>
  <si>
    <t>( arctic_b0245 "Harrison is still my chauffeur." )</t>
  </si>
  <si>
    <t>( arctic_b0246 "The boy grew and prospered." )</t>
  </si>
  <si>
    <t>( arctic_b0247 "He wanted to give the finish to this foe already so far gone." )</t>
  </si>
  <si>
    <t>( arctic_b0248 "Exciting times are the lot of the fish patrol." )</t>
  </si>
  <si>
    <t>( arctic_b0249 "I know they are my oysters." )</t>
  </si>
  <si>
    <t>( arctic_b0250 "By this time Charley was as enraged as the Greek." )</t>
  </si>
  <si>
    <t>( arctic_b0251 "They must have been swept away by the chaotic currents." )</t>
  </si>
  <si>
    <t>( arctic_b0252 "It resembled tea less than lager beer resembles champagne." )</t>
  </si>
  <si>
    <t>( arctic_b0253 "The very opposite is true; they are discouraged vagabonds." )</t>
  </si>
  <si>
    <t>( arctic_b0254 "At the same time spears and arrows began to fall among the invaders." )</t>
  </si>
  <si>
    <t>( arctic_b0255 "Then, again, Tudor had such an irritating way about him." )</t>
  </si>
  <si>
    <t>( arctic_b0256 "Outwardly, he maintained a calm and smiling aspect." )</t>
  </si>
  <si>
    <t>( arctic_b0257 "Tudor surveyed him with withering disgust." )</t>
  </si>
  <si>
    <t>( arctic_b0258 "You fired me out of your house, in short." )</t>
  </si>
  <si>
    <t>( arctic_b0259 "Her mouth opened, but instead of speaking she drew a long sigh." )</t>
  </si>
  <si>
    <t>( arctic_b0260 "It's worth eight dollars." )</t>
  </si>
  <si>
    <t>( arctic_b0261 "And he did hurt my arm." )</t>
  </si>
  <si>
    <t>( arctic_b0262 "Saxon's onto her job." )</t>
  </si>
  <si>
    <t>( arctic_b0263 "Only once did I confide the strangeness of it all to another." )</t>
  </si>
  <si>
    <t>( arctic_b0264 "But this time it was Saxon who rebelled." )</t>
  </si>
  <si>
    <t>( arctic_b0265 "I was not to cry out in the face of fear." )</t>
  </si>
  <si>
    <t>( arctic_b0266 "And now put yourself in my place for a moment." )</t>
  </si>
  <si>
    <t>( arctic_b0267 "The boy threw back his head with pride." )</t>
  </si>
  <si>
    <t>( arctic_b0268 "Saxon nodded, and the boy frowned." )</t>
  </si>
  <si>
    <t>( arctic_b0269 "Why not like any railroad station or ferry depot." )</t>
  </si>
  <si>
    <t>( arctic_b0270 "We could throw stones with our feet." )</t>
  </si>
  <si>
    <t>( arctic_b0271 "It was put together in a casual, helter-skelter sort of way." )</t>
  </si>
  <si>
    <t>( arctic_b0272 "These were merely stout sticks an inch or so in diameter." )</t>
  </si>
  <si>
    <t>( arctic_b0273 "Then it was that a strange thing happened." )</t>
  </si>
  <si>
    <t>( arctic_b0274 "From the source of light a harsh voice said." )</t>
  </si>
  <si>
    <t>( arctic_b0275 "But I did not enjoy it long." )</t>
  </si>
  <si>
    <t>( arctic_b0276 "We were now good friends." )</t>
  </si>
  <si>
    <t>( arctic_b0277 "Two of the Folk were already up." )</t>
  </si>
  <si>
    <t>( arctic_b0278 "Now animals do not like mockery." )</t>
  </si>
  <si>
    <t>( arctic_b0279 "He gave one last snarl and slid from view among the trees." )</t>
  </si>
  <si>
    <t>( arctic_b0280 "Again the girls applauded, and Mrs Hall cried." )</t>
  </si>
  <si>
    <t>( arctic_b0281 "Just the same I'd sooner be myself than have book indigestion." )</t>
  </si>
  <si>
    <t>( arctic_b0282 "Some of the smaller veins had doubtless been ruptured." )</t>
  </si>
  <si>
    <t>( arctic_b0283 "But we were without this momentum." )</t>
  </si>
  <si>
    <t>( arctic_b0284 "There was one difficulty, however." )</t>
  </si>
  <si>
    <t>( arctic_b0285 "The hyena proceeded to dine." )</t>
  </si>
  <si>
    <t>( arctic_b0286 "The time was considered auspicious." )</t>
  </si>
  <si>
    <t>( arctic_b0287 "Or have they already devised one." )</t>
  </si>
  <si>
    <t>( arctic_b0288 "We would not spend another such night." )</t>
  </si>
  <si>
    <t>( arctic_b0289 "At first his progress was slow and erratic." )</t>
  </si>
  <si>
    <t>( arctic_b0290 "He placed his paw on one, and its movements were accelerated." )</t>
  </si>
  <si>
    <t>( arctic_b0291 "The awe of man rushed over him again." )</t>
  </si>
  <si>
    <t>( arctic_b0292 "The Fire-Men wore animal skins around their waists and across their shoulders." )</t>
  </si>
  <si>
    <t>( arctic_b0293 "Between him and all domestic animals there must be no hostilities." )</t>
  </si>
  <si>
    <t>( arctic_b0294 "For a much longer time Lop-Ear and I remained and watched." )</t>
  </si>
  <si>
    <t>( arctic_b0295 "All right, Sir, replied Jock with great regret." )</t>
  </si>
  <si>
    <t>( arctic_b0296 "At times I wondered where Sir Archibald got his style." )</t>
  </si>
  <si>
    <t>( arctic_b0297 "Why should a fellow throw up the sponge after the first round." )</t>
  </si>
  <si>
    <t>( arctic_b0298 "His hand shot out and clutched Crooked-Leg by the neck." )</t>
  </si>
  <si>
    <t>( arctic_b0299 "Miss Brodie's smile was slightly sarcastic." )</t>
  </si>
  <si>
    <t>( arctic_b0300 "Does the old boy often go off at half-cock that way." )</t>
  </si>
  <si>
    <t>( arctic_b0301 "A flying arrow passed between us." )</t>
  </si>
  <si>
    <t>( arctic_b0302 "I pulled, suddenly, with all my might." )</t>
  </si>
  <si>
    <t>( arctic_b0303 "Here we allow our solicitors to look after our legal work." )</t>
  </si>
  <si>
    <t>( arctic_b0304 "His previous wives had never lived long enough to bear him children." )</t>
  </si>
  <si>
    <t>( arctic_b0305 "It was our river emerging like ourselves from the great swamp." )</t>
  </si>
  <si>
    <t>( arctic_b0306 "Cameron looked at his hands with their long, sinewy fingers." )</t>
  </si>
  <si>
    <t>( arctic_b0307 "We got few vegetables and fruits, and became fish eaters." )</t>
  </si>
  <si>
    <t>( arctic_b0308 "We never made another migration." )</t>
  </si>
  <si>
    <t>( arctic_b0309 "Nor was Elam Harnish an exception." )</t>
  </si>
  <si>
    <t>( arctic_b0310 "A little treatment, massage, with some help from the doctor." )</t>
  </si>
  <si>
    <t>( arctic_b0311 "The 29th very foggy." )</t>
  </si>
  <si>
    <t>( arctic_b0312 "Dig in; you're sure good, was Daylight's answer." )</t>
  </si>
  <si>
    <t>( arctic_b0313 "The apron string loomed near and he shied like an unbroken colt." )</t>
  </si>
  <si>
    <t>( arctic_b0314 "He had been born with this endowment." )</t>
  </si>
  <si>
    <t>( arctic_b0315 "And this was their sole conversation throughout the meal." )</t>
  </si>
  <si>
    <t>( arctic_b0316 "Though the aurora still flamed, another day had begun." )</t>
  </si>
  <si>
    <t>( arctic_b0317 "He did not believe in the burning of daylight for such a luxury." )</t>
  </si>
  <si>
    <t>( arctic_b0318 "Again he had done the big thing." )</t>
  </si>
  <si>
    <t>( arctic_b0319 "Daylight was tired, profoundly tired." )</t>
  </si>
  <si>
    <t>( arctic_b0320 "The regret in his voice was provocative of a second burst of laughter." )</t>
  </si>
  <si>
    <t>( arctic_b0321 "Instead, he arrived on the night of the second day." )</t>
  </si>
  <si>
    <t>( arctic_b0322 "Their supply of grub was gone." )</t>
  </si>
  <si>
    <t>( arctic_b0323 "Crickets began to chirp, and more geese and ducks flew overhead." )</t>
  </si>
  <si>
    <t>( arctic_b0324 "Not till the twentieth of May did the river break." )</t>
  </si>
  <si>
    <t>( arctic_b0325 "It was a gigantic inadequacy." )</t>
  </si>
  <si>
    <t>( arctic_b0326 "Our Mr Howison will call upon you at your hotel." )</t>
  </si>
  <si>
    <t>( arctic_b0327 "He had been so easy." )</t>
  </si>
  <si>
    <t>( arctic_b0328 "Change chairs, Daylight commanded." )</t>
  </si>
  <si>
    <t>( arctic_b0329 "I'd sooner have my chips back." )</t>
  </si>
  <si>
    <t>( arctic_b0330 "They only had a little thirty thousand dollar fire." )</t>
  </si>
  <si>
    <t>( arctic_b0331 "His partners had starved and died on the Stewart." )</t>
  </si>
  <si>
    <t>( arctic_b0332 "As to how she dressed, he had no ideas at all." )</t>
  </si>
  <si>
    <t>( arctic_b0333 "It does, was her audacious answer." )</t>
  </si>
  <si>
    <t>( arctic_b0334 "Oh, it's just a novel, a love story." )</t>
  </si>
  <si>
    <t>( arctic_b0335 "Whoever lived on the ranch did that." )</t>
  </si>
  <si>
    <t>( arctic_b0336 "How old are you, mother." )</t>
  </si>
  <si>
    <t>( arctic_b0337 "Here he got a fresh thrill." )</t>
  </si>
  <si>
    <t>( arctic_b0338 "It was unobtrusive, yet it was there." )</t>
  </si>
  <si>
    <t>( arctic_b0339 "Well, I'll be plumb gosh darned." )</t>
  </si>
  <si>
    <t>( arctic_b0340 "These quick little joys of hers were sources of joy to him." )</t>
  </si>
  <si>
    <t>( arctic_b0341 "I play that choice wide open to win." )</t>
  </si>
  <si>
    <t>( arctic_b0342 "Each improvement makes the value of everything else pump up." )</t>
  </si>
  <si>
    <t>( arctic_b0343 "But how are you going to do it." )</t>
  </si>
  <si>
    <t>( arctic_b0344 "Lots of men take women buggy riding." )</t>
  </si>
  <si>
    <t>( arctic_b0345 "Daylight made no answer, and the door closed behind him." )</t>
  </si>
  <si>
    <t>( arctic_b0346 "There's not an iota of truth in it." )</t>
  </si>
  <si>
    <t>( arctic_b0347 "But ever his gaze returned to that Crouched Venus on the piano." )</t>
  </si>
  <si>
    <t>( arctic_b0348 "Would you be satisfied with that one hundredth part of me." )</t>
  </si>
  <si>
    <t>( arctic_b0349 "In such a tumbling of values was no time to sell." )</t>
  </si>
  <si>
    <t>( arctic_b0350 "Stand off butcher and baker and all the rest." )</t>
  </si>
  <si>
    <t>( arctic_b0351 "Matthewson, who's this bookkeeper, Rogers." )</t>
  </si>
  <si>
    <t>( arctic_b0352 "Now just what do you want to know." )</t>
  </si>
  <si>
    <t>( arctic_b0353 "I want to know how all this is possible." )</t>
  </si>
  <si>
    <t>( arctic_b0354 "It's that much junk." )</t>
  </si>
  <si>
    <t>( arctic_b0355 "There was proper division of labor in the work they individually performed." )</t>
  </si>
  <si>
    <t>( arctic_b0356 "He loved to play Chinese lottery." )</t>
  </si>
  <si>
    <t>( arctic_b0357 "The Law of Club and Fang" )</t>
  </si>
  <si>
    <t>( arctic_b0358 "The temperature dropped to fifty below zero and remained there the whole trip." )</t>
  </si>
  <si>
    <t>( arctic_b0359 "And as never before, he was ready to obey." )</t>
  </si>
  <si>
    <t>( arctic_b0360 "This state of mind comes of an undue prominence of the ego." )</t>
  </si>
  <si>
    <t>( arctic_b0361 "There are the canals of China, and the Yang-tse River." )</t>
  </si>
  <si>
    <t>( arctic_b0362 "We threaten to be of the one mind before the voyage is completed." )</t>
  </si>
  <si>
    <t>( arctic_b0363 "She was built primarily to sail." )</t>
  </si>
  <si>
    <t>( arctic_b0364 "In the Bohemian Club of San Francisco there are some crack sailors." )</t>
  </si>
  <si>
    <t>( arctic_b0365 "My age, in years, is twenty two." )</t>
  </si>
  <si>
    <t>( arctic_b0366 "I forgot how easily I had taught myself from the printed page." )</t>
  </si>
  <si>
    <t>( arctic_b0367 "Any average young fellow can teach himself in a week." )</t>
  </si>
  <si>
    <t>( arctic_b0368 "Please do not think that I already know it all." )</t>
  </si>
  <si>
    <t>( arctic_b0369 "You see, we were teaching ourselves." )</t>
  </si>
  <si>
    <t>( arctic_b0370 "And now behold the perversity of things." )</t>
  </si>
  <si>
    <t>( arctic_b0371 "Yield yourself to the waters that are ripping and tearing at you." )</t>
  </si>
  <si>
    <t>( arctic_b0372 "Mr McVeigh told me about him." )</t>
  </si>
  <si>
    <t>( arctic_b0373 "Unlike Joshua, he stood in no need of divine assistance." )</t>
  </si>
  <si>
    <t>( arctic_b0374 "To say the least, Captain Cook was a rather thorough going empiricist." )</t>
  </si>
  <si>
    <t>( arctic_b0375 "Man could not conquer them." )</t>
  </si>
  <si>
    <t>( arctic_b0376 "Thought I, and a worthy fool he proved." )</t>
  </si>
  <si>
    <t>( arctic_b0377 "A scarlet loincloth completed his costume." )</t>
  </si>
  <si>
    <t>( arctic_b0378 "I like to speculate upon the glorious future of man." )</t>
  </si>
  <si>
    <t>( arctic_b0379 "Christmas is an easy problem compared with a Polynesian giving-feast." )</t>
  </si>
  <si>
    <t>( arctic_b0380 "He had peeled off his shirt and was wildly waving it." )</t>
  </si>
  <si>
    <t>( arctic_b0381 "And how would we ever find ourselves." )</t>
  </si>
  <si>
    <t>( arctic_b0382 "I defy any man to get a Solomon Island sore in California." )</t>
  </si>
  <si>
    <t>( arctic_b0383 "A bush chief had died a natural death." )</t>
  </si>
  <si>
    <t>( arctic_b0384 "The skipper's and Nakata's gymnastics served as a translation without words." )</t>
  </si>
  <si>
    <t>( arctic_b0385 "Last night he showed all the symptoms of coming down with pneumonia." )</t>
  </si>
  <si>
    <t>( arctic_b0386 "My idea was that he would have more influence over the natives." )</t>
  </si>
  <si>
    <t>( arctic_b0387 "It is merely the simple superlative." )</t>
  </si>
  <si>
    <t>( arctic_b0388 "I made no more overtures." )</t>
  </si>
  <si>
    <t>( arctic_b0389 "Among my minor afflictions, I may mention a new and mysterious one." )</t>
  </si>
  <si>
    <t>( arctic_b0390 "The voyage was our idea of a good time." )</t>
  </si>
  <si>
    <t>( arctic_b0391 "At sea, Tuesday, March 17, 1908." )</t>
  </si>
  <si>
    <t>( arctic_b0392 "Yes, sir, he answered, with cheerful alacrity." )</t>
  </si>
  <si>
    <t>( arctic_b0393 "I was still weak from my prolonged immersion." )</t>
  </si>
  <si>
    <t>( arctic_b0394 "The boy hesitated, then mastered his temper." )</t>
  </si>
  <si>
    <t>( arctic_b0395 "I was beneath the water, suffocating and drowning." )</t>
  </si>
  <si>
    <t>( arctic_b0396 "The pain from my hurt knee was agonizing." )</t>
  </si>
  <si>
    <t>( arctic_b0397 "The hunters were still arguing and roaring like some semi-human amphibious breed." )</t>
  </si>
  <si>
    <t>( arctic_b0398 "I have been robbed, sir, I amended." )</t>
  </si>
  <si>
    <t>( arctic_b0399 "You were looking squeamish this afternoon, he began." )</t>
  </si>
  <si>
    <t>( arctic_b0400 "How could I answer the question on the spur of the moment." )</t>
  </si>
  <si>
    <t>( arctic_b0401 "I learned it myself in English ships." )</t>
  </si>
  <si>
    <t>( arctic_b0402 "An altruistic act is an act performed for the welfare of others." )</t>
  </si>
  <si>
    <t>( arctic_b0403 "Knowing him, I review the old Scandinavian myths with clearer understanding." )</t>
  </si>
  <si>
    <t>( arctic_b0404 "Yes, and no, sir, was the slow reply." )</t>
  </si>
  <si>
    <t>( arctic_b0405 "And each year something happened, and I did not go." )</t>
  </si>
  <si>
    <t>( arctic_b0406 "How in hell did he know it was you in the dark." )</t>
  </si>
  <si>
    <t>( arctic_b0407 "Of course much grumbling went on, and little outbursts were continually occurring." )</t>
  </si>
  <si>
    <t>( arctic_b0408 "You have all the advantage." )</t>
  </si>
  <si>
    <t>( arctic_b0409 "The dirk mentioned by Wolf Larsen rested in its sheath on my hip." )</t>
  </si>
  <si>
    <t>( arctic_b0410 "Have you ever earned a dollar by your own labour." )</t>
  </si>
  <si>
    <t>( arctic_b0411 "He gave no reason, but his motive was obvious enough." )</t>
  </si>
  <si>
    <t>( arctic_b0412 "Ah, it was sweet in my ears." )</t>
  </si>
  <si>
    <t>( arctic_b0413 "He may desire to escape pain, or to enjoy pleasure." )</t>
  </si>
  <si>
    <t>( arctic_b0414 "It was impossible to hoist sail and claw off that shore." )</t>
  </si>
  <si>
    <t>( arctic_b0415 "There was nothing for us but the wide raw ocean." )</t>
  </si>
  <si>
    <t>( arctic_b0416 "I arose obediently and went down the beach." )</t>
  </si>
  <si>
    <t>( arctic_b0417 "The next thing to watch out for is bed sores." )</t>
  </si>
  <si>
    <t>( arctic_b0418 "At that moment I got the impression that she was willowy." )</t>
  </si>
  <si>
    <t>( arctic_b0419 "Your father's fifth command, he nodded." )</t>
  </si>
  <si>
    <t>( arctic_b0420 "On occasion, on this traverse, the Cape Verde Islands are raised." )</t>
  </si>
  <si>
    <t>( arctic_b0421 "She is essentially the life-giving, life-conserving female of the species." )</t>
  </si>
  <si>
    <t>( arctic_b0422 "This was when the explosion occurred." )</t>
  </si>
  <si>
    <t>( arctic_b0423 "Also, at regular intervals, he would mutter." )</t>
  </si>
  <si>
    <t>( arctic_b0424 "It is a very tenable hypothesis, and will bear looking into." )</t>
  </si>
  <si>
    <t>( arctic_b0425 "There were orange-green, gold-green, and a copper-green." )</t>
  </si>
  <si>
    <t>( arctic_b0426 "The Gabriel voice of the Samurai rang out." )</t>
  </si>
  <si>
    <t>( arctic_b0427 "The sunsets grow more bizarre and spectacular off this coast of the Argentine." )</t>
  </si>
  <si>
    <t>( arctic_b0428 "The history of our westward-faring race is written in it." )</t>
  </si>
  <si>
    <t>( arctic_b0429 "And the Eurasian Chinese-Englishman bowed himself away." )</t>
  </si>
  <si>
    <t>( arctic_b0430 "They were babbling and chattering all together." )</t>
  </si>
  <si>
    <t>( arctic_b0431 "Too much, he told me, with ominous rolling head." )</t>
  </si>
  <si>
    <t>( arctic_b0432 "He is a candidate, rising from the serf class to our class." )</t>
  </si>
  <si>
    <t>( arctic_b0433 "We are cooking on the coal stove and on the oil burners." )</t>
  </si>
  <si>
    <t>( arctic_b0434 "The steward has just tendered me a respectful bit of advice." )</t>
  </si>
  <si>
    <t>( arctic_b0435 "Well, did they eat." )</t>
  </si>
  <si>
    <t>( arctic_b0436 "Famine had been my great ally." )</t>
  </si>
  <si>
    <t>( arctic_b0437 "Nowhere in the North is the soil so prolific." )</t>
  </si>
  <si>
    <t>( arctic_b0438 "They ran the canoe in and climbed the high earth bank." )</t>
  </si>
  <si>
    <t>( arctic_b0439 "The land exchanged its austere robes for the garb of a smiling wanton." )</t>
  </si>
  <si>
    <t>( arctic_b0440 "There were stir and bustle, new faces, and fresh facts." )</t>
  </si>
  <si>
    <t>( arctic_b0441 "And there was Ethel Baird, whom also you must remember." )</t>
  </si>
  <si>
    <t>( arctic_b0442 "He had become a man very early in life." )</t>
  </si>
  <si>
    <t>( arctic_b0443 "I did not think you would be so early." )</t>
  </si>
  <si>
    <t>( arctic_b0444 "He did not know what went on in the minds of his superiors." )</t>
  </si>
  <si>
    <t>( arctic_b0445 "Mops, sir, eagerly answered the sailor at the wheel." )</t>
  </si>
  <si>
    <t>( arctic_b0446 "Some one had thrust a large sheath-knife into his hand." )</t>
  </si>
  <si>
    <t>( arctic_b0447 "O'Brien emitted a shriek that sank swiftly to a gurgling sob." )</t>
  </si>
  <si>
    <t>( arctic_b0448 "Sandel would never become a world champion." )</t>
  </si>
  <si>
    <t>( arctic_b0449 "Also, she wouldn't walk." )</t>
  </si>
  <si>
    <t>( arctic_b0450 "To my dearest and always appreciated friend, I submit myself." )</t>
  </si>
  <si>
    <t>( arctic_b0451 "You used to joyride like the very devil." )</t>
  </si>
  <si>
    <t>( arctic_b0452 "They saw each other for the first time in Boston." )</t>
  </si>
  <si>
    <t>( arctic_b0453 "Isaac Ford, the austere soldier of the Lord, the old hypocrite." )</t>
  </si>
  <si>
    <t>( arctic_b0454 "Eighteen, he added." )</t>
  </si>
  <si>
    <t>( arctic_b0455 "His reward should have been peace and repose." )</t>
  </si>
  <si>
    <t>( arctic_b0456 "He was an amphibian and a mountaineer." )</t>
  </si>
  <si>
    <t>( arctic_b0457 "It was sanctification and salvation." )</t>
  </si>
  <si>
    <t>( arctic_b0458 "The history of the eighteenth century is written, Ernest prompted." )</t>
  </si>
  <si>
    <t>( arctic_b0459 "They are not biologists nor sociologists." )</t>
  </si>
  <si>
    <t>( arctic_b0460 "The more his opponents grew excited, the more Ernest deliberately excited them." )</t>
  </si>
  <si>
    <t>( arctic_b0461 "By virtue of that power we shall remain in power." )</t>
  </si>
  <si>
    <t>( arctic_b0462 "One guess will do, Ernest retorted." )</t>
  </si>
  <si>
    <t>( arctic_b0463 "Take my advice and accept the vacation." )</t>
  </si>
  <si>
    <t>( arctic_b0464 "I could not agree with Ernest." )</t>
  </si>
  <si>
    <t>( arctic_b0465 "But such divergence of opinion would constitute no menace to society." )</t>
  </si>
  <si>
    <t>( arctic_b0466 "It is dog eat dog, and you ate them up." )</t>
  </si>
  <si>
    <t>( arctic_b0467 "Let us run them for ourselves." )</t>
  </si>
  <si>
    <t>( arctic_b0468 "It was introduced by Representative Dick of Ohio." )</t>
  </si>
  <si>
    <t>( arctic_b0469 "Very few people knew of the existence of this law." )</t>
  </si>
  <si>
    <t>( arctic_b0470 "The very thing, Ernest agreed." )</t>
  </si>
  <si>
    <t>( arctic_b0471 "Also a fellow Senator, Chauncey Depew, said." )</t>
  </si>
  <si>
    <t>( arctic_b0472 "Ernest saw in the affair the most sinister import." )</t>
  </si>
  <si>
    <t>( arctic_b0473 "Then there was the campaign." )</t>
  </si>
  <si>
    <t>( arctic_b0474 "He was manifestly distressed by my coming." )</t>
  </si>
  <si>
    <t>( arctic_b0475 "Not a wheel moved in his empire." )</t>
  </si>
  <si>
    <t>( arctic_b0476 "The reorganization of these countries took the form of revolution." )</t>
  </si>
  <si>
    <t>( arctic_b0477 "You're going in for grab sharing." )</t>
  </si>
  <si>
    <t>( arctic_b0478 "The Oligarchy will encourage such ambition and the consequent competition." )</t>
  </si>
  <si>
    <t>( arctic_b0479 "Violation of this law was made a high misdemeanor and punished accordingly." )</t>
  </si>
  <si>
    <t>( arctic_b0480 "Without discussion, it was the agents provocateurs who caused the Peasant Revolt." )</t>
  </si>
  <si>
    <t>( arctic_b0481 "The task we set ourselves was threefold." )</t>
  </si>
  <si>
    <t>( arctic_b0482 "Many other similar disconcerting omissions will be noticed in the Manuscript." )</t>
  </si>
  <si>
    <t>( arctic_b0483 "The flower of the artistic and intellectual world were revolutionists." )</t>
  </si>
  <si>
    <t>( arctic_b0484 "This the Iron Heel foresaw and laid its schemes accordingly." )</t>
  </si>
  <si>
    <t>( arctic_b0485 "The mob came on, but it could not advance." )</t>
  </si>
  <si>
    <t>( arctic_b0486 "But why continue the tirade, for tirade it was." )</t>
  </si>
  <si>
    <t>( arctic_b0487 "After all superfluous flesh is gone what is left is stringy and resistant." )</t>
  </si>
  <si>
    <t>( arctic_b0488 "Beyond refusing to sell us food, they left us to ourselves." )</t>
  </si>
  <si>
    <t>( arctic_b0489 "He was a merry monarch, especially so for an Asiatic." )</t>
  </si>
  <si>
    <t>( arctic_b0490 "What an excited whispering and conferring took place." )</t>
  </si>
  <si>
    <t>( arctic_b0491 "Jacob Brinker, who was his roadmate, brought the news." )</t>
  </si>
  <si>
    <t>( arctic_b0492 "Thus he turned the tenets and jargon of psychology back on me." )</t>
  </si>
  <si>
    <t>( arctic_b0493 "You yellow giant thing of the frost." )</t>
  </si>
  <si>
    <t>( arctic_b0494 "Never so strange a prophet came up to Jerusalem." )</t>
  </si>
  <si>
    <t>( arctic_b0495 "We who have endured so much surely can endure a little more." )</t>
  </si>
  <si>
    <t>( arctic_b0496 "I have seen myself that one man contemplated by Pascal's philosophic eye." )</t>
  </si>
  <si>
    <t>( arctic_b0497 "One great drawback to farming in California is our long dry summer." )</t>
  </si>
  <si>
    <t>( arctic_b0498 "I remembered the red wine of the Italian rancho, and shuddered inwardly." )</t>
  </si>
  <si>
    <t>( arctic_b0499 "I said, and dismissed the matter as not worth thinking about." )</t>
  </si>
  <si>
    <t>( arctic_b0500 "Then came my boy code." )</t>
  </si>
  <si>
    <t>( arctic_b0501 "And wherever I ranged, the way lay along alcohol-drenched roads." )</t>
  </si>
  <si>
    <t>( arctic_b0502 "And as we hurried up town, Joe Goose explained." )</t>
  </si>
  <si>
    <t>( arctic_b0503 "The scents of strange vegetation blew off the tropic land." )</t>
  </si>
  <si>
    <t>( arctic_b0504 "The life there was healthful and athletic, but too juvenile." )</t>
  </si>
  <si>
    <t>( arctic_b0505 "How valiantly I went at it that first day." )</t>
  </si>
  <si>
    <t>( arctic_b0506 "It would help to tide me along until I got steady employment." )</t>
  </si>
  <si>
    <t>( arctic_b0507 "Did I possess too much vitality." )</t>
  </si>
  <si>
    <t>( arctic_b0508 "In his anxiety and solicitude and love they did not count." )</t>
  </si>
  <si>
    <t>( arctic_b0509 "He had fulfilled his duty and paid properly." )</t>
  </si>
  <si>
    <t>( arctic_b0510 "He knew what taboos he was violating." )</t>
  </si>
  <si>
    <t>( arctic_b0511 "Do you value your hide." )</t>
  </si>
  <si>
    <t>( arctic_b0512 "You should have seen them when they heard me spitting Chinook." )</t>
  </si>
  <si>
    <t>( arctic_b0513 "He plodded on for half an hour, when the hallucination arose again." )</t>
  </si>
  <si>
    <t>( arctic_b0514 "Tomorrow or next day it might he gone." )</t>
  </si>
  <si>
    <t>( arctic_b0515 "But already he had composed himself." )</t>
  </si>
  <si>
    <t>( arctic_b0516 "Zilla relaxed her sour mouth long enough to sigh her satisfaction." )</t>
  </si>
  <si>
    <t>( arctic_b0517 "Eggshell is not good to eat." )</t>
  </si>
  <si>
    <t>( arctic_b0518 "But there was also talk of witchcraft in the village." )</t>
  </si>
  <si>
    <t>( arctic_b0519 "Yea, I will tell thee." )</t>
  </si>
  <si>
    <t>( arctic_b0520 "Hans hurled himself upon the prostrate man, striking madly with his fists." )</t>
  </si>
  <si>
    <t>( arctic_b0521 "And he thought of Oona, and of her words." )</t>
  </si>
  <si>
    <t>( arctic_b0522 "Nor would it thaw out his hands and feet." )</t>
  </si>
  <si>
    <t>( arctic_b0523 "The Russian music player, the Count, was her obedient slave." )</t>
  </si>
  <si>
    <t>( arctic_b0524 "So far as flags were concerned, they were beyond all jurisdiction." )</t>
  </si>
  <si>
    <t>( arctic_b0525 "New idea, he volunteered, brand new idea." )</t>
  </si>
  <si>
    <t>( arctic_b0526 "Thirty pounds, said the captain with finality." )</t>
  </si>
  <si>
    <t>( arctic_b0527 "The very idea of it was preposterous." )</t>
  </si>
  <si>
    <t>( arctic_b0528 "Captain Doane's orders were swiftly obeyed." )</t>
  </si>
  <si>
    <t>( arctic_b0529 "Come on, Del Mar challenged." )</t>
  </si>
  <si>
    <t>( arctic_b0530 "He had a big chimpanzee that was a winner." )</t>
  </si>
  <si>
    <t>( arctic_b0531 "I am sure it must have been some adventure." )</t>
  </si>
  <si>
    <t>( arctic_b0532 "That Longfellow chap most likely had written countless books of poetry." )</t>
  </si>
  <si>
    <t>( arctic_b0533 "His abnormal power of vision made abstractions take on concrete form." )</t>
  </si>
  <si>
    <t>( arctic_b0534 "I'll tell you, the librarian said with a brightening face." )</t>
  </si>
  <si>
    <t>( arctic_b0535 "He read his fragments aloud." )</t>
  </si>
  <si>
    <t>( arctic_b0536 "Typhoid -- did I tell you." )</t>
  </si>
  <si>
    <t>( arctic_b0537 "But she had become an automaton." )</t>
  </si>
  <si>
    <t>( arctic_b0538 "At the best, they were necessary accessories." )</t>
  </si>
  <si>
    <t>( arctic_b0539 "You were making them talk shop, Ruth charged him."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</si>
</sst>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5"/>
    </font>
    <font/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ill="1" applyFont="1"/>
    <xf borderId="0" fillId="2" fontId="4" numFmtId="0" xfId="0" applyAlignment="1" applyFont="1">
      <alignment readingOrder="0"/>
    </xf>
    <xf borderId="0" fillId="2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70.86"/>
    <col customWidth="1" min="3" max="3" width="84.14"/>
    <col customWidth="1" min="4" max="4" width="48.0"/>
  </cols>
  <sheetData>
    <row r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3</v>
      </c>
      <c r="B2" s="4" t="s">
        <v>4</v>
      </c>
      <c r="C2" s="5" t="s">
        <v>5</v>
      </c>
    </row>
    <row r="3">
      <c r="A3" s="4" t="s">
        <v>6</v>
      </c>
      <c r="B3" s="4" t="s">
        <v>7</v>
      </c>
      <c r="C3" s="5" t="s">
        <v>8</v>
      </c>
    </row>
    <row r="4">
      <c r="A4" s="4" t="s">
        <v>9</v>
      </c>
      <c r="B4" s="4" t="s">
        <v>10</v>
      </c>
      <c r="C4" s="5" t="s">
        <v>11</v>
      </c>
    </row>
    <row r="5">
      <c r="A5" s="4" t="s">
        <v>12</v>
      </c>
      <c r="B5" s="4" t="s">
        <v>13</v>
      </c>
      <c r="C5" s="5" t="s">
        <v>14</v>
      </c>
    </row>
    <row r="6">
      <c r="A6" s="4" t="s">
        <v>15</v>
      </c>
      <c r="B6" s="4" t="s">
        <v>16</v>
      </c>
      <c r="C6" s="5" t="s">
        <v>17</v>
      </c>
    </row>
    <row r="7">
      <c r="A7" s="4" t="s">
        <v>18</v>
      </c>
      <c r="B7" s="4" t="s">
        <v>19</v>
      </c>
      <c r="C7" s="5" t="s">
        <v>20</v>
      </c>
    </row>
    <row r="8">
      <c r="A8" s="4" t="s">
        <v>21</v>
      </c>
      <c r="B8" s="4" t="s">
        <v>22</v>
      </c>
      <c r="C8" s="5" t="s">
        <v>23</v>
      </c>
    </row>
    <row r="9">
      <c r="A9" s="4" t="s">
        <v>24</v>
      </c>
      <c r="B9" s="4" t="s">
        <v>25</v>
      </c>
      <c r="C9" s="5" t="s">
        <v>26</v>
      </c>
    </row>
    <row r="10">
      <c r="A10" s="4" t="s">
        <v>27</v>
      </c>
      <c r="B10" s="4" t="s">
        <v>28</v>
      </c>
      <c r="C10" s="6" t="s">
        <v>29</v>
      </c>
    </row>
    <row r="11">
      <c r="A11" s="4" t="s">
        <v>30</v>
      </c>
      <c r="B11" s="4" t="s">
        <v>31</v>
      </c>
      <c r="C11" s="5" t="s">
        <v>32</v>
      </c>
    </row>
    <row r="12">
      <c r="A12" s="4" t="s">
        <v>33</v>
      </c>
      <c r="B12" s="4" t="s">
        <v>34</v>
      </c>
      <c r="C12" s="5" t="s">
        <v>35</v>
      </c>
    </row>
    <row r="13">
      <c r="A13" s="4" t="s">
        <v>36</v>
      </c>
      <c r="B13" s="4" t="s">
        <v>37</v>
      </c>
      <c r="C13" s="5" t="s">
        <v>38</v>
      </c>
    </row>
    <row r="14">
      <c r="A14" s="4" t="s">
        <v>39</v>
      </c>
      <c r="B14" s="4" t="s">
        <v>40</v>
      </c>
      <c r="C14" s="5" t="s">
        <v>41</v>
      </c>
      <c r="D14" s="7" t="s">
        <v>42</v>
      </c>
    </row>
    <row r="15">
      <c r="A15" s="4" t="s">
        <v>43</v>
      </c>
      <c r="B15" s="4" t="s">
        <v>44</v>
      </c>
      <c r="C15" s="5" t="s">
        <v>45</v>
      </c>
      <c r="D15" s="6" t="s">
        <v>46</v>
      </c>
    </row>
    <row r="16">
      <c r="A16" s="4" t="s">
        <v>47</v>
      </c>
      <c r="B16" s="4" t="s">
        <v>48</v>
      </c>
      <c r="C16" s="5" t="s">
        <v>49</v>
      </c>
    </row>
    <row r="17">
      <c r="A17" s="4" t="s">
        <v>50</v>
      </c>
      <c r="B17" s="4" t="s">
        <v>51</v>
      </c>
      <c r="C17" s="6" t="s">
        <v>52</v>
      </c>
    </row>
    <row r="18">
      <c r="A18" s="4" t="s">
        <v>53</v>
      </c>
      <c r="B18" s="4" t="s">
        <v>54</v>
      </c>
      <c r="C18" s="7" t="s">
        <v>55</v>
      </c>
    </row>
    <row r="19">
      <c r="A19" s="4" t="s">
        <v>56</v>
      </c>
      <c r="B19" s="4" t="s">
        <v>57</v>
      </c>
      <c r="C19" s="5" t="s">
        <v>58</v>
      </c>
    </row>
    <row r="20">
      <c r="A20" s="4" t="s">
        <v>59</v>
      </c>
      <c r="B20" s="4" t="s">
        <v>60</v>
      </c>
      <c r="C20" s="6" t="s">
        <v>61</v>
      </c>
    </row>
    <row r="21">
      <c r="A21" s="4" t="s">
        <v>62</v>
      </c>
      <c r="B21" s="4" t="s">
        <v>63</v>
      </c>
      <c r="C21" s="5" t="s">
        <v>64</v>
      </c>
    </row>
    <row r="22">
      <c r="A22" s="4" t="s">
        <v>65</v>
      </c>
      <c r="B22" s="4" t="s">
        <v>66</v>
      </c>
      <c r="C22" s="5" t="s">
        <v>67</v>
      </c>
    </row>
    <row r="23">
      <c r="A23" s="4" t="s">
        <v>68</v>
      </c>
      <c r="B23" s="4" t="s">
        <v>69</v>
      </c>
      <c r="C23" s="5" t="s">
        <v>70</v>
      </c>
    </row>
    <row r="24">
      <c r="A24" s="4" t="s">
        <v>71</v>
      </c>
      <c r="B24" s="4" t="s">
        <v>72</v>
      </c>
      <c r="C24" s="5" t="s">
        <v>73</v>
      </c>
    </row>
    <row r="25">
      <c r="A25" s="4" t="s">
        <v>74</v>
      </c>
      <c r="B25" s="4" t="s">
        <v>75</v>
      </c>
      <c r="C25" s="5" t="s">
        <v>76</v>
      </c>
    </row>
    <row r="26">
      <c r="A26" s="4" t="s">
        <v>77</v>
      </c>
      <c r="B26" s="4" t="s">
        <v>78</v>
      </c>
      <c r="C26" s="6" t="s">
        <v>79</v>
      </c>
    </row>
    <row r="27">
      <c r="A27" s="4" t="s">
        <v>80</v>
      </c>
      <c r="B27" s="4" t="s">
        <v>81</v>
      </c>
      <c r="C27" s="6" t="s">
        <v>82</v>
      </c>
    </row>
    <row r="28">
      <c r="A28" s="4" t="s">
        <v>83</v>
      </c>
      <c r="B28" s="4" t="s">
        <v>84</v>
      </c>
      <c r="C28" s="5" t="s">
        <v>85</v>
      </c>
    </row>
    <row r="29">
      <c r="A29" s="4" t="s">
        <v>86</v>
      </c>
      <c r="B29" s="4" t="s">
        <v>87</v>
      </c>
      <c r="C29" s="5" t="s">
        <v>88</v>
      </c>
    </row>
    <row r="30">
      <c r="A30" s="4" t="s">
        <v>89</v>
      </c>
      <c r="B30" s="4" t="s">
        <v>90</v>
      </c>
      <c r="C30" s="5" t="s">
        <v>91</v>
      </c>
    </row>
    <row r="31">
      <c r="A31" s="4" t="s">
        <v>92</v>
      </c>
      <c r="B31" s="4" t="s">
        <v>93</v>
      </c>
      <c r="C31" s="5" t="s">
        <v>94</v>
      </c>
    </row>
    <row r="32">
      <c r="A32" s="4" t="s">
        <v>95</v>
      </c>
      <c r="B32" s="4" t="s">
        <v>96</v>
      </c>
      <c r="C32" s="5" t="s">
        <v>97</v>
      </c>
    </row>
    <row r="33">
      <c r="A33" s="4" t="s">
        <v>98</v>
      </c>
      <c r="B33" s="4" t="s">
        <v>99</v>
      </c>
      <c r="C33" s="5" t="s">
        <v>100</v>
      </c>
    </row>
    <row r="34">
      <c r="A34" s="4" t="s">
        <v>101</v>
      </c>
      <c r="B34" s="4" t="s">
        <v>102</v>
      </c>
      <c r="C34" s="5" t="s">
        <v>103</v>
      </c>
    </row>
    <row r="35">
      <c r="A35" s="4" t="s">
        <v>104</v>
      </c>
      <c r="B35" s="4" t="s">
        <v>105</v>
      </c>
      <c r="C35" s="5" t="s">
        <v>106</v>
      </c>
    </row>
    <row r="36">
      <c r="A36" s="4" t="s">
        <v>107</v>
      </c>
      <c r="B36" s="4" t="s">
        <v>108</v>
      </c>
      <c r="C36" s="6" t="s">
        <v>109</v>
      </c>
    </row>
    <row r="37">
      <c r="A37" s="4" t="s">
        <v>110</v>
      </c>
      <c r="B37" s="4" t="s">
        <v>111</v>
      </c>
      <c r="C37" s="6" t="s">
        <v>112</v>
      </c>
    </row>
    <row r="38">
      <c r="A38" s="4" t="s">
        <v>113</v>
      </c>
      <c r="B38" s="4" t="s">
        <v>114</v>
      </c>
      <c r="C38" s="5" t="s">
        <v>115</v>
      </c>
    </row>
    <row r="39">
      <c r="A39" s="4" t="s">
        <v>116</v>
      </c>
      <c r="B39" s="4" t="s">
        <v>117</v>
      </c>
      <c r="C39" s="5" t="s">
        <v>118</v>
      </c>
    </row>
    <row r="40">
      <c r="A40" s="4" t="s">
        <v>119</v>
      </c>
      <c r="B40" s="4" t="s">
        <v>120</v>
      </c>
      <c r="C40" s="5" t="s">
        <v>121</v>
      </c>
    </row>
    <row r="41">
      <c r="A41" s="4" t="s">
        <v>122</v>
      </c>
      <c r="B41" s="4" t="s">
        <v>123</v>
      </c>
      <c r="C41" s="5" t="s">
        <v>124</v>
      </c>
    </row>
    <row r="42">
      <c r="A42" s="4" t="s">
        <v>125</v>
      </c>
      <c r="B42" s="4" t="s">
        <v>126</v>
      </c>
      <c r="C42" s="6" t="s">
        <v>127</v>
      </c>
    </row>
    <row r="43">
      <c r="A43" s="4" t="s">
        <v>128</v>
      </c>
      <c r="B43" s="4" t="s">
        <v>129</v>
      </c>
      <c r="C43" s="6" t="s">
        <v>130</v>
      </c>
    </row>
    <row r="44">
      <c r="A44" s="4" t="s">
        <v>131</v>
      </c>
      <c r="B44" s="4" t="s">
        <v>132</v>
      </c>
      <c r="C44" s="5" t="s">
        <v>133</v>
      </c>
    </row>
    <row r="45">
      <c r="A45" s="4" t="s">
        <v>134</v>
      </c>
      <c r="B45" s="4" t="s">
        <v>135</v>
      </c>
      <c r="C45" s="6" t="s">
        <v>136</v>
      </c>
    </row>
    <row r="46">
      <c r="A46" s="4" t="s">
        <v>137</v>
      </c>
      <c r="B46" s="4" t="s">
        <v>138</v>
      </c>
      <c r="C46" s="5" t="s">
        <v>139</v>
      </c>
    </row>
    <row r="47">
      <c r="A47" s="4" t="s">
        <v>140</v>
      </c>
      <c r="B47" s="4" t="s">
        <v>141</v>
      </c>
      <c r="C47" s="5" t="s">
        <v>142</v>
      </c>
    </row>
    <row r="48">
      <c r="A48" s="4" t="s">
        <v>143</v>
      </c>
      <c r="B48" s="4" t="s">
        <v>144</v>
      </c>
      <c r="C48" s="7" t="s">
        <v>145</v>
      </c>
    </row>
    <row r="49">
      <c r="A49" s="4" t="s">
        <v>146</v>
      </c>
      <c r="B49" s="4" t="s">
        <v>147</v>
      </c>
      <c r="C49" s="5" t="s">
        <v>148</v>
      </c>
    </row>
    <row r="50">
      <c r="A50" s="4" t="s">
        <v>149</v>
      </c>
      <c r="B50" s="4" t="s">
        <v>150</v>
      </c>
      <c r="C50" s="5" t="s">
        <v>151</v>
      </c>
    </row>
    <row r="51">
      <c r="A51" s="4" t="s">
        <v>152</v>
      </c>
      <c r="B51" s="4" t="s">
        <v>153</v>
      </c>
      <c r="C51" s="5" t="s">
        <v>154</v>
      </c>
    </row>
    <row r="52">
      <c r="A52" s="4" t="s">
        <v>155</v>
      </c>
      <c r="B52" s="4" t="s">
        <v>156</v>
      </c>
      <c r="C52" s="5" t="s">
        <v>157</v>
      </c>
    </row>
    <row r="53">
      <c r="A53" s="4" t="s">
        <v>158</v>
      </c>
      <c r="B53" s="4" t="s">
        <v>159</v>
      </c>
      <c r="C53" s="5" t="s">
        <v>160</v>
      </c>
    </row>
    <row r="54">
      <c r="A54" s="4" t="s">
        <v>161</v>
      </c>
      <c r="B54" s="4" t="s">
        <v>162</v>
      </c>
      <c r="C54" s="5" t="s">
        <v>163</v>
      </c>
    </row>
    <row r="55">
      <c r="A55" s="4" t="s">
        <v>164</v>
      </c>
      <c r="B55" s="4" t="s">
        <v>165</v>
      </c>
      <c r="C55" s="5" t="s">
        <v>166</v>
      </c>
    </row>
    <row r="56">
      <c r="A56" s="4" t="s">
        <v>167</v>
      </c>
      <c r="B56" s="4" t="s">
        <v>168</v>
      </c>
      <c r="C56" s="5" t="s">
        <v>169</v>
      </c>
    </row>
    <row r="57">
      <c r="A57" s="4" t="s">
        <v>170</v>
      </c>
      <c r="B57" s="4" t="s">
        <v>171</v>
      </c>
      <c r="C57" s="5" t="s">
        <v>172</v>
      </c>
    </row>
    <row r="58">
      <c r="A58" s="4" t="s">
        <v>173</v>
      </c>
      <c r="B58" s="4" t="s">
        <v>174</v>
      </c>
      <c r="C58" s="5" t="s">
        <v>175</v>
      </c>
    </row>
    <row r="59">
      <c r="A59" s="4" t="s">
        <v>176</v>
      </c>
      <c r="B59" s="4" t="s">
        <v>177</v>
      </c>
      <c r="C59" s="5" t="s">
        <v>178</v>
      </c>
    </row>
    <row r="60">
      <c r="A60" s="4" t="s">
        <v>179</v>
      </c>
      <c r="B60" s="4" t="s">
        <v>180</v>
      </c>
      <c r="C60" s="5" t="s">
        <v>181</v>
      </c>
    </row>
    <row r="61">
      <c r="A61" s="4" t="s">
        <v>182</v>
      </c>
      <c r="B61" s="4" t="s">
        <v>183</v>
      </c>
      <c r="C61" s="5" t="s">
        <v>184</v>
      </c>
    </row>
    <row r="62">
      <c r="A62" s="4" t="s">
        <v>185</v>
      </c>
      <c r="B62" s="4" t="s">
        <v>186</v>
      </c>
      <c r="C62" s="5" t="s">
        <v>187</v>
      </c>
    </row>
    <row r="63">
      <c r="A63" s="4" t="s">
        <v>188</v>
      </c>
      <c r="B63" s="4" t="s">
        <v>189</v>
      </c>
      <c r="C63" s="5" t="s">
        <v>190</v>
      </c>
    </row>
    <row r="64">
      <c r="A64" s="4" t="s">
        <v>191</v>
      </c>
      <c r="B64" s="4" t="s">
        <v>192</v>
      </c>
      <c r="C64" s="5" t="s">
        <v>193</v>
      </c>
    </row>
    <row r="65">
      <c r="A65" s="4" t="s">
        <v>194</v>
      </c>
      <c r="B65" s="4" t="s">
        <v>195</v>
      </c>
      <c r="C65" s="5" t="s">
        <v>196</v>
      </c>
    </row>
    <row r="66">
      <c r="A66" s="4" t="s">
        <v>197</v>
      </c>
      <c r="B66" s="4" t="s">
        <v>198</v>
      </c>
      <c r="C66" s="5" t="s">
        <v>199</v>
      </c>
    </row>
    <row r="67">
      <c r="A67" s="4" t="s">
        <v>200</v>
      </c>
      <c r="B67" s="4" t="s">
        <v>201</v>
      </c>
      <c r="C67" s="5" t="s">
        <v>202</v>
      </c>
    </row>
    <row r="68">
      <c r="A68" s="4" t="s">
        <v>203</v>
      </c>
      <c r="B68" s="4" t="s">
        <v>204</v>
      </c>
      <c r="C68" s="5" t="s">
        <v>205</v>
      </c>
    </row>
    <row r="69">
      <c r="A69" s="4" t="s">
        <v>206</v>
      </c>
      <c r="B69" s="4" t="s">
        <v>207</v>
      </c>
      <c r="C69" s="5" t="s">
        <v>208</v>
      </c>
    </row>
    <row r="70">
      <c r="A70" s="4" t="s">
        <v>209</v>
      </c>
      <c r="B70" s="4" t="s">
        <v>210</v>
      </c>
      <c r="C70" s="5" t="s">
        <v>211</v>
      </c>
    </row>
    <row r="71">
      <c r="A71" s="4" t="s">
        <v>212</v>
      </c>
      <c r="B71" s="4" t="s">
        <v>213</v>
      </c>
      <c r="C71" s="5" t="s">
        <v>214</v>
      </c>
    </row>
    <row r="72">
      <c r="A72" s="4" t="s">
        <v>215</v>
      </c>
      <c r="B72" s="4" t="s">
        <v>216</v>
      </c>
      <c r="C72" s="5" t="s">
        <v>217</v>
      </c>
    </row>
    <row r="73">
      <c r="A73" s="4" t="s">
        <v>218</v>
      </c>
      <c r="B73" s="4" t="s">
        <v>219</v>
      </c>
      <c r="C73" s="5" t="s">
        <v>220</v>
      </c>
    </row>
    <row r="74">
      <c r="A74" s="4" t="s">
        <v>221</v>
      </c>
      <c r="B74" s="4" t="s">
        <v>222</v>
      </c>
      <c r="C74" s="5" t="s">
        <v>223</v>
      </c>
    </row>
    <row r="75">
      <c r="A75" s="4" t="s">
        <v>224</v>
      </c>
      <c r="B75" s="4" t="s">
        <v>225</v>
      </c>
      <c r="C75" s="5" t="s">
        <v>226</v>
      </c>
    </row>
    <row r="76">
      <c r="A76" s="4" t="s">
        <v>227</v>
      </c>
      <c r="B76" s="4" t="s">
        <v>228</v>
      </c>
      <c r="C76" s="5" t="s">
        <v>229</v>
      </c>
    </row>
    <row r="77">
      <c r="A77" s="4" t="s">
        <v>230</v>
      </c>
      <c r="B77" s="4" t="s">
        <v>231</v>
      </c>
      <c r="C77" s="5" t="s">
        <v>232</v>
      </c>
    </row>
    <row r="78">
      <c r="A78" s="4" t="s">
        <v>233</v>
      </c>
      <c r="B78" s="4" t="s">
        <v>234</v>
      </c>
      <c r="C78" s="5" t="s">
        <v>235</v>
      </c>
    </row>
    <row r="79">
      <c r="A79" s="4" t="s">
        <v>236</v>
      </c>
      <c r="B79" s="4" t="s">
        <v>237</v>
      </c>
      <c r="C79" s="5" t="s">
        <v>238</v>
      </c>
    </row>
    <row r="80">
      <c r="A80" s="4" t="s">
        <v>239</v>
      </c>
      <c r="B80" s="4" t="s">
        <v>240</v>
      </c>
      <c r="C80" s="5" t="s">
        <v>241</v>
      </c>
    </row>
    <row r="81">
      <c r="A81" s="4" t="s">
        <v>242</v>
      </c>
      <c r="B81" s="4" t="s">
        <v>243</v>
      </c>
      <c r="C81" s="5" t="s">
        <v>244</v>
      </c>
    </row>
    <row r="82">
      <c r="A82" s="4" t="s">
        <v>245</v>
      </c>
      <c r="B82" s="4" t="s">
        <v>246</v>
      </c>
      <c r="C82" s="5" t="s">
        <v>247</v>
      </c>
    </row>
    <row r="83">
      <c r="A83" s="4" t="s">
        <v>248</v>
      </c>
      <c r="B83" s="4" t="s">
        <v>249</v>
      </c>
      <c r="C83" s="5" t="s">
        <v>250</v>
      </c>
    </row>
    <row r="84">
      <c r="A84" s="4" t="s">
        <v>251</v>
      </c>
      <c r="B84" s="4" t="s">
        <v>252</v>
      </c>
      <c r="C84" s="5" t="s">
        <v>253</v>
      </c>
    </row>
    <row r="85">
      <c r="A85" s="4" t="s">
        <v>254</v>
      </c>
      <c r="B85" s="4" t="s">
        <v>255</v>
      </c>
      <c r="C85" s="5" t="s">
        <v>256</v>
      </c>
    </row>
    <row r="86">
      <c r="A86" s="4" t="s">
        <v>257</v>
      </c>
      <c r="B86" s="4" t="s">
        <v>258</v>
      </c>
      <c r="C86" s="5" t="s">
        <v>259</v>
      </c>
    </row>
    <row r="87">
      <c r="A87" s="4" t="s">
        <v>260</v>
      </c>
      <c r="B87" s="4" t="s">
        <v>261</v>
      </c>
      <c r="C87" s="5" t="s">
        <v>262</v>
      </c>
    </row>
    <row r="88">
      <c r="A88" s="4" t="s">
        <v>263</v>
      </c>
      <c r="B88" s="4" t="s">
        <v>264</v>
      </c>
      <c r="C88" s="5" t="s">
        <v>265</v>
      </c>
    </row>
    <row r="89">
      <c r="A89" s="4" t="s">
        <v>266</v>
      </c>
      <c r="B89" s="4" t="s">
        <v>267</v>
      </c>
      <c r="C89" s="5" t="s">
        <v>268</v>
      </c>
    </row>
    <row r="90">
      <c r="A90" s="4" t="s">
        <v>269</v>
      </c>
      <c r="B90" s="4" t="s">
        <v>270</v>
      </c>
      <c r="C90" s="5" t="s">
        <v>271</v>
      </c>
    </row>
    <row r="91">
      <c r="A91" s="4" t="s">
        <v>272</v>
      </c>
      <c r="B91" s="4" t="s">
        <v>273</v>
      </c>
      <c r="C91" s="5" t="s">
        <v>274</v>
      </c>
    </row>
    <row r="92">
      <c r="A92" s="4" t="s">
        <v>275</v>
      </c>
      <c r="B92" s="4" t="s">
        <v>276</v>
      </c>
      <c r="C92" s="5" t="s">
        <v>277</v>
      </c>
    </row>
    <row r="93">
      <c r="A93" s="4" t="s">
        <v>278</v>
      </c>
      <c r="B93" s="4" t="s">
        <v>279</v>
      </c>
      <c r="C93" s="5" t="s">
        <v>280</v>
      </c>
    </row>
    <row r="94">
      <c r="A94" s="4" t="s">
        <v>281</v>
      </c>
      <c r="B94" s="4" t="s">
        <v>282</v>
      </c>
      <c r="C94" s="5" t="s">
        <v>283</v>
      </c>
    </row>
    <row r="95">
      <c r="A95" s="4" t="s">
        <v>284</v>
      </c>
      <c r="B95" s="4" t="s">
        <v>285</v>
      </c>
      <c r="C95" s="5" t="s">
        <v>286</v>
      </c>
    </row>
    <row r="96">
      <c r="A96" s="4" t="s">
        <v>287</v>
      </c>
      <c r="B96" s="4" t="s">
        <v>288</v>
      </c>
      <c r="C96" s="5" t="s">
        <v>289</v>
      </c>
    </row>
    <row r="97">
      <c r="A97" s="4" t="s">
        <v>290</v>
      </c>
      <c r="B97" s="4" t="s">
        <v>291</v>
      </c>
      <c r="C97" s="5" t="s">
        <v>292</v>
      </c>
    </row>
    <row r="98">
      <c r="A98" s="4" t="s">
        <v>293</v>
      </c>
      <c r="B98" s="4" t="s">
        <v>294</v>
      </c>
      <c r="C98" s="5" t="s">
        <v>295</v>
      </c>
    </row>
    <row r="99">
      <c r="A99" s="4" t="s">
        <v>296</v>
      </c>
      <c r="B99" s="4" t="s">
        <v>297</v>
      </c>
      <c r="C99" s="5" t="s">
        <v>298</v>
      </c>
    </row>
    <row r="100">
      <c r="A100" s="4" t="s">
        <v>299</v>
      </c>
      <c r="B100" s="4" t="s">
        <v>300</v>
      </c>
      <c r="C100" s="5" t="s">
        <v>301</v>
      </c>
    </row>
    <row r="101">
      <c r="A101" s="4" t="s">
        <v>302</v>
      </c>
      <c r="B101" s="4" t="s">
        <v>303</v>
      </c>
      <c r="C101" s="5" t="s">
        <v>304</v>
      </c>
    </row>
    <row r="102">
      <c r="A102" s="4" t="s">
        <v>305</v>
      </c>
      <c r="B102" s="4" t="s">
        <v>306</v>
      </c>
      <c r="C102" s="5" t="s">
        <v>307</v>
      </c>
    </row>
    <row r="103">
      <c r="A103" s="4" t="s">
        <v>308</v>
      </c>
      <c r="B103" s="4" t="s">
        <v>309</v>
      </c>
      <c r="C103" s="5" t="s">
        <v>310</v>
      </c>
    </row>
    <row r="104">
      <c r="A104" s="4" t="s">
        <v>311</v>
      </c>
      <c r="B104" s="4" t="s">
        <v>312</v>
      </c>
      <c r="C104" s="5" t="s">
        <v>313</v>
      </c>
    </row>
    <row r="105">
      <c r="A105" s="4" t="s">
        <v>314</v>
      </c>
      <c r="B105" s="4" t="s">
        <v>315</v>
      </c>
      <c r="C105" s="5" t="s">
        <v>316</v>
      </c>
    </row>
    <row r="106">
      <c r="A106" s="4" t="s">
        <v>317</v>
      </c>
      <c r="B106" s="4" t="s">
        <v>318</v>
      </c>
      <c r="C106" s="5" t="s">
        <v>319</v>
      </c>
    </row>
    <row r="107">
      <c r="A107" s="4" t="s">
        <v>320</v>
      </c>
      <c r="B107" s="4" t="s">
        <v>321</v>
      </c>
      <c r="C107" s="5" t="s">
        <v>322</v>
      </c>
    </row>
    <row r="108">
      <c r="A108" s="4" t="s">
        <v>323</v>
      </c>
      <c r="B108" s="4" t="s">
        <v>324</v>
      </c>
      <c r="C108" s="5" t="s">
        <v>325</v>
      </c>
    </row>
    <row r="109">
      <c r="A109" s="4" t="s">
        <v>326</v>
      </c>
      <c r="B109" s="4" t="s">
        <v>327</v>
      </c>
      <c r="C109" s="5" t="s">
        <v>328</v>
      </c>
    </row>
    <row r="110">
      <c r="A110" s="4" t="s">
        <v>329</v>
      </c>
      <c r="B110" s="4" t="s">
        <v>330</v>
      </c>
      <c r="C110" s="5" t="s">
        <v>331</v>
      </c>
    </row>
    <row r="111">
      <c r="A111" s="4" t="s">
        <v>332</v>
      </c>
      <c r="B111" s="4" t="s">
        <v>333</v>
      </c>
      <c r="C111" s="5" t="s">
        <v>334</v>
      </c>
    </row>
    <row r="112">
      <c r="A112" s="4" t="s">
        <v>335</v>
      </c>
      <c r="B112" s="4" t="s">
        <v>336</v>
      </c>
      <c r="C112" s="5" t="s">
        <v>337</v>
      </c>
    </row>
    <row r="113">
      <c r="A113" s="4" t="s">
        <v>338</v>
      </c>
      <c r="B113" s="4" t="s">
        <v>339</v>
      </c>
      <c r="C113" s="5" t="s">
        <v>340</v>
      </c>
    </row>
    <row r="114">
      <c r="A114" s="4" t="s">
        <v>341</v>
      </c>
      <c r="B114" s="4" t="s">
        <v>342</v>
      </c>
      <c r="C114" s="5" t="s">
        <v>343</v>
      </c>
    </row>
    <row r="115">
      <c r="A115" s="4" t="s">
        <v>344</v>
      </c>
      <c r="B115" s="4" t="s">
        <v>345</v>
      </c>
      <c r="C115" s="5" t="s">
        <v>346</v>
      </c>
    </row>
    <row r="116">
      <c r="A116" s="4" t="s">
        <v>347</v>
      </c>
      <c r="B116" s="4" t="s">
        <v>348</v>
      </c>
      <c r="C116" s="5" t="s">
        <v>349</v>
      </c>
    </row>
    <row r="117">
      <c r="A117" s="4" t="s">
        <v>350</v>
      </c>
      <c r="B117" s="4" t="s">
        <v>351</v>
      </c>
      <c r="C117" s="5" t="s">
        <v>352</v>
      </c>
    </row>
    <row r="118">
      <c r="A118" s="4" t="s">
        <v>353</v>
      </c>
      <c r="B118" s="4" t="s">
        <v>354</v>
      </c>
      <c r="C118" s="5" t="s">
        <v>355</v>
      </c>
    </row>
    <row r="119">
      <c r="A119" s="4" t="s">
        <v>356</v>
      </c>
      <c r="B119" s="4" t="s">
        <v>357</v>
      </c>
      <c r="C119" s="5" t="s">
        <v>358</v>
      </c>
    </row>
    <row r="120">
      <c r="A120" s="4" t="s">
        <v>359</v>
      </c>
      <c r="B120" s="4" t="s">
        <v>360</v>
      </c>
      <c r="C120" s="5" t="s">
        <v>361</v>
      </c>
    </row>
    <row r="121">
      <c r="A121" s="4" t="s">
        <v>362</v>
      </c>
      <c r="B121" s="4" t="s">
        <v>363</v>
      </c>
      <c r="C121" s="5" t="s">
        <v>364</v>
      </c>
    </row>
    <row r="122">
      <c r="A122" s="4" t="s">
        <v>365</v>
      </c>
      <c r="B122" s="4" t="s">
        <v>366</v>
      </c>
      <c r="C122" s="5" t="s">
        <v>367</v>
      </c>
    </row>
    <row r="123">
      <c r="A123" s="4" t="s">
        <v>368</v>
      </c>
      <c r="B123" s="4" t="s">
        <v>369</v>
      </c>
      <c r="C123" s="5" t="s">
        <v>370</v>
      </c>
    </row>
    <row r="124">
      <c r="A124" s="4" t="s">
        <v>371</v>
      </c>
      <c r="B124" s="4" t="s">
        <v>372</v>
      </c>
      <c r="C124" s="5" t="s">
        <v>373</v>
      </c>
    </row>
    <row r="125">
      <c r="A125" s="4" t="s">
        <v>374</v>
      </c>
      <c r="B125" s="4" t="s">
        <v>375</v>
      </c>
      <c r="C125" s="5" t="s">
        <v>376</v>
      </c>
    </row>
    <row r="126">
      <c r="A126" s="4" t="s">
        <v>377</v>
      </c>
      <c r="B126" s="4" t="s">
        <v>378</v>
      </c>
      <c r="C126" s="5" t="s">
        <v>379</v>
      </c>
    </row>
    <row r="127">
      <c r="A127" s="4" t="s">
        <v>380</v>
      </c>
      <c r="B127" s="4" t="s">
        <v>381</v>
      </c>
      <c r="C127" s="5" t="s">
        <v>382</v>
      </c>
    </row>
    <row r="128">
      <c r="A128" s="4" t="s">
        <v>383</v>
      </c>
      <c r="B128" s="4" t="s">
        <v>384</v>
      </c>
      <c r="C128" s="5" t="s">
        <v>385</v>
      </c>
    </row>
    <row r="129">
      <c r="A129" s="4" t="s">
        <v>386</v>
      </c>
      <c r="B129" s="4" t="s">
        <v>387</v>
      </c>
      <c r="C129" s="5" t="s">
        <v>388</v>
      </c>
    </row>
    <row r="130">
      <c r="A130" s="4" t="s">
        <v>389</v>
      </c>
      <c r="B130" s="4" t="s">
        <v>390</v>
      </c>
      <c r="C130" s="5" t="s">
        <v>391</v>
      </c>
    </row>
    <row r="131">
      <c r="A131" s="4" t="s">
        <v>392</v>
      </c>
      <c r="B131" s="4" t="s">
        <v>393</v>
      </c>
      <c r="C131" s="5" t="s">
        <v>394</v>
      </c>
    </row>
    <row r="132">
      <c r="A132" s="4" t="s">
        <v>395</v>
      </c>
      <c r="B132" s="4" t="s">
        <v>396</v>
      </c>
      <c r="C132" s="5" t="s">
        <v>397</v>
      </c>
    </row>
    <row r="133">
      <c r="A133" s="4" t="s">
        <v>398</v>
      </c>
      <c r="B133" s="4" t="s">
        <v>399</v>
      </c>
      <c r="C133" s="5" t="s">
        <v>400</v>
      </c>
    </row>
    <row r="134">
      <c r="A134" s="4" t="s">
        <v>401</v>
      </c>
      <c r="B134" s="4" t="s">
        <v>402</v>
      </c>
      <c r="C134" s="5" t="s">
        <v>403</v>
      </c>
    </row>
    <row r="135">
      <c r="A135" s="4" t="s">
        <v>404</v>
      </c>
      <c r="B135" s="4" t="s">
        <v>405</v>
      </c>
      <c r="C135" s="5" t="s">
        <v>406</v>
      </c>
    </row>
    <row r="136">
      <c r="A136" s="4" t="s">
        <v>407</v>
      </c>
      <c r="B136" s="4" t="s">
        <v>408</v>
      </c>
      <c r="C136" s="5" t="s">
        <v>409</v>
      </c>
    </row>
    <row r="137">
      <c r="A137" s="4" t="s">
        <v>410</v>
      </c>
      <c r="B137" s="4" t="s">
        <v>411</v>
      </c>
      <c r="C137" s="5" t="s">
        <v>412</v>
      </c>
    </row>
    <row r="138">
      <c r="A138" s="4" t="s">
        <v>413</v>
      </c>
      <c r="B138" s="4" t="s">
        <v>414</v>
      </c>
      <c r="C138" s="5" t="s">
        <v>415</v>
      </c>
    </row>
    <row r="139">
      <c r="A139" s="4" t="s">
        <v>416</v>
      </c>
      <c r="B139" s="4" t="s">
        <v>417</v>
      </c>
      <c r="C139" s="5" t="s">
        <v>418</v>
      </c>
    </row>
    <row r="140">
      <c r="A140" s="4" t="s">
        <v>419</v>
      </c>
      <c r="B140" s="4" t="s">
        <v>420</v>
      </c>
      <c r="C140" s="5" t="s">
        <v>421</v>
      </c>
    </row>
    <row r="141">
      <c r="A141" s="4" t="s">
        <v>422</v>
      </c>
      <c r="B141" s="4" t="s">
        <v>423</v>
      </c>
      <c r="C141" s="5" t="s">
        <v>424</v>
      </c>
    </row>
    <row r="142">
      <c r="A142" s="4" t="s">
        <v>425</v>
      </c>
      <c r="B142" s="4" t="s">
        <v>426</v>
      </c>
      <c r="C142" s="5" t="s">
        <v>427</v>
      </c>
    </row>
    <row r="143">
      <c r="A143" s="4" t="s">
        <v>428</v>
      </c>
      <c r="B143" s="4" t="s">
        <v>429</v>
      </c>
      <c r="C143" s="5" t="s">
        <v>430</v>
      </c>
    </row>
    <row r="144">
      <c r="A144" s="4" t="s">
        <v>431</v>
      </c>
      <c r="B144" s="4" t="s">
        <v>432</v>
      </c>
      <c r="C144" s="5" t="s">
        <v>433</v>
      </c>
    </row>
    <row r="145">
      <c r="A145" s="4" t="s">
        <v>434</v>
      </c>
      <c r="B145" s="4" t="s">
        <v>435</v>
      </c>
      <c r="C145" s="5" t="s">
        <v>436</v>
      </c>
    </row>
    <row r="146">
      <c r="A146" s="4" t="s">
        <v>437</v>
      </c>
      <c r="B146" s="4" t="s">
        <v>438</v>
      </c>
      <c r="C146" s="5" t="s">
        <v>439</v>
      </c>
    </row>
    <row r="147">
      <c r="A147" s="4" t="s">
        <v>440</v>
      </c>
      <c r="B147" s="4" t="s">
        <v>441</v>
      </c>
      <c r="C147" s="5" t="s">
        <v>442</v>
      </c>
    </row>
    <row r="148">
      <c r="A148" s="4" t="s">
        <v>443</v>
      </c>
      <c r="B148" s="4" t="s">
        <v>444</v>
      </c>
      <c r="C148" s="5" t="s">
        <v>445</v>
      </c>
    </row>
    <row r="149">
      <c r="A149" s="4" t="s">
        <v>446</v>
      </c>
      <c r="B149" s="4" t="s">
        <v>447</v>
      </c>
      <c r="C149" s="5" t="s">
        <v>448</v>
      </c>
    </row>
    <row r="150">
      <c r="A150" s="4" t="s">
        <v>449</v>
      </c>
      <c r="B150" s="4" t="s">
        <v>450</v>
      </c>
      <c r="C150" s="5" t="s">
        <v>451</v>
      </c>
    </row>
    <row r="151">
      <c r="A151" s="4" t="s">
        <v>452</v>
      </c>
      <c r="B151" s="4" t="s">
        <v>453</v>
      </c>
      <c r="C151" s="5" t="s">
        <v>454</v>
      </c>
    </row>
    <row r="152">
      <c r="A152" s="4" t="s">
        <v>455</v>
      </c>
      <c r="B152" s="4" t="s">
        <v>456</v>
      </c>
      <c r="C152" s="5" t="s">
        <v>457</v>
      </c>
    </row>
    <row r="153">
      <c r="A153" s="4" t="s">
        <v>458</v>
      </c>
      <c r="B153" s="4" t="s">
        <v>459</v>
      </c>
      <c r="C153" s="5" t="s">
        <v>460</v>
      </c>
    </row>
    <row r="154">
      <c r="A154" s="4" t="s">
        <v>461</v>
      </c>
      <c r="B154" s="4" t="s">
        <v>462</v>
      </c>
      <c r="C154" s="5" t="s">
        <v>463</v>
      </c>
    </row>
    <row r="155">
      <c r="A155" s="4" t="s">
        <v>464</v>
      </c>
      <c r="B155" s="4" t="s">
        <v>465</v>
      </c>
      <c r="C155" s="5" t="s">
        <v>466</v>
      </c>
    </row>
    <row r="156">
      <c r="A156" s="4" t="s">
        <v>467</v>
      </c>
      <c r="B156" s="4" t="s">
        <v>468</v>
      </c>
      <c r="C156" s="5" t="s">
        <v>469</v>
      </c>
    </row>
    <row r="157">
      <c r="A157" s="4" t="s">
        <v>470</v>
      </c>
      <c r="B157" s="4" t="s">
        <v>471</v>
      </c>
      <c r="C157" s="5" t="s">
        <v>472</v>
      </c>
    </row>
    <row r="158">
      <c r="A158" s="4" t="s">
        <v>473</v>
      </c>
      <c r="B158" s="4" t="s">
        <v>474</v>
      </c>
      <c r="C158" s="5" t="s">
        <v>475</v>
      </c>
    </row>
    <row r="159">
      <c r="A159" s="4" t="s">
        <v>476</v>
      </c>
      <c r="B159" s="4" t="s">
        <v>477</v>
      </c>
      <c r="C159" s="5" t="s">
        <v>478</v>
      </c>
    </row>
    <row r="160">
      <c r="A160" s="4" t="s">
        <v>479</v>
      </c>
      <c r="B160" s="4" t="s">
        <v>480</v>
      </c>
      <c r="C160" s="5" t="s">
        <v>481</v>
      </c>
    </row>
    <row r="161">
      <c r="A161" s="4" t="s">
        <v>482</v>
      </c>
      <c r="B161" s="4" t="s">
        <v>483</v>
      </c>
      <c r="C161" s="5" t="s">
        <v>484</v>
      </c>
    </row>
    <row r="162">
      <c r="A162" s="4" t="s">
        <v>485</v>
      </c>
      <c r="B162" s="4" t="s">
        <v>486</v>
      </c>
      <c r="C162" s="5" t="s">
        <v>487</v>
      </c>
    </row>
    <row r="163">
      <c r="A163" s="4" t="s">
        <v>488</v>
      </c>
      <c r="B163" s="4" t="s">
        <v>489</v>
      </c>
      <c r="C163" s="5" t="s">
        <v>490</v>
      </c>
    </row>
    <row r="164">
      <c r="A164" s="4" t="s">
        <v>491</v>
      </c>
      <c r="B164" s="4" t="s">
        <v>492</v>
      </c>
      <c r="C164" s="5" t="s">
        <v>493</v>
      </c>
    </row>
    <row r="165">
      <c r="A165" s="4" t="s">
        <v>494</v>
      </c>
      <c r="B165" s="4" t="s">
        <v>495</v>
      </c>
      <c r="C165" s="5" t="s">
        <v>496</v>
      </c>
    </row>
    <row r="166">
      <c r="A166" s="4" t="s">
        <v>497</v>
      </c>
      <c r="B166" s="4" t="s">
        <v>498</v>
      </c>
      <c r="C166" s="5" t="s">
        <v>499</v>
      </c>
    </row>
    <row r="167">
      <c r="A167" s="4" t="s">
        <v>500</v>
      </c>
      <c r="B167" s="4" t="s">
        <v>501</v>
      </c>
      <c r="C167" s="5" t="s">
        <v>502</v>
      </c>
    </row>
    <row r="168">
      <c r="A168" s="4" t="s">
        <v>503</v>
      </c>
      <c r="B168" s="4" t="s">
        <v>504</v>
      </c>
      <c r="C168" s="5" t="s">
        <v>505</v>
      </c>
    </row>
    <row r="169">
      <c r="A169" s="4" t="s">
        <v>506</v>
      </c>
      <c r="B169" s="4" t="s">
        <v>507</v>
      </c>
      <c r="C169" s="5" t="s">
        <v>508</v>
      </c>
    </row>
    <row r="170">
      <c r="A170" s="4" t="s">
        <v>509</v>
      </c>
      <c r="B170" s="4" t="s">
        <v>510</v>
      </c>
      <c r="C170" s="5" t="s">
        <v>511</v>
      </c>
    </row>
    <row r="171">
      <c r="A171" s="4" t="s">
        <v>512</v>
      </c>
      <c r="B171" s="4" t="s">
        <v>513</v>
      </c>
      <c r="C171" s="5" t="s">
        <v>514</v>
      </c>
    </row>
    <row r="172">
      <c r="A172" s="4" t="s">
        <v>515</v>
      </c>
      <c r="B172" s="4" t="s">
        <v>516</v>
      </c>
      <c r="C172" s="5" t="s">
        <v>517</v>
      </c>
    </row>
    <row r="173">
      <c r="A173" s="4" t="s">
        <v>518</v>
      </c>
      <c r="B173" s="4" t="s">
        <v>519</v>
      </c>
      <c r="C173" s="5" t="s">
        <v>520</v>
      </c>
    </row>
    <row r="174">
      <c r="A174" s="4" t="s">
        <v>521</v>
      </c>
      <c r="B174" s="4" t="s">
        <v>522</v>
      </c>
      <c r="C174" s="5" t="s">
        <v>523</v>
      </c>
    </row>
    <row r="175">
      <c r="A175" s="4" t="s">
        <v>524</v>
      </c>
      <c r="B175" s="4" t="s">
        <v>525</v>
      </c>
      <c r="C175" s="5" t="s">
        <v>526</v>
      </c>
    </row>
    <row r="176">
      <c r="A176" s="4" t="s">
        <v>527</v>
      </c>
      <c r="B176" s="4" t="s">
        <v>528</v>
      </c>
      <c r="C176" s="5" t="s">
        <v>529</v>
      </c>
    </row>
    <row r="177">
      <c r="A177" s="4" t="s">
        <v>530</v>
      </c>
      <c r="B177" s="4" t="s">
        <v>531</v>
      </c>
      <c r="C177" s="5" t="s">
        <v>532</v>
      </c>
    </row>
    <row r="178">
      <c r="A178" s="4" t="s">
        <v>533</v>
      </c>
      <c r="B178" s="4" t="s">
        <v>534</v>
      </c>
      <c r="C178" s="5" t="s">
        <v>535</v>
      </c>
    </row>
    <row r="179">
      <c r="A179" s="4" t="s">
        <v>536</v>
      </c>
      <c r="B179" s="4" t="s">
        <v>537</v>
      </c>
      <c r="C179" s="5" t="s">
        <v>538</v>
      </c>
    </row>
    <row r="180">
      <c r="A180" s="4" t="s">
        <v>539</v>
      </c>
      <c r="B180" s="4" t="s">
        <v>540</v>
      </c>
      <c r="C180" s="5" t="s">
        <v>541</v>
      </c>
    </row>
    <row r="181">
      <c r="A181" s="4" t="s">
        <v>542</v>
      </c>
      <c r="B181" s="4" t="s">
        <v>543</v>
      </c>
      <c r="C181" s="5" t="s">
        <v>544</v>
      </c>
    </row>
    <row r="182">
      <c r="A182" s="4" t="s">
        <v>545</v>
      </c>
      <c r="B182" s="4" t="s">
        <v>546</v>
      </c>
      <c r="C182" s="5" t="s">
        <v>547</v>
      </c>
    </row>
    <row r="183">
      <c r="A183" s="4" t="s">
        <v>548</v>
      </c>
      <c r="B183" s="4" t="s">
        <v>549</v>
      </c>
      <c r="C183" s="5" t="s">
        <v>550</v>
      </c>
    </row>
    <row r="184">
      <c r="A184" s="4" t="s">
        <v>551</v>
      </c>
      <c r="B184" s="4" t="s">
        <v>552</v>
      </c>
      <c r="C184" s="5" t="s">
        <v>553</v>
      </c>
    </row>
    <row r="185">
      <c r="A185" s="4" t="s">
        <v>554</v>
      </c>
      <c r="B185" s="4" t="s">
        <v>555</v>
      </c>
      <c r="C185" s="5" t="s">
        <v>556</v>
      </c>
    </row>
    <row r="186">
      <c r="A186" s="4" t="s">
        <v>557</v>
      </c>
      <c r="B186" s="4" t="s">
        <v>558</v>
      </c>
      <c r="C186" s="5" t="s">
        <v>559</v>
      </c>
    </row>
    <row r="187">
      <c r="A187" s="4" t="s">
        <v>560</v>
      </c>
      <c r="B187" s="4" t="s">
        <v>561</v>
      </c>
      <c r="C187" s="5" t="s">
        <v>562</v>
      </c>
    </row>
    <row r="188">
      <c r="A188" s="4" t="s">
        <v>563</v>
      </c>
      <c r="B188" s="4" t="s">
        <v>564</v>
      </c>
      <c r="C188" s="5" t="s">
        <v>565</v>
      </c>
    </row>
    <row r="189">
      <c r="A189" s="4" t="s">
        <v>566</v>
      </c>
      <c r="B189" s="4" t="s">
        <v>567</v>
      </c>
      <c r="C189" s="5" t="s">
        <v>568</v>
      </c>
    </row>
    <row r="190">
      <c r="A190" s="4" t="s">
        <v>569</v>
      </c>
      <c r="B190" s="4" t="s">
        <v>570</v>
      </c>
      <c r="C190" s="5" t="s">
        <v>571</v>
      </c>
    </row>
    <row r="191">
      <c r="A191" s="4" t="s">
        <v>572</v>
      </c>
      <c r="B191" s="4" t="s">
        <v>573</v>
      </c>
      <c r="C191" s="5" t="s">
        <v>574</v>
      </c>
    </row>
    <row r="192">
      <c r="A192" s="4" t="s">
        <v>575</v>
      </c>
      <c r="B192" s="4" t="s">
        <v>576</v>
      </c>
      <c r="C192" s="5" t="s">
        <v>577</v>
      </c>
    </row>
    <row r="193">
      <c r="A193" s="4" t="s">
        <v>578</v>
      </c>
      <c r="B193" s="4" t="s">
        <v>579</v>
      </c>
      <c r="C193" s="5" t="s">
        <v>580</v>
      </c>
    </row>
    <row r="194">
      <c r="A194" s="4" t="s">
        <v>581</v>
      </c>
      <c r="B194" s="4" t="s">
        <v>582</v>
      </c>
      <c r="C194" s="5" t="s">
        <v>583</v>
      </c>
    </row>
    <row r="195">
      <c r="A195" s="4" t="s">
        <v>584</v>
      </c>
      <c r="B195" s="4" t="s">
        <v>585</v>
      </c>
      <c r="C195" s="5" t="s">
        <v>586</v>
      </c>
    </row>
    <row r="196">
      <c r="A196" s="4" t="s">
        <v>587</v>
      </c>
      <c r="B196" s="4" t="s">
        <v>588</v>
      </c>
      <c r="C196" s="5" t="s">
        <v>589</v>
      </c>
    </row>
    <row r="197">
      <c r="A197" s="4" t="s">
        <v>590</v>
      </c>
      <c r="B197" s="4" t="s">
        <v>591</v>
      </c>
      <c r="C197" s="5" t="s">
        <v>592</v>
      </c>
    </row>
    <row r="198">
      <c r="A198" s="4" t="s">
        <v>593</v>
      </c>
      <c r="B198" s="4" t="s">
        <v>594</v>
      </c>
      <c r="C198" s="5" t="s">
        <v>595</v>
      </c>
    </row>
    <row r="199">
      <c r="A199" s="4" t="s">
        <v>596</v>
      </c>
      <c r="B199" s="4" t="s">
        <v>597</v>
      </c>
      <c r="C199" s="5" t="s">
        <v>598</v>
      </c>
    </row>
    <row r="200">
      <c r="A200" s="4" t="s">
        <v>599</v>
      </c>
      <c r="B200" s="4" t="s">
        <v>600</v>
      </c>
      <c r="C200" s="5" t="s">
        <v>601</v>
      </c>
    </row>
    <row r="201">
      <c r="A201" s="4" t="s">
        <v>602</v>
      </c>
      <c r="B201" s="4" t="s">
        <v>603</v>
      </c>
      <c r="C201" s="5" t="s">
        <v>604</v>
      </c>
    </row>
    <row r="202">
      <c r="A202" s="4" t="s">
        <v>605</v>
      </c>
      <c r="B202" s="4" t="s">
        <v>606</v>
      </c>
      <c r="C202" s="5" t="s">
        <v>607</v>
      </c>
    </row>
    <row r="203">
      <c r="A203" s="4" t="s">
        <v>608</v>
      </c>
      <c r="B203" s="4" t="s">
        <v>609</v>
      </c>
      <c r="C203" s="5" t="s">
        <v>610</v>
      </c>
    </row>
    <row r="204">
      <c r="A204" s="4" t="s">
        <v>611</v>
      </c>
      <c r="B204" s="4" t="s">
        <v>612</v>
      </c>
      <c r="C204" s="5" t="s">
        <v>613</v>
      </c>
    </row>
    <row r="205">
      <c r="A205" s="4" t="s">
        <v>614</v>
      </c>
      <c r="B205" s="4" t="s">
        <v>615</v>
      </c>
      <c r="C205" s="5" t="s">
        <v>616</v>
      </c>
    </row>
    <row r="206">
      <c r="A206" s="4" t="s">
        <v>617</v>
      </c>
      <c r="B206" s="4" t="s">
        <v>618</v>
      </c>
      <c r="C206" s="5" t="s">
        <v>619</v>
      </c>
    </row>
    <row r="207">
      <c r="A207" s="4" t="s">
        <v>620</v>
      </c>
      <c r="B207" s="4" t="s">
        <v>621</v>
      </c>
      <c r="C207" s="5" t="s">
        <v>622</v>
      </c>
    </row>
    <row r="208">
      <c r="A208" s="4" t="s">
        <v>623</v>
      </c>
      <c r="B208" s="4" t="s">
        <v>624</v>
      </c>
      <c r="C208" s="5" t="s">
        <v>625</v>
      </c>
    </row>
    <row r="209">
      <c r="A209" s="4" t="s">
        <v>626</v>
      </c>
      <c r="B209" s="4" t="s">
        <v>627</v>
      </c>
      <c r="C209" s="5" t="s">
        <v>628</v>
      </c>
    </row>
    <row r="210">
      <c r="A210" s="4" t="s">
        <v>629</v>
      </c>
      <c r="B210" s="4" t="s">
        <v>630</v>
      </c>
      <c r="C210" s="5" t="s">
        <v>631</v>
      </c>
    </row>
    <row r="211">
      <c r="A211" s="4" t="s">
        <v>632</v>
      </c>
      <c r="B211" s="4" t="s">
        <v>633</v>
      </c>
      <c r="C211" s="5" t="s">
        <v>634</v>
      </c>
    </row>
    <row r="212">
      <c r="A212" s="4" t="s">
        <v>635</v>
      </c>
      <c r="B212" s="4" t="s">
        <v>636</v>
      </c>
      <c r="C212" s="5" t="s">
        <v>637</v>
      </c>
    </row>
    <row r="213">
      <c r="A213" s="4" t="s">
        <v>638</v>
      </c>
      <c r="B213" s="4" t="s">
        <v>639</v>
      </c>
      <c r="C213" s="5" t="s">
        <v>640</v>
      </c>
    </row>
    <row r="214">
      <c r="A214" s="4" t="s">
        <v>641</v>
      </c>
      <c r="B214" s="4" t="s">
        <v>642</v>
      </c>
      <c r="C214" s="5" t="s">
        <v>643</v>
      </c>
    </row>
    <row r="215">
      <c r="A215" s="4" t="s">
        <v>644</v>
      </c>
      <c r="B215" s="4" t="s">
        <v>645</v>
      </c>
      <c r="C215" s="5" t="s">
        <v>646</v>
      </c>
    </row>
    <row r="216">
      <c r="A216" s="4" t="s">
        <v>647</v>
      </c>
      <c r="B216" s="4" t="s">
        <v>648</v>
      </c>
      <c r="C216" s="5" t="s">
        <v>649</v>
      </c>
    </row>
    <row r="217">
      <c r="A217" s="4" t="s">
        <v>650</v>
      </c>
      <c r="B217" s="4" t="s">
        <v>651</v>
      </c>
      <c r="C217" s="5" t="s">
        <v>652</v>
      </c>
    </row>
    <row r="218">
      <c r="A218" s="4" t="s">
        <v>653</v>
      </c>
      <c r="B218" s="4" t="s">
        <v>654</v>
      </c>
      <c r="C218" s="5" t="s">
        <v>655</v>
      </c>
    </row>
    <row r="219">
      <c r="A219" s="4" t="s">
        <v>656</v>
      </c>
      <c r="B219" s="4" t="s">
        <v>657</v>
      </c>
      <c r="C219" s="5" t="s">
        <v>658</v>
      </c>
    </row>
    <row r="220">
      <c r="A220" s="4" t="s">
        <v>659</v>
      </c>
      <c r="B220" s="4" t="s">
        <v>660</v>
      </c>
      <c r="C220" s="5" t="s">
        <v>661</v>
      </c>
    </row>
    <row r="221">
      <c r="A221" s="4" t="s">
        <v>662</v>
      </c>
      <c r="B221" s="4" t="s">
        <v>663</v>
      </c>
      <c r="C221" s="5" t="s">
        <v>664</v>
      </c>
    </row>
    <row r="222">
      <c r="A222" s="4" t="s">
        <v>665</v>
      </c>
      <c r="B222" s="4" t="s">
        <v>666</v>
      </c>
      <c r="C222" s="5" t="s">
        <v>667</v>
      </c>
    </row>
    <row r="223">
      <c r="A223" s="4" t="s">
        <v>668</v>
      </c>
      <c r="B223" s="4" t="s">
        <v>669</v>
      </c>
      <c r="C223" s="5" t="s">
        <v>670</v>
      </c>
    </row>
    <row r="224">
      <c r="A224" s="4" t="s">
        <v>671</v>
      </c>
      <c r="B224" s="4" t="s">
        <v>672</v>
      </c>
      <c r="C224" s="5" t="s">
        <v>673</v>
      </c>
    </row>
    <row r="225">
      <c r="A225" s="4" t="s">
        <v>674</v>
      </c>
      <c r="B225" s="4" t="s">
        <v>675</v>
      </c>
      <c r="C225" s="5" t="s">
        <v>676</v>
      </c>
    </row>
    <row r="226">
      <c r="A226" s="4" t="s">
        <v>677</v>
      </c>
      <c r="B226" s="4" t="s">
        <v>678</v>
      </c>
      <c r="C226" s="5" t="s">
        <v>679</v>
      </c>
    </row>
    <row r="227">
      <c r="A227" s="4" t="s">
        <v>680</v>
      </c>
      <c r="B227" s="4" t="s">
        <v>681</v>
      </c>
      <c r="C227" s="5" t="s">
        <v>682</v>
      </c>
    </row>
    <row r="228">
      <c r="A228" s="4" t="s">
        <v>683</v>
      </c>
      <c r="B228" s="4" t="s">
        <v>684</v>
      </c>
      <c r="C228" s="5" t="s">
        <v>685</v>
      </c>
    </row>
    <row r="229">
      <c r="A229" s="4" t="s">
        <v>686</v>
      </c>
      <c r="B229" s="4" t="s">
        <v>687</v>
      </c>
      <c r="C229" s="5" t="s">
        <v>688</v>
      </c>
    </row>
    <row r="230">
      <c r="A230" s="4" t="s">
        <v>689</v>
      </c>
      <c r="B230" s="4" t="s">
        <v>690</v>
      </c>
      <c r="C230" s="5" t="s">
        <v>691</v>
      </c>
    </row>
    <row r="231">
      <c r="A231" s="4" t="s">
        <v>692</v>
      </c>
      <c r="B231" s="4" t="s">
        <v>693</v>
      </c>
      <c r="C231" s="5" t="s">
        <v>694</v>
      </c>
    </row>
    <row r="232">
      <c r="A232" s="4" t="s">
        <v>695</v>
      </c>
      <c r="B232" s="4" t="s">
        <v>696</v>
      </c>
      <c r="C232" s="5" t="s">
        <v>697</v>
      </c>
    </row>
    <row r="233">
      <c r="A233" s="4" t="s">
        <v>698</v>
      </c>
      <c r="B233" s="4" t="s">
        <v>699</v>
      </c>
      <c r="C233" s="5" t="s">
        <v>700</v>
      </c>
    </row>
    <row r="234">
      <c r="A234" s="4" t="s">
        <v>701</v>
      </c>
      <c r="B234" s="4" t="s">
        <v>702</v>
      </c>
      <c r="C234" s="5" t="s">
        <v>703</v>
      </c>
    </row>
    <row r="235">
      <c r="A235" s="4" t="s">
        <v>704</v>
      </c>
      <c r="B235" s="4" t="s">
        <v>705</v>
      </c>
      <c r="C235" s="5" t="s">
        <v>706</v>
      </c>
    </row>
    <row r="236">
      <c r="A236" s="4" t="s">
        <v>707</v>
      </c>
      <c r="B236" s="4" t="s">
        <v>708</v>
      </c>
      <c r="C236" s="5" t="s">
        <v>709</v>
      </c>
    </row>
    <row r="237">
      <c r="A237" s="4" t="s">
        <v>710</v>
      </c>
      <c r="B237" s="4" t="s">
        <v>711</v>
      </c>
      <c r="C237" s="5" t="s">
        <v>712</v>
      </c>
    </row>
    <row r="238">
      <c r="A238" s="4" t="s">
        <v>713</v>
      </c>
      <c r="B238" s="4" t="s">
        <v>714</v>
      </c>
      <c r="C238" s="5" t="s">
        <v>715</v>
      </c>
    </row>
    <row r="239">
      <c r="A239" s="4" t="s">
        <v>716</v>
      </c>
      <c r="B239" s="4" t="s">
        <v>717</v>
      </c>
      <c r="C239" s="5" t="s">
        <v>718</v>
      </c>
    </row>
    <row r="240">
      <c r="A240" s="4" t="s">
        <v>719</v>
      </c>
      <c r="B240" s="4" t="s">
        <v>720</v>
      </c>
      <c r="C240" s="5" t="s">
        <v>721</v>
      </c>
    </row>
    <row r="241">
      <c r="A241" s="4" t="s">
        <v>722</v>
      </c>
      <c r="B241" s="4" t="s">
        <v>723</v>
      </c>
      <c r="C241" s="5" t="s">
        <v>724</v>
      </c>
    </row>
    <row r="242">
      <c r="A242" s="4" t="s">
        <v>725</v>
      </c>
      <c r="B242" s="4" t="s">
        <v>726</v>
      </c>
      <c r="C242" s="5" t="s">
        <v>727</v>
      </c>
    </row>
    <row r="243">
      <c r="A243" s="4" t="s">
        <v>728</v>
      </c>
      <c r="B243" s="4" t="s">
        <v>729</v>
      </c>
      <c r="C243" s="5" t="s">
        <v>730</v>
      </c>
    </row>
    <row r="244">
      <c r="A244" s="4" t="s">
        <v>731</v>
      </c>
      <c r="B244" s="4" t="s">
        <v>732</v>
      </c>
      <c r="C244" s="5" t="s">
        <v>733</v>
      </c>
    </row>
    <row r="245">
      <c r="A245" s="4" t="s">
        <v>734</v>
      </c>
      <c r="B245" s="4" t="s">
        <v>735</v>
      </c>
      <c r="C245" s="5" t="s">
        <v>736</v>
      </c>
    </row>
    <row r="246">
      <c r="A246" s="4" t="s">
        <v>737</v>
      </c>
      <c r="B246" s="4" t="s">
        <v>738</v>
      </c>
      <c r="C246" s="5" t="s">
        <v>739</v>
      </c>
    </row>
    <row r="247">
      <c r="A247" s="4" t="s">
        <v>740</v>
      </c>
      <c r="B247" s="4" t="s">
        <v>741</v>
      </c>
      <c r="C247" s="5" t="s">
        <v>742</v>
      </c>
    </row>
    <row r="248">
      <c r="A248" s="4" t="s">
        <v>743</v>
      </c>
      <c r="B248" s="4" t="s">
        <v>744</v>
      </c>
      <c r="C248" s="5" t="s">
        <v>745</v>
      </c>
    </row>
    <row r="249">
      <c r="A249" s="4" t="s">
        <v>746</v>
      </c>
      <c r="B249" s="4" t="s">
        <v>747</v>
      </c>
      <c r="C249" s="5" t="s">
        <v>748</v>
      </c>
    </row>
    <row r="250">
      <c r="A250" s="4" t="s">
        <v>749</v>
      </c>
      <c r="B250" s="4" t="s">
        <v>750</v>
      </c>
      <c r="C250" s="5" t="s">
        <v>751</v>
      </c>
    </row>
    <row r="251">
      <c r="A251" s="4" t="s">
        <v>752</v>
      </c>
      <c r="B251" s="4" t="s">
        <v>753</v>
      </c>
      <c r="C251" s="5" t="s">
        <v>754</v>
      </c>
    </row>
    <row r="252">
      <c r="A252" s="4" t="s">
        <v>755</v>
      </c>
      <c r="B252" s="4" t="s">
        <v>756</v>
      </c>
      <c r="C252" s="5" t="s">
        <v>757</v>
      </c>
    </row>
    <row r="253">
      <c r="A253" s="4" t="s">
        <v>758</v>
      </c>
      <c r="B253" s="4" t="s">
        <v>759</v>
      </c>
      <c r="C253" s="5" t="s">
        <v>760</v>
      </c>
    </row>
    <row r="254">
      <c r="A254" s="4" t="s">
        <v>761</v>
      </c>
      <c r="B254" s="4" t="s">
        <v>762</v>
      </c>
      <c r="C254" s="5" t="s">
        <v>763</v>
      </c>
    </row>
    <row r="255">
      <c r="A255" s="4" t="s">
        <v>764</v>
      </c>
      <c r="B255" s="4" t="s">
        <v>765</v>
      </c>
      <c r="C255" s="5" t="s">
        <v>766</v>
      </c>
    </row>
    <row r="256">
      <c r="A256" s="4" t="s">
        <v>767</v>
      </c>
      <c r="B256" s="4" t="s">
        <v>768</v>
      </c>
      <c r="C256" s="5" t="s">
        <v>769</v>
      </c>
    </row>
    <row r="257">
      <c r="A257" s="4" t="s">
        <v>770</v>
      </c>
      <c r="B257" s="4" t="s">
        <v>771</v>
      </c>
      <c r="C257" s="5" t="s">
        <v>772</v>
      </c>
    </row>
    <row r="258">
      <c r="A258" s="4" t="s">
        <v>773</v>
      </c>
      <c r="B258" s="4" t="s">
        <v>774</v>
      </c>
      <c r="C258" s="5" t="s">
        <v>775</v>
      </c>
    </row>
    <row r="259">
      <c r="A259" s="4" t="s">
        <v>776</v>
      </c>
      <c r="B259" s="4" t="s">
        <v>777</v>
      </c>
      <c r="C259" s="5" t="s">
        <v>778</v>
      </c>
    </row>
    <row r="260">
      <c r="A260" s="4" t="s">
        <v>779</v>
      </c>
      <c r="B260" s="4" t="s">
        <v>780</v>
      </c>
      <c r="C260" s="5" t="s">
        <v>781</v>
      </c>
    </row>
    <row r="261">
      <c r="A261" s="4" t="s">
        <v>782</v>
      </c>
      <c r="B261" s="4" t="s">
        <v>783</v>
      </c>
      <c r="C261" s="5" t="s">
        <v>784</v>
      </c>
    </row>
    <row r="262">
      <c r="A262" s="4" t="s">
        <v>785</v>
      </c>
      <c r="B262" s="4" t="s">
        <v>786</v>
      </c>
      <c r="C262" s="5" t="s">
        <v>787</v>
      </c>
    </row>
    <row r="263">
      <c r="A263" s="4" t="s">
        <v>788</v>
      </c>
      <c r="B263" s="4" t="s">
        <v>789</v>
      </c>
      <c r="C263" s="5" t="s">
        <v>790</v>
      </c>
    </row>
    <row r="264">
      <c r="A264" s="4" t="s">
        <v>791</v>
      </c>
      <c r="B264" s="4" t="s">
        <v>792</v>
      </c>
      <c r="C264" s="5" t="s">
        <v>793</v>
      </c>
    </row>
    <row r="265">
      <c r="A265" s="4" t="s">
        <v>794</v>
      </c>
      <c r="B265" s="4" t="s">
        <v>795</v>
      </c>
      <c r="C265" s="5" t="s">
        <v>796</v>
      </c>
    </row>
    <row r="266">
      <c r="A266" s="4" t="s">
        <v>797</v>
      </c>
      <c r="B266" s="4" t="s">
        <v>798</v>
      </c>
      <c r="C266" s="5" t="s">
        <v>799</v>
      </c>
    </row>
    <row r="267">
      <c r="A267" s="4" t="s">
        <v>800</v>
      </c>
      <c r="B267" s="4" t="s">
        <v>801</v>
      </c>
      <c r="C267" s="5" t="s">
        <v>802</v>
      </c>
    </row>
    <row r="268">
      <c r="A268" s="4" t="s">
        <v>803</v>
      </c>
      <c r="B268" s="4" t="s">
        <v>804</v>
      </c>
      <c r="C268" s="5" t="s">
        <v>805</v>
      </c>
    </row>
    <row r="269">
      <c r="A269" s="4" t="s">
        <v>806</v>
      </c>
      <c r="B269" s="4" t="s">
        <v>807</v>
      </c>
      <c r="C269" s="5" t="s">
        <v>808</v>
      </c>
    </row>
    <row r="270">
      <c r="A270" s="4" t="s">
        <v>809</v>
      </c>
      <c r="B270" s="4" t="s">
        <v>810</v>
      </c>
      <c r="C270" s="5" t="s">
        <v>811</v>
      </c>
    </row>
    <row r="271">
      <c r="A271" s="4" t="s">
        <v>812</v>
      </c>
      <c r="B271" s="4" t="s">
        <v>813</v>
      </c>
      <c r="C271" s="5" t="s">
        <v>814</v>
      </c>
    </row>
    <row r="272">
      <c r="A272" s="4" t="s">
        <v>815</v>
      </c>
      <c r="B272" s="4" t="s">
        <v>816</v>
      </c>
      <c r="C272" s="5" t="s">
        <v>817</v>
      </c>
    </row>
    <row r="273">
      <c r="A273" s="4" t="s">
        <v>818</v>
      </c>
      <c r="B273" s="4" t="s">
        <v>819</v>
      </c>
      <c r="C273" s="5" t="s">
        <v>820</v>
      </c>
    </row>
    <row r="274">
      <c r="A274" s="4" t="s">
        <v>821</v>
      </c>
      <c r="B274" s="4" t="s">
        <v>822</v>
      </c>
      <c r="C274" s="5" t="s">
        <v>823</v>
      </c>
    </row>
    <row r="275">
      <c r="A275" s="4" t="s">
        <v>824</v>
      </c>
      <c r="B275" s="4" t="s">
        <v>825</v>
      </c>
      <c r="C275" s="5" t="s">
        <v>826</v>
      </c>
    </row>
    <row r="276">
      <c r="A276" s="4" t="s">
        <v>827</v>
      </c>
      <c r="B276" s="4" t="s">
        <v>828</v>
      </c>
      <c r="C276" s="5" t="s">
        <v>829</v>
      </c>
    </row>
    <row r="277">
      <c r="A277" s="4" t="s">
        <v>830</v>
      </c>
      <c r="B277" s="4" t="s">
        <v>831</v>
      </c>
      <c r="C277" s="5" t="s">
        <v>832</v>
      </c>
    </row>
    <row r="278">
      <c r="A278" s="4" t="s">
        <v>833</v>
      </c>
      <c r="B278" s="4" t="s">
        <v>834</v>
      </c>
      <c r="C278" s="5" t="s">
        <v>835</v>
      </c>
    </row>
    <row r="279">
      <c r="A279" s="4" t="s">
        <v>836</v>
      </c>
      <c r="B279" s="4" t="s">
        <v>837</v>
      </c>
      <c r="C279" s="5" t="s">
        <v>838</v>
      </c>
    </row>
    <row r="280">
      <c r="A280" s="4" t="s">
        <v>839</v>
      </c>
      <c r="B280" s="4" t="s">
        <v>840</v>
      </c>
      <c r="C280" s="5" t="s">
        <v>841</v>
      </c>
    </row>
    <row r="281">
      <c r="A281" s="4" t="s">
        <v>842</v>
      </c>
      <c r="B281" s="4" t="s">
        <v>843</v>
      </c>
      <c r="C281" s="5" t="s">
        <v>844</v>
      </c>
    </row>
    <row r="282">
      <c r="A282" s="4" t="s">
        <v>845</v>
      </c>
      <c r="B282" s="4" t="s">
        <v>846</v>
      </c>
      <c r="C282" s="5" t="s">
        <v>847</v>
      </c>
    </row>
    <row r="283">
      <c r="A283" s="4" t="s">
        <v>848</v>
      </c>
      <c r="B283" s="4" t="s">
        <v>849</v>
      </c>
      <c r="C283" s="5" t="s">
        <v>850</v>
      </c>
    </row>
    <row r="284">
      <c r="A284" s="4" t="s">
        <v>851</v>
      </c>
      <c r="B284" s="4" t="s">
        <v>852</v>
      </c>
      <c r="C284" s="5" t="s">
        <v>853</v>
      </c>
    </row>
    <row r="285">
      <c r="A285" s="4" t="s">
        <v>854</v>
      </c>
      <c r="B285" s="4" t="s">
        <v>855</v>
      </c>
      <c r="C285" s="5" t="s">
        <v>856</v>
      </c>
    </row>
    <row r="286">
      <c r="A286" s="4" t="s">
        <v>857</v>
      </c>
      <c r="B286" s="4" t="s">
        <v>858</v>
      </c>
      <c r="C286" s="5" t="s">
        <v>859</v>
      </c>
    </row>
    <row r="287">
      <c r="A287" s="4" t="s">
        <v>860</v>
      </c>
      <c r="B287" s="4" t="s">
        <v>861</v>
      </c>
      <c r="C287" s="5" t="s">
        <v>862</v>
      </c>
    </row>
    <row r="288">
      <c r="A288" s="4" t="s">
        <v>863</v>
      </c>
      <c r="B288" s="4" t="s">
        <v>864</v>
      </c>
      <c r="C288" s="5" t="s">
        <v>865</v>
      </c>
    </row>
    <row r="289">
      <c r="A289" s="4" t="s">
        <v>866</v>
      </c>
      <c r="B289" s="4" t="s">
        <v>867</v>
      </c>
      <c r="C289" s="5" t="s">
        <v>868</v>
      </c>
    </row>
    <row r="290">
      <c r="A290" s="4" t="s">
        <v>869</v>
      </c>
      <c r="B290" s="4" t="s">
        <v>870</v>
      </c>
      <c r="C290" s="5" t="s">
        <v>871</v>
      </c>
    </row>
    <row r="291">
      <c r="A291" s="4" t="s">
        <v>872</v>
      </c>
      <c r="B291" s="4" t="s">
        <v>873</v>
      </c>
      <c r="C291" s="5" t="s">
        <v>874</v>
      </c>
    </row>
    <row r="292">
      <c r="A292" s="4" t="s">
        <v>875</v>
      </c>
      <c r="B292" s="4" t="s">
        <v>876</v>
      </c>
      <c r="C292" s="5" t="s">
        <v>877</v>
      </c>
    </row>
    <row r="293">
      <c r="A293" s="4" t="s">
        <v>878</v>
      </c>
      <c r="B293" s="4" t="s">
        <v>879</v>
      </c>
      <c r="C293" s="5" t="s">
        <v>880</v>
      </c>
    </row>
    <row r="294">
      <c r="A294" s="4" t="s">
        <v>881</v>
      </c>
      <c r="B294" s="4" t="s">
        <v>882</v>
      </c>
      <c r="C294" s="5" t="s">
        <v>883</v>
      </c>
    </row>
    <row r="295">
      <c r="A295" s="4" t="s">
        <v>884</v>
      </c>
      <c r="B295" s="4" t="s">
        <v>885</v>
      </c>
      <c r="C295" s="5" t="s">
        <v>886</v>
      </c>
    </row>
    <row r="296">
      <c r="A296" s="4" t="s">
        <v>887</v>
      </c>
      <c r="B296" s="4" t="s">
        <v>888</v>
      </c>
      <c r="C296" s="5" t="s">
        <v>889</v>
      </c>
    </row>
    <row r="297">
      <c r="A297" s="4" t="s">
        <v>890</v>
      </c>
      <c r="B297" s="4" t="s">
        <v>891</v>
      </c>
      <c r="C297" s="5" t="s">
        <v>892</v>
      </c>
    </row>
    <row r="298">
      <c r="A298" s="4" t="s">
        <v>893</v>
      </c>
      <c r="B298" s="4" t="s">
        <v>894</v>
      </c>
      <c r="C298" s="5" t="s">
        <v>895</v>
      </c>
    </row>
    <row r="299">
      <c r="A299" s="4" t="s">
        <v>896</v>
      </c>
      <c r="B299" s="4" t="s">
        <v>897</v>
      </c>
      <c r="C299" s="5" t="s">
        <v>898</v>
      </c>
    </row>
    <row r="300">
      <c r="A300" s="4" t="s">
        <v>899</v>
      </c>
      <c r="B300" s="4" t="s">
        <v>900</v>
      </c>
      <c r="C300" s="5" t="s">
        <v>901</v>
      </c>
    </row>
    <row r="301">
      <c r="A301" s="4" t="s">
        <v>902</v>
      </c>
      <c r="B301" s="4" t="s">
        <v>903</v>
      </c>
      <c r="C301" s="5" t="s">
        <v>904</v>
      </c>
    </row>
    <row r="302">
      <c r="A302" s="4" t="s">
        <v>905</v>
      </c>
      <c r="B302" s="4" t="s">
        <v>906</v>
      </c>
      <c r="C302" s="5" t="s">
        <v>907</v>
      </c>
    </row>
    <row r="303">
      <c r="A303" s="4" t="s">
        <v>908</v>
      </c>
      <c r="B303" s="4" t="s">
        <v>909</v>
      </c>
      <c r="C303" s="5" t="s">
        <v>910</v>
      </c>
    </row>
    <row r="304">
      <c r="A304" s="4" t="s">
        <v>911</v>
      </c>
      <c r="B304" s="4" t="s">
        <v>912</v>
      </c>
      <c r="C304" s="5" t="s">
        <v>913</v>
      </c>
    </row>
    <row r="305">
      <c r="A305" s="4" t="s">
        <v>914</v>
      </c>
      <c r="B305" s="4" t="s">
        <v>915</v>
      </c>
      <c r="C305" s="5" t="s">
        <v>916</v>
      </c>
    </row>
    <row r="306">
      <c r="A306" s="4" t="s">
        <v>917</v>
      </c>
      <c r="B306" s="4" t="s">
        <v>918</v>
      </c>
      <c r="C306" s="5" t="s">
        <v>919</v>
      </c>
    </row>
    <row r="307">
      <c r="A307" s="4" t="s">
        <v>920</v>
      </c>
      <c r="B307" s="4" t="s">
        <v>921</v>
      </c>
      <c r="C307" s="5" t="s">
        <v>922</v>
      </c>
    </row>
    <row r="308">
      <c r="A308" s="4" t="s">
        <v>923</v>
      </c>
      <c r="B308" s="4" t="s">
        <v>924</v>
      </c>
      <c r="C308" s="5" t="s">
        <v>925</v>
      </c>
    </row>
    <row r="309">
      <c r="A309" s="4" t="s">
        <v>926</v>
      </c>
      <c r="B309" s="4" t="s">
        <v>927</v>
      </c>
      <c r="C309" s="5" t="s">
        <v>928</v>
      </c>
    </row>
    <row r="310">
      <c r="A310" s="4" t="s">
        <v>929</v>
      </c>
      <c r="B310" s="4" t="s">
        <v>930</v>
      </c>
      <c r="C310" s="5" t="s">
        <v>931</v>
      </c>
    </row>
    <row r="311">
      <c r="A311" s="4" t="s">
        <v>932</v>
      </c>
      <c r="B311" s="4" t="s">
        <v>933</v>
      </c>
      <c r="C311" s="5" t="s">
        <v>934</v>
      </c>
    </row>
    <row r="312">
      <c r="A312" s="4" t="s">
        <v>935</v>
      </c>
      <c r="B312" s="4" t="s">
        <v>936</v>
      </c>
      <c r="C312" s="5" t="s">
        <v>937</v>
      </c>
    </row>
    <row r="313">
      <c r="A313" s="4" t="s">
        <v>938</v>
      </c>
      <c r="B313" s="4" t="s">
        <v>939</v>
      </c>
      <c r="C313" s="5" t="s">
        <v>940</v>
      </c>
    </row>
    <row r="314">
      <c r="A314" s="4" t="s">
        <v>941</v>
      </c>
      <c r="B314" s="4" t="s">
        <v>942</v>
      </c>
      <c r="C314" s="5" t="s">
        <v>943</v>
      </c>
    </row>
    <row r="315">
      <c r="A315" s="4" t="s">
        <v>944</v>
      </c>
      <c r="B315" s="4" t="s">
        <v>945</v>
      </c>
      <c r="C315" s="5" t="s">
        <v>946</v>
      </c>
    </row>
    <row r="316">
      <c r="A316" s="4" t="s">
        <v>947</v>
      </c>
      <c r="B316" s="4" t="s">
        <v>948</v>
      </c>
      <c r="C316" s="5" t="s">
        <v>949</v>
      </c>
    </row>
    <row r="317">
      <c r="A317" s="4" t="s">
        <v>950</v>
      </c>
      <c r="B317" s="4" t="s">
        <v>951</v>
      </c>
      <c r="C317" s="5" t="s">
        <v>952</v>
      </c>
    </row>
    <row r="318">
      <c r="A318" s="4" t="s">
        <v>953</v>
      </c>
      <c r="B318" s="4" t="s">
        <v>954</v>
      </c>
      <c r="C318" s="5" t="s">
        <v>955</v>
      </c>
    </row>
    <row r="319">
      <c r="A319" s="4" t="s">
        <v>956</v>
      </c>
      <c r="B319" s="4" t="s">
        <v>957</v>
      </c>
      <c r="C319" s="5" t="s">
        <v>958</v>
      </c>
    </row>
    <row r="320">
      <c r="A320" s="4" t="s">
        <v>959</v>
      </c>
      <c r="B320" s="4" t="s">
        <v>960</v>
      </c>
      <c r="C320" s="5" t="s">
        <v>961</v>
      </c>
    </row>
    <row r="321">
      <c r="A321" s="4" t="s">
        <v>962</v>
      </c>
      <c r="B321" s="4" t="s">
        <v>963</v>
      </c>
      <c r="C321" s="5" t="s">
        <v>964</v>
      </c>
    </row>
    <row r="322">
      <c r="A322" s="4" t="s">
        <v>965</v>
      </c>
      <c r="B322" s="4" t="s">
        <v>966</v>
      </c>
      <c r="C322" s="5" t="s">
        <v>967</v>
      </c>
    </row>
    <row r="323">
      <c r="A323" s="4" t="s">
        <v>968</v>
      </c>
      <c r="B323" s="4" t="s">
        <v>969</v>
      </c>
      <c r="C323" s="5" t="s">
        <v>970</v>
      </c>
    </row>
    <row r="324">
      <c r="A324" s="4" t="s">
        <v>971</v>
      </c>
      <c r="B324" s="4" t="s">
        <v>972</v>
      </c>
      <c r="C324" s="5" t="s">
        <v>973</v>
      </c>
    </row>
    <row r="325">
      <c r="A325" s="4" t="s">
        <v>974</v>
      </c>
      <c r="B325" s="4" t="s">
        <v>975</v>
      </c>
      <c r="C325" s="5" t="s">
        <v>976</v>
      </c>
    </row>
    <row r="326">
      <c r="A326" s="4" t="s">
        <v>977</v>
      </c>
      <c r="B326" s="4" t="s">
        <v>978</v>
      </c>
      <c r="C326" s="5" t="s">
        <v>979</v>
      </c>
    </row>
    <row r="327">
      <c r="A327" s="4" t="s">
        <v>980</v>
      </c>
      <c r="B327" s="4" t="s">
        <v>981</v>
      </c>
      <c r="C327" s="5" t="s">
        <v>982</v>
      </c>
    </row>
    <row r="328">
      <c r="A328" s="4" t="s">
        <v>983</v>
      </c>
      <c r="B328" s="4" t="s">
        <v>984</v>
      </c>
      <c r="C328" s="5" t="s">
        <v>985</v>
      </c>
    </row>
    <row r="329">
      <c r="A329" s="4" t="s">
        <v>986</v>
      </c>
      <c r="B329" s="4" t="s">
        <v>987</v>
      </c>
      <c r="C329" s="5" t="s">
        <v>988</v>
      </c>
    </row>
    <row r="330">
      <c r="A330" s="4" t="s">
        <v>989</v>
      </c>
      <c r="B330" s="4" t="s">
        <v>990</v>
      </c>
      <c r="C330" s="5" t="s">
        <v>991</v>
      </c>
    </row>
    <row r="331">
      <c r="A331" s="4" t="s">
        <v>992</v>
      </c>
      <c r="B331" s="4" t="s">
        <v>993</v>
      </c>
      <c r="C331" s="5" t="s">
        <v>994</v>
      </c>
    </row>
    <row r="332">
      <c r="A332" s="4" t="s">
        <v>995</v>
      </c>
      <c r="B332" s="4" t="s">
        <v>996</v>
      </c>
      <c r="C332" s="5" t="s">
        <v>997</v>
      </c>
    </row>
    <row r="333">
      <c r="A333" s="4" t="s">
        <v>998</v>
      </c>
      <c r="B333" s="4" t="s">
        <v>999</v>
      </c>
      <c r="C333" s="5" t="s">
        <v>1000</v>
      </c>
    </row>
    <row r="334">
      <c r="A334" s="4" t="s">
        <v>1001</v>
      </c>
      <c r="B334" s="4" t="s">
        <v>1002</v>
      </c>
      <c r="C334" s="5" t="s">
        <v>1003</v>
      </c>
    </row>
    <row r="335">
      <c r="A335" s="4" t="s">
        <v>1004</v>
      </c>
      <c r="B335" s="4" t="s">
        <v>1005</v>
      </c>
      <c r="C335" s="5" t="s">
        <v>1006</v>
      </c>
    </row>
    <row r="336">
      <c r="A336" s="4" t="s">
        <v>1007</v>
      </c>
      <c r="B336" s="4" t="s">
        <v>1008</v>
      </c>
      <c r="C336" s="5" t="s">
        <v>1009</v>
      </c>
    </row>
    <row r="337">
      <c r="A337" s="4" t="s">
        <v>1010</v>
      </c>
      <c r="B337" s="4" t="s">
        <v>1011</v>
      </c>
      <c r="C337" s="5" t="s">
        <v>1012</v>
      </c>
    </row>
    <row r="338">
      <c r="A338" s="4" t="s">
        <v>1013</v>
      </c>
      <c r="B338" s="4" t="s">
        <v>1014</v>
      </c>
      <c r="C338" s="5" t="s">
        <v>1015</v>
      </c>
    </row>
    <row r="339">
      <c r="A339" s="4" t="s">
        <v>1016</v>
      </c>
      <c r="B339" s="4" t="s">
        <v>1017</v>
      </c>
      <c r="C339" s="5" t="s">
        <v>1018</v>
      </c>
    </row>
    <row r="340">
      <c r="A340" s="4" t="s">
        <v>1019</v>
      </c>
      <c r="B340" s="4" t="s">
        <v>1020</v>
      </c>
      <c r="C340" s="5" t="s">
        <v>1021</v>
      </c>
    </row>
    <row r="341">
      <c r="A341" s="4" t="s">
        <v>1022</v>
      </c>
      <c r="B341" s="4" t="s">
        <v>1023</v>
      </c>
      <c r="C341" s="5" t="s">
        <v>1024</v>
      </c>
    </row>
    <row r="342">
      <c r="A342" s="4" t="s">
        <v>1025</v>
      </c>
      <c r="B342" s="4" t="s">
        <v>1026</v>
      </c>
      <c r="C342" s="5" t="s">
        <v>1027</v>
      </c>
    </row>
    <row r="343">
      <c r="A343" s="4" t="s">
        <v>1028</v>
      </c>
      <c r="B343" s="4" t="s">
        <v>1029</v>
      </c>
      <c r="C343" s="5" t="s">
        <v>1030</v>
      </c>
    </row>
    <row r="344">
      <c r="A344" s="4" t="s">
        <v>1031</v>
      </c>
      <c r="B344" s="4" t="s">
        <v>1032</v>
      </c>
      <c r="C344" s="5" t="s">
        <v>1033</v>
      </c>
    </row>
    <row r="345">
      <c r="A345" s="4" t="s">
        <v>1034</v>
      </c>
      <c r="B345" s="4" t="s">
        <v>1035</v>
      </c>
      <c r="C345" s="5" t="s">
        <v>1036</v>
      </c>
    </row>
    <row r="346">
      <c r="A346" s="4" t="s">
        <v>1037</v>
      </c>
      <c r="B346" s="4" t="s">
        <v>1038</v>
      </c>
      <c r="C346" s="5" t="s">
        <v>1039</v>
      </c>
    </row>
    <row r="347">
      <c r="A347" s="4" t="s">
        <v>1040</v>
      </c>
      <c r="B347" s="4" t="s">
        <v>1041</v>
      </c>
      <c r="C347" s="5" t="s">
        <v>1042</v>
      </c>
    </row>
    <row r="348">
      <c r="A348" s="4" t="s">
        <v>1043</v>
      </c>
      <c r="B348" s="4" t="s">
        <v>1044</v>
      </c>
      <c r="C348" s="5" t="s">
        <v>1045</v>
      </c>
    </row>
    <row r="349">
      <c r="A349" s="4" t="s">
        <v>1046</v>
      </c>
      <c r="B349" s="4" t="s">
        <v>1047</v>
      </c>
      <c r="C349" s="5" t="s">
        <v>1048</v>
      </c>
    </row>
    <row r="350">
      <c r="A350" s="4" t="s">
        <v>1049</v>
      </c>
      <c r="B350" s="4" t="s">
        <v>1050</v>
      </c>
      <c r="C350" s="5" t="s">
        <v>1051</v>
      </c>
    </row>
    <row r="351">
      <c r="A351" s="4" t="s">
        <v>1052</v>
      </c>
      <c r="B351" s="4" t="s">
        <v>1053</v>
      </c>
      <c r="C351" s="5" t="s">
        <v>1054</v>
      </c>
    </row>
    <row r="352">
      <c r="A352" s="4" t="s">
        <v>1055</v>
      </c>
      <c r="B352" s="4" t="s">
        <v>1056</v>
      </c>
      <c r="C352" s="5" t="s">
        <v>1057</v>
      </c>
    </row>
    <row r="353">
      <c r="A353" s="4" t="s">
        <v>1058</v>
      </c>
      <c r="B353" s="4" t="s">
        <v>1059</v>
      </c>
      <c r="C353" s="5" t="s">
        <v>1060</v>
      </c>
    </row>
    <row r="354">
      <c r="A354" s="4" t="s">
        <v>1061</v>
      </c>
      <c r="B354" s="4" t="s">
        <v>1062</v>
      </c>
      <c r="C354" s="5" t="s">
        <v>1063</v>
      </c>
    </row>
    <row r="355">
      <c r="A355" s="4" t="s">
        <v>1064</v>
      </c>
      <c r="B355" s="4" t="s">
        <v>1065</v>
      </c>
      <c r="C355" s="5" t="s">
        <v>1066</v>
      </c>
    </row>
    <row r="356">
      <c r="A356" s="4" t="s">
        <v>1067</v>
      </c>
      <c r="B356" s="4" t="s">
        <v>1068</v>
      </c>
      <c r="C356" s="5" t="s">
        <v>1069</v>
      </c>
    </row>
    <row r="357">
      <c r="A357" s="4" t="s">
        <v>1070</v>
      </c>
      <c r="B357" s="4" t="s">
        <v>1071</v>
      </c>
      <c r="C357" s="5" t="s">
        <v>1072</v>
      </c>
    </row>
    <row r="358">
      <c r="A358" s="4" t="s">
        <v>1073</v>
      </c>
      <c r="B358" s="4" t="s">
        <v>1074</v>
      </c>
      <c r="C358" s="5" t="s">
        <v>1075</v>
      </c>
    </row>
    <row r="359">
      <c r="A359" s="4" t="s">
        <v>1076</v>
      </c>
      <c r="B359" s="4" t="s">
        <v>1077</v>
      </c>
      <c r="C359" s="5" t="s">
        <v>1078</v>
      </c>
    </row>
    <row r="360">
      <c r="A360" s="4" t="s">
        <v>1079</v>
      </c>
      <c r="B360" s="4" t="s">
        <v>1080</v>
      </c>
      <c r="C360" s="5" t="s">
        <v>1081</v>
      </c>
    </row>
    <row r="361">
      <c r="A361" s="4" t="s">
        <v>1082</v>
      </c>
      <c r="B361" s="4" t="s">
        <v>1083</v>
      </c>
      <c r="C361" s="5" t="s">
        <v>1084</v>
      </c>
    </row>
    <row r="362">
      <c r="A362" s="4" t="s">
        <v>1085</v>
      </c>
      <c r="B362" s="4" t="s">
        <v>1086</v>
      </c>
      <c r="C362" s="5" t="s">
        <v>1087</v>
      </c>
    </row>
    <row r="363">
      <c r="A363" s="4" t="s">
        <v>1088</v>
      </c>
      <c r="B363" s="4" t="s">
        <v>1089</v>
      </c>
      <c r="C363" s="5" t="s">
        <v>1090</v>
      </c>
    </row>
    <row r="364">
      <c r="A364" s="4" t="s">
        <v>1091</v>
      </c>
      <c r="B364" s="4" t="s">
        <v>1092</v>
      </c>
      <c r="C364" s="5" t="s">
        <v>1093</v>
      </c>
    </row>
    <row r="365">
      <c r="A365" s="4" t="s">
        <v>1094</v>
      </c>
      <c r="B365" s="4" t="s">
        <v>1095</v>
      </c>
      <c r="C365" s="5" t="s">
        <v>1096</v>
      </c>
    </row>
    <row r="366">
      <c r="A366" s="4" t="s">
        <v>1097</v>
      </c>
      <c r="B366" s="4" t="s">
        <v>1098</v>
      </c>
      <c r="C366" s="5" t="s">
        <v>1099</v>
      </c>
    </row>
    <row r="367">
      <c r="A367" s="4" t="s">
        <v>1100</v>
      </c>
      <c r="B367" s="4" t="s">
        <v>1101</v>
      </c>
      <c r="C367" s="5" t="s">
        <v>1102</v>
      </c>
    </row>
    <row r="368">
      <c r="A368" s="4" t="s">
        <v>1103</v>
      </c>
      <c r="B368" s="4" t="s">
        <v>1104</v>
      </c>
      <c r="C368" s="5" t="s">
        <v>1105</v>
      </c>
    </row>
    <row r="369">
      <c r="A369" s="4" t="s">
        <v>1106</v>
      </c>
      <c r="B369" s="4" t="s">
        <v>1107</v>
      </c>
      <c r="C369" s="5" t="s">
        <v>1108</v>
      </c>
    </row>
    <row r="370">
      <c r="A370" s="4" t="s">
        <v>1109</v>
      </c>
      <c r="B370" s="4" t="s">
        <v>1110</v>
      </c>
      <c r="C370" s="5" t="s">
        <v>1111</v>
      </c>
    </row>
    <row r="371">
      <c r="A371" s="4" t="s">
        <v>1112</v>
      </c>
      <c r="B371" s="4" t="s">
        <v>1113</v>
      </c>
      <c r="C371" s="5" t="s">
        <v>1114</v>
      </c>
    </row>
    <row r="372">
      <c r="A372" s="4" t="s">
        <v>1115</v>
      </c>
      <c r="B372" s="4" t="s">
        <v>1116</v>
      </c>
      <c r="C372" s="5" t="s">
        <v>1117</v>
      </c>
    </row>
    <row r="373">
      <c r="A373" s="4" t="s">
        <v>1118</v>
      </c>
      <c r="B373" s="4" t="s">
        <v>1119</v>
      </c>
      <c r="C373" s="5" t="s">
        <v>1120</v>
      </c>
    </row>
    <row r="374">
      <c r="A374" s="4" t="s">
        <v>1121</v>
      </c>
      <c r="B374" s="4" t="s">
        <v>1122</v>
      </c>
      <c r="C374" s="5" t="s">
        <v>1123</v>
      </c>
    </row>
    <row r="375">
      <c r="A375" s="4" t="s">
        <v>1124</v>
      </c>
      <c r="B375" s="4" t="s">
        <v>1125</v>
      </c>
      <c r="C375" s="5" t="s">
        <v>1126</v>
      </c>
    </row>
    <row r="376">
      <c r="A376" s="4" t="s">
        <v>1127</v>
      </c>
      <c r="B376" s="4" t="s">
        <v>1128</v>
      </c>
      <c r="C376" s="5" t="s">
        <v>1129</v>
      </c>
    </row>
    <row r="377">
      <c r="A377" s="4" t="s">
        <v>1130</v>
      </c>
      <c r="B377" s="4" t="s">
        <v>1131</v>
      </c>
      <c r="C377" s="5" t="s">
        <v>1132</v>
      </c>
    </row>
    <row r="378">
      <c r="A378" s="4" t="s">
        <v>1133</v>
      </c>
      <c r="B378" s="4" t="s">
        <v>1134</v>
      </c>
      <c r="C378" s="5" t="s">
        <v>1135</v>
      </c>
    </row>
    <row r="379">
      <c r="A379" s="4" t="s">
        <v>1136</v>
      </c>
      <c r="B379" s="4" t="s">
        <v>1137</v>
      </c>
      <c r="C379" s="5" t="s">
        <v>1138</v>
      </c>
    </row>
    <row r="380">
      <c r="A380" s="4" t="s">
        <v>1139</v>
      </c>
      <c r="B380" s="4" t="s">
        <v>1140</v>
      </c>
      <c r="C380" s="5" t="s">
        <v>1141</v>
      </c>
    </row>
    <row r="381">
      <c r="A381" s="4" t="s">
        <v>1142</v>
      </c>
      <c r="B381" s="4" t="s">
        <v>1143</v>
      </c>
      <c r="C381" s="5" t="s">
        <v>1144</v>
      </c>
    </row>
    <row r="382">
      <c r="A382" s="4" t="s">
        <v>1145</v>
      </c>
      <c r="B382" s="4" t="s">
        <v>1146</v>
      </c>
      <c r="C382" s="5" t="s">
        <v>1147</v>
      </c>
    </row>
    <row r="383">
      <c r="A383" s="4" t="s">
        <v>1148</v>
      </c>
      <c r="B383" s="4" t="s">
        <v>1149</v>
      </c>
      <c r="C383" s="5" t="s">
        <v>1150</v>
      </c>
    </row>
    <row r="384">
      <c r="A384" s="4" t="s">
        <v>1151</v>
      </c>
      <c r="B384" s="4" t="s">
        <v>1152</v>
      </c>
      <c r="C384" s="5" t="s">
        <v>1153</v>
      </c>
    </row>
    <row r="385">
      <c r="A385" s="4" t="s">
        <v>1154</v>
      </c>
      <c r="B385" s="4" t="s">
        <v>1155</v>
      </c>
      <c r="C385" s="5" t="s">
        <v>1156</v>
      </c>
    </row>
    <row r="386">
      <c r="A386" s="4" t="s">
        <v>1157</v>
      </c>
      <c r="B386" s="4" t="s">
        <v>1158</v>
      </c>
      <c r="C386" s="5" t="s">
        <v>1159</v>
      </c>
    </row>
    <row r="387">
      <c r="A387" s="4" t="s">
        <v>1160</v>
      </c>
      <c r="B387" s="4" t="s">
        <v>1161</v>
      </c>
      <c r="C387" s="5" t="s">
        <v>1162</v>
      </c>
    </row>
    <row r="388">
      <c r="A388" s="4" t="s">
        <v>1163</v>
      </c>
      <c r="B388" s="4" t="s">
        <v>1164</v>
      </c>
      <c r="C388" s="5" t="s">
        <v>1165</v>
      </c>
    </row>
    <row r="389">
      <c r="A389" s="4" t="s">
        <v>1166</v>
      </c>
      <c r="B389" s="4" t="s">
        <v>1167</v>
      </c>
      <c r="C389" s="5" t="s">
        <v>1168</v>
      </c>
    </row>
    <row r="390">
      <c r="A390" s="4" t="s">
        <v>1169</v>
      </c>
      <c r="B390" s="4" t="s">
        <v>1170</v>
      </c>
      <c r="C390" s="5" t="s">
        <v>1171</v>
      </c>
    </row>
    <row r="391">
      <c r="A391" s="4" t="s">
        <v>1172</v>
      </c>
      <c r="B391" s="4" t="s">
        <v>1173</v>
      </c>
      <c r="C391" s="5" t="s">
        <v>1174</v>
      </c>
    </row>
    <row r="392">
      <c r="A392" s="4" t="s">
        <v>1175</v>
      </c>
      <c r="B392" s="4" t="s">
        <v>1176</v>
      </c>
      <c r="C392" s="5" t="s">
        <v>1177</v>
      </c>
    </row>
    <row r="393">
      <c r="A393" s="4" t="s">
        <v>1178</v>
      </c>
      <c r="B393" s="4" t="s">
        <v>1179</v>
      </c>
      <c r="C393" s="5" t="s">
        <v>1180</v>
      </c>
    </row>
    <row r="394">
      <c r="A394" s="4" t="s">
        <v>1181</v>
      </c>
      <c r="B394" s="4" t="s">
        <v>1182</v>
      </c>
      <c r="C394" s="5" t="s">
        <v>1183</v>
      </c>
    </row>
    <row r="395">
      <c r="A395" s="4" t="s">
        <v>1184</v>
      </c>
      <c r="B395" s="4" t="s">
        <v>1185</v>
      </c>
      <c r="C395" s="5" t="s">
        <v>1186</v>
      </c>
    </row>
    <row r="396">
      <c r="A396" s="4" t="s">
        <v>1187</v>
      </c>
      <c r="B396" s="4" t="s">
        <v>1188</v>
      </c>
      <c r="C396" s="5" t="s">
        <v>1189</v>
      </c>
    </row>
    <row r="397">
      <c r="A397" s="4" t="s">
        <v>1190</v>
      </c>
      <c r="B397" s="4" t="s">
        <v>1191</v>
      </c>
      <c r="C397" s="5" t="s">
        <v>1192</v>
      </c>
    </row>
    <row r="398">
      <c r="A398" s="4" t="s">
        <v>1193</v>
      </c>
      <c r="B398" s="4" t="s">
        <v>1194</v>
      </c>
      <c r="C398" s="5" t="s">
        <v>1195</v>
      </c>
    </row>
    <row r="399">
      <c r="A399" s="4" t="s">
        <v>1196</v>
      </c>
      <c r="B399" s="4" t="s">
        <v>1197</v>
      </c>
      <c r="C399" s="5" t="s">
        <v>1198</v>
      </c>
    </row>
    <row r="400">
      <c r="A400" s="4" t="s">
        <v>1199</v>
      </c>
      <c r="B400" s="4" t="s">
        <v>1200</v>
      </c>
      <c r="C400" s="5" t="s">
        <v>1201</v>
      </c>
    </row>
    <row r="401">
      <c r="A401" s="4" t="s">
        <v>1202</v>
      </c>
      <c r="B401" s="4" t="s">
        <v>1203</v>
      </c>
      <c r="C401" s="5" t="s">
        <v>1204</v>
      </c>
    </row>
    <row r="402">
      <c r="A402" s="4" t="s">
        <v>1205</v>
      </c>
      <c r="B402" s="4" t="s">
        <v>1206</v>
      </c>
      <c r="C402" s="5" t="s">
        <v>1207</v>
      </c>
    </row>
    <row r="403">
      <c r="A403" s="4" t="s">
        <v>1208</v>
      </c>
      <c r="B403" s="4" t="s">
        <v>1209</v>
      </c>
      <c r="C403" s="5" t="s">
        <v>1210</v>
      </c>
    </row>
    <row r="404">
      <c r="A404" s="4" t="s">
        <v>1211</v>
      </c>
      <c r="B404" s="4" t="s">
        <v>1212</v>
      </c>
      <c r="C404" s="5" t="s">
        <v>1213</v>
      </c>
    </row>
    <row r="405">
      <c r="A405" s="4" t="s">
        <v>1214</v>
      </c>
      <c r="B405" s="4" t="s">
        <v>1215</v>
      </c>
      <c r="C405" s="5" t="s">
        <v>1216</v>
      </c>
    </row>
    <row r="406">
      <c r="A406" s="4" t="s">
        <v>1217</v>
      </c>
      <c r="B406" s="4" t="s">
        <v>1218</v>
      </c>
      <c r="C406" s="5" t="s">
        <v>1219</v>
      </c>
    </row>
    <row r="407">
      <c r="A407" s="4" t="s">
        <v>1220</v>
      </c>
      <c r="B407" s="4" t="s">
        <v>1221</v>
      </c>
      <c r="C407" s="5" t="s">
        <v>1222</v>
      </c>
    </row>
    <row r="408">
      <c r="A408" s="4" t="s">
        <v>1223</v>
      </c>
      <c r="B408" s="4" t="s">
        <v>1224</v>
      </c>
      <c r="C408" s="5" t="s">
        <v>1225</v>
      </c>
    </row>
    <row r="409">
      <c r="A409" s="4" t="s">
        <v>1226</v>
      </c>
      <c r="B409" s="4" t="s">
        <v>1227</v>
      </c>
      <c r="C409" s="5" t="s">
        <v>1228</v>
      </c>
    </row>
    <row r="410">
      <c r="A410" s="4" t="s">
        <v>1229</v>
      </c>
      <c r="B410" s="4" t="s">
        <v>1230</v>
      </c>
      <c r="C410" s="5" t="s">
        <v>1231</v>
      </c>
    </row>
    <row r="411">
      <c r="A411" s="4" t="s">
        <v>1232</v>
      </c>
      <c r="B411" s="4" t="s">
        <v>1233</v>
      </c>
      <c r="C411" s="5" t="s">
        <v>1234</v>
      </c>
    </row>
    <row r="412">
      <c r="A412" s="4" t="s">
        <v>1235</v>
      </c>
      <c r="B412" s="4" t="s">
        <v>1236</v>
      </c>
      <c r="C412" s="5" t="s">
        <v>1237</v>
      </c>
    </row>
    <row r="413">
      <c r="A413" s="4" t="s">
        <v>1238</v>
      </c>
      <c r="B413" s="4" t="s">
        <v>1239</v>
      </c>
      <c r="C413" s="5" t="s">
        <v>1240</v>
      </c>
    </row>
    <row r="414">
      <c r="A414" s="4" t="s">
        <v>1241</v>
      </c>
      <c r="B414" s="4" t="s">
        <v>1242</v>
      </c>
      <c r="C414" s="5" t="s">
        <v>1243</v>
      </c>
    </row>
    <row r="415">
      <c r="A415" s="4" t="s">
        <v>1244</v>
      </c>
      <c r="B415" s="4" t="s">
        <v>1245</v>
      </c>
      <c r="C415" s="5" t="s">
        <v>1246</v>
      </c>
    </row>
    <row r="416">
      <c r="A416" s="4" t="s">
        <v>1247</v>
      </c>
      <c r="B416" s="4" t="s">
        <v>1248</v>
      </c>
      <c r="C416" s="5" t="s">
        <v>1249</v>
      </c>
    </row>
    <row r="417">
      <c r="A417" s="4" t="s">
        <v>1250</v>
      </c>
      <c r="B417" s="4" t="s">
        <v>1251</v>
      </c>
      <c r="C417" s="5" t="s">
        <v>1252</v>
      </c>
    </row>
    <row r="418">
      <c r="A418" s="4" t="s">
        <v>1253</v>
      </c>
      <c r="B418" s="4" t="s">
        <v>1254</v>
      </c>
      <c r="C418" s="5" t="s">
        <v>1255</v>
      </c>
    </row>
    <row r="419">
      <c r="A419" s="4" t="s">
        <v>1256</v>
      </c>
      <c r="B419" s="4" t="s">
        <v>1257</v>
      </c>
      <c r="C419" s="5" t="s">
        <v>1258</v>
      </c>
    </row>
    <row r="420">
      <c r="A420" s="4" t="s">
        <v>1259</v>
      </c>
      <c r="B420" s="4" t="s">
        <v>1260</v>
      </c>
      <c r="C420" s="5" t="s">
        <v>1261</v>
      </c>
    </row>
    <row r="421">
      <c r="A421" s="4" t="s">
        <v>1262</v>
      </c>
      <c r="B421" s="4" t="s">
        <v>1263</v>
      </c>
      <c r="C421" s="5" t="s">
        <v>1264</v>
      </c>
    </row>
    <row r="422">
      <c r="A422" s="4" t="s">
        <v>1265</v>
      </c>
      <c r="B422" s="4" t="s">
        <v>1266</v>
      </c>
      <c r="C422" s="5" t="s">
        <v>1267</v>
      </c>
    </row>
    <row r="423">
      <c r="A423" s="4" t="s">
        <v>1268</v>
      </c>
      <c r="B423" s="4" t="s">
        <v>1269</v>
      </c>
      <c r="C423" s="5" t="s">
        <v>1270</v>
      </c>
    </row>
    <row r="424">
      <c r="A424" s="4" t="s">
        <v>1271</v>
      </c>
      <c r="B424" s="4" t="s">
        <v>1272</v>
      </c>
      <c r="C424" s="5" t="s">
        <v>1273</v>
      </c>
    </row>
    <row r="425">
      <c r="A425" s="4" t="s">
        <v>1274</v>
      </c>
      <c r="B425" s="4" t="s">
        <v>1275</v>
      </c>
      <c r="C425" s="5" t="s">
        <v>1276</v>
      </c>
    </row>
    <row r="426">
      <c r="A426" s="4" t="s">
        <v>1277</v>
      </c>
      <c r="B426" s="4" t="s">
        <v>1278</v>
      </c>
      <c r="C426" s="5" t="s">
        <v>1279</v>
      </c>
    </row>
    <row r="427">
      <c r="A427" s="4" t="s">
        <v>1280</v>
      </c>
      <c r="B427" s="4" t="s">
        <v>1281</v>
      </c>
      <c r="C427" s="5" t="s">
        <v>1282</v>
      </c>
    </row>
    <row r="428">
      <c r="A428" s="4" t="s">
        <v>1283</v>
      </c>
      <c r="B428" s="4" t="s">
        <v>1284</v>
      </c>
      <c r="C428" s="5" t="s">
        <v>1285</v>
      </c>
    </row>
    <row r="429">
      <c r="A429" s="4" t="s">
        <v>1286</v>
      </c>
      <c r="B429" s="4" t="s">
        <v>1287</v>
      </c>
      <c r="C429" s="5" t="s">
        <v>1288</v>
      </c>
    </row>
    <row r="430">
      <c r="A430" s="4" t="s">
        <v>1289</v>
      </c>
      <c r="B430" s="4" t="s">
        <v>1290</v>
      </c>
      <c r="C430" s="5" t="s">
        <v>1291</v>
      </c>
    </row>
    <row r="431">
      <c r="A431" s="4" t="s">
        <v>1292</v>
      </c>
      <c r="B431" s="4" t="s">
        <v>1293</v>
      </c>
      <c r="C431" s="5" t="s">
        <v>1294</v>
      </c>
    </row>
    <row r="432">
      <c r="A432" s="4" t="s">
        <v>1295</v>
      </c>
      <c r="B432" s="4" t="s">
        <v>1296</v>
      </c>
      <c r="C432" s="5" t="s">
        <v>1297</v>
      </c>
    </row>
    <row r="433">
      <c r="A433" s="4" t="s">
        <v>1298</v>
      </c>
      <c r="B433" s="4" t="s">
        <v>1299</v>
      </c>
      <c r="C433" s="5" t="s">
        <v>1300</v>
      </c>
    </row>
    <row r="434">
      <c r="A434" s="4" t="s">
        <v>1301</v>
      </c>
      <c r="B434" s="4" t="s">
        <v>1302</v>
      </c>
      <c r="C434" s="5" t="s">
        <v>1303</v>
      </c>
    </row>
    <row r="435">
      <c r="A435" s="4" t="s">
        <v>1304</v>
      </c>
      <c r="B435" s="4" t="s">
        <v>1305</v>
      </c>
      <c r="C435" s="5" t="s">
        <v>1306</v>
      </c>
    </row>
    <row r="436">
      <c r="A436" s="4" t="s">
        <v>1307</v>
      </c>
      <c r="B436" s="4" t="s">
        <v>1308</v>
      </c>
      <c r="C436" s="5" t="s">
        <v>1309</v>
      </c>
    </row>
    <row r="437">
      <c r="A437" s="4" t="s">
        <v>1310</v>
      </c>
      <c r="B437" s="4" t="s">
        <v>1311</v>
      </c>
      <c r="C437" s="5" t="s">
        <v>1312</v>
      </c>
    </row>
    <row r="438">
      <c r="A438" s="4" t="s">
        <v>1313</v>
      </c>
      <c r="B438" s="4" t="s">
        <v>1314</v>
      </c>
      <c r="C438" s="5" t="s">
        <v>1315</v>
      </c>
    </row>
    <row r="439">
      <c r="A439" s="4" t="s">
        <v>1316</v>
      </c>
      <c r="B439" s="4" t="s">
        <v>1317</v>
      </c>
      <c r="C439" s="5" t="s">
        <v>1318</v>
      </c>
    </row>
    <row r="440">
      <c r="A440" s="4" t="s">
        <v>1319</v>
      </c>
      <c r="B440" s="4" t="s">
        <v>1320</v>
      </c>
      <c r="C440" s="5" t="s">
        <v>1321</v>
      </c>
    </row>
    <row r="441">
      <c r="A441" s="4" t="s">
        <v>1322</v>
      </c>
      <c r="B441" s="4" t="s">
        <v>1323</v>
      </c>
      <c r="C441" s="5" t="s">
        <v>1324</v>
      </c>
    </row>
    <row r="442">
      <c r="A442" s="4" t="s">
        <v>1325</v>
      </c>
      <c r="B442" s="4" t="s">
        <v>1326</v>
      </c>
      <c r="C442" s="5" t="s">
        <v>1327</v>
      </c>
    </row>
    <row r="443">
      <c r="A443" s="4" t="s">
        <v>1328</v>
      </c>
      <c r="B443" s="4" t="s">
        <v>1329</v>
      </c>
      <c r="C443" s="5" t="s">
        <v>1330</v>
      </c>
    </row>
    <row r="444">
      <c r="A444" s="4" t="s">
        <v>1331</v>
      </c>
      <c r="B444" s="4" t="s">
        <v>1332</v>
      </c>
      <c r="C444" s="5" t="s">
        <v>1333</v>
      </c>
    </row>
    <row r="445">
      <c r="A445" s="4" t="s">
        <v>1334</v>
      </c>
      <c r="B445" s="4" t="s">
        <v>1335</v>
      </c>
      <c r="C445" s="5" t="s">
        <v>1336</v>
      </c>
    </row>
    <row r="446">
      <c r="A446" s="4" t="s">
        <v>1337</v>
      </c>
      <c r="B446" s="4" t="s">
        <v>1338</v>
      </c>
      <c r="C446" s="5" t="s">
        <v>1339</v>
      </c>
    </row>
    <row r="447">
      <c r="A447" s="4" t="s">
        <v>1340</v>
      </c>
      <c r="B447" s="4" t="s">
        <v>1341</v>
      </c>
      <c r="C447" s="5" t="s">
        <v>1342</v>
      </c>
    </row>
    <row r="448">
      <c r="A448" s="4" t="s">
        <v>1343</v>
      </c>
      <c r="B448" s="4" t="s">
        <v>1344</v>
      </c>
      <c r="C448" s="5" t="s">
        <v>1345</v>
      </c>
    </row>
    <row r="449">
      <c r="A449" s="4" t="s">
        <v>1346</v>
      </c>
      <c r="B449" s="4" t="s">
        <v>1347</v>
      </c>
      <c r="C449" s="5" t="s">
        <v>1348</v>
      </c>
    </row>
    <row r="450">
      <c r="A450" s="4" t="s">
        <v>1349</v>
      </c>
      <c r="B450" s="4" t="s">
        <v>1350</v>
      </c>
      <c r="C450" s="5" t="s">
        <v>1351</v>
      </c>
    </row>
    <row r="451">
      <c r="A451" s="4" t="s">
        <v>1352</v>
      </c>
      <c r="B451" s="4" t="s">
        <v>1353</v>
      </c>
      <c r="C451" s="5" t="s">
        <v>1354</v>
      </c>
    </row>
    <row r="452">
      <c r="A452" s="4" t="s">
        <v>1355</v>
      </c>
      <c r="B452" s="4" t="s">
        <v>1356</v>
      </c>
      <c r="C452" s="5" t="s">
        <v>1357</v>
      </c>
    </row>
    <row r="453">
      <c r="A453" s="4" t="s">
        <v>1358</v>
      </c>
      <c r="B453" s="4" t="s">
        <v>1359</v>
      </c>
      <c r="C453" s="5" t="s">
        <v>1360</v>
      </c>
    </row>
    <row r="454">
      <c r="A454" s="4" t="s">
        <v>1361</v>
      </c>
      <c r="B454" s="4" t="s">
        <v>1362</v>
      </c>
      <c r="C454" s="5" t="s">
        <v>1363</v>
      </c>
    </row>
    <row r="455">
      <c r="A455" s="4" t="s">
        <v>1364</v>
      </c>
      <c r="B455" s="4" t="s">
        <v>1365</v>
      </c>
      <c r="C455" s="5" t="s">
        <v>1366</v>
      </c>
    </row>
    <row r="456">
      <c r="A456" s="4" t="s">
        <v>1367</v>
      </c>
      <c r="B456" s="4" t="s">
        <v>1368</v>
      </c>
      <c r="C456" s="5" t="s">
        <v>1369</v>
      </c>
    </row>
    <row r="457">
      <c r="A457" s="4" t="s">
        <v>1370</v>
      </c>
      <c r="B457" s="4" t="s">
        <v>1371</v>
      </c>
      <c r="C457" s="5" t="s">
        <v>1372</v>
      </c>
    </row>
    <row r="458">
      <c r="A458" s="4" t="s">
        <v>1373</v>
      </c>
      <c r="B458" s="4" t="s">
        <v>1374</v>
      </c>
      <c r="C458" s="5" t="s">
        <v>1375</v>
      </c>
    </row>
    <row r="459">
      <c r="A459" s="4" t="s">
        <v>1376</v>
      </c>
      <c r="B459" s="4" t="s">
        <v>1377</v>
      </c>
      <c r="C459" s="5" t="s">
        <v>1378</v>
      </c>
    </row>
    <row r="460">
      <c r="A460" s="4" t="s">
        <v>1379</v>
      </c>
      <c r="B460" s="4" t="s">
        <v>1380</v>
      </c>
      <c r="C460" s="5" t="s">
        <v>1381</v>
      </c>
    </row>
    <row r="461">
      <c r="A461" s="4" t="s">
        <v>1382</v>
      </c>
      <c r="B461" s="4" t="s">
        <v>1383</v>
      </c>
      <c r="C461" s="5" t="s">
        <v>1384</v>
      </c>
    </row>
    <row r="462">
      <c r="A462" s="4" t="s">
        <v>1385</v>
      </c>
      <c r="B462" s="4" t="s">
        <v>1386</v>
      </c>
      <c r="C462" s="5" t="s">
        <v>1387</v>
      </c>
    </row>
    <row r="463">
      <c r="A463" s="4" t="s">
        <v>1388</v>
      </c>
      <c r="B463" s="4" t="s">
        <v>1389</v>
      </c>
      <c r="C463" s="5" t="s">
        <v>1390</v>
      </c>
    </row>
    <row r="464">
      <c r="A464" s="4" t="s">
        <v>1391</v>
      </c>
      <c r="B464" s="4" t="s">
        <v>1392</v>
      </c>
      <c r="C464" s="5" t="s">
        <v>1393</v>
      </c>
    </row>
    <row r="465">
      <c r="A465" s="4" t="s">
        <v>1394</v>
      </c>
      <c r="B465" s="4" t="s">
        <v>1395</v>
      </c>
      <c r="C465" s="5" t="s">
        <v>1396</v>
      </c>
    </row>
    <row r="466">
      <c r="A466" s="4" t="s">
        <v>1397</v>
      </c>
      <c r="B466" s="4" t="s">
        <v>1398</v>
      </c>
      <c r="C466" s="5" t="s">
        <v>1399</v>
      </c>
    </row>
    <row r="467">
      <c r="A467" s="4" t="s">
        <v>1400</v>
      </c>
      <c r="B467" s="4" t="s">
        <v>1401</v>
      </c>
      <c r="C467" s="5" t="s">
        <v>1402</v>
      </c>
    </row>
    <row r="468">
      <c r="A468" s="4" t="s">
        <v>1403</v>
      </c>
      <c r="B468" s="4" t="s">
        <v>1404</v>
      </c>
      <c r="C468" s="5" t="s">
        <v>1405</v>
      </c>
    </row>
    <row r="469">
      <c r="A469" s="4" t="s">
        <v>1406</v>
      </c>
      <c r="B469" s="4" t="s">
        <v>1407</v>
      </c>
      <c r="C469" s="5" t="s">
        <v>1408</v>
      </c>
    </row>
    <row r="470">
      <c r="A470" s="4" t="s">
        <v>1409</v>
      </c>
      <c r="B470" s="4" t="s">
        <v>1410</v>
      </c>
      <c r="C470" s="5" t="s">
        <v>1411</v>
      </c>
    </row>
    <row r="471">
      <c r="A471" s="4" t="s">
        <v>1412</v>
      </c>
      <c r="B471" s="4" t="s">
        <v>1413</v>
      </c>
      <c r="C471" s="5" t="s">
        <v>1414</v>
      </c>
    </row>
    <row r="472">
      <c r="A472" s="4" t="s">
        <v>1415</v>
      </c>
      <c r="B472" s="4" t="s">
        <v>1416</v>
      </c>
      <c r="C472" s="5" t="s">
        <v>1417</v>
      </c>
    </row>
    <row r="473">
      <c r="A473" s="4" t="s">
        <v>1418</v>
      </c>
      <c r="B473" s="4" t="s">
        <v>1419</v>
      </c>
      <c r="C473" s="5" t="s">
        <v>1420</v>
      </c>
    </row>
    <row r="474">
      <c r="A474" s="4" t="s">
        <v>1421</v>
      </c>
      <c r="B474" s="4" t="s">
        <v>1422</v>
      </c>
      <c r="C474" s="5" t="s">
        <v>1423</v>
      </c>
    </row>
    <row r="475">
      <c r="A475" s="4" t="s">
        <v>1424</v>
      </c>
      <c r="B475" s="4" t="s">
        <v>1425</v>
      </c>
      <c r="C475" s="5" t="s">
        <v>1426</v>
      </c>
    </row>
    <row r="476">
      <c r="A476" s="4" t="s">
        <v>1427</v>
      </c>
      <c r="B476" s="4" t="s">
        <v>1428</v>
      </c>
      <c r="C476" s="5" t="s">
        <v>1429</v>
      </c>
    </row>
    <row r="477">
      <c r="A477" s="4" t="s">
        <v>1430</v>
      </c>
      <c r="B477" s="4" t="s">
        <v>1431</v>
      </c>
      <c r="C477" s="5" t="s">
        <v>1432</v>
      </c>
    </row>
    <row r="478">
      <c r="A478" s="4" t="s">
        <v>1433</v>
      </c>
      <c r="B478" s="4" t="s">
        <v>1434</v>
      </c>
      <c r="C478" s="5" t="s">
        <v>1435</v>
      </c>
    </row>
    <row r="479">
      <c r="A479" s="4" t="s">
        <v>1436</v>
      </c>
      <c r="B479" s="4" t="s">
        <v>1437</v>
      </c>
      <c r="C479" s="5" t="s">
        <v>1438</v>
      </c>
    </row>
    <row r="480">
      <c r="A480" s="4" t="s">
        <v>1439</v>
      </c>
      <c r="B480" s="4" t="s">
        <v>1440</v>
      </c>
      <c r="C480" s="5" t="s">
        <v>1441</v>
      </c>
    </row>
    <row r="481">
      <c r="A481" s="4" t="s">
        <v>1442</v>
      </c>
      <c r="B481" s="4" t="s">
        <v>1443</v>
      </c>
      <c r="C481" s="5" t="s">
        <v>1444</v>
      </c>
    </row>
    <row r="482">
      <c r="A482" s="4" t="s">
        <v>1445</v>
      </c>
      <c r="B482" s="4" t="s">
        <v>1446</v>
      </c>
      <c r="C482" s="5" t="s">
        <v>1447</v>
      </c>
    </row>
    <row r="483">
      <c r="A483" s="4" t="s">
        <v>1448</v>
      </c>
      <c r="B483" s="4" t="s">
        <v>1449</v>
      </c>
      <c r="C483" s="5" t="s">
        <v>1450</v>
      </c>
    </row>
    <row r="484">
      <c r="A484" s="4" t="s">
        <v>1451</v>
      </c>
      <c r="B484" s="4" t="s">
        <v>1452</v>
      </c>
      <c r="C484" s="5" t="s">
        <v>1453</v>
      </c>
    </row>
    <row r="485">
      <c r="A485" s="4" t="s">
        <v>1454</v>
      </c>
      <c r="B485" s="4" t="s">
        <v>1455</v>
      </c>
      <c r="C485" s="5" t="s">
        <v>1456</v>
      </c>
    </row>
    <row r="486">
      <c r="A486" s="4" t="s">
        <v>1457</v>
      </c>
      <c r="B486" s="4" t="s">
        <v>1458</v>
      </c>
      <c r="C486" s="5" t="s">
        <v>1459</v>
      </c>
    </row>
    <row r="487">
      <c r="A487" s="4" t="s">
        <v>1460</v>
      </c>
      <c r="B487" s="4" t="s">
        <v>1461</v>
      </c>
      <c r="C487" s="5" t="s">
        <v>1462</v>
      </c>
    </row>
    <row r="488">
      <c r="A488" s="4" t="s">
        <v>1463</v>
      </c>
      <c r="B488" s="4" t="s">
        <v>1464</v>
      </c>
      <c r="C488" s="5" t="s">
        <v>1465</v>
      </c>
    </row>
    <row r="489">
      <c r="A489" s="4" t="s">
        <v>1466</v>
      </c>
      <c r="B489" s="4" t="s">
        <v>1467</v>
      </c>
      <c r="C489" s="5" t="s">
        <v>1468</v>
      </c>
    </row>
    <row r="490">
      <c r="A490" s="4" t="s">
        <v>1469</v>
      </c>
      <c r="B490" s="4" t="s">
        <v>1470</v>
      </c>
      <c r="C490" s="5" t="s">
        <v>1471</v>
      </c>
    </row>
    <row r="491">
      <c r="A491" s="4" t="s">
        <v>1472</v>
      </c>
      <c r="B491" s="4" t="s">
        <v>1473</v>
      </c>
      <c r="C491" s="5" t="s">
        <v>1474</v>
      </c>
    </row>
    <row r="492">
      <c r="A492" s="4" t="s">
        <v>1475</v>
      </c>
      <c r="B492" s="4" t="s">
        <v>1476</v>
      </c>
      <c r="C492" s="5" t="s">
        <v>1477</v>
      </c>
    </row>
    <row r="493">
      <c r="A493" s="4" t="s">
        <v>1478</v>
      </c>
      <c r="B493" s="4" t="s">
        <v>1479</v>
      </c>
      <c r="C493" s="5" t="s">
        <v>1480</v>
      </c>
    </row>
    <row r="494">
      <c r="A494" s="4" t="s">
        <v>1481</v>
      </c>
      <c r="B494" s="4" t="s">
        <v>1482</v>
      </c>
      <c r="C494" s="5" t="s">
        <v>1483</v>
      </c>
    </row>
    <row r="495">
      <c r="A495" s="4" t="s">
        <v>1484</v>
      </c>
      <c r="B495" s="4" t="s">
        <v>1485</v>
      </c>
      <c r="C495" s="5" t="s">
        <v>1486</v>
      </c>
    </row>
    <row r="496">
      <c r="A496" s="4" t="s">
        <v>1487</v>
      </c>
      <c r="B496" s="4" t="s">
        <v>1488</v>
      </c>
      <c r="C496" s="5" t="s">
        <v>1489</v>
      </c>
    </row>
    <row r="497">
      <c r="A497" s="4" t="s">
        <v>1490</v>
      </c>
      <c r="B497" s="4" t="s">
        <v>1491</v>
      </c>
      <c r="C497" s="5" t="s">
        <v>1492</v>
      </c>
    </row>
    <row r="498">
      <c r="A498" s="4" t="s">
        <v>1493</v>
      </c>
      <c r="B498" s="4" t="s">
        <v>1494</v>
      </c>
      <c r="C498" s="5" t="s">
        <v>1495</v>
      </c>
    </row>
    <row r="499">
      <c r="A499" s="4" t="s">
        <v>1496</v>
      </c>
      <c r="B499" s="4" t="s">
        <v>1497</v>
      </c>
      <c r="C499" s="5" t="s">
        <v>1498</v>
      </c>
    </row>
    <row r="500">
      <c r="A500" s="4" t="s">
        <v>1499</v>
      </c>
      <c r="B500" s="4" t="s">
        <v>1500</v>
      </c>
      <c r="C500" s="5" t="s">
        <v>1501</v>
      </c>
    </row>
    <row r="501">
      <c r="A501" s="4" t="s">
        <v>1502</v>
      </c>
      <c r="B501" s="4" t="s">
        <v>1503</v>
      </c>
      <c r="C501" s="5" t="s">
        <v>1504</v>
      </c>
    </row>
    <row r="502">
      <c r="A502" s="4" t="s">
        <v>1505</v>
      </c>
      <c r="B502" s="4" t="s">
        <v>1506</v>
      </c>
      <c r="C502" s="5" t="s">
        <v>1507</v>
      </c>
    </row>
    <row r="503">
      <c r="A503" s="4" t="s">
        <v>1508</v>
      </c>
      <c r="B503" s="4" t="s">
        <v>1509</v>
      </c>
      <c r="C503" s="5" t="s">
        <v>1510</v>
      </c>
    </row>
    <row r="504">
      <c r="A504" s="4" t="s">
        <v>1511</v>
      </c>
      <c r="B504" s="4" t="s">
        <v>1512</v>
      </c>
      <c r="C504" s="5" t="s">
        <v>1513</v>
      </c>
    </row>
    <row r="505">
      <c r="A505" s="4" t="s">
        <v>1514</v>
      </c>
      <c r="B505" s="4" t="s">
        <v>1515</v>
      </c>
      <c r="C505" s="5" t="s">
        <v>1516</v>
      </c>
    </row>
    <row r="506">
      <c r="A506" s="4" t="s">
        <v>1517</v>
      </c>
      <c r="B506" s="4" t="s">
        <v>1518</v>
      </c>
      <c r="C506" s="5" t="s">
        <v>1519</v>
      </c>
    </row>
    <row r="507">
      <c r="A507" s="4" t="s">
        <v>1520</v>
      </c>
      <c r="B507" s="4" t="s">
        <v>1521</v>
      </c>
      <c r="C507" s="5" t="s">
        <v>1522</v>
      </c>
    </row>
    <row r="508">
      <c r="A508" s="4" t="s">
        <v>1523</v>
      </c>
      <c r="B508" s="4" t="s">
        <v>1524</v>
      </c>
      <c r="C508" s="5" t="s">
        <v>1525</v>
      </c>
    </row>
    <row r="509">
      <c r="A509" s="4" t="s">
        <v>1526</v>
      </c>
      <c r="B509" s="4" t="s">
        <v>1527</v>
      </c>
      <c r="C509" s="5" t="s">
        <v>1528</v>
      </c>
    </row>
    <row r="510">
      <c r="A510" s="4" t="s">
        <v>1529</v>
      </c>
      <c r="B510" s="4" t="s">
        <v>1530</v>
      </c>
      <c r="C510" s="5" t="s">
        <v>1531</v>
      </c>
    </row>
    <row r="511">
      <c r="A511" s="4" t="s">
        <v>1532</v>
      </c>
      <c r="B511" s="4" t="s">
        <v>1533</v>
      </c>
      <c r="C511" s="5" t="s">
        <v>1534</v>
      </c>
    </row>
    <row r="512">
      <c r="A512" s="4" t="s">
        <v>1535</v>
      </c>
      <c r="B512" s="4" t="s">
        <v>1536</v>
      </c>
      <c r="C512" s="5" t="s">
        <v>1537</v>
      </c>
    </row>
    <row r="513">
      <c r="A513" s="4" t="s">
        <v>1538</v>
      </c>
      <c r="B513" s="4" t="s">
        <v>1539</v>
      </c>
      <c r="C513" s="5" t="s">
        <v>1540</v>
      </c>
    </row>
    <row r="514">
      <c r="A514" s="4" t="s">
        <v>1541</v>
      </c>
      <c r="B514" s="4" t="s">
        <v>1542</v>
      </c>
      <c r="C514" s="5" t="s">
        <v>1543</v>
      </c>
    </row>
    <row r="515">
      <c r="A515" s="4" t="s">
        <v>1544</v>
      </c>
      <c r="B515" s="4" t="s">
        <v>1545</v>
      </c>
      <c r="C515" s="5" t="s">
        <v>1546</v>
      </c>
    </row>
    <row r="516">
      <c r="A516" s="4" t="s">
        <v>1547</v>
      </c>
      <c r="B516" s="4" t="s">
        <v>1548</v>
      </c>
      <c r="C516" s="5" t="s">
        <v>1549</v>
      </c>
    </row>
    <row r="517">
      <c r="A517" s="4" t="s">
        <v>1550</v>
      </c>
      <c r="B517" s="4" t="s">
        <v>1551</v>
      </c>
      <c r="C517" s="5" t="s">
        <v>1552</v>
      </c>
    </row>
    <row r="518">
      <c r="A518" s="4" t="s">
        <v>1553</v>
      </c>
      <c r="B518" s="4" t="s">
        <v>1554</v>
      </c>
      <c r="C518" s="5" t="s">
        <v>1555</v>
      </c>
    </row>
    <row r="519">
      <c r="A519" s="4" t="s">
        <v>1556</v>
      </c>
      <c r="B519" s="4" t="s">
        <v>1557</v>
      </c>
      <c r="C519" s="5" t="s">
        <v>1558</v>
      </c>
    </row>
    <row r="520">
      <c r="A520" s="4" t="s">
        <v>1559</v>
      </c>
      <c r="B520" s="4" t="s">
        <v>1560</v>
      </c>
      <c r="C520" s="5" t="s">
        <v>1561</v>
      </c>
    </row>
    <row r="521">
      <c r="A521" s="4" t="s">
        <v>1562</v>
      </c>
      <c r="B521" s="4" t="s">
        <v>1563</v>
      </c>
      <c r="C521" s="5" t="s">
        <v>1564</v>
      </c>
    </row>
    <row r="522">
      <c r="A522" s="4" t="s">
        <v>1565</v>
      </c>
      <c r="B522" s="4" t="s">
        <v>1566</v>
      </c>
      <c r="C522" s="5" t="s">
        <v>1567</v>
      </c>
    </row>
    <row r="523">
      <c r="A523" s="4" t="s">
        <v>1568</v>
      </c>
      <c r="B523" s="4" t="s">
        <v>1569</v>
      </c>
      <c r="C523" s="5" t="s">
        <v>1570</v>
      </c>
    </row>
    <row r="524">
      <c r="A524" s="4" t="s">
        <v>1571</v>
      </c>
      <c r="B524" s="4" t="s">
        <v>1572</v>
      </c>
      <c r="C524" s="5" t="s">
        <v>1573</v>
      </c>
    </row>
    <row r="525">
      <c r="A525" s="4" t="s">
        <v>1574</v>
      </c>
      <c r="B525" s="4" t="s">
        <v>1575</v>
      </c>
      <c r="C525" s="5" t="s">
        <v>1576</v>
      </c>
    </row>
    <row r="526">
      <c r="A526" s="4" t="s">
        <v>1577</v>
      </c>
      <c r="B526" s="4" t="s">
        <v>1578</v>
      </c>
      <c r="C526" s="5" t="s">
        <v>1579</v>
      </c>
    </row>
    <row r="527">
      <c r="A527" s="4" t="s">
        <v>1580</v>
      </c>
      <c r="B527" s="4" t="s">
        <v>1581</v>
      </c>
      <c r="C527" s="5" t="s">
        <v>1582</v>
      </c>
    </row>
    <row r="528">
      <c r="A528" s="4" t="s">
        <v>1583</v>
      </c>
      <c r="B528" s="4" t="s">
        <v>1584</v>
      </c>
      <c r="C528" s="5" t="s">
        <v>1585</v>
      </c>
    </row>
    <row r="529">
      <c r="A529" s="4" t="s">
        <v>1586</v>
      </c>
      <c r="B529" s="4" t="s">
        <v>1587</v>
      </c>
      <c r="C529" s="5" t="s">
        <v>1588</v>
      </c>
    </row>
    <row r="530">
      <c r="A530" s="4" t="s">
        <v>1589</v>
      </c>
      <c r="B530" s="4" t="s">
        <v>1590</v>
      </c>
      <c r="C530" s="5" t="s">
        <v>1591</v>
      </c>
    </row>
    <row r="531">
      <c r="A531" s="4" t="s">
        <v>1592</v>
      </c>
      <c r="B531" s="4" t="s">
        <v>1593</v>
      </c>
      <c r="C531" s="5" t="s">
        <v>1594</v>
      </c>
    </row>
    <row r="532">
      <c r="A532" s="4" t="s">
        <v>1595</v>
      </c>
      <c r="B532" s="4" t="s">
        <v>1596</v>
      </c>
      <c r="C532" s="5" t="s">
        <v>1597</v>
      </c>
    </row>
    <row r="533">
      <c r="A533" s="4" t="s">
        <v>1598</v>
      </c>
      <c r="B533" s="4" t="s">
        <v>1599</v>
      </c>
      <c r="C533" s="5" t="s">
        <v>1600</v>
      </c>
    </row>
    <row r="534">
      <c r="A534" s="4" t="s">
        <v>1601</v>
      </c>
      <c r="B534" s="4" t="s">
        <v>1602</v>
      </c>
      <c r="C534" s="5" t="s">
        <v>1603</v>
      </c>
    </row>
    <row r="535">
      <c r="A535" s="4" t="s">
        <v>1604</v>
      </c>
      <c r="B535" s="4" t="s">
        <v>1605</v>
      </c>
      <c r="C535" s="5" t="s">
        <v>1606</v>
      </c>
    </row>
    <row r="536">
      <c r="A536" s="4" t="s">
        <v>1607</v>
      </c>
      <c r="B536" s="4" t="s">
        <v>1608</v>
      </c>
      <c r="C536" s="5" t="s">
        <v>1609</v>
      </c>
    </row>
    <row r="537">
      <c r="A537" s="4" t="s">
        <v>1610</v>
      </c>
      <c r="B537" s="4" t="s">
        <v>1611</v>
      </c>
      <c r="C537" s="5" t="s">
        <v>1612</v>
      </c>
    </row>
    <row r="538">
      <c r="A538" s="4" t="s">
        <v>1613</v>
      </c>
      <c r="B538" s="4" t="s">
        <v>1614</v>
      </c>
      <c r="C538" s="5" t="s">
        <v>1615</v>
      </c>
    </row>
    <row r="539">
      <c r="A539" s="4" t="s">
        <v>1616</v>
      </c>
      <c r="B539" s="4" t="s">
        <v>1617</v>
      </c>
      <c r="C539" s="5" t="s">
        <v>1618</v>
      </c>
    </row>
    <row r="540">
      <c r="A540" s="4" t="s">
        <v>1619</v>
      </c>
      <c r="B540" s="4" t="s">
        <v>1620</v>
      </c>
      <c r="C540" s="5" t="s">
        <v>1621</v>
      </c>
    </row>
    <row r="541">
      <c r="A541" s="4" t="s">
        <v>1622</v>
      </c>
      <c r="B541" s="4" t="s">
        <v>1623</v>
      </c>
      <c r="C541" s="5" t="s">
        <v>1624</v>
      </c>
    </row>
    <row r="542">
      <c r="A542" s="4" t="s">
        <v>1625</v>
      </c>
      <c r="B542" s="4" t="s">
        <v>1626</v>
      </c>
      <c r="C542" s="5" t="s">
        <v>1627</v>
      </c>
    </row>
    <row r="543">
      <c r="A543" s="4" t="s">
        <v>1628</v>
      </c>
      <c r="B543" s="4" t="s">
        <v>1629</v>
      </c>
      <c r="C543" s="5" t="s">
        <v>1630</v>
      </c>
    </row>
    <row r="544">
      <c r="A544" s="4" t="s">
        <v>1631</v>
      </c>
      <c r="B544" s="4" t="s">
        <v>1632</v>
      </c>
      <c r="C544" s="5" t="s">
        <v>1633</v>
      </c>
    </row>
    <row r="545">
      <c r="A545" s="4" t="s">
        <v>1634</v>
      </c>
      <c r="B545" s="4" t="s">
        <v>1635</v>
      </c>
      <c r="C545" s="5" t="s">
        <v>1636</v>
      </c>
    </row>
    <row r="546">
      <c r="A546" s="4" t="s">
        <v>1637</v>
      </c>
      <c r="B546" s="4" t="s">
        <v>1638</v>
      </c>
      <c r="C546" s="5" t="s">
        <v>1639</v>
      </c>
    </row>
    <row r="547">
      <c r="A547" s="4" t="s">
        <v>1640</v>
      </c>
      <c r="B547" s="4" t="s">
        <v>1641</v>
      </c>
      <c r="C547" s="5" t="s">
        <v>1642</v>
      </c>
    </row>
    <row r="548">
      <c r="A548" s="4" t="s">
        <v>1643</v>
      </c>
      <c r="B548" s="4" t="s">
        <v>1644</v>
      </c>
      <c r="C548" s="5" t="s">
        <v>1645</v>
      </c>
    </row>
    <row r="549">
      <c r="A549" s="4" t="s">
        <v>1646</v>
      </c>
      <c r="B549" s="4" t="s">
        <v>1647</v>
      </c>
      <c r="C549" s="5" t="s">
        <v>1648</v>
      </c>
    </row>
    <row r="550">
      <c r="A550" s="4" t="s">
        <v>1649</v>
      </c>
      <c r="B550" s="4" t="s">
        <v>1650</v>
      </c>
      <c r="C550" s="5" t="s">
        <v>1651</v>
      </c>
    </row>
    <row r="551">
      <c r="A551" s="4" t="s">
        <v>1652</v>
      </c>
      <c r="B551" s="4" t="s">
        <v>1653</v>
      </c>
      <c r="C551" s="5" t="s">
        <v>1654</v>
      </c>
    </row>
    <row r="552">
      <c r="A552" s="4" t="s">
        <v>1655</v>
      </c>
      <c r="B552" s="4" t="s">
        <v>1656</v>
      </c>
      <c r="C552" s="5" t="s">
        <v>1657</v>
      </c>
    </row>
    <row r="553">
      <c r="A553" s="4" t="s">
        <v>1658</v>
      </c>
      <c r="B553" s="4" t="s">
        <v>1659</v>
      </c>
      <c r="C553" s="5" t="s">
        <v>1660</v>
      </c>
    </row>
    <row r="554">
      <c r="A554" s="4" t="s">
        <v>1661</v>
      </c>
      <c r="B554" s="4" t="s">
        <v>1662</v>
      </c>
      <c r="C554" s="5" t="s">
        <v>1663</v>
      </c>
    </row>
    <row r="555">
      <c r="A555" s="4" t="s">
        <v>1664</v>
      </c>
      <c r="B555" s="4" t="s">
        <v>1665</v>
      </c>
      <c r="C555" s="5" t="s">
        <v>1666</v>
      </c>
    </row>
    <row r="556">
      <c r="A556" s="4" t="s">
        <v>1667</v>
      </c>
      <c r="B556" s="4" t="s">
        <v>1668</v>
      </c>
      <c r="C556" s="5" t="s">
        <v>1669</v>
      </c>
    </row>
    <row r="557">
      <c r="A557" s="4" t="s">
        <v>1670</v>
      </c>
      <c r="B557" s="4" t="s">
        <v>1671</v>
      </c>
      <c r="C557" s="5" t="s">
        <v>1672</v>
      </c>
    </row>
    <row r="558">
      <c r="A558" s="4" t="s">
        <v>1673</v>
      </c>
      <c r="B558" s="4" t="s">
        <v>1674</v>
      </c>
      <c r="C558" s="5" t="s">
        <v>1675</v>
      </c>
    </row>
    <row r="559">
      <c r="A559" s="4" t="s">
        <v>1676</v>
      </c>
      <c r="B559" s="4" t="s">
        <v>1677</v>
      </c>
      <c r="C559" s="5" t="s">
        <v>1678</v>
      </c>
    </row>
    <row r="560">
      <c r="A560" s="4" t="s">
        <v>1679</v>
      </c>
      <c r="B560" s="4" t="s">
        <v>1680</v>
      </c>
      <c r="C560" s="5" t="s">
        <v>1681</v>
      </c>
    </row>
    <row r="561">
      <c r="A561" s="4" t="s">
        <v>1682</v>
      </c>
      <c r="B561" s="4" t="s">
        <v>1683</v>
      </c>
      <c r="C561" s="5" t="s">
        <v>1684</v>
      </c>
    </row>
    <row r="562">
      <c r="A562" s="4" t="s">
        <v>1685</v>
      </c>
      <c r="B562" s="4" t="s">
        <v>1686</v>
      </c>
      <c r="C562" s="5" t="s">
        <v>1687</v>
      </c>
    </row>
    <row r="563">
      <c r="A563" s="4" t="s">
        <v>1688</v>
      </c>
      <c r="B563" s="4" t="s">
        <v>1689</v>
      </c>
      <c r="C563" s="5" t="s">
        <v>1690</v>
      </c>
    </row>
    <row r="564">
      <c r="A564" s="4" t="s">
        <v>1691</v>
      </c>
      <c r="B564" s="4" t="s">
        <v>1692</v>
      </c>
      <c r="C564" s="5" t="s">
        <v>1693</v>
      </c>
    </row>
    <row r="565">
      <c r="A565" s="4" t="s">
        <v>1694</v>
      </c>
      <c r="B565" s="4" t="s">
        <v>1695</v>
      </c>
      <c r="C565" s="5" t="s">
        <v>1696</v>
      </c>
    </row>
    <row r="566">
      <c r="A566" s="4" t="s">
        <v>1697</v>
      </c>
      <c r="B566" s="4" t="s">
        <v>1698</v>
      </c>
      <c r="C566" s="5" t="s">
        <v>1699</v>
      </c>
    </row>
    <row r="567">
      <c r="A567" s="4" t="s">
        <v>1700</v>
      </c>
      <c r="B567" s="4" t="s">
        <v>1701</v>
      </c>
      <c r="C567" s="5" t="s">
        <v>1702</v>
      </c>
    </row>
    <row r="568">
      <c r="A568" s="4" t="s">
        <v>1703</v>
      </c>
      <c r="B568" s="4" t="s">
        <v>1704</v>
      </c>
      <c r="C568" s="5" t="s">
        <v>1705</v>
      </c>
    </row>
    <row r="569">
      <c r="A569" s="4" t="s">
        <v>1706</v>
      </c>
      <c r="B569" s="4" t="s">
        <v>1707</v>
      </c>
      <c r="C569" s="5" t="s">
        <v>1708</v>
      </c>
    </row>
    <row r="570">
      <c r="A570" s="4" t="s">
        <v>1709</v>
      </c>
      <c r="B570" s="4" t="s">
        <v>1710</v>
      </c>
      <c r="C570" s="5" t="s">
        <v>1711</v>
      </c>
    </row>
    <row r="571">
      <c r="A571" s="4" t="s">
        <v>1712</v>
      </c>
      <c r="B571" s="4" t="s">
        <v>1713</v>
      </c>
      <c r="C571" s="5" t="s">
        <v>1714</v>
      </c>
    </row>
    <row r="572">
      <c r="A572" s="4" t="s">
        <v>1715</v>
      </c>
      <c r="B572" s="4" t="s">
        <v>1716</v>
      </c>
      <c r="C572" s="5" t="s">
        <v>1717</v>
      </c>
    </row>
    <row r="573">
      <c r="A573" s="4" t="s">
        <v>1718</v>
      </c>
      <c r="B573" s="4" t="s">
        <v>1719</v>
      </c>
      <c r="C573" s="5" t="s">
        <v>1720</v>
      </c>
    </row>
    <row r="574">
      <c r="A574" s="4" t="s">
        <v>1721</v>
      </c>
      <c r="B574" s="4" t="s">
        <v>1722</v>
      </c>
      <c r="C574" s="5" t="s">
        <v>1723</v>
      </c>
    </row>
    <row r="575">
      <c r="A575" s="4" t="s">
        <v>1724</v>
      </c>
      <c r="B575" s="4" t="s">
        <v>1725</v>
      </c>
      <c r="C575" s="5" t="s">
        <v>1726</v>
      </c>
    </row>
    <row r="576">
      <c r="A576" s="4" t="s">
        <v>1727</v>
      </c>
      <c r="B576" s="4" t="s">
        <v>1728</v>
      </c>
      <c r="C576" s="5" t="s">
        <v>1729</v>
      </c>
    </row>
    <row r="577">
      <c r="A577" s="4" t="s">
        <v>1730</v>
      </c>
      <c r="B577" s="4" t="s">
        <v>1731</v>
      </c>
      <c r="C577" s="5" t="s">
        <v>1732</v>
      </c>
    </row>
    <row r="578">
      <c r="A578" s="4" t="s">
        <v>1733</v>
      </c>
      <c r="B578" s="4" t="s">
        <v>1734</v>
      </c>
      <c r="C578" s="5" t="s">
        <v>1735</v>
      </c>
    </row>
    <row r="579">
      <c r="A579" s="4" t="s">
        <v>1736</v>
      </c>
      <c r="B579" s="4" t="s">
        <v>1737</v>
      </c>
      <c r="C579" s="5" t="s">
        <v>1738</v>
      </c>
    </row>
    <row r="580">
      <c r="A580" s="4" t="s">
        <v>1739</v>
      </c>
      <c r="B580" s="4" t="s">
        <v>1740</v>
      </c>
      <c r="C580" s="5" t="s">
        <v>1741</v>
      </c>
    </row>
    <row r="581">
      <c r="A581" s="4" t="s">
        <v>1742</v>
      </c>
      <c r="B581" s="4" t="s">
        <v>1743</v>
      </c>
      <c r="C581" s="5" t="s">
        <v>1744</v>
      </c>
    </row>
    <row r="582">
      <c r="A582" s="4" t="s">
        <v>1745</v>
      </c>
      <c r="B582" s="4" t="s">
        <v>1746</v>
      </c>
      <c r="C582" s="5" t="s">
        <v>1747</v>
      </c>
    </row>
    <row r="583">
      <c r="A583" s="4" t="s">
        <v>1748</v>
      </c>
      <c r="B583" s="4" t="s">
        <v>1749</v>
      </c>
      <c r="C583" s="5" t="s">
        <v>1750</v>
      </c>
    </row>
    <row r="584">
      <c r="A584" s="4" t="s">
        <v>1751</v>
      </c>
      <c r="B584" s="4" t="s">
        <v>1752</v>
      </c>
      <c r="C584" s="5" t="s">
        <v>1753</v>
      </c>
    </row>
    <row r="585">
      <c r="A585" s="4" t="s">
        <v>1754</v>
      </c>
      <c r="B585" s="4" t="s">
        <v>1755</v>
      </c>
      <c r="C585" s="5" t="s">
        <v>1756</v>
      </c>
    </row>
    <row r="586">
      <c r="A586" s="4" t="s">
        <v>1757</v>
      </c>
      <c r="B586" s="4" t="s">
        <v>1758</v>
      </c>
      <c r="C586" s="5" t="s">
        <v>1759</v>
      </c>
    </row>
    <row r="587">
      <c r="A587" s="4" t="s">
        <v>1760</v>
      </c>
      <c r="B587" s="4" t="s">
        <v>1761</v>
      </c>
      <c r="C587" s="5" t="s">
        <v>1762</v>
      </c>
    </row>
    <row r="588">
      <c r="A588" s="4" t="s">
        <v>1763</v>
      </c>
      <c r="B588" s="4" t="s">
        <v>1764</v>
      </c>
      <c r="C588" s="5" t="s">
        <v>1765</v>
      </c>
    </row>
    <row r="589">
      <c r="A589" s="4" t="s">
        <v>1766</v>
      </c>
      <c r="B589" s="4" t="s">
        <v>1767</v>
      </c>
      <c r="C589" s="5" t="s">
        <v>1768</v>
      </c>
    </row>
    <row r="590">
      <c r="A590" s="4" t="s">
        <v>1769</v>
      </c>
      <c r="B590" s="4" t="s">
        <v>1770</v>
      </c>
      <c r="C590" s="5" t="s">
        <v>1771</v>
      </c>
    </row>
    <row r="591">
      <c r="A591" s="4" t="s">
        <v>1772</v>
      </c>
      <c r="B591" s="4" t="s">
        <v>1773</v>
      </c>
      <c r="C591" s="5" t="s">
        <v>1774</v>
      </c>
    </row>
    <row r="592">
      <c r="A592" s="4" t="s">
        <v>1775</v>
      </c>
      <c r="B592" s="4" t="s">
        <v>1776</v>
      </c>
      <c r="C592" s="5" t="s">
        <v>1777</v>
      </c>
    </row>
    <row r="593">
      <c r="A593" s="4" t="s">
        <v>1778</v>
      </c>
      <c r="B593" s="4" t="s">
        <v>1779</v>
      </c>
      <c r="C593" s="5" t="s">
        <v>1780</v>
      </c>
    </row>
    <row r="594">
      <c r="A594" s="4" t="s">
        <v>1781</v>
      </c>
      <c r="B594" s="4" t="s">
        <v>1782</v>
      </c>
      <c r="C594" s="5" t="s">
        <v>1783</v>
      </c>
    </row>
    <row r="595">
      <c r="A595" s="4" t="s">
        <v>1784</v>
      </c>
      <c r="B595" s="4" t="s">
        <v>1785</v>
      </c>
      <c r="C595" s="5" t="s">
        <v>1786</v>
      </c>
    </row>
    <row r="596">
      <c r="A596" s="4" t="s">
        <v>1787</v>
      </c>
      <c r="B596" s="4" t="s">
        <v>1788</v>
      </c>
      <c r="C596" s="5" t="s">
        <v>1789</v>
      </c>
    </row>
    <row r="597">
      <c r="A597" s="4" t="s">
        <v>1790</v>
      </c>
      <c r="B597" s="4" t="s">
        <v>1791</v>
      </c>
      <c r="C597" s="5" t="s">
        <v>1792</v>
      </c>
    </row>
    <row r="598">
      <c r="A598" s="4" t="s">
        <v>1793</v>
      </c>
      <c r="B598" s="4" t="s">
        <v>1794</v>
      </c>
      <c r="C598" s="5" t="s">
        <v>1795</v>
      </c>
    </row>
    <row r="599">
      <c r="A599" s="4" t="s">
        <v>1796</v>
      </c>
      <c r="B599" s="4" t="s">
        <v>1797</v>
      </c>
      <c r="C599" s="5" t="s">
        <v>1798</v>
      </c>
    </row>
    <row r="600">
      <c r="A600" s="4" t="s">
        <v>1799</v>
      </c>
      <c r="B600" s="4" t="s">
        <v>1800</v>
      </c>
      <c r="C600" s="5" t="s">
        <v>1801</v>
      </c>
    </row>
    <row r="601">
      <c r="A601" s="4" t="s">
        <v>1802</v>
      </c>
      <c r="B601" s="4" t="s">
        <v>1803</v>
      </c>
      <c r="C601" s="5" t="s">
        <v>1804</v>
      </c>
    </row>
    <row r="602">
      <c r="A602" s="4" t="s">
        <v>1805</v>
      </c>
      <c r="B602" s="4" t="s">
        <v>1806</v>
      </c>
      <c r="C602" s="5" t="s">
        <v>1807</v>
      </c>
    </row>
    <row r="603">
      <c r="A603" s="4" t="s">
        <v>1808</v>
      </c>
      <c r="B603" s="4" t="s">
        <v>1809</v>
      </c>
      <c r="C603" s="5" t="s">
        <v>1810</v>
      </c>
    </row>
    <row r="604">
      <c r="A604" s="4" t="s">
        <v>1811</v>
      </c>
      <c r="B604" s="4" t="s">
        <v>1812</v>
      </c>
      <c r="C604" s="5" t="s">
        <v>1813</v>
      </c>
    </row>
    <row r="605">
      <c r="A605" s="4" t="s">
        <v>1814</v>
      </c>
      <c r="B605" s="4" t="s">
        <v>1815</v>
      </c>
      <c r="C605" s="5" t="s">
        <v>1816</v>
      </c>
    </row>
    <row r="606">
      <c r="A606" s="4" t="s">
        <v>1817</v>
      </c>
      <c r="B606" s="4" t="s">
        <v>1818</v>
      </c>
      <c r="C606" s="5" t="s">
        <v>1819</v>
      </c>
    </row>
    <row r="607">
      <c r="A607" s="4" t="s">
        <v>1820</v>
      </c>
      <c r="B607" s="4" t="s">
        <v>1821</v>
      </c>
      <c r="C607" s="5" t="s">
        <v>1822</v>
      </c>
    </row>
    <row r="608">
      <c r="A608" s="4" t="s">
        <v>1823</v>
      </c>
      <c r="B608" s="4" t="s">
        <v>1824</v>
      </c>
      <c r="C608" s="5" t="s">
        <v>1825</v>
      </c>
    </row>
    <row r="609">
      <c r="A609" s="4" t="s">
        <v>1826</v>
      </c>
      <c r="B609" s="4" t="s">
        <v>1827</v>
      </c>
      <c r="C609" s="5" t="s">
        <v>1828</v>
      </c>
    </row>
    <row r="610">
      <c r="A610" s="4" t="s">
        <v>1829</v>
      </c>
      <c r="B610" s="4" t="s">
        <v>1830</v>
      </c>
      <c r="C610" s="5" t="s">
        <v>1831</v>
      </c>
    </row>
    <row r="611">
      <c r="A611" s="4" t="s">
        <v>1832</v>
      </c>
      <c r="B611" s="4" t="s">
        <v>1833</v>
      </c>
      <c r="C611" s="5" t="s">
        <v>1834</v>
      </c>
    </row>
    <row r="612">
      <c r="A612" s="4" t="s">
        <v>1835</v>
      </c>
      <c r="B612" s="4" t="s">
        <v>1836</v>
      </c>
      <c r="C612" s="5" t="s">
        <v>1837</v>
      </c>
    </row>
    <row r="613">
      <c r="A613" s="4" t="s">
        <v>1838</v>
      </c>
      <c r="B613" s="4" t="s">
        <v>1839</v>
      </c>
      <c r="C613" s="5" t="s">
        <v>1840</v>
      </c>
    </row>
    <row r="614">
      <c r="A614" s="4" t="s">
        <v>1841</v>
      </c>
      <c r="B614" s="4" t="s">
        <v>1842</v>
      </c>
      <c r="C614" s="5" t="s">
        <v>1843</v>
      </c>
    </row>
    <row r="615">
      <c r="A615" s="4" t="s">
        <v>1844</v>
      </c>
      <c r="B615" s="4" t="s">
        <v>1845</v>
      </c>
      <c r="C615" s="5" t="s">
        <v>1846</v>
      </c>
    </row>
    <row r="616">
      <c r="A616" s="4" t="s">
        <v>1847</v>
      </c>
      <c r="B616" s="4" t="s">
        <v>1848</v>
      </c>
      <c r="C616" s="5" t="s">
        <v>1849</v>
      </c>
    </row>
    <row r="617">
      <c r="A617" s="4" t="s">
        <v>1850</v>
      </c>
      <c r="B617" s="4" t="s">
        <v>1851</v>
      </c>
      <c r="C617" s="5" t="s">
        <v>1852</v>
      </c>
    </row>
    <row r="618">
      <c r="A618" s="4" t="s">
        <v>1853</v>
      </c>
      <c r="B618" s="4" t="s">
        <v>1854</v>
      </c>
      <c r="C618" s="5" t="s">
        <v>1855</v>
      </c>
    </row>
    <row r="619">
      <c r="A619" s="4" t="s">
        <v>1856</v>
      </c>
      <c r="B619" s="4" t="s">
        <v>1857</v>
      </c>
      <c r="C619" s="5" t="s">
        <v>1858</v>
      </c>
    </row>
    <row r="620">
      <c r="A620" s="4" t="s">
        <v>1859</v>
      </c>
      <c r="B620" s="4" t="s">
        <v>1860</v>
      </c>
      <c r="C620" s="5" t="s">
        <v>1861</v>
      </c>
    </row>
    <row r="621">
      <c r="A621" s="4" t="s">
        <v>1862</v>
      </c>
      <c r="B621" s="4" t="s">
        <v>1863</v>
      </c>
      <c r="C621" s="5" t="s">
        <v>1864</v>
      </c>
    </row>
    <row r="622">
      <c r="A622" s="4" t="s">
        <v>1865</v>
      </c>
      <c r="B622" s="4" t="s">
        <v>1866</v>
      </c>
      <c r="C622" s="5" t="s">
        <v>1867</v>
      </c>
    </row>
    <row r="623">
      <c r="A623" s="4" t="s">
        <v>1868</v>
      </c>
      <c r="B623" s="4" t="s">
        <v>1869</v>
      </c>
      <c r="C623" s="5" t="s">
        <v>1870</v>
      </c>
    </row>
    <row r="624">
      <c r="A624" s="4" t="s">
        <v>1871</v>
      </c>
      <c r="B624" s="4" t="s">
        <v>1872</v>
      </c>
      <c r="C624" s="5" t="s">
        <v>1873</v>
      </c>
    </row>
    <row r="625">
      <c r="A625" s="4" t="s">
        <v>1874</v>
      </c>
      <c r="B625" s="4" t="s">
        <v>1875</v>
      </c>
      <c r="C625" s="5" t="s">
        <v>1876</v>
      </c>
    </row>
    <row r="626">
      <c r="A626" s="4" t="s">
        <v>1877</v>
      </c>
      <c r="B626" s="4" t="s">
        <v>1878</v>
      </c>
      <c r="C626" s="5" t="s">
        <v>1879</v>
      </c>
    </row>
    <row r="627">
      <c r="A627" s="4" t="s">
        <v>1880</v>
      </c>
      <c r="B627" s="4" t="s">
        <v>1881</v>
      </c>
      <c r="C627" s="5" t="s">
        <v>1882</v>
      </c>
    </row>
    <row r="628">
      <c r="A628" s="4" t="s">
        <v>1883</v>
      </c>
      <c r="B628" s="4" t="s">
        <v>1884</v>
      </c>
      <c r="C628" s="5" t="s">
        <v>1885</v>
      </c>
    </row>
    <row r="629">
      <c r="A629" s="4" t="s">
        <v>1886</v>
      </c>
      <c r="B629" s="4" t="s">
        <v>1887</v>
      </c>
      <c r="C629" s="5" t="s">
        <v>1888</v>
      </c>
    </row>
    <row r="630">
      <c r="A630" s="4" t="s">
        <v>1889</v>
      </c>
      <c r="B630" s="4" t="s">
        <v>1890</v>
      </c>
      <c r="C630" s="5" t="s">
        <v>1891</v>
      </c>
    </row>
    <row r="631">
      <c r="A631" s="4" t="s">
        <v>1892</v>
      </c>
      <c r="B631" s="4" t="s">
        <v>1893</v>
      </c>
      <c r="C631" s="5" t="s">
        <v>1894</v>
      </c>
    </row>
    <row r="632">
      <c r="A632" s="4" t="s">
        <v>1895</v>
      </c>
      <c r="B632" s="4" t="s">
        <v>1896</v>
      </c>
      <c r="C632" s="5" t="s">
        <v>1897</v>
      </c>
    </row>
    <row r="633">
      <c r="A633" s="4" t="s">
        <v>1898</v>
      </c>
      <c r="B633" s="4" t="s">
        <v>1899</v>
      </c>
      <c r="C633" s="5" t="s">
        <v>1900</v>
      </c>
    </row>
    <row r="634">
      <c r="A634" s="4" t="s">
        <v>1901</v>
      </c>
      <c r="B634" s="4" t="s">
        <v>1902</v>
      </c>
      <c r="C634" s="5" t="s">
        <v>1903</v>
      </c>
    </row>
    <row r="635">
      <c r="A635" s="4" t="s">
        <v>1904</v>
      </c>
      <c r="B635" s="4" t="s">
        <v>1905</v>
      </c>
      <c r="C635" s="5" t="s">
        <v>1906</v>
      </c>
    </row>
    <row r="636">
      <c r="A636" s="4" t="s">
        <v>1907</v>
      </c>
      <c r="B636" s="4" t="s">
        <v>1908</v>
      </c>
      <c r="C636" s="5" t="s">
        <v>1909</v>
      </c>
    </row>
    <row r="637">
      <c r="A637" s="4" t="s">
        <v>1910</v>
      </c>
      <c r="B637" s="4" t="s">
        <v>1911</v>
      </c>
      <c r="C637" s="5" t="s">
        <v>1912</v>
      </c>
    </row>
    <row r="638">
      <c r="A638" s="4" t="s">
        <v>1913</v>
      </c>
      <c r="B638" s="4" t="s">
        <v>1914</v>
      </c>
      <c r="C638" s="5" t="s">
        <v>1915</v>
      </c>
    </row>
    <row r="639">
      <c r="A639" s="4" t="s">
        <v>1916</v>
      </c>
      <c r="B639" s="4" t="s">
        <v>1917</v>
      </c>
      <c r="C639" s="5" t="s">
        <v>1918</v>
      </c>
    </row>
    <row r="640">
      <c r="A640" s="4" t="s">
        <v>1919</v>
      </c>
      <c r="B640" s="4" t="s">
        <v>1920</v>
      </c>
      <c r="C640" s="5" t="s">
        <v>1921</v>
      </c>
    </row>
    <row r="641">
      <c r="A641" s="4" t="s">
        <v>1922</v>
      </c>
      <c r="B641" s="4" t="s">
        <v>1923</v>
      </c>
      <c r="C641" s="5" t="s">
        <v>1924</v>
      </c>
    </row>
    <row r="642">
      <c r="A642" s="4" t="s">
        <v>1925</v>
      </c>
      <c r="B642" s="4" t="s">
        <v>1926</v>
      </c>
      <c r="C642" s="5" t="s">
        <v>1927</v>
      </c>
    </row>
    <row r="643">
      <c r="A643" s="4" t="s">
        <v>1928</v>
      </c>
      <c r="B643" s="4" t="s">
        <v>1929</v>
      </c>
      <c r="C643" s="5" t="s">
        <v>1930</v>
      </c>
    </row>
    <row r="644">
      <c r="A644" s="4" t="s">
        <v>1931</v>
      </c>
      <c r="B644" s="4" t="s">
        <v>1932</v>
      </c>
      <c r="C644" s="5" t="s">
        <v>1933</v>
      </c>
    </row>
    <row r="645">
      <c r="A645" s="4" t="s">
        <v>1934</v>
      </c>
      <c r="B645" s="4" t="s">
        <v>1935</v>
      </c>
      <c r="C645" s="5" t="s">
        <v>1936</v>
      </c>
    </row>
    <row r="646">
      <c r="A646" s="4" t="s">
        <v>1937</v>
      </c>
      <c r="B646" s="4" t="s">
        <v>1938</v>
      </c>
      <c r="C646" s="5" t="s">
        <v>1939</v>
      </c>
    </row>
    <row r="647">
      <c r="A647" s="4" t="s">
        <v>1940</v>
      </c>
      <c r="B647" s="4" t="s">
        <v>1941</v>
      </c>
      <c r="C647" s="5" t="s">
        <v>1942</v>
      </c>
    </row>
    <row r="648">
      <c r="A648" s="4" t="s">
        <v>1943</v>
      </c>
      <c r="B648" s="4" t="s">
        <v>1944</v>
      </c>
      <c r="C648" s="5" t="s">
        <v>1945</v>
      </c>
    </row>
    <row r="649">
      <c r="A649" s="4" t="s">
        <v>1946</v>
      </c>
      <c r="B649" s="4" t="s">
        <v>1947</v>
      </c>
      <c r="C649" s="5" t="s">
        <v>1948</v>
      </c>
    </row>
    <row r="650">
      <c r="A650" s="4" t="s">
        <v>1949</v>
      </c>
      <c r="B650" s="4" t="s">
        <v>1950</v>
      </c>
      <c r="C650" s="5" t="s">
        <v>1951</v>
      </c>
    </row>
    <row r="651">
      <c r="A651" s="4" t="s">
        <v>1952</v>
      </c>
      <c r="B651" s="4" t="s">
        <v>1953</v>
      </c>
      <c r="C651" s="5" t="s">
        <v>1954</v>
      </c>
    </row>
    <row r="652">
      <c r="A652" s="4" t="s">
        <v>1955</v>
      </c>
      <c r="B652" s="4" t="s">
        <v>1956</v>
      </c>
      <c r="C652" s="5" t="s">
        <v>1957</v>
      </c>
    </row>
    <row r="653">
      <c r="A653" s="4" t="s">
        <v>1958</v>
      </c>
      <c r="B653" s="4" t="s">
        <v>1959</v>
      </c>
      <c r="C653" s="5" t="s">
        <v>1960</v>
      </c>
    </row>
    <row r="654">
      <c r="A654" s="4" t="s">
        <v>1961</v>
      </c>
      <c r="B654" s="4" t="s">
        <v>1962</v>
      </c>
      <c r="C654" s="5" t="s">
        <v>1963</v>
      </c>
    </row>
    <row r="655">
      <c r="A655" s="4" t="s">
        <v>1964</v>
      </c>
      <c r="B655" s="4" t="s">
        <v>1965</v>
      </c>
      <c r="C655" s="5" t="s">
        <v>1966</v>
      </c>
    </row>
    <row r="656">
      <c r="A656" s="4" t="s">
        <v>1967</v>
      </c>
      <c r="B656" s="4" t="s">
        <v>1968</v>
      </c>
      <c r="C656" s="5" t="s">
        <v>1969</v>
      </c>
    </row>
    <row r="657">
      <c r="A657" s="4" t="s">
        <v>1970</v>
      </c>
      <c r="B657" s="4" t="s">
        <v>1971</v>
      </c>
      <c r="C657" s="5" t="s">
        <v>1972</v>
      </c>
    </row>
    <row r="658">
      <c r="A658" s="4" t="s">
        <v>1973</v>
      </c>
      <c r="B658" s="4" t="s">
        <v>1974</v>
      </c>
      <c r="C658" s="5" t="s">
        <v>1975</v>
      </c>
    </row>
    <row r="659">
      <c r="A659" s="4" t="s">
        <v>1976</v>
      </c>
      <c r="B659" s="4" t="s">
        <v>1977</v>
      </c>
      <c r="C659" s="5" t="s">
        <v>1978</v>
      </c>
    </row>
    <row r="660">
      <c r="A660" s="4" t="s">
        <v>1979</v>
      </c>
      <c r="B660" s="4" t="s">
        <v>1980</v>
      </c>
      <c r="C660" s="5" t="s">
        <v>1981</v>
      </c>
    </row>
    <row r="661">
      <c r="A661" s="4" t="s">
        <v>1982</v>
      </c>
      <c r="B661" s="4" t="s">
        <v>1983</v>
      </c>
      <c r="C661" s="5" t="s">
        <v>1984</v>
      </c>
    </row>
    <row r="662">
      <c r="A662" s="4" t="s">
        <v>1985</v>
      </c>
      <c r="B662" s="4" t="s">
        <v>1986</v>
      </c>
      <c r="C662" s="5" t="s">
        <v>1987</v>
      </c>
    </row>
    <row r="663">
      <c r="A663" s="4" t="s">
        <v>1988</v>
      </c>
      <c r="B663" s="4" t="s">
        <v>1989</v>
      </c>
      <c r="C663" s="5" t="s">
        <v>1990</v>
      </c>
    </row>
    <row r="664">
      <c r="A664" s="4" t="s">
        <v>1991</v>
      </c>
      <c r="B664" s="4" t="s">
        <v>1992</v>
      </c>
      <c r="C664" s="5" t="s">
        <v>1993</v>
      </c>
    </row>
    <row r="665">
      <c r="A665" s="4" t="s">
        <v>1994</v>
      </c>
      <c r="B665" s="4" t="s">
        <v>1995</v>
      </c>
      <c r="C665" s="5" t="s">
        <v>1996</v>
      </c>
    </row>
    <row r="666">
      <c r="A666" s="4" t="s">
        <v>1997</v>
      </c>
      <c r="B666" s="4" t="s">
        <v>1998</v>
      </c>
      <c r="C666" s="5" t="s">
        <v>1999</v>
      </c>
    </row>
    <row r="667">
      <c r="A667" s="4" t="s">
        <v>2000</v>
      </c>
      <c r="B667" s="4" t="s">
        <v>2001</v>
      </c>
      <c r="C667" s="5" t="s">
        <v>2002</v>
      </c>
    </row>
    <row r="668">
      <c r="A668" s="4" t="s">
        <v>2003</v>
      </c>
      <c r="B668" s="4" t="s">
        <v>2004</v>
      </c>
      <c r="C668" s="5" t="s">
        <v>2005</v>
      </c>
    </row>
    <row r="669">
      <c r="A669" s="4" t="s">
        <v>2006</v>
      </c>
      <c r="B669" s="4" t="s">
        <v>2007</v>
      </c>
      <c r="C669" s="5" t="s">
        <v>2008</v>
      </c>
    </row>
    <row r="670">
      <c r="A670" s="4" t="s">
        <v>2009</v>
      </c>
      <c r="B670" s="4" t="s">
        <v>2010</v>
      </c>
      <c r="C670" s="5" t="s">
        <v>2011</v>
      </c>
    </row>
    <row r="671">
      <c r="A671" s="4" t="s">
        <v>2012</v>
      </c>
      <c r="B671" s="4" t="s">
        <v>2013</v>
      </c>
      <c r="C671" s="5" t="s">
        <v>2014</v>
      </c>
    </row>
    <row r="672">
      <c r="A672" s="4" t="s">
        <v>2015</v>
      </c>
      <c r="B672" s="4" t="s">
        <v>2016</v>
      </c>
      <c r="C672" s="5" t="s">
        <v>2017</v>
      </c>
    </row>
    <row r="673">
      <c r="A673" s="4" t="s">
        <v>2018</v>
      </c>
      <c r="B673" s="4" t="s">
        <v>2019</v>
      </c>
      <c r="C673" s="5" t="s">
        <v>2020</v>
      </c>
    </row>
    <row r="674">
      <c r="A674" s="4" t="s">
        <v>2021</v>
      </c>
      <c r="B674" s="4" t="s">
        <v>2022</v>
      </c>
      <c r="C674" s="5" t="s">
        <v>2023</v>
      </c>
    </row>
    <row r="675">
      <c r="A675" s="4" t="s">
        <v>2024</v>
      </c>
      <c r="B675" s="4" t="s">
        <v>2025</v>
      </c>
      <c r="C675" s="5" t="s">
        <v>2026</v>
      </c>
    </row>
    <row r="676">
      <c r="A676" s="4" t="s">
        <v>2027</v>
      </c>
      <c r="B676" s="4" t="s">
        <v>2028</v>
      </c>
      <c r="C676" s="5" t="s">
        <v>2029</v>
      </c>
    </row>
    <row r="677">
      <c r="A677" s="4" t="s">
        <v>2030</v>
      </c>
      <c r="B677" s="4" t="s">
        <v>2031</v>
      </c>
      <c r="C677" s="5" t="s">
        <v>2032</v>
      </c>
    </row>
    <row r="678">
      <c r="A678" s="4" t="s">
        <v>2033</v>
      </c>
      <c r="B678" s="4" t="s">
        <v>2034</v>
      </c>
      <c r="C678" s="5" t="s">
        <v>2035</v>
      </c>
    </row>
    <row r="679">
      <c r="A679" s="4" t="s">
        <v>2036</v>
      </c>
      <c r="B679" s="4" t="s">
        <v>2037</v>
      </c>
      <c r="C679" s="5" t="s">
        <v>2038</v>
      </c>
    </row>
    <row r="680">
      <c r="A680" s="4" t="s">
        <v>2039</v>
      </c>
      <c r="B680" s="4" t="s">
        <v>2040</v>
      </c>
      <c r="C680" s="5" t="s">
        <v>2041</v>
      </c>
    </row>
    <row r="681">
      <c r="A681" s="4" t="s">
        <v>2042</v>
      </c>
      <c r="B681" s="4" t="s">
        <v>2043</v>
      </c>
      <c r="C681" s="5" t="s">
        <v>2044</v>
      </c>
    </row>
    <row r="682">
      <c r="A682" s="4" t="s">
        <v>2045</v>
      </c>
      <c r="B682" s="4" t="s">
        <v>2046</v>
      </c>
      <c r="C682" s="5" t="s">
        <v>2047</v>
      </c>
    </row>
    <row r="683">
      <c r="A683" s="4" t="s">
        <v>2048</v>
      </c>
      <c r="B683" s="4" t="s">
        <v>2049</v>
      </c>
      <c r="C683" s="5" t="s">
        <v>2050</v>
      </c>
    </row>
    <row r="684">
      <c r="A684" s="4" t="s">
        <v>2051</v>
      </c>
      <c r="B684" s="4" t="s">
        <v>2052</v>
      </c>
      <c r="C684" s="5" t="s">
        <v>2053</v>
      </c>
    </row>
    <row r="685">
      <c r="A685" s="4" t="s">
        <v>2054</v>
      </c>
      <c r="B685" s="4" t="s">
        <v>2055</v>
      </c>
      <c r="C685" s="5" t="s">
        <v>2056</v>
      </c>
    </row>
    <row r="686">
      <c r="A686" s="4" t="s">
        <v>2057</v>
      </c>
      <c r="B686" s="4" t="s">
        <v>2058</v>
      </c>
      <c r="C686" s="5" t="s">
        <v>2059</v>
      </c>
    </row>
    <row r="687">
      <c r="A687" s="4" t="s">
        <v>2060</v>
      </c>
      <c r="B687" s="4" t="s">
        <v>2061</v>
      </c>
      <c r="C687" s="5" t="s">
        <v>2062</v>
      </c>
    </row>
    <row r="688">
      <c r="A688" s="4" t="s">
        <v>2063</v>
      </c>
      <c r="B688" s="4" t="s">
        <v>2064</v>
      </c>
      <c r="C688" s="5" t="s">
        <v>2065</v>
      </c>
    </row>
    <row r="689">
      <c r="A689" s="4" t="s">
        <v>2066</v>
      </c>
      <c r="B689" s="4" t="s">
        <v>2067</v>
      </c>
      <c r="C689" s="5" t="s">
        <v>2068</v>
      </c>
    </row>
    <row r="690">
      <c r="A690" s="4" t="s">
        <v>2069</v>
      </c>
      <c r="B690" s="4" t="s">
        <v>2070</v>
      </c>
      <c r="C690" s="5" t="s">
        <v>2071</v>
      </c>
    </row>
    <row r="691">
      <c r="A691" s="4" t="s">
        <v>2072</v>
      </c>
      <c r="B691" s="4" t="s">
        <v>2073</v>
      </c>
      <c r="C691" s="5" t="s">
        <v>2074</v>
      </c>
    </row>
    <row r="692">
      <c r="A692" s="4" t="s">
        <v>2075</v>
      </c>
      <c r="B692" s="4" t="s">
        <v>2076</v>
      </c>
      <c r="C692" s="5" t="s">
        <v>2077</v>
      </c>
    </row>
    <row r="693">
      <c r="A693" s="4" t="s">
        <v>2078</v>
      </c>
      <c r="B693" s="4" t="s">
        <v>2079</v>
      </c>
      <c r="C693" s="5" t="s">
        <v>2080</v>
      </c>
    </row>
    <row r="694">
      <c r="A694" s="4" t="s">
        <v>2081</v>
      </c>
      <c r="B694" s="4" t="s">
        <v>2082</v>
      </c>
      <c r="C694" s="5" t="s">
        <v>2083</v>
      </c>
    </row>
    <row r="695">
      <c r="A695" s="4" t="s">
        <v>2084</v>
      </c>
      <c r="B695" s="4" t="s">
        <v>2085</v>
      </c>
      <c r="C695" s="5" t="s">
        <v>2086</v>
      </c>
    </row>
    <row r="696">
      <c r="A696" s="4" t="s">
        <v>2087</v>
      </c>
      <c r="B696" s="4" t="s">
        <v>2088</v>
      </c>
      <c r="C696" s="5" t="s">
        <v>2089</v>
      </c>
    </row>
    <row r="697">
      <c r="A697" s="4" t="s">
        <v>2090</v>
      </c>
      <c r="B697" s="4" t="s">
        <v>2091</v>
      </c>
      <c r="C697" s="5" t="s">
        <v>2092</v>
      </c>
    </row>
    <row r="698">
      <c r="A698" s="4" t="s">
        <v>2093</v>
      </c>
      <c r="B698" s="4" t="s">
        <v>2094</v>
      </c>
      <c r="C698" s="5" t="s">
        <v>2095</v>
      </c>
    </row>
    <row r="699">
      <c r="A699" s="4" t="s">
        <v>2096</v>
      </c>
      <c r="B699" s="4" t="s">
        <v>2097</v>
      </c>
      <c r="C699" s="5" t="s">
        <v>2098</v>
      </c>
    </row>
    <row r="700">
      <c r="A700" s="4" t="s">
        <v>2099</v>
      </c>
      <c r="B700" s="4" t="s">
        <v>2100</v>
      </c>
      <c r="C700" s="5" t="s">
        <v>2101</v>
      </c>
    </row>
    <row r="701">
      <c r="A701" s="4" t="s">
        <v>2102</v>
      </c>
      <c r="B701" s="4" t="s">
        <v>2103</v>
      </c>
      <c r="C701" s="5" t="s">
        <v>2104</v>
      </c>
    </row>
    <row r="702">
      <c r="A702" s="4" t="s">
        <v>2105</v>
      </c>
      <c r="B702" s="4" t="s">
        <v>2106</v>
      </c>
      <c r="C702" s="5" t="s">
        <v>2107</v>
      </c>
    </row>
    <row r="703">
      <c r="A703" s="4" t="s">
        <v>2108</v>
      </c>
      <c r="B703" s="4" t="s">
        <v>2109</v>
      </c>
      <c r="C703" s="5" t="s">
        <v>2110</v>
      </c>
    </row>
    <row r="704">
      <c r="A704" s="4" t="s">
        <v>2111</v>
      </c>
      <c r="B704" s="4" t="s">
        <v>2112</v>
      </c>
      <c r="C704" s="5" t="s">
        <v>2113</v>
      </c>
    </row>
    <row r="705">
      <c r="A705" s="4" t="s">
        <v>2114</v>
      </c>
      <c r="B705" s="4" t="s">
        <v>2115</v>
      </c>
      <c r="C705" s="5" t="s">
        <v>2116</v>
      </c>
    </row>
    <row r="706">
      <c r="A706" s="4" t="s">
        <v>2117</v>
      </c>
      <c r="B706" s="4" t="s">
        <v>2118</v>
      </c>
      <c r="C706" s="5" t="s">
        <v>2119</v>
      </c>
    </row>
    <row r="707">
      <c r="A707" s="4" t="s">
        <v>2120</v>
      </c>
      <c r="B707" s="4" t="s">
        <v>2121</v>
      </c>
      <c r="C707" s="5" t="s">
        <v>2122</v>
      </c>
    </row>
    <row r="708">
      <c r="A708" s="4" t="s">
        <v>2123</v>
      </c>
      <c r="B708" s="4" t="s">
        <v>2124</v>
      </c>
      <c r="C708" s="5" t="s">
        <v>2125</v>
      </c>
    </row>
    <row r="709">
      <c r="A709" s="4" t="s">
        <v>2126</v>
      </c>
      <c r="B709" s="4" t="s">
        <v>2127</v>
      </c>
      <c r="C709" s="5" t="s">
        <v>2128</v>
      </c>
    </row>
    <row r="710">
      <c r="A710" s="4" t="s">
        <v>2129</v>
      </c>
      <c r="B710" s="4" t="s">
        <v>2130</v>
      </c>
      <c r="C710" s="5" t="s">
        <v>2131</v>
      </c>
    </row>
    <row r="711">
      <c r="A711" s="4" t="s">
        <v>2132</v>
      </c>
      <c r="B711" s="4" t="s">
        <v>2133</v>
      </c>
      <c r="C711" s="5" t="s">
        <v>2134</v>
      </c>
    </row>
    <row r="712">
      <c r="A712" s="4" t="s">
        <v>2135</v>
      </c>
      <c r="B712" s="4" t="s">
        <v>2136</v>
      </c>
      <c r="C712" s="5" t="s">
        <v>2137</v>
      </c>
    </row>
    <row r="713">
      <c r="A713" s="4" t="s">
        <v>2138</v>
      </c>
      <c r="B713" s="4" t="s">
        <v>2139</v>
      </c>
      <c r="C713" s="5" t="s">
        <v>2140</v>
      </c>
    </row>
    <row r="714">
      <c r="A714" s="4" t="s">
        <v>2141</v>
      </c>
      <c r="B714" s="4" t="s">
        <v>2142</v>
      </c>
      <c r="C714" s="5" t="s">
        <v>2143</v>
      </c>
    </row>
    <row r="715">
      <c r="A715" s="4" t="s">
        <v>2144</v>
      </c>
      <c r="B715" s="4" t="s">
        <v>2145</v>
      </c>
      <c r="C715" s="5" t="s">
        <v>2146</v>
      </c>
    </row>
    <row r="716">
      <c r="A716" s="4" t="s">
        <v>2147</v>
      </c>
      <c r="B716" s="4" t="s">
        <v>2148</v>
      </c>
      <c r="C716" s="5" t="s">
        <v>2149</v>
      </c>
    </row>
    <row r="717">
      <c r="A717" s="4" t="s">
        <v>2150</v>
      </c>
      <c r="B717" s="4" t="s">
        <v>2151</v>
      </c>
      <c r="C717" s="5" t="s">
        <v>2152</v>
      </c>
    </row>
    <row r="718">
      <c r="A718" s="4" t="s">
        <v>2153</v>
      </c>
      <c r="B718" s="4" t="s">
        <v>2154</v>
      </c>
      <c r="C718" s="5" t="s">
        <v>2155</v>
      </c>
    </row>
    <row r="719">
      <c r="A719" s="4" t="s">
        <v>2156</v>
      </c>
      <c r="B719" s="4" t="s">
        <v>2157</v>
      </c>
      <c r="C719" s="5" t="s">
        <v>2158</v>
      </c>
    </row>
    <row r="720">
      <c r="A720" s="4" t="s">
        <v>2159</v>
      </c>
      <c r="B720" s="4" t="s">
        <v>2160</v>
      </c>
      <c r="C720" s="5" t="s">
        <v>2161</v>
      </c>
    </row>
    <row r="721">
      <c r="A721" s="4" t="s">
        <v>2162</v>
      </c>
      <c r="B721" s="4" t="s">
        <v>2163</v>
      </c>
      <c r="C721" s="5" t="s">
        <v>2164</v>
      </c>
    </row>
    <row r="722">
      <c r="A722" s="4" t="s">
        <v>2165</v>
      </c>
      <c r="B722" s="4" t="s">
        <v>2166</v>
      </c>
      <c r="C722" s="5" t="s">
        <v>2167</v>
      </c>
    </row>
    <row r="723">
      <c r="A723" s="4" t="s">
        <v>2168</v>
      </c>
      <c r="B723" s="4" t="s">
        <v>2169</v>
      </c>
      <c r="C723" s="5" t="s">
        <v>2170</v>
      </c>
    </row>
    <row r="724">
      <c r="A724" s="4" t="s">
        <v>2171</v>
      </c>
      <c r="B724" s="4" t="s">
        <v>2172</v>
      </c>
      <c r="C724" s="5" t="s">
        <v>2173</v>
      </c>
    </row>
    <row r="725">
      <c r="A725" s="4" t="s">
        <v>2174</v>
      </c>
      <c r="B725" s="4" t="s">
        <v>2175</v>
      </c>
      <c r="C725" s="5" t="s">
        <v>2176</v>
      </c>
    </row>
    <row r="726">
      <c r="A726" s="4" t="s">
        <v>2177</v>
      </c>
      <c r="B726" s="4" t="s">
        <v>2178</v>
      </c>
      <c r="C726" s="5" t="s">
        <v>2179</v>
      </c>
    </row>
    <row r="727">
      <c r="A727" s="4" t="s">
        <v>2180</v>
      </c>
      <c r="B727" s="4" t="s">
        <v>2181</v>
      </c>
      <c r="C727" s="5" t="s">
        <v>2182</v>
      </c>
    </row>
    <row r="728">
      <c r="A728" s="4" t="s">
        <v>2183</v>
      </c>
      <c r="B728" s="4" t="s">
        <v>2184</v>
      </c>
      <c r="C728" s="5" t="s">
        <v>2185</v>
      </c>
    </row>
    <row r="729">
      <c r="A729" s="4" t="s">
        <v>2186</v>
      </c>
      <c r="B729" s="4" t="s">
        <v>2187</v>
      </c>
      <c r="C729" s="5" t="s">
        <v>2188</v>
      </c>
    </row>
    <row r="730">
      <c r="A730" s="4" t="s">
        <v>2189</v>
      </c>
      <c r="B730" s="4" t="s">
        <v>2190</v>
      </c>
      <c r="C730" s="5" t="s">
        <v>2191</v>
      </c>
    </row>
    <row r="731">
      <c r="A731" s="4" t="s">
        <v>2192</v>
      </c>
      <c r="B731" s="4" t="s">
        <v>2193</v>
      </c>
      <c r="C731" s="5" t="s">
        <v>2194</v>
      </c>
    </row>
    <row r="732">
      <c r="A732" s="4" t="s">
        <v>2195</v>
      </c>
      <c r="B732" s="4" t="s">
        <v>2196</v>
      </c>
      <c r="C732" s="5" t="s">
        <v>2197</v>
      </c>
    </row>
    <row r="733">
      <c r="A733" s="4" t="s">
        <v>2198</v>
      </c>
      <c r="B733" s="4" t="s">
        <v>2199</v>
      </c>
      <c r="C733" s="5" t="s">
        <v>2200</v>
      </c>
    </row>
    <row r="734">
      <c r="A734" s="4" t="s">
        <v>2201</v>
      </c>
      <c r="B734" s="4" t="s">
        <v>2202</v>
      </c>
      <c r="C734" s="5" t="s">
        <v>2203</v>
      </c>
    </row>
    <row r="735">
      <c r="A735" s="4" t="s">
        <v>2204</v>
      </c>
      <c r="B735" s="4" t="s">
        <v>2205</v>
      </c>
      <c r="C735" s="5" t="s">
        <v>2206</v>
      </c>
    </row>
    <row r="736">
      <c r="A736" s="4" t="s">
        <v>2207</v>
      </c>
      <c r="B736" s="4" t="s">
        <v>2208</v>
      </c>
      <c r="C736" s="5" t="s">
        <v>2209</v>
      </c>
    </row>
    <row r="737">
      <c r="A737" s="4" t="s">
        <v>2210</v>
      </c>
      <c r="B737" s="4" t="s">
        <v>2211</v>
      </c>
      <c r="C737" s="5" t="s">
        <v>2212</v>
      </c>
    </row>
    <row r="738">
      <c r="A738" s="4" t="s">
        <v>2213</v>
      </c>
      <c r="B738" s="4" t="s">
        <v>2214</v>
      </c>
      <c r="C738" s="5" t="s">
        <v>2215</v>
      </c>
    </row>
    <row r="739">
      <c r="A739" s="4" t="s">
        <v>2216</v>
      </c>
      <c r="B739" s="4" t="s">
        <v>2217</v>
      </c>
      <c r="C739" s="5" t="s">
        <v>2218</v>
      </c>
    </row>
    <row r="740">
      <c r="A740" s="4" t="s">
        <v>2219</v>
      </c>
      <c r="B740" s="4" t="s">
        <v>2220</v>
      </c>
      <c r="C740" s="5" t="s">
        <v>2221</v>
      </c>
    </row>
    <row r="741">
      <c r="A741" s="4" t="s">
        <v>2222</v>
      </c>
      <c r="B741" s="4" t="s">
        <v>2223</v>
      </c>
      <c r="C741" s="5" t="s">
        <v>2224</v>
      </c>
    </row>
    <row r="742">
      <c r="A742" s="4" t="s">
        <v>2225</v>
      </c>
      <c r="B742" s="4" t="s">
        <v>2226</v>
      </c>
      <c r="C742" s="5" t="s">
        <v>2227</v>
      </c>
    </row>
    <row r="743">
      <c r="A743" s="4" t="s">
        <v>2228</v>
      </c>
      <c r="B743" s="4" t="s">
        <v>2229</v>
      </c>
      <c r="C743" s="5" t="s">
        <v>2230</v>
      </c>
    </row>
    <row r="744">
      <c r="A744" s="4" t="s">
        <v>2231</v>
      </c>
      <c r="B744" s="4" t="s">
        <v>2232</v>
      </c>
      <c r="C744" s="5" t="s">
        <v>2233</v>
      </c>
    </row>
    <row r="745">
      <c r="A745" s="4" t="s">
        <v>2234</v>
      </c>
      <c r="B745" s="4" t="s">
        <v>2235</v>
      </c>
      <c r="C745" s="5" t="s">
        <v>2236</v>
      </c>
    </row>
    <row r="746">
      <c r="A746" s="4" t="s">
        <v>2237</v>
      </c>
      <c r="B746" s="4" t="s">
        <v>2238</v>
      </c>
      <c r="C746" s="5" t="s">
        <v>2239</v>
      </c>
    </row>
    <row r="747">
      <c r="A747" s="4" t="s">
        <v>2240</v>
      </c>
      <c r="B747" s="4" t="s">
        <v>2241</v>
      </c>
      <c r="C747" s="5" t="s">
        <v>2242</v>
      </c>
    </row>
    <row r="748">
      <c r="A748" s="4" t="s">
        <v>2243</v>
      </c>
      <c r="B748" s="4" t="s">
        <v>2244</v>
      </c>
      <c r="C748" s="5" t="s">
        <v>2245</v>
      </c>
    </row>
    <row r="749">
      <c r="A749" s="4" t="s">
        <v>2246</v>
      </c>
      <c r="B749" s="4" t="s">
        <v>2247</v>
      </c>
      <c r="C749" s="5" t="s">
        <v>2248</v>
      </c>
    </row>
    <row r="750">
      <c r="A750" s="4" t="s">
        <v>2249</v>
      </c>
      <c r="B750" s="4" t="s">
        <v>2250</v>
      </c>
      <c r="C750" s="5" t="s">
        <v>2251</v>
      </c>
    </row>
    <row r="751">
      <c r="A751" s="4" t="s">
        <v>2252</v>
      </c>
      <c r="B751" s="4" t="s">
        <v>2253</v>
      </c>
      <c r="C751" s="5" t="s">
        <v>2254</v>
      </c>
    </row>
    <row r="752">
      <c r="A752" s="4" t="s">
        <v>2255</v>
      </c>
      <c r="B752" s="4" t="s">
        <v>2256</v>
      </c>
      <c r="C752" s="5" t="s">
        <v>2257</v>
      </c>
    </row>
    <row r="753">
      <c r="A753" s="4" t="s">
        <v>2258</v>
      </c>
      <c r="B753" s="4" t="s">
        <v>2259</v>
      </c>
      <c r="C753" s="5" t="s">
        <v>2260</v>
      </c>
    </row>
    <row r="754">
      <c r="A754" s="4" t="s">
        <v>2261</v>
      </c>
      <c r="B754" s="4" t="s">
        <v>2262</v>
      </c>
      <c r="C754" s="5" t="s">
        <v>2263</v>
      </c>
    </row>
    <row r="755">
      <c r="A755" s="4" t="s">
        <v>2264</v>
      </c>
      <c r="B755" s="4" t="s">
        <v>2265</v>
      </c>
      <c r="C755" s="5" t="s">
        <v>2266</v>
      </c>
    </row>
    <row r="756">
      <c r="A756" s="4" t="s">
        <v>2267</v>
      </c>
      <c r="B756" s="4" t="s">
        <v>2268</v>
      </c>
      <c r="C756" s="5" t="s">
        <v>2269</v>
      </c>
    </row>
    <row r="757">
      <c r="A757" s="4" t="s">
        <v>2270</v>
      </c>
      <c r="B757" s="4" t="s">
        <v>2271</v>
      </c>
      <c r="C757" s="5" t="s">
        <v>2272</v>
      </c>
    </row>
    <row r="758">
      <c r="A758" s="4" t="s">
        <v>2273</v>
      </c>
      <c r="B758" s="4" t="s">
        <v>2274</v>
      </c>
      <c r="C758" s="5" t="s">
        <v>2275</v>
      </c>
    </row>
    <row r="759">
      <c r="A759" s="4" t="s">
        <v>2276</v>
      </c>
      <c r="B759" s="4" t="s">
        <v>2277</v>
      </c>
      <c r="C759" s="5" t="s">
        <v>2278</v>
      </c>
    </row>
    <row r="760">
      <c r="A760" s="4" t="s">
        <v>2279</v>
      </c>
      <c r="B760" s="4" t="s">
        <v>2280</v>
      </c>
      <c r="C760" s="5" t="s">
        <v>2281</v>
      </c>
    </row>
    <row r="761">
      <c r="A761" s="4" t="s">
        <v>2282</v>
      </c>
      <c r="B761" s="4" t="s">
        <v>2283</v>
      </c>
      <c r="C761" s="5" t="s">
        <v>2284</v>
      </c>
    </row>
    <row r="762">
      <c r="A762" s="4" t="s">
        <v>2285</v>
      </c>
      <c r="B762" s="4" t="s">
        <v>2286</v>
      </c>
      <c r="C762" s="5" t="s">
        <v>2287</v>
      </c>
    </row>
    <row r="763">
      <c r="A763" s="4" t="s">
        <v>2288</v>
      </c>
      <c r="B763" s="4" t="s">
        <v>2289</v>
      </c>
      <c r="C763" s="5" t="s">
        <v>2290</v>
      </c>
    </row>
    <row r="764">
      <c r="A764" s="4" t="s">
        <v>2291</v>
      </c>
      <c r="B764" s="4" t="s">
        <v>2292</v>
      </c>
      <c r="C764" s="5" t="s">
        <v>2293</v>
      </c>
    </row>
    <row r="765">
      <c r="A765" s="4" t="s">
        <v>2294</v>
      </c>
      <c r="B765" s="4" t="s">
        <v>2295</v>
      </c>
      <c r="C765" s="5" t="s">
        <v>2296</v>
      </c>
    </row>
    <row r="766">
      <c r="A766" s="4" t="s">
        <v>2297</v>
      </c>
      <c r="B766" s="4" t="s">
        <v>2298</v>
      </c>
      <c r="C766" s="5" t="s">
        <v>2299</v>
      </c>
    </row>
    <row r="767">
      <c r="A767" s="4" t="s">
        <v>2300</v>
      </c>
      <c r="B767" s="4" t="s">
        <v>2301</v>
      </c>
      <c r="C767" s="5" t="s">
        <v>2302</v>
      </c>
    </row>
    <row r="768">
      <c r="A768" s="4" t="s">
        <v>2303</v>
      </c>
      <c r="B768" s="4" t="s">
        <v>2304</v>
      </c>
      <c r="C768" s="5" t="s">
        <v>2305</v>
      </c>
    </row>
    <row r="769">
      <c r="A769" s="4" t="s">
        <v>2306</v>
      </c>
      <c r="B769" s="4" t="s">
        <v>2307</v>
      </c>
      <c r="C769" s="5" t="s">
        <v>2308</v>
      </c>
    </row>
    <row r="770">
      <c r="A770" s="4" t="s">
        <v>2309</v>
      </c>
      <c r="B770" s="4" t="s">
        <v>2310</v>
      </c>
      <c r="C770" s="5" t="s">
        <v>2311</v>
      </c>
    </row>
    <row r="771">
      <c r="A771" s="4" t="s">
        <v>2312</v>
      </c>
      <c r="B771" s="4" t="s">
        <v>2313</v>
      </c>
      <c r="C771" s="5" t="s">
        <v>2314</v>
      </c>
    </row>
    <row r="772">
      <c r="A772" s="4" t="s">
        <v>2315</v>
      </c>
      <c r="B772" s="4" t="s">
        <v>2316</v>
      </c>
      <c r="C772" s="5" t="s">
        <v>2317</v>
      </c>
    </row>
    <row r="773">
      <c r="A773" s="4" t="s">
        <v>2318</v>
      </c>
      <c r="B773" s="4" t="s">
        <v>2319</v>
      </c>
      <c r="C773" s="5" t="s">
        <v>2320</v>
      </c>
    </row>
    <row r="774">
      <c r="A774" s="4" t="s">
        <v>2321</v>
      </c>
      <c r="B774" s="4" t="s">
        <v>2322</v>
      </c>
      <c r="C774" s="5" t="s">
        <v>2323</v>
      </c>
    </row>
    <row r="775">
      <c r="A775" s="4" t="s">
        <v>2324</v>
      </c>
      <c r="B775" s="4" t="s">
        <v>2325</v>
      </c>
      <c r="C775" s="5" t="s">
        <v>2326</v>
      </c>
    </row>
    <row r="776">
      <c r="A776" s="4" t="s">
        <v>2327</v>
      </c>
      <c r="B776" s="4" t="s">
        <v>2328</v>
      </c>
      <c r="C776" s="5" t="s">
        <v>2329</v>
      </c>
    </row>
    <row r="777">
      <c r="A777" s="4" t="s">
        <v>2330</v>
      </c>
      <c r="B777" s="4" t="s">
        <v>2331</v>
      </c>
      <c r="C777" s="5" t="s">
        <v>2332</v>
      </c>
    </row>
    <row r="778">
      <c r="A778" s="4" t="s">
        <v>2333</v>
      </c>
      <c r="B778" s="4" t="s">
        <v>2334</v>
      </c>
      <c r="C778" s="5" t="s">
        <v>2335</v>
      </c>
    </row>
    <row r="779">
      <c r="A779" s="4" t="s">
        <v>2336</v>
      </c>
      <c r="B779" s="4" t="s">
        <v>2337</v>
      </c>
      <c r="C779" s="5" t="s">
        <v>2338</v>
      </c>
    </row>
    <row r="780">
      <c r="A780" s="4" t="s">
        <v>2339</v>
      </c>
      <c r="B780" s="4" t="s">
        <v>2340</v>
      </c>
      <c r="C780" s="5" t="s">
        <v>2341</v>
      </c>
    </row>
    <row r="781">
      <c r="A781" s="4" t="s">
        <v>2342</v>
      </c>
      <c r="B781" s="4" t="s">
        <v>2343</v>
      </c>
      <c r="C781" s="5" t="s">
        <v>2344</v>
      </c>
    </row>
    <row r="782">
      <c r="A782" s="4" t="s">
        <v>2345</v>
      </c>
      <c r="B782" s="4" t="s">
        <v>2346</v>
      </c>
      <c r="C782" s="5" t="s">
        <v>2347</v>
      </c>
    </row>
    <row r="783">
      <c r="A783" s="4" t="s">
        <v>2348</v>
      </c>
      <c r="B783" s="4" t="s">
        <v>2349</v>
      </c>
      <c r="C783" s="5" t="s">
        <v>2350</v>
      </c>
    </row>
    <row r="784">
      <c r="A784" s="4" t="s">
        <v>2351</v>
      </c>
      <c r="B784" s="4" t="s">
        <v>2352</v>
      </c>
      <c r="C784" s="5" t="s">
        <v>2353</v>
      </c>
    </row>
    <row r="785">
      <c r="A785" s="4" t="s">
        <v>2354</v>
      </c>
      <c r="B785" s="4" t="s">
        <v>2355</v>
      </c>
      <c r="C785" s="5" t="s">
        <v>2356</v>
      </c>
    </row>
    <row r="786">
      <c r="A786" s="4" t="s">
        <v>2357</v>
      </c>
      <c r="B786" s="4" t="s">
        <v>2358</v>
      </c>
      <c r="C786" s="5" t="s">
        <v>2359</v>
      </c>
    </row>
    <row r="787">
      <c r="A787" s="4" t="s">
        <v>2360</v>
      </c>
      <c r="B787" s="4" t="s">
        <v>2361</v>
      </c>
      <c r="C787" s="5" t="s">
        <v>2362</v>
      </c>
    </row>
    <row r="788">
      <c r="A788" s="4" t="s">
        <v>2363</v>
      </c>
      <c r="B788" s="4" t="s">
        <v>2364</v>
      </c>
      <c r="C788" s="5" t="s">
        <v>2365</v>
      </c>
    </row>
    <row r="789">
      <c r="A789" s="4" t="s">
        <v>2366</v>
      </c>
      <c r="B789" s="4" t="s">
        <v>2367</v>
      </c>
      <c r="C789" s="5" t="s">
        <v>2368</v>
      </c>
    </row>
    <row r="790">
      <c r="A790" s="4" t="s">
        <v>2369</v>
      </c>
      <c r="B790" s="4" t="s">
        <v>2370</v>
      </c>
      <c r="C790" s="5" t="s">
        <v>2371</v>
      </c>
    </row>
    <row r="791">
      <c r="A791" s="4" t="s">
        <v>2372</v>
      </c>
      <c r="B791" s="4" t="s">
        <v>2373</v>
      </c>
      <c r="C791" s="5" t="s">
        <v>2374</v>
      </c>
    </row>
    <row r="792">
      <c r="A792" s="4" t="s">
        <v>2375</v>
      </c>
      <c r="B792" s="4" t="s">
        <v>2376</v>
      </c>
      <c r="C792" s="5" t="s">
        <v>2377</v>
      </c>
    </row>
    <row r="793">
      <c r="A793" s="4" t="s">
        <v>2378</v>
      </c>
      <c r="B793" s="4" t="s">
        <v>2379</v>
      </c>
      <c r="C793" s="5" t="s">
        <v>2380</v>
      </c>
    </row>
    <row r="794">
      <c r="A794" s="4" t="s">
        <v>2381</v>
      </c>
      <c r="B794" s="4" t="s">
        <v>2382</v>
      </c>
      <c r="C794" s="5" t="s">
        <v>2383</v>
      </c>
    </row>
    <row r="795">
      <c r="A795" s="4" t="s">
        <v>2384</v>
      </c>
      <c r="B795" s="4" t="s">
        <v>2385</v>
      </c>
      <c r="C795" s="5" t="s">
        <v>2386</v>
      </c>
    </row>
    <row r="796">
      <c r="A796" s="4" t="s">
        <v>2387</v>
      </c>
      <c r="B796" s="4" t="s">
        <v>2388</v>
      </c>
      <c r="C796" s="5" t="s">
        <v>2389</v>
      </c>
    </row>
    <row r="797">
      <c r="A797" s="4" t="s">
        <v>2390</v>
      </c>
      <c r="B797" s="4" t="s">
        <v>2391</v>
      </c>
      <c r="C797" s="5" t="s">
        <v>2392</v>
      </c>
    </row>
    <row r="798">
      <c r="A798" s="4" t="s">
        <v>2393</v>
      </c>
      <c r="B798" s="4" t="s">
        <v>2394</v>
      </c>
      <c r="C798" s="5" t="s">
        <v>2395</v>
      </c>
    </row>
    <row r="799">
      <c r="A799" s="4" t="s">
        <v>2396</v>
      </c>
      <c r="B799" s="4" t="s">
        <v>2397</v>
      </c>
      <c r="C799" s="5" t="s">
        <v>2398</v>
      </c>
    </row>
    <row r="800">
      <c r="A800" s="4" t="s">
        <v>2399</v>
      </c>
      <c r="B800" s="4" t="s">
        <v>2400</v>
      </c>
      <c r="C800" s="5" t="s">
        <v>2401</v>
      </c>
    </row>
    <row r="801">
      <c r="A801" s="4" t="s">
        <v>2402</v>
      </c>
      <c r="B801" s="4" t="s">
        <v>2403</v>
      </c>
      <c r="C801" s="5" t="s">
        <v>2404</v>
      </c>
    </row>
    <row r="802">
      <c r="A802" s="4" t="s">
        <v>2405</v>
      </c>
      <c r="B802" s="4" t="s">
        <v>2406</v>
      </c>
      <c r="C802" s="5" t="s">
        <v>2407</v>
      </c>
    </row>
    <row r="803">
      <c r="A803" s="4" t="s">
        <v>2408</v>
      </c>
      <c r="B803" s="4" t="s">
        <v>2409</v>
      </c>
      <c r="C803" s="5" t="s">
        <v>2410</v>
      </c>
    </row>
    <row r="804">
      <c r="A804" s="4" t="s">
        <v>2411</v>
      </c>
      <c r="B804" s="4" t="s">
        <v>2412</v>
      </c>
      <c r="C804" s="5" t="s">
        <v>2413</v>
      </c>
    </row>
    <row r="805">
      <c r="A805" s="4" t="s">
        <v>2414</v>
      </c>
      <c r="B805" s="4" t="s">
        <v>2415</v>
      </c>
      <c r="C805" s="5" t="s">
        <v>2416</v>
      </c>
    </row>
    <row r="806">
      <c r="A806" s="4" t="s">
        <v>2417</v>
      </c>
      <c r="B806" s="4" t="s">
        <v>2418</v>
      </c>
      <c r="C806" s="5" t="s">
        <v>2419</v>
      </c>
    </row>
    <row r="807">
      <c r="A807" s="4" t="s">
        <v>2420</v>
      </c>
      <c r="B807" s="4" t="s">
        <v>2421</v>
      </c>
      <c r="C807" s="5" t="s">
        <v>2422</v>
      </c>
    </row>
    <row r="808">
      <c r="A808" s="4" t="s">
        <v>2423</v>
      </c>
      <c r="B808" s="4" t="s">
        <v>2424</v>
      </c>
      <c r="C808" s="5" t="s">
        <v>2425</v>
      </c>
    </row>
    <row r="809">
      <c r="A809" s="4" t="s">
        <v>2426</v>
      </c>
      <c r="B809" s="4" t="s">
        <v>2427</v>
      </c>
      <c r="C809" s="5" t="s">
        <v>2428</v>
      </c>
    </row>
    <row r="810">
      <c r="A810" s="4" t="s">
        <v>2429</v>
      </c>
      <c r="B810" s="4" t="s">
        <v>2430</v>
      </c>
      <c r="C810" s="5" t="s">
        <v>2431</v>
      </c>
    </row>
    <row r="811">
      <c r="A811" s="4" t="s">
        <v>2432</v>
      </c>
      <c r="B811" s="4" t="s">
        <v>2433</v>
      </c>
      <c r="C811" s="5" t="s">
        <v>2434</v>
      </c>
    </row>
    <row r="812">
      <c r="A812" s="4" t="s">
        <v>2435</v>
      </c>
      <c r="B812" s="4" t="s">
        <v>2436</v>
      </c>
      <c r="C812" s="5" t="s">
        <v>2437</v>
      </c>
    </row>
    <row r="813">
      <c r="A813" s="4" t="s">
        <v>2438</v>
      </c>
      <c r="B813" s="4" t="s">
        <v>2439</v>
      </c>
      <c r="C813" s="5" t="s">
        <v>2440</v>
      </c>
    </row>
    <row r="814">
      <c r="A814" s="4" t="s">
        <v>2441</v>
      </c>
      <c r="B814" s="4" t="s">
        <v>2442</v>
      </c>
      <c r="C814" s="5" t="s">
        <v>2443</v>
      </c>
    </row>
    <row r="815">
      <c r="A815" s="4" t="s">
        <v>2444</v>
      </c>
      <c r="B815" s="4" t="s">
        <v>2445</v>
      </c>
      <c r="C815" s="5" t="s">
        <v>2446</v>
      </c>
    </row>
    <row r="816">
      <c r="A816" s="4" t="s">
        <v>2447</v>
      </c>
      <c r="B816" s="4" t="s">
        <v>2448</v>
      </c>
      <c r="C816" s="5" t="s">
        <v>2449</v>
      </c>
    </row>
    <row r="817">
      <c r="A817" s="4" t="s">
        <v>2450</v>
      </c>
      <c r="B817" s="4" t="s">
        <v>2451</v>
      </c>
      <c r="C817" s="5" t="s">
        <v>2452</v>
      </c>
    </row>
    <row r="818">
      <c r="A818" s="4" t="s">
        <v>2453</v>
      </c>
      <c r="B818" s="4" t="s">
        <v>2454</v>
      </c>
      <c r="C818" s="5" t="s">
        <v>2455</v>
      </c>
    </row>
    <row r="819">
      <c r="A819" s="4" t="s">
        <v>2456</v>
      </c>
      <c r="B819" s="4" t="s">
        <v>2457</v>
      </c>
      <c r="C819" s="5" t="s">
        <v>2458</v>
      </c>
    </row>
    <row r="820">
      <c r="A820" s="4" t="s">
        <v>2459</v>
      </c>
      <c r="B820" s="4" t="s">
        <v>2460</v>
      </c>
      <c r="C820" s="5" t="s">
        <v>2461</v>
      </c>
    </row>
    <row r="821">
      <c r="A821" s="4" t="s">
        <v>2462</v>
      </c>
      <c r="B821" s="4" t="s">
        <v>2463</v>
      </c>
      <c r="C821" s="5" t="s">
        <v>2464</v>
      </c>
    </row>
    <row r="822">
      <c r="A822" s="4" t="s">
        <v>2465</v>
      </c>
      <c r="B822" s="4" t="s">
        <v>2466</v>
      </c>
      <c r="C822" s="5" t="s">
        <v>2467</v>
      </c>
    </row>
    <row r="823">
      <c r="A823" s="4" t="s">
        <v>2468</v>
      </c>
      <c r="B823" s="4" t="s">
        <v>2469</v>
      </c>
      <c r="C823" s="5" t="s">
        <v>2470</v>
      </c>
    </row>
    <row r="824">
      <c r="A824" s="4" t="s">
        <v>2471</v>
      </c>
      <c r="B824" s="4" t="s">
        <v>2472</v>
      </c>
      <c r="C824" s="5" t="s">
        <v>2473</v>
      </c>
    </row>
    <row r="825">
      <c r="A825" s="4" t="s">
        <v>2474</v>
      </c>
      <c r="B825" s="4" t="s">
        <v>2475</v>
      </c>
      <c r="C825" s="5" t="s">
        <v>2476</v>
      </c>
    </row>
    <row r="826">
      <c r="A826" s="4" t="s">
        <v>2477</v>
      </c>
      <c r="B826" s="4" t="s">
        <v>2478</v>
      </c>
      <c r="C826" s="5" t="s">
        <v>2479</v>
      </c>
    </row>
    <row r="827">
      <c r="A827" s="4" t="s">
        <v>2480</v>
      </c>
      <c r="B827" s="4" t="s">
        <v>2481</v>
      </c>
      <c r="C827" s="5" t="s">
        <v>2482</v>
      </c>
    </row>
    <row r="828">
      <c r="A828" s="4" t="s">
        <v>2483</v>
      </c>
      <c r="B828" s="4" t="s">
        <v>2484</v>
      </c>
      <c r="C828" s="5" t="s">
        <v>2485</v>
      </c>
    </row>
    <row r="829">
      <c r="A829" s="4" t="s">
        <v>2486</v>
      </c>
      <c r="B829" s="4" t="s">
        <v>2487</v>
      </c>
      <c r="C829" s="5" t="s">
        <v>2488</v>
      </c>
    </row>
    <row r="830">
      <c r="A830" s="4" t="s">
        <v>2489</v>
      </c>
      <c r="B830" s="4" t="s">
        <v>2490</v>
      </c>
      <c r="C830" s="5" t="s">
        <v>2491</v>
      </c>
    </row>
    <row r="831">
      <c r="A831" s="4" t="s">
        <v>2492</v>
      </c>
      <c r="B831" s="4" t="s">
        <v>2493</v>
      </c>
      <c r="C831" s="5" t="s">
        <v>2494</v>
      </c>
    </row>
    <row r="832">
      <c r="A832" s="4" t="s">
        <v>2495</v>
      </c>
      <c r="B832" s="4" t="s">
        <v>2496</v>
      </c>
      <c r="C832" s="5" t="s">
        <v>2497</v>
      </c>
    </row>
    <row r="833">
      <c r="A833" s="4" t="s">
        <v>2498</v>
      </c>
      <c r="B833" s="4" t="s">
        <v>2499</v>
      </c>
      <c r="C833" s="5" t="s">
        <v>2500</v>
      </c>
    </row>
    <row r="834">
      <c r="A834" s="4" t="s">
        <v>2501</v>
      </c>
      <c r="B834" s="4" t="s">
        <v>2502</v>
      </c>
      <c r="C834" s="5" t="s">
        <v>2503</v>
      </c>
    </row>
    <row r="835">
      <c r="A835" s="4" t="s">
        <v>2504</v>
      </c>
      <c r="B835" s="4" t="s">
        <v>2505</v>
      </c>
      <c r="C835" s="5" t="s">
        <v>2506</v>
      </c>
    </row>
    <row r="836">
      <c r="A836" s="4" t="s">
        <v>2507</v>
      </c>
      <c r="B836" s="4" t="s">
        <v>2508</v>
      </c>
      <c r="C836" s="5" t="s">
        <v>2509</v>
      </c>
    </row>
    <row r="837">
      <c r="A837" s="4" t="s">
        <v>2510</v>
      </c>
      <c r="B837" s="4" t="s">
        <v>2511</v>
      </c>
      <c r="C837" s="5" t="s">
        <v>2512</v>
      </c>
    </row>
    <row r="838">
      <c r="A838" s="4" t="s">
        <v>2513</v>
      </c>
      <c r="B838" s="4" t="s">
        <v>2514</v>
      </c>
      <c r="C838" s="5" t="s">
        <v>2515</v>
      </c>
    </row>
    <row r="839">
      <c r="A839" s="4" t="s">
        <v>2516</v>
      </c>
      <c r="B839" s="4" t="s">
        <v>2517</v>
      </c>
      <c r="C839" s="5" t="s">
        <v>2518</v>
      </c>
    </row>
    <row r="840">
      <c r="A840" s="4" t="s">
        <v>2519</v>
      </c>
      <c r="B840" s="4" t="s">
        <v>2520</v>
      </c>
      <c r="C840" s="5" t="s">
        <v>2521</v>
      </c>
    </row>
    <row r="841">
      <c r="A841" s="4" t="s">
        <v>2522</v>
      </c>
      <c r="B841" s="4" t="s">
        <v>2523</v>
      </c>
      <c r="C841" s="5" t="s">
        <v>2524</v>
      </c>
    </row>
    <row r="842">
      <c r="A842" s="4" t="s">
        <v>2525</v>
      </c>
      <c r="B842" s="4" t="s">
        <v>2526</v>
      </c>
      <c r="C842" s="5" t="s">
        <v>2527</v>
      </c>
    </row>
    <row r="843">
      <c r="A843" s="4" t="s">
        <v>2528</v>
      </c>
      <c r="B843" s="4" t="s">
        <v>2529</v>
      </c>
      <c r="C843" s="5" t="s">
        <v>2530</v>
      </c>
    </row>
    <row r="844">
      <c r="A844" s="4" t="s">
        <v>2531</v>
      </c>
      <c r="B844" s="4" t="s">
        <v>2532</v>
      </c>
      <c r="C844" s="5" t="s">
        <v>2533</v>
      </c>
    </row>
    <row r="845">
      <c r="A845" s="4" t="s">
        <v>2534</v>
      </c>
      <c r="B845" s="4" t="s">
        <v>2535</v>
      </c>
      <c r="C845" s="5" t="s">
        <v>2536</v>
      </c>
    </row>
    <row r="846">
      <c r="A846" s="4" t="s">
        <v>2537</v>
      </c>
      <c r="B846" s="4" t="s">
        <v>2538</v>
      </c>
      <c r="C846" s="5" t="s">
        <v>2539</v>
      </c>
    </row>
    <row r="847">
      <c r="A847" s="4" t="s">
        <v>2540</v>
      </c>
      <c r="B847" s="4" t="s">
        <v>2541</v>
      </c>
      <c r="C847" s="5" t="s">
        <v>2542</v>
      </c>
    </row>
    <row r="848">
      <c r="A848" s="4" t="s">
        <v>2543</v>
      </c>
      <c r="B848" s="4" t="s">
        <v>2544</v>
      </c>
      <c r="C848" s="5" t="s">
        <v>2545</v>
      </c>
    </row>
    <row r="849">
      <c r="A849" s="4" t="s">
        <v>2546</v>
      </c>
      <c r="B849" s="4" t="s">
        <v>2547</v>
      </c>
      <c r="C849" s="5" t="s">
        <v>2548</v>
      </c>
    </row>
    <row r="850">
      <c r="A850" s="4" t="s">
        <v>2549</v>
      </c>
      <c r="B850" s="4" t="s">
        <v>2550</v>
      </c>
      <c r="C850" s="5" t="s">
        <v>2551</v>
      </c>
    </row>
    <row r="851">
      <c r="A851" s="4" t="s">
        <v>2552</v>
      </c>
      <c r="B851" s="4" t="s">
        <v>2553</v>
      </c>
      <c r="C851" s="5" t="s">
        <v>2554</v>
      </c>
    </row>
    <row r="852">
      <c r="A852" s="4" t="s">
        <v>2555</v>
      </c>
      <c r="B852" s="4" t="s">
        <v>2556</v>
      </c>
      <c r="C852" s="5" t="s">
        <v>2557</v>
      </c>
    </row>
    <row r="853">
      <c r="A853" s="4" t="s">
        <v>2558</v>
      </c>
      <c r="B853" s="4" t="s">
        <v>2559</v>
      </c>
      <c r="C853" s="5" t="s">
        <v>2560</v>
      </c>
    </row>
    <row r="854">
      <c r="A854" s="4" t="s">
        <v>2561</v>
      </c>
      <c r="B854" s="4" t="s">
        <v>2562</v>
      </c>
      <c r="C854" s="5" t="s">
        <v>2563</v>
      </c>
    </row>
    <row r="855">
      <c r="A855" s="4" t="s">
        <v>2564</v>
      </c>
      <c r="B855" s="4" t="s">
        <v>2565</v>
      </c>
      <c r="C855" s="5" t="s">
        <v>2566</v>
      </c>
    </row>
    <row r="856">
      <c r="A856" s="4" t="s">
        <v>2567</v>
      </c>
      <c r="B856" s="4" t="s">
        <v>2568</v>
      </c>
      <c r="C856" s="5" t="s">
        <v>2569</v>
      </c>
    </row>
    <row r="857">
      <c r="A857" s="4" t="s">
        <v>2570</v>
      </c>
      <c r="B857" s="4" t="s">
        <v>2571</v>
      </c>
      <c r="C857" s="5" t="s">
        <v>2572</v>
      </c>
    </row>
    <row r="858">
      <c r="A858" s="4" t="s">
        <v>2573</v>
      </c>
      <c r="B858" s="4" t="s">
        <v>2574</v>
      </c>
      <c r="C858" s="5" t="s">
        <v>2575</v>
      </c>
    </row>
    <row r="859">
      <c r="A859" s="4" t="s">
        <v>2576</v>
      </c>
      <c r="B859" s="4" t="s">
        <v>2577</v>
      </c>
      <c r="C859" s="5" t="s">
        <v>2578</v>
      </c>
    </row>
    <row r="860">
      <c r="A860" s="4" t="s">
        <v>2579</v>
      </c>
      <c r="B860" s="4" t="s">
        <v>2580</v>
      </c>
      <c r="C860" s="5" t="s">
        <v>2581</v>
      </c>
    </row>
    <row r="861">
      <c r="A861" s="4" t="s">
        <v>2582</v>
      </c>
      <c r="B861" s="4" t="s">
        <v>2583</v>
      </c>
      <c r="C861" s="5" t="s">
        <v>2584</v>
      </c>
    </row>
    <row r="862">
      <c r="A862" s="4" t="s">
        <v>2585</v>
      </c>
      <c r="B862" s="4" t="s">
        <v>2586</v>
      </c>
      <c r="C862" s="5" t="s">
        <v>2587</v>
      </c>
    </row>
    <row r="863">
      <c r="A863" s="4" t="s">
        <v>2588</v>
      </c>
      <c r="B863" s="4" t="s">
        <v>2589</v>
      </c>
      <c r="C863" s="5" t="s">
        <v>2590</v>
      </c>
    </row>
    <row r="864">
      <c r="A864" s="4" t="s">
        <v>2591</v>
      </c>
      <c r="B864" s="4" t="s">
        <v>2592</v>
      </c>
      <c r="C864" s="5" t="s">
        <v>2593</v>
      </c>
    </row>
    <row r="865">
      <c r="A865" s="4" t="s">
        <v>2594</v>
      </c>
      <c r="B865" s="4" t="s">
        <v>2595</v>
      </c>
      <c r="C865" s="5" t="s">
        <v>2596</v>
      </c>
    </row>
    <row r="866">
      <c r="A866" s="4" t="s">
        <v>2597</v>
      </c>
      <c r="B866" s="4" t="s">
        <v>2598</v>
      </c>
      <c r="C866" s="5" t="s">
        <v>2599</v>
      </c>
    </row>
    <row r="867">
      <c r="A867" s="4" t="s">
        <v>2600</v>
      </c>
      <c r="B867" s="4" t="s">
        <v>2601</v>
      </c>
      <c r="C867" s="5" t="s">
        <v>2602</v>
      </c>
    </row>
    <row r="868">
      <c r="A868" s="4" t="s">
        <v>2603</v>
      </c>
      <c r="B868" s="4" t="s">
        <v>2604</v>
      </c>
      <c r="C868" s="5" t="s">
        <v>2605</v>
      </c>
    </row>
    <row r="869">
      <c r="A869" s="4" t="s">
        <v>2606</v>
      </c>
      <c r="B869" s="4" t="s">
        <v>2607</v>
      </c>
      <c r="C869" s="5" t="s">
        <v>2608</v>
      </c>
    </row>
    <row r="870">
      <c r="A870" s="4" t="s">
        <v>2609</v>
      </c>
      <c r="B870" s="4" t="s">
        <v>2610</v>
      </c>
      <c r="C870" s="5" t="s">
        <v>2611</v>
      </c>
    </row>
    <row r="871">
      <c r="A871" s="4" t="s">
        <v>2612</v>
      </c>
      <c r="B871" s="4" t="s">
        <v>2613</v>
      </c>
      <c r="C871" s="5" t="s">
        <v>2614</v>
      </c>
    </row>
    <row r="872">
      <c r="A872" s="4" t="s">
        <v>2615</v>
      </c>
      <c r="B872" s="4" t="s">
        <v>2616</v>
      </c>
      <c r="C872" s="5" t="s">
        <v>2617</v>
      </c>
    </row>
    <row r="873">
      <c r="A873" s="4" t="s">
        <v>2618</v>
      </c>
      <c r="B873" s="4" t="s">
        <v>2619</v>
      </c>
      <c r="C873" s="5" t="s">
        <v>2620</v>
      </c>
    </row>
    <row r="874">
      <c r="A874" s="4" t="s">
        <v>2621</v>
      </c>
      <c r="B874" s="4" t="s">
        <v>2622</v>
      </c>
      <c r="C874" s="5" t="s">
        <v>2623</v>
      </c>
    </row>
    <row r="875">
      <c r="A875" s="4" t="s">
        <v>2624</v>
      </c>
      <c r="B875" s="4" t="s">
        <v>2625</v>
      </c>
      <c r="C875" s="5" t="s">
        <v>2626</v>
      </c>
    </row>
    <row r="876">
      <c r="A876" s="4" t="s">
        <v>2627</v>
      </c>
      <c r="B876" s="4" t="s">
        <v>2628</v>
      </c>
      <c r="C876" s="5" t="s">
        <v>2629</v>
      </c>
    </row>
    <row r="877">
      <c r="A877" s="4" t="s">
        <v>2630</v>
      </c>
      <c r="B877" s="4" t="s">
        <v>2631</v>
      </c>
      <c r="C877" s="5" t="s">
        <v>2632</v>
      </c>
    </row>
    <row r="878">
      <c r="A878" s="4" t="s">
        <v>2633</v>
      </c>
      <c r="B878" s="4" t="s">
        <v>2634</v>
      </c>
      <c r="C878" s="5" t="s">
        <v>2635</v>
      </c>
    </row>
    <row r="879">
      <c r="A879" s="4" t="s">
        <v>2636</v>
      </c>
      <c r="B879" s="4" t="s">
        <v>2637</v>
      </c>
      <c r="C879" s="5" t="s">
        <v>2638</v>
      </c>
    </row>
    <row r="880">
      <c r="A880" s="4" t="s">
        <v>2639</v>
      </c>
      <c r="B880" s="4" t="s">
        <v>2640</v>
      </c>
      <c r="C880" s="5" t="s">
        <v>2641</v>
      </c>
    </row>
    <row r="881">
      <c r="A881" s="4" t="s">
        <v>2642</v>
      </c>
      <c r="B881" s="4" t="s">
        <v>2643</v>
      </c>
      <c r="C881" s="5" t="s">
        <v>2644</v>
      </c>
    </row>
    <row r="882">
      <c r="A882" s="4" t="s">
        <v>2645</v>
      </c>
      <c r="B882" s="4" t="s">
        <v>2646</v>
      </c>
      <c r="C882" s="5" t="s">
        <v>2647</v>
      </c>
    </row>
    <row r="883">
      <c r="A883" s="4" t="s">
        <v>2648</v>
      </c>
      <c r="B883" s="4" t="s">
        <v>2649</v>
      </c>
      <c r="C883" s="5" t="s">
        <v>2650</v>
      </c>
    </row>
    <row r="884">
      <c r="A884" s="4" t="s">
        <v>2651</v>
      </c>
      <c r="B884" s="4" t="s">
        <v>2652</v>
      </c>
      <c r="C884" s="5" t="s">
        <v>2653</v>
      </c>
    </row>
    <row r="885">
      <c r="A885" s="4" t="s">
        <v>2654</v>
      </c>
      <c r="B885" s="4" t="s">
        <v>2655</v>
      </c>
      <c r="C885" s="5" t="s">
        <v>2656</v>
      </c>
    </row>
    <row r="886">
      <c r="A886" s="4" t="s">
        <v>2657</v>
      </c>
      <c r="B886" s="4" t="s">
        <v>2658</v>
      </c>
      <c r="C886" s="5" t="s">
        <v>2659</v>
      </c>
    </row>
    <row r="887">
      <c r="A887" s="4" t="s">
        <v>2660</v>
      </c>
      <c r="B887" s="4" t="s">
        <v>2661</v>
      </c>
      <c r="C887" s="5" t="s">
        <v>2662</v>
      </c>
    </row>
    <row r="888">
      <c r="A888" s="4" t="s">
        <v>2663</v>
      </c>
      <c r="B888" s="4" t="s">
        <v>2664</v>
      </c>
      <c r="C888" s="5" t="s">
        <v>2665</v>
      </c>
    </row>
    <row r="889">
      <c r="A889" s="4" t="s">
        <v>2666</v>
      </c>
      <c r="B889" s="4" t="s">
        <v>2667</v>
      </c>
      <c r="C889" s="5" t="s">
        <v>2668</v>
      </c>
    </row>
    <row r="890">
      <c r="A890" s="4" t="s">
        <v>2669</v>
      </c>
      <c r="B890" s="4" t="s">
        <v>2670</v>
      </c>
      <c r="C890" s="5" t="s">
        <v>2671</v>
      </c>
    </row>
    <row r="891">
      <c r="A891" s="4" t="s">
        <v>2672</v>
      </c>
      <c r="B891" s="4" t="s">
        <v>2673</v>
      </c>
      <c r="C891" s="5" t="s">
        <v>2674</v>
      </c>
    </row>
    <row r="892">
      <c r="A892" s="4" t="s">
        <v>2675</v>
      </c>
      <c r="B892" s="4" t="s">
        <v>2676</v>
      </c>
      <c r="C892" s="5" t="s">
        <v>2677</v>
      </c>
    </row>
    <row r="893">
      <c r="A893" s="4" t="s">
        <v>2678</v>
      </c>
      <c r="B893" s="4" t="s">
        <v>2679</v>
      </c>
      <c r="C893" s="5" t="s">
        <v>2680</v>
      </c>
    </row>
    <row r="894">
      <c r="A894" s="4" t="s">
        <v>2681</v>
      </c>
      <c r="B894" s="4" t="s">
        <v>2682</v>
      </c>
      <c r="C894" s="5" t="s">
        <v>2683</v>
      </c>
    </row>
    <row r="895">
      <c r="A895" s="4" t="s">
        <v>2684</v>
      </c>
      <c r="B895" s="4" t="s">
        <v>2685</v>
      </c>
      <c r="C895" s="5" t="s">
        <v>2686</v>
      </c>
    </row>
    <row r="896">
      <c r="A896" s="4" t="s">
        <v>2687</v>
      </c>
      <c r="B896" s="4" t="s">
        <v>2688</v>
      </c>
      <c r="C896" s="5" t="s">
        <v>2689</v>
      </c>
    </row>
    <row r="897">
      <c r="A897" s="4" t="s">
        <v>2690</v>
      </c>
      <c r="B897" s="4" t="s">
        <v>2691</v>
      </c>
      <c r="C897" s="5" t="s">
        <v>2692</v>
      </c>
    </row>
    <row r="898">
      <c r="A898" s="4" t="s">
        <v>2693</v>
      </c>
      <c r="B898" s="4" t="s">
        <v>2694</v>
      </c>
      <c r="C898" s="5" t="s">
        <v>2695</v>
      </c>
    </row>
    <row r="899">
      <c r="A899" s="4" t="s">
        <v>2696</v>
      </c>
      <c r="B899" s="4" t="s">
        <v>2697</v>
      </c>
      <c r="C899" s="5" t="s">
        <v>2698</v>
      </c>
    </row>
    <row r="900">
      <c r="A900" s="4" t="s">
        <v>2699</v>
      </c>
      <c r="B900" s="4" t="s">
        <v>2700</v>
      </c>
      <c r="C900" s="5" t="s">
        <v>2701</v>
      </c>
    </row>
    <row r="901">
      <c r="A901" s="4" t="s">
        <v>2702</v>
      </c>
      <c r="B901" s="4" t="s">
        <v>2703</v>
      </c>
      <c r="C901" s="5" t="s">
        <v>2704</v>
      </c>
    </row>
    <row r="902">
      <c r="A902" s="4" t="s">
        <v>2705</v>
      </c>
      <c r="B902" s="4" t="s">
        <v>2706</v>
      </c>
      <c r="C902" s="5" t="s">
        <v>2707</v>
      </c>
    </row>
    <row r="903">
      <c r="A903" s="4" t="s">
        <v>2708</v>
      </c>
      <c r="B903" s="4" t="s">
        <v>2709</v>
      </c>
      <c r="C903" s="5" t="s">
        <v>2710</v>
      </c>
    </row>
    <row r="904">
      <c r="A904" s="4" t="s">
        <v>2711</v>
      </c>
      <c r="B904" s="4" t="s">
        <v>2712</v>
      </c>
      <c r="C904" s="5" t="s">
        <v>2713</v>
      </c>
    </row>
    <row r="905">
      <c r="A905" s="4" t="s">
        <v>2714</v>
      </c>
      <c r="B905" s="4" t="s">
        <v>2715</v>
      </c>
      <c r="C905" s="5" t="s">
        <v>2716</v>
      </c>
    </row>
    <row r="906">
      <c r="A906" s="4" t="s">
        <v>2717</v>
      </c>
      <c r="B906" s="4" t="s">
        <v>2718</v>
      </c>
      <c r="C906" s="5" t="s">
        <v>2719</v>
      </c>
    </row>
    <row r="907">
      <c r="A907" s="4" t="s">
        <v>2720</v>
      </c>
      <c r="B907" s="4" t="s">
        <v>2721</v>
      </c>
      <c r="C907" s="5" t="s">
        <v>2722</v>
      </c>
    </row>
    <row r="908">
      <c r="A908" s="4" t="s">
        <v>2723</v>
      </c>
      <c r="B908" s="4" t="s">
        <v>2724</v>
      </c>
      <c r="C908" s="5" t="s">
        <v>2725</v>
      </c>
    </row>
    <row r="909">
      <c r="A909" s="4" t="s">
        <v>2726</v>
      </c>
      <c r="B909" s="4" t="s">
        <v>2727</v>
      </c>
      <c r="C909" s="5" t="s">
        <v>2728</v>
      </c>
    </row>
    <row r="910">
      <c r="A910" s="4" t="s">
        <v>2729</v>
      </c>
      <c r="B910" s="4" t="s">
        <v>2730</v>
      </c>
      <c r="C910" s="5" t="s">
        <v>2731</v>
      </c>
    </row>
    <row r="911">
      <c r="A911" s="4" t="s">
        <v>2732</v>
      </c>
      <c r="B911" s="4" t="s">
        <v>2733</v>
      </c>
      <c r="C911" s="5" t="s">
        <v>2734</v>
      </c>
    </row>
    <row r="912">
      <c r="A912" s="4" t="s">
        <v>2735</v>
      </c>
      <c r="B912" s="4" t="s">
        <v>2736</v>
      </c>
      <c r="C912" s="5" t="s">
        <v>2737</v>
      </c>
    </row>
    <row r="913">
      <c r="A913" s="4" t="s">
        <v>2738</v>
      </c>
      <c r="B913" s="4" t="s">
        <v>2739</v>
      </c>
      <c r="C913" s="5" t="s">
        <v>2740</v>
      </c>
    </row>
    <row r="914">
      <c r="A914" s="4" t="s">
        <v>2741</v>
      </c>
      <c r="B914" s="4" t="s">
        <v>2742</v>
      </c>
      <c r="C914" s="5" t="s">
        <v>2743</v>
      </c>
    </row>
    <row r="915">
      <c r="A915" s="4" t="s">
        <v>2744</v>
      </c>
      <c r="B915" s="4" t="s">
        <v>2745</v>
      </c>
      <c r="C915" s="5" t="s">
        <v>2746</v>
      </c>
    </row>
    <row r="916">
      <c r="A916" s="4" t="s">
        <v>2747</v>
      </c>
      <c r="B916" s="4" t="s">
        <v>2748</v>
      </c>
      <c r="C916" s="5" t="s">
        <v>2749</v>
      </c>
    </row>
    <row r="917">
      <c r="A917" s="4" t="s">
        <v>2750</v>
      </c>
      <c r="B917" s="4" t="s">
        <v>2751</v>
      </c>
      <c r="C917" s="5" t="s">
        <v>2752</v>
      </c>
    </row>
    <row r="918">
      <c r="A918" s="4" t="s">
        <v>2753</v>
      </c>
      <c r="B918" s="4" t="s">
        <v>2754</v>
      </c>
      <c r="C918" s="5" t="s">
        <v>2755</v>
      </c>
    </row>
    <row r="919">
      <c r="A919" s="4" t="s">
        <v>2756</v>
      </c>
      <c r="B919" s="4" t="s">
        <v>2757</v>
      </c>
      <c r="C919" s="5" t="s">
        <v>2758</v>
      </c>
    </row>
    <row r="920">
      <c r="A920" s="4" t="s">
        <v>2759</v>
      </c>
      <c r="B920" s="4" t="s">
        <v>2760</v>
      </c>
      <c r="C920" s="5" t="s">
        <v>2761</v>
      </c>
    </row>
    <row r="921">
      <c r="A921" s="4" t="s">
        <v>2762</v>
      </c>
      <c r="B921" s="4" t="s">
        <v>2763</v>
      </c>
      <c r="C921" s="5" t="s">
        <v>2764</v>
      </c>
    </row>
    <row r="922">
      <c r="A922" s="4" t="s">
        <v>2765</v>
      </c>
      <c r="B922" s="4" t="s">
        <v>2766</v>
      </c>
      <c r="C922" s="5" t="s">
        <v>2767</v>
      </c>
    </row>
    <row r="923">
      <c r="A923" s="4" t="s">
        <v>2768</v>
      </c>
      <c r="B923" s="4" t="s">
        <v>2769</v>
      </c>
      <c r="C923" s="5" t="s">
        <v>2770</v>
      </c>
    </row>
    <row r="924">
      <c r="A924" s="4" t="s">
        <v>2771</v>
      </c>
      <c r="B924" s="4" t="s">
        <v>2772</v>
      </c>
      <c r="C924" s="5" t="s">
        <v>2773</v>
      </c>
    </row>
    <row r="925">
      <c r="A925" s="4" t="s">
        <v>2774</v>
      </c>
      <c r="B925" s="4" t="s">
        <v>2775</v>
      </c>
      <c r="C925" s="5" t="s">
        <v>2776</v>
      </c>
    </row>
    <row r="926">
      <c r="A926" s="4" t="s">
        <v>2777</v>
      </c>
      <c r="B926" s="4" t="s">
        <v>2778</v>
      </c>
      <c r="C926" s="5" t="s">
        <v>2779</v>
      </c>
    </row>
    <row r="927">
      <c r="A927" s="4" t="s">
        <v>2780</v>
      </c>
      <c r="B927" s="4" t="s">
        <v>2781</v>
      </c>
      <c r="C927" s="5" t="s">
        <v>2782</v>
      </c>
    </row>
    <row r="928">
      <c r="A928" s="4" t="s">
        <v>2783</v>
      </c>
      <c r="B928" s="4" t="s">
        <v>2784</v>
      </c>
      <c r="C928" s="5" t="s">
        <v>2785</v>
      </c>
    </row>
    <row r="929">
      <c r="A929" s="4" t="s">
        <v>2786</v>
      </c>
      <c r="B929" s="4" t="s">
        <v>2787</v>
      </c>
      <c r="C929" s="5" t="s">
        <v>2788</v>
      </c>
    </row>
    <row r="930">
      <c r="A930" s="4" t="s">
        <v>2789</v>
      </c>
      <c r="B930" s="4" t="s">
        <v>2790</v>
      </c>
      <c r="C930" s="5" t="s">
        <v>2791</v>
      </c>
    </row>
    <row r="931">
      <c r="A931" s="4" t="s">
        <v>2792</v>
      </c>
      <c r="B931" s="4" t="s">
        <v>2793</v>
      </c>
      <c r="C931" s="5" t="s">
        <v>2794</v>
      </c>
    </row>
    <row r="932">
      <c r="A932" s="4" t="s">
        <v>2795</v>
      </c>
      <c r="B932" s="4" t="s">
        <v>2796</v>
      </c>
      <c r="C932" s="5" t="s">
        <v>2797</v>
      </c>
    </row>
    <row r="933">
      <c r="A933" s="4" t="s">
        <v>2798</v>
      </c>
      <c r="B933" s="4" t="s">
        <v>2799</v>
      </c>
      <c r="C933" s="5" t="s">
        <v>2800</v>
      </c>
    </row>
    <row r="934">
      <c r="A934" s="4" t="s">
        <v>2801</v>
      </c>
      <c r="B934" s="4" t="s">
        <v>2802</v>
      </c>
      <c r="C934" s="5" t="s">
        <v>2803</v>
      </c>
    </row>
    <row r="935">
      <c r="A935" s="4" t="s">
        <v>2804</v>
      </c>
      <c r="B935" s="4" t="s">
        <v>2805</v>
      </c>
      <c r="C935" s="5" t="s">
        <v>2806</v>
      </c>
    </row>
    <row r="936">
      <c r="A936" s="4" t="s">
        <v>2807</v>
      </c>
      <c r="B936" s="4" t="s">
        <v>2808</v>
      </c>
      <c r="C936" s="5" t="s">
        <v>2809</v>
      </c>
    </row>
    <row r="937">
      <c r="A937" s="4" t="s">
        <v>2810</v>
      </c>
      <c r="B937" s="4" t="s">
        <v>2811</v>
      </c>
      <c r="C937" s="5" t="s">
        <v>2812</v>
      </c>
    </row>
    <row r="938">
      <c r="A938" s="4" t="s">
        <v>2813</v>
      </c>
      <c r="B938" s="4" t="s">
        <v>2814</v>
      </c>
      <c r="C938" s="5" t="s">
        <v>2815</v>
      </c>
    </row>
    <row r="939">
      <c r="A939" s="4" t="s">
        <v>2816</v>
      </c>
      <c r="B939" s="4" t="s">
        <v>2817</v>
      </c>
      <c r="C939" s="5" t="s">
        <v>2818</v>
      </c>
    </row>
    <row r="940">
      <c r="A940" s="4" t="s">
        <v>2819</v>
      </c>
      <c r="B940" s="4" t="s">
        <v>2820</v>
      </c>
      <c r="C940" s="5" t="s">
        <v>2821</v>
      </c>
    </row>
    <row r="941">
      <c r="A941" s="4" t="s">
        <v>2822</v>
      </c>
      <c r="B941" s="4" t="s">
        <v>2823</v>
      </c>
      <c r="C941" s="5" t="s">
        <v>2824</v>
      </c>
    </row>
    <row r="942">
      <c r="A942" s="4" t="s">
        <v>2825</v>
      </c>
      <c r="B942" s="4" t="s">
        <v>2826</v>
      </c>
      <c r="C942" s="5" t="s">
        <v>2827</v>
      </c>
    </row>
    <row r="943">
      <c r="A943" s="4" t="s">
        <v>2828</v>
      </c>
      <c r="B943" s="4" t="s">
        <v>2829</v>
      </c>
      <c r="C943" s="5" t="s">
        <v>2830</v>
      </c>
    </row>
    <row r="944">
      <c r="A944" s="4" t="s">
        <v>2831</v>
      </c>
      <c r="B944" s="4" t="s">
        <v>2832</v>
      </c>
      <c r="C944" s="5" t="s">
        <v>2833</v>
      </c>
    </row>
    <row r="945">
      <c r="A945" s="4" t="s">
        <v>2834</v>
      </c>
      <c r="B945" s="4" t="s">
        <v>2835</v>
      </c>
      <c r="C945" s="5" t="s">
        <v>2836</v>
      </c>
    </row>
    <row r="946">
      <c r="A946" s="4" t="s">
        <v>2837</v>
      </c>
      <c r="B946" s="4" t="s">
        <v>2838</v>
      </c>
      <c r="C946" s="5" t="s">
        <v>2839</v>
      </c>
    </row>
    <row r="947">
      <c r="A947" s="4" t="s">
        <v>2840</v>
      </c>
      <c r="B947" s="4" t="s">
        <v>2841</v>
      </c>
      <c r="C947" s="5" t="s">
        <v>2842</v>
      </c>
    </row>
    <row r="948">
      <c r="A948" s="4" t="s">
        <v>2843</v>
      </c>
      <c r="B948" s="4" t="s">
        <v>2844</v>
      </c>
      <c r="C948" s="5" t="s">
        <v>2845</v>
      </c>
    </row>
    <row r="949">
      <c r="A949" s="4" t="s">
        <v>2846</v>
      </c>
      <c r="B949" s="4" t="s">
        <v>2847</v>
      </c>
      <c r="C949" s="5" t="s">
        <v>2848</v>
      </c>
    </row>
    <row r="950">
      <c r="A950" s="4" t="s">
        <v>2849</v>
      </c>
      <c r="B950" s="4" t="s">
        <v>2850</v>
      </c>
      <c r="C950" s="5" t="s">
        <v>2851</v>
      </c>
    </row>
    <row r="951">
      <c r="A951" s="4" t="s">
        <v>2852</v>
      </c>
      <c r="B951" s="4" t="s">
        <v>2853</v>
      </c>
      <c r="C951" s="5" t="s">
        <v>2854</v>
      </c>
    </row>
    <row r="952">
      <c r="A952" s="4" t="s">
        <v>2855</v>
      </c>
      <c r="B952" s="4" t="s">
        <v>2856</v>
      </c>
      <c r="C952" s="5" t="s">
        <v>2857</v>
      </c>
    </row>
    <row r="953">
      <c r="A953" s="4" t="s">
        <v>2858</v>
      </c>
      <c r="B953" s="4" t="s">
        <v>2859</v>
      </c>
      <c r="C953" s="5" t="s">
        <v>2860</v>
      </c>
    </row>
    <row r="954">
      <c r="A954" s="4" t="s">
        <v>2861</v>
      </c>
      <c r="B954" s="4" t="s">
        <v>2862</v>
      </c>
      <c r="C954" s="5" t="s">
        <v>2863</v>
      </c>
    </row>
    <row r="955">
      <c r="A955" s="4" t="s">
        <v>2864</v>
      </c>
      <c r="B955" s="4" t="s">
        <v>2865</v>
      </c>
      <c r="C955" s="5" t="s">
        <v>2866</v>
      </c>
    </row>
    <row r="956">
      <c r="A956" s="4" t="s">
        <v>2867</v>
      </c>
      <c r="B956" s="4" t="s">
        <v>2868</v>
      </c>
      <c r="C956" s="5" t="s">
        <v>2869</v>
      </c>
    </row>
    <row r="957">
      <c r="A957" s="4" t="s">
        <v>2870</v>
      </c>
      <c r="B957" s="4" t="s">
        <v>2871</v>
      </c>
      <c r="C957" s="5" t="s">
        <v>2872</v>
      </c>
    </row>
    <row r="958">
      <c r="A958" s="4" t="s">
        <v>2873</v>
      </c>
      <c r="B958" s="4" t="s">
        <v>2874</v>
      </c>
      <c r="C958" s="5" t="s">
        <v>2875</v>
      </c>
    </row>
    <row r="959">
      <c r="A959" s="4" t="s">
        <v>2876</v>
      </c>
      <c r="B959" s="4" t="s">
        <v>2877</v>
      </c>
      <c r="C959" s="5" t="s">
        <v>2878</v>
      </c>
    </row>
    <row r="960">
      <c r="A960" s="4" t="s">
        <v>2879</v>
      </c>
      <c r="B960" s="4" t="s">
        <v>2880</v>
      </c>
      <c r="C960" s="5" t="s">
        <v>2881</v>
      </c>
    </row>
    <row r="961">
      <c r="A961" s="4" t="s">
        <v>2882</v>
      </c>
      <c r="B961" s="4" t="s">
        <v>2883</v>
      </c>
      <c r="C961" s="5" t="s">
        <v>2884</v>
      </c>
    </row>
    <row r="962">
      <c r="A962" s="4" t="s">
        <v>2885</v>
      </c>
      <c r="B962" s="4" t="s">
        <v>2886</v>
      </c>
      <c r="C962" s="5" t="s">
        <v>2887</v>
      </c>
    </row>
    <row r="963">
      <c r="A963" s="4" t="s">
        <v>2888</v>
      </c>
      <c r="B963" s="4" t="s">
        <v>2889</v>
      </c>
      <c r="C963" s="5" t="s">
        <v>2890</v>
      </c>
    </row>
    <row r="964">
      <c r="A964" s="4" t="s">
        <v>2891</v>
      </c>
      <c r="B964" s="4" t="s">
        <v>2892</v>
      </c>
      <c r="C964" s="5" t="s">
        <v>2893</v>
      </c>
    </row>
    <row r="965">
      <c r="A965" s="4" t="s">
        <v>2894</v>
      </c>
      <c r="B965" s="4" t="s">
        <v>2895</v>
      </c>
      <c r="C965" s="5" t="s">
        <v>2896</v>
      </c>
    </row>
    <row r="966">
      <c r="A966" s="4" t="s">
        <v>2897</v>
      </c>
      <c r="B966" s="4" t="s">
        <v>2898</v>
      </c>
      <c r="C966" s="5" t="s">
        <v>2899</v>
      </c>
    </row>
    <row r="967">
      <c r="A967" s="4" t="s">
        <v>2900</v>
      </c>
      <c r="B967" s="4" t="s">
        <v>2901</v>
      </c>
      <c r="C967" s="5" t="s">
        <v>2902</v>
      </c>
    </row>
    <row r="968">
      <c r="A968" s="4" t="s">
        <v>2903</v>
      </c>
      <c r="B968" s="4" t="s">
        <v>2904</v>
      </c>
      <c r="C968" s="5" t="s">
        <v>2905</v>
      </c>
    </row>
    <row r="969">
      <c r="A969" s="4" t="s">
        <v>2906</v>
      </c>
      <c r="B969" s="4" t="s">
        <v>2907</v>
      </c>
      <c r="C969" s="5" t="s">
        <v>2908</v>
      </c>
    </row>
    <row r="970">
      <c r="A970" s="4" t="s">
        <v>2909</v>
      </c>
      <c r="B970" s="4" t="s">
        <v>2910</v>
      </c>
      <c r="C970" s="5" t="s">
        <v>2911</v>
      </c>
    </row>
    <row r="971">
      <c r="A971" s="4" t="s">
        <v>2912</v>
      </c>
      <c r="B971" s="4" t="s">
        <v>2913</v>
      </c>
      <c r="C971" s="5" t="s">
        <v>2914</v>
      </c>
    </row>
    <row r="972">
      <c r="A972" s="4" t="s">
        <v>2915</v>
      </c>
      <c r="B972" s="4" t="s">
        <v>2916</v>
      </c>
      <c r="C972" s="5" t="s">
        <v>2917</v>
      </c>
    </row>
    <row r="973">
      <c r="A973" s="4" t="s">
        <v>2918</v>
      </c>
      <c r="B973" s="4" t="s">
        <v>2919</v>
      </c>
      <c r="C973" s="5" t="s">
        <v>2920</v>
      </c>
    </row>
    <row r="974">
      <c r="A974" s="4" t="s">
        <v>2921</v>
      </c>
      <c r="B974" s="4" t="s">
        <v>2922</v>
      </c>
      <c r="C974" s="5" t="s">
        <v>2923</v>
      </c>
    </row>
    <row r="975">
      <c r="A975" s="4" t="s">
        <v>2924</v>
      </c>
      <c r="B975" s="4" t="s">
        <v>2925</v>
      </c>
      <c r="C975" s="5" t="s">
        <v>2926</v>
      </c>
    </row>
    <row r="976">
      <c r="A976" s="4" t="s">
        <v>2927</v>
      </c>
      <c r="B976" s="4" t="s">
        <v>2928</v>
      </c>
      <c r="C976" s="5" t="s">
        <v>2929</v>
      </c>
    </row>
    <row r="977">
      <c r="A977" s="4" t="s">
        <v>2930</v>
      </c>
      <c r="B977" s="4" t="s">
        <v>2931</v>
      </c>
      <c r="C977" s="5" t="s">
        <v>2932</v>
      </c>
    </row>
    <row r="978">
      <c r="A978" s="4" t="s">
        <v>2933</v>
      </c>
      <c r="B978" s="4" t="s">
        <v>2934</v>
      </c>
      <c r="C978" s="5" t="s">
        <v>2935</v>
      </c>
    </row>
    <row r="979">
      <c r="A979" s="4" t="s">
        <v>2936</v>
      </c>
      <c r="B979" s="4" t="s">
        <v>2937</v>
      </c>
      <c r="C979" s="5" t="s">
        <v>2938</v>
      </c>
    </row>
    <row r="980">
      <c r="A980" s="4" t="s">
        <v>2939</v>
      </c>
      <c r="B980" s="4" t="s">
        <v>2940</v>
      </c>
      <c r="C980" s="5" t="s">
        <v>2941</v>
      </c>
    </row>
    <row r="981">
      <c r="A981" s="4" t="s">
        <v>2942</v>
      </c>
      <c r="B981" s="4" t="s">
        <v>2943</v>
      </c>
      <c r="C981" s="5" t="s">
        <v>2944</v>
      </c>
    </row>
    <row r="982">
      <c r="A982" s="4" t="s">
        <v>2945</v>
      </c>
      <c r="B982" s="4" t="s">
        <v>2946</v>
      </c>
      <c r="C982" s="5" t="s">
        <v>2947</v>
      </c>
    </row>
    <row r="983">
      <c r="A983" s="4" t="s">
        <v>2948</v>
      </c>
      <c r="B983" s="4" t="s">
        <v>2949</v>
      </c>
      <c r="C983" s="5" t="s">
        <v>2950</v>
      </c>
    </row>
    <row r="984">
      <c r="A984" s="4" t="s">
        <v>2951</v>
      </c>
      <c r="B984" s="4" t="s">
        <v>2952</v>
      </c>
      <c r="C984" s="5" t="s">
        <v>2953</v>
      </c>
    </row>
    <row r="985">
      <c r="A985" s="4" t="s">
        <v>2954</v>
      </c>
      <c r="B985" s="4" t="s">
        <v>2955</v>
      </c>
      <c r="C985" s="5" t="s">
        <v>2956</v>
      </c>
    </row>
    <row r="986">
      <c r="A986" s="4" t="s">
        <v>2957</v>
      </c>
      <c r="B986" s="4" t="s">
        <v>2958</v>
      </c>
      <c r="C986" s="5" t="s">
        <v>2959</v>
      </c>
    </row>
    <row r="987">
      <c r="A987" s="4" t="s">
        <v>2960</v>
      </c>
      <c r="B987" s="4" t="s">
        <v>2961</v>
      </c>
      <c r="C987" s="5" t="s">
        <v>2962</v>
      </c>
    </row>
    <row r="988">
      <c r="A988" s="4" t="s">
        <v>2963</v>
      </c>
      <c r="B988" s="4" t="s">
        <v>2964</v>
      </c>
      <c r="C988" s="5" t="s">
        <v>2965</v>
      </c>
    </row>
    <row r="989">
      <c r="A989" s="4" t="s">
        <v>2966</v>
      </c>
      <c r="B989" s="4" t="s">
        <v>2967</v>
      </c>
      <c r="C989" s="5" t="s">
        <v>2968</v>
      </c>
    </row>
    <row r="990">
      <c r="A990" s="4" t="s">
        <v>2969</v>
      </c>
      <c r="B990" s="4" t="s">
        <v>2970</v>
      </c>
      <c r="C990" s="5" t="s">
        <v>2971</v>
      </c>
    </row>
    <row r="991">
      <c r="A991" s="4" t="s">
        <v>2972</v>
      </c>
      <c r="B991" s="4" t="s">
        <v>2973</v>
      </c>
      <c r="C991" s="5" t="s">
        <v>2974</v>
      </c>
    </row>
    <row r="992">
      <c r="A992" s="4" t="s">
        <v>2975</v>
      </c>
      <c r="B992" s="4" t="s">
        <v>2976</v>
      </c>
      <c r="C992" s="5" t="s">
        <v>2977</v>
      </c>
    </row>
    <row r="993">
      <c r="A993" s="4" t="s">
        <v>2978</v>
      </c>
      <c r="B993" s="4" t="s">
        <v>2979</v>
      </c>
      <c r="C993" s="5" t="s">
        <v>2980</v>
      </c>
    </row>
    <row r="994">
      <c r="A994" s="4" t="s">
        <v>2981</v>
      </c>
      <c r="B994" s="4" t="s">
        <v>2982</v>
      </c>
      <c r="C994" s="5" t="s">
        <v>2983</v>
      </c>
    </row>
    <row r="995">
      <c r="A995" s="4" t="s">
        <v>2984</v>
      </c>
      <c r="B995" s="4" t="s">
        <v>2985</v>
      </c>
      <c r="C995" s="5" t="s">
        <v>2986</v>
      </c>
    </row>
    <row r="996">
      <c r="A996" s="4" t="s">
        <v>2987</v>
      </c>
      <c r="B996" s="4" t="s">
        <v>2988</v>
      </c>
      <c r="C996" s="5" t="s">
        <v>2989</v>
      </c>
    </row>
    <row r="997">
      <c r="A997" s="4" t="s">
        <v>2990</v>
      </c>
      <c r="B997" s="4" t="s">
        <v>2991</v>
      </c>
      <c r="C997" s="5" t="s">
        <v>2992</v>
      </c>
    </row>
    <row r="998">
      <c r="A998" s="4" t="s">
        <v>2993</v>
      </c>
      <c r="B998" s="4" t="s">
        <v>2994</v>
      </c>
      <c r="C998" s="5" t="s">
        <v>2995</v>
      </c>
    </row>
    <row r="999">
      <c r="A999" s="4" t="s">
        <v>2996</v>
      </c>
      <c r="B999" s="4" t="s">
        <v>2997</v>
      </c>
      <c r="C999" s="5" t="s">
        <v>2998</v>
      </c>
    </row>
    <row r="1000">
      <c r="A1000" s="4" t="s">
        <v>2999</v>
      </c>
      <c r="B1000" s="4" t="s">
        <v>3000</v>
      </c>
      <c r="C1000" s="5" t="s">
        <v>3001</v>
      </c>
    </row>
    <row r="1001">
      <c r="A1001" s="4" t="s">
        <v>3002</v>
      </c>
      <c r="B1001" s="4" t="s">
        <v>3003</v>
      </c>
      <c r="C1001" s="5" t="s">
        <v>3004</v>
      </c>
    </row>
    <row r="1002">
      <c r="A1002" s="4" t="s">
        <v>3005</v>
      </c>
      <c r="B1002" s="4" t="s">
        <v>3006</v>
      </c>
      <c r="C1002" s="5" t="s">
        <v>3007</v>
      </c>
    </row>
    <row r="1003">
      <c r="A1003" s="4" t="s">
        <v>3008</v>
      </c>
      <c r="B1003" s="4" t="s">
        <v>3009</v>
      </c>
      <c r="C1003" s="5" t="s">
        <v>3010</v>
      </c>
    </row>
    <row r="1004">
      <c r="A1004" s="4" t="s">
        <v>3011</v>
      </c>
      <c r="B1004" s="4" t="s">
        <v>3012</v>
      </c>
      <c r="C1004" s="5" t="s">
        <v>3013</v>
      </c>
    </row>
    <row r="1005">
      <c r="A1005" s="4" t="s">
        <v>3014</v>
      </c>
      <c r="B1005" s="4" t="s">
        <v>3015</v>
      </c>
      <c r="C1005" s="5" t="s">
        <v>3016</v>
      </c>
    </row>
    <row r="1006">
      <c r="A1006" s="4" t="s">
        <v>3017</v>
      </c>
      <c r="B1006" s="4" t="s">
        <v>3018</v>
      </c>
      <c r="C1006" s="5" t="s">
        <v>3019</v>
      </c>
    </row>
    <row r="1007">
      <c r="A1007" s="4" t="s">
        <v>3020</v>
      </c>
      <c r="B1007" s="4" t="s">
        <v>3021</v>
      </c>
      <c r="C1007" s="5" t="s">
        <v>3022</v>
      </c>
    </row>
    <row r="1008">
      <c r="A1008" s="4" t="s">
        <v>3023</v>
      </c>
      <c r="B1008" s="4" t="s">
        <v>3024</v>
      </c>
      <c r="C1008" s="5" t="s">
        <v>3025</v>
      </c>
    </row>
    <row r="1009">
      <c r="A1009" s="4" t="s">
        <v>3026</v>
      </c>
      <c r="B1009" s="4" t="s">
        <v>3027</v>
      </c>
      <c r="C1009" s="5" t="s">
        <v>3028</v>
      </c>
    </row>
    <row r="1010">
      <c r="A1010" s="4" t="s">
        <v>3029</v>
      </c>
      <c r="B1010" s="4" t="s">
        <v>3030</v>
      </c>
      <c r="C1010" s="5" t="s">
        <v>3031</v>
      </c>
    </row>
    <row r="1011">
      <c r="A1011" s="4" t="s">
        <v>3032</v>
      </c>
      <c r="B1011" s="4" t="s">
        <v>3033</v>
      </c>
      <c r="C1011" s="5" t="s">
        <v>3034</v>
      </c>
    </row>
    <row r="1012">
      <c r="A1012" s="4" t="s">
        <v>3035</v>
      </c>
      <c r="B1012" s="4" t="s">
        <v>3036</v>
      </c>
      <c r="C1012" s="5" t="s">
        <v>3037</v>
      </c>
    </row>
    <row r="1013">
      <c r="A1013" s="4" t="s">
        <v>3038</v>
      </c>
      <c r="B1013" s="4" t="s">
        <v>3039</v>
      </c>
      <c r="C1013" s="5" t="s">
        <v>3040</v>
      </c>
    </row>
    <row r="1014">
      <c r="A1014" s="4" t="s">
        <v>3041</v>
      </c>
      <c r="B1014" s="4" t="s">
        <v>3042</v>
      </c>
      <c r="C1014" s="5" t="s">
        <v>3043</v>
      </c>
    </row>
    <row r="1015">
      <c r="A1015" s="4" t="s">
        <v>3044</v>
      </c>
      <c r="B1015" s="4" t="s">
        <v>3045</v>
      </c>
      <c r="C1015" s="5" t="s">
        <v>3046</v>
      </c>
    </row>
    <row r="1016">
      <c r="A1016" s="4" t="s">
        <v>3047</v>
      </c>
      <c r="B1016" s="4" t="s">
        <v>3048</v>
      </c>
      <c r="C1016" s="5" t="s">
        <v>3049</v>
      </c>
    </row>
    <row r="1017">
      <c r="A1017" s="4" t="s">
        <v>3050</v>
      </c>
      <c r="B1017" s="4" t="s">
        <v>3051</v>
      </c>
      <c r="C1017" s="5" t="s">
        <v>3052</v>
      </c>
    </row>
    <row r="1018">
      <c r="A1018" s="4" t="s">
        <v>3053</v>
      </c>
      <c r="B1018" s="4" t="s">
        <v>3054</v>
      </c>
      <c r="C1018" s="5" t="s">
        <v>3055</v>
      </c>
    </row>
    <row r="1019">
      <c r="A1019" s="4" t="s">
        <v>3056</v>
      </c>
      <c r="B1019" s="4" t="s">
        <v>3057</v>
      </c>
      <c r="C1019" s="5" t="s">
        <v>3058</v>
      </c>
    </row>
    <row r="1020">
      <c r="A1020" s="4" t="s">
        <v>3059</v>
      </c>
      <c r="B1020" s="4" t="s">
        <v>3060</v>
      </c>
      <c r="C1020" s="5" t="s">
        <v>3061</v>
      </c>
    </row>
    <row r="1021">
      <c r="A1021" s="4" t="s">
        <v>3062</v>
      </c>
      <c r="B1021" s="4" t="s">
        <v>3063</v>
      </c>
      <c r="C1021" s="5" t="s">
        <v>3064</v>
      </c>
    </row>
    <row r="1022">
      <c r="A1022" s="4" t="s">
        <v>3065</v>
      </c>
      <c r="B1022" s="4" t="s">
        <v>3066</v>
      </c>
      <c r="C1022" s="5" t="s">
        <v>3067</v>
      </c>
    </row>
    <row r="1023">
      <c r="A1023" s="4" t="s">
        <v>3068</v>
      </c>
      <c r="B1023" s="4" t="s">
        <v>3069</v>
      </c>
      <c r="C1023" s="5" t="s">
        <v>3070</v>
      </c>
    </row>
    <row r="1024">
      <c r="A1024" s="4" t="s">
        <v>3071</v>
      </c>
      <c r="B1024" s="4" t="s">
        <v>3072</v>
      </c>
      <c r="C1024" s="5" t="s">
        <v>3073</v>
      </c>
    </row>
    <row r="1025">
      <c r="A1025" s="4" t="s">
        <v>3074</v>
      </c>
      <c r="B1025" s="4" t="s">
        <v>3075</v>
      </c>
      <c r="C1025" s="5" t="s">
        <v>3076</v>
      </c>
    </row>
    <row r="1026">
      <c r="A1026" s="4" t="s">
        <v>3077</v>
      </c>
      <c r="B1026" s="4" t="s">
        <v>3078</v>
      </c>
      <c r="C1026" s="5" t="s">
        <v>3079</v>
      </c>
    </row>
    <row r="1027">
      <c r="A1027" s="4" t="s">
        <v>3080</v>
      </c>
      <c r="B1027" s="4" t="s">
        <v>3081</v>
      </c>
      <c r="C1027" s="5" t="s">
        <v>3082</v>
      </c>
    </row>
    <row r="1028">
      <c r="A1028" s="4" t="s">
        <v>3083</v>
      </c>
      <c r="B1028" s="4" t="s">
        <v>3084</v>
      </c>
      <c r="C1028" s="5" t="s">
        <v>3085</v>
      </c>
    </row>
    <row r="1029">
      <c r="A1029" s="4" t="s">
        <v>3086</v>
      </c>
      <c r="B1029" s="4" t="s">
        <v>3087</v>
      </c>
      <c r="C1029" s="5" t="s">
        <v>3088</v>
      </c>
    </row>
    <row r="1030">
      <c r="A1030" s="4" t="s">
        <v>3089</v>
      </c>
      <c r="B1030" s="4" t="s">
        <v>3090</v>
      </c>
      <c r="C1030" s="5" t="s">
        <v>3091</v>
      </c>
    </row>
    <row r="1031">
      <c r="A1031" s="4" t="s">
        <v>3092</v>
      </c>
      <c r="B1031" s="4" t="s">
        <v>3093</v>
      </c>
      <c r="C1031" s="5" t="s">
        <v>3094</v>
      </c>
    </row>
    <row r="1032">
      <c r="A1032" s="4" t="s">
        <v>3095</v>
      </c>
      <c r="B1032" s="4" t="s">
        <v>3096</v>
      </c>
      <c r="C1032" s="5" t="s">
        <v>3097</v>
      </c>
    </row>
    <row r="1033">
      <c r="A1033" s="4" t="s">
        <v>3098</v>
      </c>
      <c r="B1033" s="4" t="s">
        <v>3099</v>
      </c>
      <c r="C1033" s="5" t="s">
        <v>3100</v>
      </c>
    </row>
    <row r="1034">
      <c r="A1034" s="4" t="s">
        <v>3101</v>
      </c>
      <c r="B1034" s="4" t="s">
        <v>3102</v>
      </c>
      <c r="C1034" s="5" t="s">
        <v>3103</v>
      </c>
    </row>
    <row r="1035">
      <c r="A1035" s="4" t="s">
        <v>3104</v>
      </c>
      <c r="B1035" s="4" t="s">
        <v>3105</v>
      </c>
      <c r="C1035" s="5" t="s">
        <v>3106</v>
      </c>
    </row>
    <row r="1036">
      <c r="A1036" s="4" t="s">
        <v>3107</v>
      </c>
      <c r="B1036" s="4" t="s">
        <v>3108</v>
      </c>
      <c r="C1036" s="5" t="s">
        <v>3109</v>
      </c>
    </row>
    <row r="1037">
      <c r="A1037" s="4" t="s">
        <v>3110</v>
      </c>
      <c r="B1037" s="4" t="s">
        <v>3111</v>
      </c>
      <c r="C1037" s="5" t="s">
        <v>3112</v>
      </c>
    </row>
    <row r="1038">
      <c r="A1038" s="4" t="s">
        <v>3113</v>
      </c>
      <c r="B1038" s="4" t="s">
        <v>3114</v>
      </c>
      <c r="C1038" s="5" t="s">
        <v>3115</v>
      </c>
    </row>
    <row r="1039">
      <c r="A1039" s="4" t="s">
        <v>3116</v>
      </c>
      <c r="B1039" s="4" t="s">
        <v>3117</v>
      </c>
      <c r="C1039" s="5" t="s">
        <v>3118</v>
      </c>
    </row>
    <row r="1040">
      <c r="A1040" s="4" t="s">
        <v>3119</v>
      </c>
      <c r="B1040" s="4" t="s">
        <v>3120</v>
      </c>
      <c r="C1040" s="5" t="s">
        <v>3121</v>
      </c>
    </row>
    <row r="1041">
      <c r="A1041" s="4" t="s">
        <v>3122</v>
      </c>
      <c r="B1041" s="4" t="s">
        <v>3123</v>
      </c>
      <c r="C1041" s="5" t="s">
        <v>3124</v>
      </c>
    </row>
    <row r="1042">
      <c r="A1042" s="4" t="s">
        <v>3125</v>
      </c>
      <c r="B1042" s="4" t="s">
        <v>3126</v>
      </c>
      <c r="C1042" s="5" t="s">
        <v>3127</v>
      </c>
    </row>
    <row r="1043">
      <c r="A1043" s="4" t="s">
        <v>3128</v>
      </c>
      <c r="B1043" s="4" t="s">
        <v>3129</v>
      </c>
      <c r="C1043" s="5" t="s">
        <v>3130</v>
      </c>
    </row>
    <row r="1044">
      <c r="A1044" s="4" t="s">
        <v>3131</v>
      </c>
      <c r="B1044" s="4" t="s">
        <v>3132</v>
      </c>
      <c r="C1044" s="5" t="s">
        <v>3133</v>
      </c>
    </row>
    <row r="1045">
      <c r="A1045" s="4" t="s">
        <v>3134</v>
      </c>
      <c r="B1045" s="4" t="s">
        <v>3135</v>
      </c>
      <c r="C1045" s="5" t="s">
        <v>3136</v>
      </c>
    </row>
    <row r="1046">
      <c r="A1046" s="4" t="s">
        <v>3137</v>
      </c>
      <c r="B1046" s="4" t="s">
        <v>3138</v>
      </c>
      <c r="C1046" s="5" t="s">
        <v>3139</v>
      </c>
    </row>
    <row r="1047">
      <c r="A1047" s="4" t="s">
        <v>3140</v>
      </c>
      <c r="B1047" s="4" t="s">
        <v>3141</v>
      </c>
      <c r="C1047" s="5" t="s">
        <v>3142</v>
      </c>
    </row>
    <row r="1048">
      <c r="A1048" s="4" t="s">
        <v>3143</v>
      </c>
      <c r="B1048" s="4" t="s">
        <v>3144</v>
      </c>
      <c r="C1048" s="5" t="s">
        <v>3145</v>
      </c>
    </row>
    <row r="1049">
      <c r="A1049" s="4" t="s">
        <v>3146</v>
      </c>
      <c r="B1049" s="4" t="s">
        <v>3147</v>
      </c>
      <c r="C1049" s="5" t="s">
        <v>3148</v>
      </c>
    </row>
    <row r="1050">
      <c r="A1050" s="4" t="s">
        <v>3149</v>
      </c>
      <c r="B1050" s="4" t="s">
        <v>3150</v>
      </c>
      <c r="C1050" s="5" t="s">
        <v>3151</v>
      </c>
    </row>
    <row r="1051">
      <c r="A1051" s="4" t="s">
        <v>3152</v>
      </c>
      <c r="B1051" s="4" t="s">
        <v>3153</v>
      </c>
      <c r="C1051" s="5" t="s">
        <v>3154</v>
      </c>
    </row>
    <row r="1052">
      <c r="A1052" s="4" t="s">
        <v>3155</v>
      </c>
      <c r="B1052" s="4" t="s">
        <v>3156</v>
      </c>
      <c r="C1052" s="5" t="s">
        <v>3157</v>
      </c>
    </row>
    <row r="1053">
      <c r="A1053" s="4" t="s">
        <v>3158</v>
      </c>
      <c r="B1053" s="4" t="s">
        <v>3159</v>
      </c>
      <c r="C1053" s="5" t="s">
        <v>3160</v>
      </c>
    </row>
    <row r="1054">
      <c r="A1054" s="4" t="s">
        <v>3161</v>
      </c>
      <c r="B1054" s="4" t="s">
        <v>3162</v>
      </c>
      <c r="C1054" s="5" t="s">
        <v>3163</v>
      </c>
    </row>
    <row r="1055">
      <c r="A1055" s="4" t="s">
        <v>3164</v>
      </c>
      <c r="B1055" s="4" t="s">
        <v>3165</v>
      </c>
      <c r="C1055" s="5" t="s">
        <v>3166</v>
      </c>
    </row>
    <row r="1056">
      <c r="A1056" s="4" t="s">
        <v>3167</v>
      </c>
      <c r="B1056" s="4" t="s">
        <v>3168</v>
      </c>
      <c r="C1056" s="5" t="s">
        <v>3169</v>
      </c>
    </row>
    <row r="1057">
      <c r="A1057" s="4" t="s">
        <v>3170</v>
      </c>
      <c r="B1057" s="4" t="s">
        <v>3171</v>
      </c>
      <c r="C1057" s="5" t="s">
        <v>3172</v>
      </c>
    </row>
    <row r="1058">
      <c r="A1058" s="4" t="s">
        <v>3173</v>
      </c>
      <c r="B1058" s="4" t="s">
        <v>3174</v>
      </c>
      <c r="C1058" s="5" t="s">
        <v>3175</v>
      </c>
    </row>
    <row r="1059">
      <c r="A1059" s="4" t="s">
        <v>3176</v>
      </c>
      <c r="B1059" s="4" t="s">
        <v>3177</v>
      </c>
      <c r="C1059" s="5" t="s">
        <v>3178</v>
      </c>
    </row>
    <row r="1060">
      <c r="A1060" s="4" t="s">
        <v>3179</v>
      </c>
      <c r="B1060" s="4" t="s">
        <v>3180</v>
      </c>
      <c r="C1060" s="5" t="s">
        <v>3181</v>
      </c>
    </row>
    <row r="1061">
      <c r="A1061" s="4" t="s">
        <v>3182</v>
      </c>
      <c r="B1061" s="4" t="s">
        <v>3183</v>
      </c>
      <c r="C1061" s="5" t="s">
        <v>3184</v>
      </c>
    </row>
    <row r="1062">
      <c r="A1062" s="4" t="s">
        <v>3185</v>
      </c>
      <c r="B1062" s="4" t="s">
        <v>3186</v>
      </c>
      <c r="C1062" s="5" t="s">
        <v>3187</v>
      </c>
    </row>
    <row r="1063">
      <c r="A1063" s="4" t="s">
        <v>3188</v>
      </c>
      <c r="B1063" s="4" t="s">
        <v>3189</v>
      </c>
      <c r="C1063" s="5" t="s">
        <v>3190</v>
      </c>
    </row>
    <row r="1064">
      <c r="A1064" s="4" t="s">
        <v>3191</v>
      </c>
      <c r="B1064" s="4" t="s">
        <v>3192</v>
      </c>
      <c r="C1064" s="5" t="s">
        <v>3193</v>
      </c>
    </row>
    <row r="1065">
      <c r="A1065" s="4" t="s">
        <v>3194</v>
      </c>
      <c r="B1065" s="4" t="s">
        <v>3195</v>
      </c>
      <c r="C1065" s="5" t="s">
        <v>3196</v>
      </c>
    </row>
    <row r="1066">
      <c r="A1066" s="4" t="s">
        <v>3197</v>
      </c>
      <c r="B1066" s="4" t="s">
        <v>3198</v>
      </c>
      <c r="C1066" s="5" t="s">
        <v>3199</v>
      </c>
    </row>
    <row r="1067">
      <c r="A1067" s="4" t="s">
        <v>3200</v>
      </c>
      <c r="B1067" s="4" t="s">
        <v>3201</v>
      </c>
      <c r="C1067" s="5" t="s">
        <v>3202</v>
      </c>
    </row>
    <row r="1068">
      <c r="A1068" s="4" t="s">
        <v>3203</v>
      </c>
      <c r="B1068" s="4" t="s">
        <v>3204</v>
      </c>
      <c r="C1068" s="5" t="s">
        <v>3205</v>
      </c>
    </row>
    <row r="1069">
      <c r="A1069" s="4" t="s">
        <v>3206</v>
      </c>
      <c r="B1069" s="4" t="s">
        <v>3207</v>
      </c>
      <c r="C1069" s="5" t="s">
        <v>3208</v>
      </c>
    </row>
    <row r="1070">
      <c r="A1070" s="4" t="s">
        <v>3209</v>
      </c>
      <c r="B1070" s="4" t="s">
        <v>3210</v>
      </c>
      <c r="C1070" s="5" t="s">
        <v>3211</v>
      </c>
    </row>
    <row r="1071">
      <c r="A1071" s="4" t="s">
        <v>3212</v>
      </c>
      <c r="B1071" s="4" t="s">
        <v>3213</v>
      </c>
      <c r="C1071" s="5" t="s">
        <v>3214</v>
      </c>
    </row>
    <row r="1072">
      <c r="A1072" s="4" t="s">
        <v>3215</v>
      </c>
      <c r="B1072" s="4" t="s">
        <v>3216</v>
      </c>
      <c r="C1072" s="5" t="s">
        <v>3217</v>
      </c>
    </row>
    <row r="1073">
      <c r="A1073" s="4" t="s">
        <v>3218</v>
      </c>
      <c r="B1073" s="4" t="s">
        <v>3219</v>
      </c>
      <c r="C1073" s="5" t="s">
        <v>3220</v>
      </c>
    </row>
    <row r="1074">
      <c r="A1074" s="4" t="s">
        <v>3221</v>
      </c>
      <c r="B1074" s="4" t="s">
        <v>3222</v>
      </c>
      <c r="C1074" s="5" t="s">
        <v>3223</v>
      </c>
    </row>
    <row r="1075">
      <c r="A1075" s="4" t="s">
        <v>3224</v>
      </c>
      <c r="B1075" s="4" t="s">
        <v>3225</v>
      </c>
      <c r="C1075" s="5" t="s">
        <v>3226</v>
      </c>
    </row>
    <row r="1076">
      <c r="A1076" s="4" t="s">
        <v>3227</v>
      </c>
      <c r="B1076" s="4" t="s">
        <v>3228</v>
      </c>
      <c r="C1076" s="5" t="s">
        <v>3229</v>
      </c>
    </row>
    <row r="1077">
      <c r="A1077" s="4" t="s">
        <v>3230</v>
      </c>
      <c r="B1077" s="4" t="s">
        <v>3231</v>
      </c>
      <c r="C1077" s="5" t="s">
        <v>3232</v>
      </c>
    </row>
    <row r="1078">
      <c r="A1078" s="4" t="s">
        <v>3233</v>
      </c>
      <c r="B1078" s="4" t="s">
        <v>3234</v>
      </c>
      <c r="C1078" s="5" t="s">
        <v>3235</v>
      </c>
    </row>
    <row r="1079">
      <c r="A1079" s="4" t="s">
        <v>3236</v>
      </c>
      <c r="B1079" s="4" t="s">
        <v>3237</v>
      </c>
      <c r="C1079" s="5" t="s">
        <v>3238</v>
      </c>
    </row>
    <row r="1080">
      <c r="A1080" s="4" t="s">
        <v>3239</v>
      </c>
      <c r="B1080" s="4" t="s">
        <v>3240</v>
      </c>
      <c r="C1080" s="5" t="s">
        <v>3241</v>
      </c>
    </row>
    <row r="1081">
      <c r="A1081" s="4" t="s">
        <v>3242</v>
      </c>
      <c r="B1081" s="4" t="s">
        <v>3243</v>
      </c>
      <c r="C1081" s="5" t="s">
        <v>3244</v>
      </c>
    </row>
    <row r="1082">
      <c r="A1082" s="4" t="s">
        <v>3245</v>
      </c>
      <c r="B1082" s="4" t="s">
        <v>3246</v>
      </c>
      <c r="C1082" s="5" t="s">
        <v>3247</v>
      </c>
    </row>
    <row r="1083">
      <c r="A1083" s="4" t="s">
        <v>3248</v>
      </c>
      <c r="B1083" s="4" t="s">
        <v>3249</v>
      </c>
      <c r="C1083" s="5" t="s">
        <v>3250</v>
      </c>
    </row>
    <row r="1084">
      <c r="A1084" s="4" t="s">
        <v>3251</v>
      </c>
      <c r="B1084" s="4" t="s">
        <v>3252</v>
      </c>
      <c r="C1084" s="5" t="s">
        <v>3253</v>
      </c>
    </row>
    <row r="1085">
      <c r="A1085" s="8" t="s">
        <v>3254</v>
      </c>
      <c r="B1085" s="8" t="s">
        <v>3255</v>
      </c>
      <c r="C1085" s="9" t="s">
        <v>3256</v>
      </c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>
      <c r="A1086" s="4" t="s">
        <v>3257</v>
      </c>
      <c r="B1086" s="4" t="s">
        <v>3258</v>
      </c>
      <c r="C1086" s="5" t="s">
        <v>3259</v>
      </c>
    </row>
    <row r="1087">
      <c r="A1087" s="4" t="s">
        <v>3260</v>
      </c>
      <c r="B1087" s="4" t="s">
        <v>3261</v>
      </c>
      <c r="C1087" s="5" t="s">
        <v>3262</v>
      </c>
    </row>
    <row r="1088">
      <c r="A1088" s="4" t="s">
        <v>3263</v>
      </c>
      <c r="B1088" s="4" t="s">
        <v>3264</v>
      </c>
      <c r="C1088" s="5" t="s">
        <v>3265</v>
      </c>
    </row>
    <row r="1089">
      <c r="A1089" s="4" t="s">
        <v>3266</v>
      </c>
      <c r="B1089" s="4" t="s">
        <v>3267</v>
      </c>
      <c r="C1089" s="5" t="s">
        <v>3268</v>
      </c>
    </row>
    <row r="1090">
      <c r="A1090" s="4" t="s">
        <v>3269</v>
      </c>
      <c r="B1090" s="4" t="s">
        <v>3270</v>
      </c>
      <c r="C1090" s="5" t="s">
        <v>3271</v>
      </c>
    </row>
    <row r="1091">
      <c r="A1091" s="4" t="s">
        <v>3272</v>
      </c>
      <c r="B1091" s="4" t="s">
        <v>3273</v>
      </c>
      <c r="C1091" s="5" t="s">
        <v>3274</v>
      </c>
    </row>
    <row r="1092">
      <c r="A1092" s="4" t="s">
        <v>3275</v>
      </c>
      <c r="B1092" s="4" t="s">
        <v>3276</v>
      </c>
      <c r="C1092" s="5" t="s">
        <v>3277</v>
      </c>
    </row>
    <row r="1093">
      <c r="A1093" s="4" t="s">
        <v>3278</v>
      </c>
      <c r="B1093" s="4" t="s">
        <v>3279</v>
      </c>
      <c r="C1093" s="5" t="s">
        <v>3280</v>
      </c>
    </row>
    <row r="1094">
      <c r="A1094" s="4" t="s">
        <v>3281</v>
      </c>
      <c r="B1094" s="4" t="s">
        <v>3282</v>
      </c>
      <c r="C1094" s="5" t="s">
        <v>3283</v>
      </c>
    </row>
    <row r="1095">
      <c r="A1095" s="4" t="s">
        <v>3284</v>
      </c>
      <c r="B1095" s="4" t="s">
        <v>3285</v>
      </c>
      <c r="C1095" s="11" t="s">
        <v>3286</v>
      </c>
    </row>
    <row r="1096">
      <c r="A1096" s="4" t="s">
        <v>3287</v>
      </c>
      <c r="B1096" s="4" t="s">
        <v>3288</v>
      </c>
      <c r="C1096" s="5" t="s">
        <v>3289</v>
      </c>
    </row>
    <row r="1097">
      <c r="A1097" s="4" t="s">
        <v>3290</v>
      </c>
      <c r="B1097" s="4" t="s">
        <v>3291</v>
      </c>
      <c r="C1097" s="5" t="s">
        <v>3292</v>
      </c>
    </row>
    <row r="1098">
      <c r="A1098" s="4" t="s">
        <v>3293</v>
      </c>
      <c r="B1098" s="4" t="s">
        <v>3294</v>
      </c>
      <c r="C1098" s="5" t="s">
        <v>3295</v>
      </c>
    </row>
    <row r="1099">
      <c r="A1099" s="4" t="s">
        <v>3296</v>
      </c>
      <c r="B1099" s="4" t="s">
        <v>3297</v>
      </c>
      <c r="C1099" s="5" t="s">
        <v>3298</v>
      </c>
    </row>
    <row r="1100">
      <c r="A1100" s="4" t="s">
        <v>3299</v>
      </c>
      <c r="B1100" s="4" t="s">
        <v>3300</v>
      </c>
      <c r="C1100" s="5" t="s">
        <v>3301</v>
      </c>
    </row>
    <row r="1101">
      <c r="A1101" s="4" t="s">
        <v>3302</v>
      </c>
      <c r="B1101" s="4" t="s">
        <v>3303</v>
      </c>
      <c r="C1101" s="5" t="s">
        <v>3304</v>
      </c>
    </row>
    <row r="1102">
      <c r="A1102" s="4" t="s">
        <v>3305</v>
      </c>
      <c r="B1102" s="4" t="s">
        <v>3306</v>
      </c>
      <c r="C1102" s="5" t="s">
        <v>3307</v>
      </c>
    </row>
    <row r="1103">
      <c r="A1103" s="4" t="s">
        <v>3308</v>
      </c>
      <c r="B1103" s="4" t="s">
        <v>3309</v>
      </c>
      <c r="C1103" s="5" t="s">
        <v>3310</v>
      </c>
    </row>
    <row r="1104">
      <c r="A1104" s="4" t="s">
        <v>3311</v>
      </c>
      <c r="B1104" s="4" t="s">
        <v>3312</v>
      </c>
      <c r="C1104" s="11" t="s">
        <v>3313</v>
      </c>
    </row>
    <row r="1105">
      <c r="A1105" s="4" t="s">
        <v>3314</v>
      </c>
      <c r="B1105" s="4" t="s">
        <v>3315</v>
      </c>
      <c r="C1105" s="5" t="s">
        <v>3316</v>
      </c>
    </row>
    <row r="1106">
      <c r="A1106" s="4" t="s">
        <v>3317</v>
      </c>
      <c r="B1106" s="4" t="s">
        <v>3318</v>
      </c>
      <c r="C1106" s="5" t="s">
        <v>3319</v>
      </c>
    </row>
    <row r="1107">
      <c r="A1107" s="4" t="s">
        <v>3320</v>
      </c>
      <c r="B1107" s="4" t="s">
        <v>3321</v>
      </c>
      <c r="C1107" s="11" t="s">
        <v>3322</v>
      </c>
    </row>
    <row r="1108">
      <c r="A1108" s="4" t="s">
        <v>3323</v>
      </c>
      <c r="B1108" s="4" t="s">
        <v>3324</v>
      </c>
      <c r="C1108" s="5" t="s">
        <v>3325</v>
      </c>
    </row>
    <row r="1109">
      <c r="A1109" s="4" t="s">
        <v>3326</v>
      </c>
      <c r="B1109" s="4" t="s">
        <v>3327</v>
      </c>
      <c r="C1109" s="11" t="s">
        <v>3328</v>
      </c>
    </row>
    <row r="1110">
      <c r="A1110" s="4" t="s">
        <v>3329</v>
      </c>
      <c r="B1110" s="4" t="s">
        <v>3330</v>
      </c>
      <c r="C1110" s="5" t="s">
        <v>3331</v>
      </c>
    </row>
    <row r="1111">
      <c r="A1111" s="4" t="s">
        <v>3332</v>
      </c>
      <c r="B1111" s="4" t="s">
        <v>3333</v>
      </c>
      <c r="C1111" s="5" t="s">
        <v>3334</v>
      </c>
    </row>
    <row r="1112">
      <c r="A1112" s="4" t="s">
        <v>3335</v>
      </c>
      <c r="B1112" s="4" t="s">
        <v>3336</v>
      </c>
      <c r="C1112" s="5" t="s">
        <v>3337</v>
      </c>
    </row>
    <row r="1113">
      <c r="A1113" s="4" t="s">
        <v>3338</v>
      </c>
      <c r="B1113" s="4" t="s">
        <v>3339</v>
      </c>
      <c r="C1113" s="5" t="s">
        <v>3340</v>
      </c>
    </row>
    <row r="1114">
      <c r="A1114" s="4" t="s">
        <v>3341</v>
      </c>
      <c r="B1114" s="4" t="s">
        <v>3342</v>
      </c>
      <c r="C1114" s="5" t="s">
        <v>3343</v>
      </c>
    </row>
    <row r="1115">
      <c r="A1115" s="4" t="s">
        <v>3344</v>
      </c>
      <c r="B1115" s="4" t="s">
        <v>3345</v>
      </c>
      <c r="C1115" s="5" t="s">
        <v>3346</v>
      </c>
    </row>
    <row r="1116">
      <c r="A1116" s="4" t="s">
        <v>3347</v>
      </c>
      <c r="B1116" s="4" t="s">
        <v>3348</v>
      </c>
      <c r="C1116" s="5" t="s">
        <v>3349</v>
      </c>
    </row>
    <row r="1117">
      <c r="A1117" s="4" t="s">
        <v>3350</v>
      </c>
      <c r="B1117" s="4" t="s">
        <v>3351</v>
      </c>
      <c r="C1117" s="5" t="s">
        <v>3352</v>
      </c>
    </row>
    <row r="1118">
      <c r="A1118" s="4" t="s">
        <v>3353</v>
      </c>
      <c r="B1118" s="4" t="s">
        <v>3354</v>
      </c>
      <c r="C1118" s="5" t="s">
        <v>3355</v>
      </c>
    </row>
    <row r="1119">
      <c r="A1119" s="4" t="s">
        <v>3356</v>
      </c>
      <c r="B1119" s="4" t="s">
        <v>3357</v>
      </c>
      <c r="C1119" s="11" t="s">
        <v>3358</v>
      </c>
    </row>
    <row r="1120">
      <c r="A1120" s="4" t="s">
        <v>3359</v>
      </c>
      <c r="B1120" s="4" t="s">
        <v>3360</v>
      </c>
      <c r="C1120" s="5" t="s">
        <v>3361</v>
      </c>
    </row>
    <row r="1121">
      <c r="A1121" s="4" t="s">
        <v>3362</v>
      </c>
      <c r="B1121" s="4" t="s">
        <v>3363</v>
      </c>
      <c r="C1121" s="5" t="s">
        <v>3364</v>
      </c>
    </row>
    <row r="1122">
      <c r="A1122" s="4" t="s">
        <v>3365</v>
      </c>
      <c r="B1122" s="4" t="s">
        <v>3366</v>
      </c>
      <c r="C1122" s="5" t="s">
        <v>3367</v>
      </c>
    </row>
    <row r="1123">
      <c r="A1123" s="4" t="s">
        <v>3368</v>
      </c>
      <c r="B1123" s="4" t="s">
        <v>3369</v>
      </c>
      <c r="C1123" s="5" t="s">
        <v>3370</v>
      </c>
    </row>
    <row r="1124">
      <c r="A1124" s="4" t="s">
        <v>3371</v>
      </c>
      <c r="B1124" s="4" t="s">
        <v>3372</v>
      </c>
      <c r="C1124" s="5" t="s">
        <v>3373</v>
      </c>
    </row>
    <row r="1125">
      <c r="A1125" s="4" t="s">
        <v>3374</v>
      </c>
      <c r="B1125" s="4" t="s">
        <v>3375</v>
      </c>
      <c r="C1125" s="11" t="s">
        <v>3376</v>
      </c>
    </row>
    <row r="1126">
      <c r="A1126" s="4" t="s">
        <v>3377</v>
      </c>
      <c r="B1126" s="4" t="s">
        <v>3378</v>
      </c>
      <c r="C1126" s="5" t="s">
        <v>3379</v>
      </c>
    </row>
    <row r="1127">
      <c r="A1127" s="4" t="s">
        <v>3380</v>
      </c>
      <c r="B1127" s="4" t="s">
        <v>3381</v>
      </c>
      <c r="C1127" s="5" t="s">
        <v>3382</v>
      </c>
    </row>
    <row r="1128">
      <c r="A1128" s="4" t="s">
        <v>3383</v>
      </c>
      <c r="B1128" s="4" t="s">
        <v>3384</v>
      </c>
      <c r="C1128" s="5" t="s">
        <v>3385</v>
      </c>
    </row>
    <row r="1129">
      <c r="A1129" s="4" t="s">
        <v>3386</v>
      </c>
      <c r="B1129" s="4" t="s">
        <v>3387</v>
      </c>
      <c r="C1129" s="5" t="s">
        <v>3388</v>
      </c>
    </row>
    <row r="1130">
      <c r="A1130" s="4" t="s">
        <v>3389</v>
      </c>
      <c r="B1130" s="4" t="s">
        <v>3390</v>
      </c>
      <c r="C1130" s="5" t="s">
        <v>3391</v>
      </c>
    </row>
    <row r="1131">
      <c r="A1131" s="4" t="s">
        <v>3392</v>
      </c>
      <c r="B1131" s="4" t="s">
        <v>3393</v>
      </c>
      <c r="C1131" s="11" t="s">
        <v>3394</v>
      </c>
    </row>
    <row r="1132">
      <c r="A1132" s="4" t="s">
        <v>3395</v>
      </c>
      <c r="B1132" s="4" t="s">
        <v>3396</v>
      </c>
      <c r="C1132" s="11" t="s">
        <v>3397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7.29"/>
    <col customWidth="1" min="3" max="3" width="63.14"/>
    <col customWidth="1" min="4" max="4" width="55.71"/>
  </cols>
  <sheetData>
    <row r="1">
      <c r="A1" s="5" t="s">
        <v>3398</v>
      </c>
      <c r="B1" s="5" t="s">
        <v>0</v>
      </c>
      <c r="C1" s="5" t="s">
        <v>1</v>
      </c>
    </row>
    <row r="2">
      <c r="A2" s="5" t="s">
        <v>3399</v>
      </c>
      <c r="B2" s="4" t="str">
        <f>IFERROR(__xludf.DUMMYFUNCTION("SPLIT(A2,"""""")"")"),"( arctic_a0001 ")</f>
        <v>( arctic_a0001 </v>
      </c>
      <c r="C2" s="4" t="str">
        <f>IFERROR(__xludf.DUMMYFUNCTION("""COMPUTED_VALUE"""),"Author of the danger trail, Philip Steels, etc.")</f>
        <v>Author of the danger trail, Philip Steels, etc.</v>
      </c>
      <c r="D2" s="4" t="str">
        <f>IFERROR(__xludf.DUMMYFUNCTION("""COMPUTED_VALUE""")," ")</f>
        <v> </v>
      </c>
    </row>
    <row r="3">
      <c r="A3" s="5" t="s">
        <v>3400</v>
      </c>
      <c r="B3" s="4" t="str">
        <f>IFERROR(__xludf.DUMMYFUNCTION("SPLIT(A3,"""""")"")"),"( arctic_a0002 ")</f>
        <v>( arctic_a0002 </v>
      </c>
      <c r="C3" s="4" t="str">
        <f>IFERROR(__xludf.DUMMYFUNCTION("""COMPUTED_VALUE"""),"Not at this particular case, Tom, apologized Whittemore.")</f>
        <v>Not at this particular case, Tom, apologized Whittemore.</v>
      </c>
      <c r="D3" s="4" t="str">
        <f>IFERROR(__xludf.DUMMYFUNCTION("""COMPUTED_VALUE""")," ")</f>
        <v> </v>
      </c>
    </row>
    <row r="4">
      <c r="A4" s="5" t="s">
        <v>3401</v>
      </c>
      <c r="B4" s="4" t="str">
        <f>IFERROR(__xludf.DUMMYFUNCTION("SPLIT(A4,"""""")"")"),"( arctic_a0003 ")</f>
        <v>( arctic_a0003 </v>
      </c>
      <c r="C4" s="4" t="str">
        <f>IFERROR(__xludf.DUMMYFUNCTION("""COMPUTED_VALUE"""),"For the twentieth time that evening the two men shook hands.")</f>
        <v>For the twentieth time that evening the two men shook hands.</v>
      </c>
      <c r="D4" s="4" t="str">
        <f>IFERROR(__xludf.DUMMYFUNCTION("""COMPUTED_VALUE""")," ")</f>
        <v> </v>
      </c>
    </row>
    <row r="5">
      <c r="A5" s="5" t="s">
        <v>3402</v>
      </c>
      <c r="B5" s="4" t="str">
        <f>IFERROR(__xludf.DUMMYFUNCTION("SPLIT(A5,"""""")"")"),"( arctic_a0004 ")</f>
        <v>( arctic_a0004 </v>
      </c>
      <c r="C5" s="4" t="str">
        <f>IFERROR(__xludf.DUMMYFUNCTION("""COMPUTED_VALUE"""),"Lord, but I'm glad to see you again, Phil.")</f>
        <v>Lord, but I'm glad to see you again, Phil.</v>
      </c>
      <c r="D5" s="4" t="str">
        <f>IFERROR(__xludf.DUMMYFUNCTION("""COMPUTED_VALUE""")," ")</f>
        <v> </v>
      </c>
    </row>
    <row r="6">
      <c r="A6" s="5" t="s">
        <v>3403</v>
      </c>
      <c r="B6" s="4" t="str">
        <f>IFERROR(__xludf.DUMMYFUNCTION("SPLIT(A6,"""""")"")"),"( arctic_a0005 ")</f>
        <v>( arctic_a0005 </v>
      </c>
      <c r="C6" s="4" t="str">
        <f>IFERROR(__xludf.DUMMYFUNCTION("""COMPUTED_VALUE"""),"Will we ever forget it.")</f>
        <v>Will we ever forget it.</v>
      </c>
      <c r="D6" s="4" t="str">
        <f>IFERROR(__xludf.DUMMYFUNCTION("""COMPUTED_VALUE""")," ")</f>
        <v> </v>
      </c>
    </row>
    <row r="7">
      <c r="A7" s="5" t="s">
        <v>3404</v>
      </c>
      <c r="B7" s="4" t="str">
        <f>IFERROR(__xludf.DUMMYFUNCTION("SPLIT(A7,"""""")"")"),"( arctic_a0006 ")</f>
        <v>( arctic_a0006 </v>
      </c>
      <c r="C7" s="4" t="str">
        <f>IFERROR(__xludf.DUMMYFUNCTION("""COMPUTED_VALUE"""),"God bless 'em, I hope I'll go on seeing them forever.")</f>
        <v>God bless 'em, I hope I'll go on seeing them forever.</v>
      </c>
      <c r="D7" s="4" t="str">
        <f>IFERROR(__xludf.DUMMYFUNCTION("""COMPUTED_VALUE""")," ")</f>
        <v> </v>
      </c>
    </row>
    <row r="8">
      <c r="A8" s="5" t="s">
        <v>3405</v>
      </c>
      <c r="B8" s="4" t="str">
        <f>IFERROR(__xludf.DUMMYFUNCTION("SPLIT(A8,"""""")"")"),"( arctic_a0007 ")</f>
        <v>( arctic_a0007 </v>
      </c>
      <c r="C8" s="4" t="str">
        <f>IFERROR(__xludf.DUMMYFUNCTION("""COMPUTED_VALUE"""),"And you always want to see it in the superlative degree.")</f>
        <v>And you always want to see it in the superlative degree.</v>
      </c>
      <c r="D8" s="4" t="str">
        <f>IFERROR(__xludf.DUMMYFUNCTION("""COMPUTED_VALUE""")," ")</f>
        <v> </v>
      </c>
    </row>
    <row r="9">
      <c r="A9" s="5" t="s">
        <v>3406</v>
      </c>
      <c r="B9" s="4" t="str">
        <f>IFERROR(__xludf.DUMMYFUNCTION("SPLIT(A9,"""""")"")"),"( arctic_a0008 ")</f>
        <v>( arctic_a0008 </v>
      </c>
      <c r="C9" s="4" t="str">
        <f>IFERROR(__xludf.DUMMYFUNCTION("""COMPUTED_VALUE"""),"Gad, your letter came just in time.")</f>
        <v>Gad, your letter came just in time.</v>
      </c>
      <c r="D9" s="4" t="str">
        <f>IFERROR(__xludf.DUMMYFUNCTION("""COMPUTED_VALUE""")," ")</f>
        <v> </v>
      </c>
    </row>
    <row r="10">
      <c r="A10" s="5" t="s">
        <v>3407</v>
      </c>
      <c r="B10" s="4" t="str">
        <f>IFERROR(__xludf.DUMMYFUNCTION("SPLIT(A10,"""""")"")"),"( arctic_a0009 ")</f>
        <v>( arctic_a0009 </v>
      </c>
      <c r="C10" s="4" t="str">
        <f>IFERROR(__xludf.DUMMYFUNCTION("""COMPUTED_VALUE"""),"He turned sharply, and faced Gregson across the table.")</f>
        <v>He turned sharply, and faced Gregson across the table.</v>
      </c>
      <c r="D10" s="4" t="str">
        <f>IFERROR(__xludf.DUMMYFUNCTION("""COMPUTED_VALUE""")," ")</f>
        <v> </v>
      </c>
    </row>
    <row r="11">
      <c r="A11" s="5" t="s">
        <v>3408</v>
      </c>
      <c r="B11" s="4" t="str">
        <f>IFERROR(__xludf.DUMMYFUNCTION("SPLIT(A11,"""""")"")"),"( arctic_a0010 ")</f>
        <v>( arctic_a0010 </v>
      </c>
      <c r="C11" s="4" t="str">
        <f>IFERROR(__xludf.DUMMYFUNCTION("""COMPUTED_VALUE"""),"I'm playing a single hand in what looks like a losing game.")</f>
        <v>I'm playing a single hand in what looks like a losing game.</v>
      </c>
      <c r="D11" s="4" t="str">
        <f>IFERROR(__xludf.DUMMYFUNCTION("""COMPUTED_VALUE""")," ")</f>
        <v> </v>
      </c>
    </row>
    <row r="12">
      <c r="A12" s="5" t="s">
        <v>3409</v>
      </c>
      <c r="B12" s="4" t="str">
        <f>IFERROR(__xludf.DUMMYFUNCTION("SPLIT(A12,"""""")"")"),"( arctic_a0011 ")</f>
        <v>( arctic_a0011 </v>
      </c>
      <c r="C12" s="4" t="str">
        <f>IFERROR(__xludf.DUMMYFUNCTION("""COMPUTED_VALUE"""),"If I ever needed a fighter in my life I need one now.")</f>
        <v>If I ever needed a fighter in my life I need one now.</v>
      </c>
      <c r="D12" s="4" t="str">
        <f>IFERROR(__xludf.DUMMYFUNCTION("""COMPUTED_VALUE""")," ")</f>
        <v> </v>
      </c>
    </row>
    <row r="13">
      <c r="A13" s="5" t="s">
        <v>3410</v>
      </c>
      <c r="B13" s="4" t="str">
        <f>IFERROR(__xludf.DUMMYFUNCTION("SPLIT(A13,"""""")"")"),"( arctic_a0012 ")</f>
        <v>( arctic_a0012 </v>
      </c>
      <c r="C13" s="4" t="str">
        <f>IFERROR(__xludf.DUMMYFUNCTION("""COMPUTED_VALUE"""),"Gregson shoved back his chair and rose to his feet.")</f>
        <v>Gregson shoved back his chair and rose to his feet.</v>
      </c>
      <c r="D13" s="4" t="str">
        <f>IFERROR(__xludf.DUMMYFUNCTION("""COMPUTED_VALUE""")," ")</f>
        <v> </v>
      </c>
    </row>
    <row r="14">
      <c r="A14" s="5" t="s">
        <v>3411</v>
      </c>
      <c r="B14" s="4" t="str">
        <f>IFERROR(__xludf.DUMMYFUNCTION("SPLIT(A14,"""""")"")"),"( arctic_a0013 ")</f>
        <v>( arctic_a0013 </v>
      </c>
      <c r="C14" s="4" t="str">
        <f>IFERROR(__xludf.DUMMYFUNCTION("""COMPUTED_VALUE"""),"He was a head shorter than his companion, of almost delicate physique.")</f>
        <v>He was a head shorter than his companion, of almost delicate physique.</v>
      </c>
      <c r="D14" s="4" t="str">
        <f>IFERROR(__xludf.DUMMYFUNCTION("""COMPUTED_VALUE""")," ")</f>
        <v> </v>
      </c>
    </row>
    <row r="15">
      <c r="A15" s="5" t="s">
        <v>3412</v>
      </c>
      <c r="B15" s="4" t="str">
        <f>IFERROR(__xludf.DUMMYFUNCTION("SPLIT(A15,"""""")"")"),"( arctic_a0014 ")</f>
        <v>( arctic_a0014 </v>
      </c>
      <c r="C15" s="4" t="str">
        <f>IFERROR(__xludf.DUMMYFUNCTION("""COMPUTED_VALUE"""),"Now you're coming down to business, Phil, he exclaimed.")</f>
        <v>Now you're coming down to business, Phil, he exclaimed.</v>
      </c>
      <c r="D15" s="4" t="str">
        <f>IFERROR(__xludf.DUMMYFUNCTION("""COMPUTED_VALUE""")," ")</f>
        <v> </v>
      </c>
    </row>
    <row r="16">
      <c r="A16" s="5" t="s">
        <v>3413</v>
      </c>
      <c r="B16" s="4" t="str">
        <f>IFERROR(__xludf.DUMMYFUNCTION("SPLIT(A16,"""""")"")"),"( arctic_a0015 ")</f>
        <v>( arctic_a0015 </v>
      </c>
      <c r="C16" s="4" t="str">
        <f>IFERROR(__xludf.DUMMYFUNCTION("""COMPUTED_VALUE"""),"It's the aurora borealis.")</f>
        <v>It's the aurora borealis.</v>
      </c>
      <c r="D16" s="4" t="str">
        <f>IFERROR(__xludf.DUMMYFUNCTION("""COMPUTED_VALUE""")," ")</f>
        <v> </v>
      </c>
    </row>
    <row r="17">
      <c r="A17" s="5" t="s">
        <v>3414</v>
      </c>
      <c r="B17" s="4" t="str">
        <f>IFERROR(__xludf.DUMMYFUNCTION("SPLIT(A17,"""""")"")"),"( arctic_a0016 ")</f>
        <v>( arctic_a0016 </v>
      </c>
      <c r="C17" s="4" t="str">
        <f>IFERROR(__xludf.DUMMYFUNCTION("""COMPUTED_VALUE"""),"There's Fort Churchill, a rifle-shot beyond the ridge, asleep.")</f>
        <v>There's Fort Churchill, a rifle-shot beyond the ridge, asleep.</v>
      </c>
      <c r="D17" s="4" t="str">
        <f>IFERROR(__xludf.DUMMYFUNCTION("""COMPUTED_VALUE""")," ")</f>
        <v> </v>
      </c>
    </row>
    <row r="18">
      <c r="A18" s="5" t="s">
        <v>3415</v>
      </c>
      <c r="B18" s="4" t="str">
        <f>IFERROR(__xludf.DUMMYFUNCTION("SPLIT(A18,"""""")"")"),"( arctic_a0017 ")</f>
        <v>( arctic_a0017 </v>
      </c>
      <c r="C18" s="4" t="str">
        <f>IFERROR(__xludf.DUMMYFUNCTION("""COMPUTED_VALUE"""),"From that moment his friendship for Belize turns to hatred and jealousy.")</f>
        <v>From that moment his friendship for Belize turns to hatred and jealousy.</v>
      </c>
      <c r="D18" s="4" t="str">
        <f>IFERROR(__xludf.DUMMYFUNCTION("""COMPUTED_VALUE""")," ")</f>
        <v> </v>
      </c>
    </row>
    <row r="19">
      <c r="A19" s="5" t="s">
        <v>3416</v>
      </c>
      <c r="B19" s="4" t="str">
        <f>IFERROR(__xludf.DUMMYFUNCTION("SPLIT(A19,"""""")"")"),"( arctic_a0018 ")</f>
        <v>( arctic_a0018 </v>
      </c>
      <c r="C19" s="4" t="str">
        <f>IFERROR(__xludf.DUMMYFUNCTION("""COMPUTED_VALUE"""),"There was a change now.")</f>
        <v>There was a change now.</v>
      </c>
      <c r="D19" s="4" t="str">
        <f>IFERROR(__xludf.DUMMYFUNCTION("""COMPUTED_VALUE""")," ")</f>
        <v> </v>
      </c>
    </row>
    <row r="20">
      <c r="A20" s="5" t="s">
        <v>3417</v>
      </c>
      <c r="B20" s="4" t="str">
        <f>IFERROR(__xludf.DUMMYFUNCTION("SPLIT(A20,"""""")"")"),"( arctic_a0019 ")</f>
        <v>( arctic_a0019 </v>
      </c>
      <c r="C20" s="4" t="str">
        <f>IFERROR(__xludf.DUMMYFUNCTION("""COMPUTED_VALUE"""),"I followed the line of the proposed railroad, looking for chances.")</f>
        <v>I followed the line of the proposed railroad, looking for chances.</v>
      </c>
      <c r="D20" s="4" t="str">
        <f>IFERROR(__xludf.DUMMYFUNCTION("""COMPUTED_VALUE""")," ")</f>
        <v> </v>
      </c>
    </row>
    <row r="21">
      <c r="A21" s="5" t="s">
        <v>3418</v>
      </c>
      <c r="B21" s="4" t="str">
        <f>IFERROR(__xludf.DUMMYFUNCTION("SPLIT(A21,"""""")"")"),"( arctic_a0020 ")</f>
        <v>( arctic_a0020 </v>
      </c>
      <c r="C21" s="4" t="str">
        <f>IFERROR(__xludf.DUMMYFUNCTION("""COMPUTED_VALUE"""),"Clubs and balls and cities grew to be only memories.")</f>
        <v>Clubs and balls and cities grew to be only memories.</v>
      </c>
      <c r="D21" s="4" t="str">
        <f>IFERROR(__xludf.DUMMYFUNCTION("""COMPUTED_VALUE""")," ")</f>
        <v> </v>
      </c>
    </row>
    <row r="22">
      <c r="A22" s="5" t="s">
        <v>3419</v>
      </c>
      <c r="B22" s="4" t="str">
        <f>IFERROR(__xludf.DUMMYFUNCTION("SPLIT(A22,"""""")"")"),"( arctic_a0021 ")</f>
        <v>( arctic_a0021 </v>
      </c>
      <c r="C22" s="4" t="str">
        <f>IFERROR(__xludf.DUMMYFUNCTION("""COMPUTED_VALUE"""),"It fairly clubbed me into recognizing it.")</f>
        <v>It fairly clubbed me into recognizing it.</v>
      </c>
      <c r="D22" s="4" t="str">
        <f>IFERROR(__xludf.DUMMYFUNCTION("""COMPUTED_VALUE""")," ")</f>
        <v> </v>
      </c>
    </row>
    <row r="23">
      <c r="A23" s="5" t="s">
        <v>3420</v>
      </c>
      <c r="B23" s="4" t="str">
        <f>IFERROR(__xludf.DUMMYFUNCTION("SPLIT(A23,"""""")"")"),"( arctic_a0022 ")</f>
        <v>( arctic_a0022 </v>
      </c>
      <c r="C23" s="4" t="str">
        <f>IFERROR(__xludf.DUMMYFUNCTION("""COMPUTED_VALUE"""),"Hardly were our plans made public before we were met by powerful opposition.")</f>
        <v>Hardly were our plans made public before we were met by powerful opposition.</v>
      </c>
      <c r="D23" s="4" t="str">
        <f>IFERROR(__xludf.DUMMYFUNCTION("""COMPUTED_VALUE""")," ")</f>
        <v> </v>
      </c>
    </row>
    <row r="24">
      <c r="A24" s="5" t="s">
        <v>3421</v>
      </c>
      <c r="B24" s="4" t="str">
        <f>IFERROR(__xludf.DUMMYFUNCTION("SPLIT(A24,"""""")"")"),"( arctic_a0023 ")</f>
        <v>( arctic_a0023 </v>
      </c>
      <c r="C24" s="4" t="str">
        <f>IFERROR(__xludf.DUMMYFUNCTION("""COMPUTED_VALUE"""),"A combination of Canadian capital quickly organized and petitioned for the same privileges.")</f>
        <v>A combination of Canadian capital quickly organized and petitioned for the same privileges.</v>
      </c>
      <c r="D24" s="4" t="str">
        <f>IFERROR(__xludf.DUMMYFUNCTION("""COMPUTED_VALUE""")," ")</f>
        <v> </v>
      </c>
    </row>
    <row r="25">
      <c r="A25" s="5" t="s">
        <v>3422</v>
      </c>
      <c r="B25" s="4" t="str">
        <f>IFERROR(__xludf.DUMMYFUNCTION("SPLIT(A25,"""""")"")"),"( arctic_a0024 ")</f>
        <v>( arctic_a0024 </v>
      </c>
      <c r="C25" s="4" t="str">
        <f>IFERROR(__xludf.DUMMYFUNCTION("""COMPUTED_VALUE"""),"It was my reports from the north which chiefly induced people to buy.")</f>
        <v>It was my reports from the north which chiefly induced people to buy.</v>
      </c>
      <c r="D25" s="4" t="str">
        <f>IFERROR(__xludf.DUMMYFUNCTION("""COMPUTED_VALUE""")," ")</f>
        <v> </v>
      </c>
    </row>
    <row r="26">
      <c r="A26" s="5" t="s">
        <v>3423</v>
      </c>
      <c r="B26" s="4" t="str">
        <f>IFERROR(__xludf.DUMMYFUNCTION("SPLIT(A26,"""""")"")"),"( arctic_a0025 ")</f>
        <v>( arctic_a0025 </v>
      </c>
      <c r="C26" s="4" t="str">
        <f>IFERROR(__xludf.DUMMYFUNCTION("""COMPUTED_VALUE"""),"I was about to do this when cooler judgment prevailed.")</f>
        <v>I was about to do this when cooler judgment prevailed.</v>
      </c>
      <c r="D26" s="4" t="str">
        <f>IFERROR(__xludf.DUMMYFUNCTION("""COMPUTED_VALUE""")," ")</f>
        <v> </v>
      </c>
    </row>
    <row r="27">
      <c r="A27" s="5" t="s">
        <v>3424</v>
      </c>
      <c r="B27" s="4" t="str">
        <f>IFERROR(__xludf.DUMMYFUNCTION("SPLIT(A27,"""""")"")"),"( arctic_a0026 ")</f>
        <v>( arctic_a0026 </v>
      </c>
      <c r="C27" s="4" t="str">
        <f>IFERROR(__xludf.DUMMYFUNCTION("""COMPUTED_VALUE"""),"It occurred to me that there would have to be an accounting.")</f>
        <v>It occurred to me that there would have to be an accounting.</v>
      </c>
      <c r="D27" s="4" t="str">
        <f>IFERROR(__xludf.DUMMYFUNCTION("""COMPUTED_VALUE""")," ")</f>
        <v> </v>
      </c>
    </row>
    <row r="28">
      <c r="A28" s="5" t="s">
        <v>3425</v>
      </c>
      <c r="B28" s="4" t="str">
        <f>IFERROR(__xludf.DUMMYFUNCTION("SPLIT(A28,"""""")"")"),"( arctic_a0027 ")</f>
        <v>( arctic_a0027 </v>
      </c>
      <c r="C28" s="4" t="str">
        <f>IFERROR(__xludf.DUMMYFUNCTION("""COMPUTED_VALUE"""),"To my surprise he began to show actual enthusiasm in my favor.")</f>
        <v>To my surprise he began to show actual enthusiasm in my favor.</v>
      </c>
      <c r="D28" s="4" t="str">
        <f>IFERROR(__xludf.DUMMYFUNCTION("""COMPUTED_VALUE""")," ")</f>
        <v> </v>
      </c>
    </row>
    <row r="29">
      <c r="A29" s="5" t="s">
        <v>3426</v>
      </c>
      <c r="B29" s="4" t="str">
        <f>IFERROR(__xludf.DUMMYFUNCTION("SPLIT(A29,"""""")"")"),"( arctic_a0028 ")</f>
        <v>( arctic_a0028 </v>
      </c>
      <c r="C29" s="4" t="str">
        <f>IFERROR(__xludf.DUMMYFUNCTION("""COMPUTED_VALUE"""),"Robbery, bribery, fraud, ")</f>
        <v>Robbery, bribery, fraud, </v>
      </c>
      <c r="D29" s="4" t="str">
        <f>IFERROR(__xludf.DUMMYFUNCTION("""COMPUTED_VALUE""")," ")</f>
        <v> </v>
      </c>
    </row>
    <row r="30">
      <c r="A30" s="5" t="s">
        <v>3427</v>
      </c>
      <c r="B30" s="4" t="str">
        <f>IFERROR(__xludf.DUMMYFUNCTION("SPLIT(A30,"""""")"")"),"( arctic_a0029 ")</f>
        <v>( arctic_a0029 </v>
      </c>
      <c r="C30" s="4" t="str">
        <f>IFERROR(__xludf.DUMMYFUNCTION("""COMPUTED_VALUE"""),"Their forces were already moving into the north country.")</f>
        <v>Their forces were already moving into the north country.</v>
      </c>
      <c r="D30" s="4" t="str">
        <f>IFERROR(__xludf.DUMMYFUNCTION("""COMPUTED_VALUE""")," ")</f>
        <v> </v>
      </c>
    </row>
    <row r="31">
      <c r="A31" s="5" t="s">
        <v>3428</v>
      </c>
      <c r="B31" s="4" t="str">
        <f>IFERROR(__xludf.DUMMYFUNCTION("SPLIT(A31,"""""")"")"),"( arctic_a0030 ")</f>
        <v>( arctic_a0030 </v>
      </c>
      <c r="C31" s="4" t="str">
        <f>IFERROR(__xludf.DUMMYFUNCTION("""COMPUTED_VALUE"""),"I had faith in them.")</f>
        <v>I had faith in them.</v>
      </c>
      <c r="D31" s="4" t="str">
        <f>IFERROR(__xludf.DUMMYFUNCTION("""COMPUTED_VALUE""")," ")</f>
        <v> </v>
      </c>
    </row>
    <row r="32">
      <c r="A32" s="5" t="s">
        <v>3429</v>
      </c>
      <c r="B32" s="4" t="str">
        <f>IFERROR(__xludf.DUMMYFUNCTION("SPLIT(A32,"""""")"")"),"( arctic_a0031 ")</f>
        <v>( arctic_a0031 </v>
      </c>
      <c r="C32" s="4" t="str">
        <f>IFERROR(__xludf.DUMMYFUNCTION("""COMPUTED_VALUE"""),"They were three hundred yards apart.")</f>
        <v>They were three hundred yards apart.</v>
      </c>
      <c r="D32" s="4" t="str">
        <f>IFERROR(__xludf.DUMMYFUNCTION("""COMPUTED_VALUE""")," ")</f>
        <v> </v>
      </c>
    </row>
    <row r="33">
      <c r="A33" s="5" t="s">
        <v>3430</v>
      </c>
      <c r="B33" s="4" t="str">
        <f>IFERROR(__xludf.DUMMYFUNCTION("SPLIT(A33,"""""")"")"),"( arctic_a0032 ")</f>
        <v>( arctic_a0032 </v>
      </c>
      <c r="C33" s="4" t="str">
        <f>IFERROR(__xludf.DUMMYFUNCTION("""COMPUTED_VALUE"""),"Since then some mysterious force has been fighting us at every step.")</f>
        <v>Since then some mysterious force has been fighting us at every step.</v>
      </c>
      <c r="D33" s="4" t="str">
        <f>IFERROR(__xludf.DUMMYFUNCTION("""COMPUTED_VALUE""")," ")</f>
        <v> </v>
      </c>
    </row>
    <row r="34">
      <c r="A34" s="5" t="s">
        <v>3431</v>
      </c>
      <c r="B34" s="4" t="str">
        <f>IFERROR(__xludf.DUMMYFUNCTION("SPLIT(A34,"""""")"")"),"( arctic_a0033 ")</f>
        <v>( arctic_a0033 </v>
      </c>
      <c r="C34" s="4" t="str">
        <f>IFERROR(__xludf.DUMMYFUNCTION("""COMPUTED_VALUE"""),"He unfolded a long typewritten letter, and handed it to Gregson.")</f>
        <v>He unfolded a long typewritten letter, and handed it to Gregson.</v>
      </c>
      <c r="D34" s="4" t="str">
        <f>IFERROR(__xludf.DUMMYFUNCTION("""COMPUTED_VALUE""")," ")</f>
        <v> </v>
      </c>
    </row>
    <row r="35">
      <c r="A35" s="5" t="s">
        <v>3432</v>
      </c>
      <c r="B35" s="4" t="str">
        <f>IFERROR(__xludf.DUMMYFUNCTION("SPLIT(A35,"""""")"")"),"( arctic_a0034 ")</f>
        <v>( arctic_a0034 </v>
      </c>
      <c r="C35" s="4" t="str">
        <f>IFERROR(__xludf.DUMMYFUNCTION("""COMPUTED_VALUE"""),"Men of Selden's stamp don't stop at women and children.")</f>
        <v>Men of Selden's stamp don't stop at women and children.</v>
      </c>
      <c r="D35" s="4" t="str">
        <f>IFERROR(__xludf.DUMMYFUNCTION("""COMPUTED_VALUE""")," ")</f>
        <v> </v>
      </c>
    </row>
    <row r="36">
      <c r="A36" s="5" t="s">
        <v>3433</v>
      </c>
      <c r="B36" s="4" t="str">
        <f>IFERROR(__xludf.DUMMYFUNCTION("SPLIT(A36,"""""")"")"),"( arctic_a0035 ")</f>
        <v>( arctic_a0035 </v>
      </c>
      <c r="C36" s="4" t="str">
        <f>IFERROR(__xludf.DUMMYFUNCTION("""COMPUTED_VALUE"""),"He stopped, and Philip nodded at the horrified question in his eyes.")</f>
        <v>He stopped, and Philip nodded at the horrified question in his eyes.</v>
      </c>
      <c r="D36" s="4" t="str">
        <f>IFERROR(__xludf.DUMMYFUNCTION("""COMPUTED_VALUE""")," ")</f>
        <v> </v>
      </c>
    </row>
    <row r="37">
      <c r="A37" s="5" t="s">
        <v>3434</v>
      </c>
      <c r="B37" s="4" t="str">
        <f>IFERROR(__xludf.DUMMYFUNCTION("SPLIT(A37,"""""")"")"),"( arctic_a0036 ")</f>
        <v>( arctic_a0036 </v>
      </c>
      <c r="C37" s="4" t="str">
        <f>IFERROR(__xludf.DUMMYFUNCTION("""COMPUTED_VALUE"""),"She turned in at the hotel.")</f>
        <v>She turned in at the hotel.</v>
      </c>
      <c r="D37" s="4" t="str">
        <f>IFERROR(__xludf.DUMMYFUNCTION("""COMPUTED_VALUE""")," ")</f>
        <v> </v>
      </c>
    </row>
    <row r="38">
      <c r="A38" s="5" t="s">
        <v>3435</v>
      </c>
      <c r="B38" s="4" t="str">
        <f>IFERROR(__xludf.DUMMYFUNCTION("SPLIT(A38,"""""")"")"),"( arctic_a0037 ")</f>
        <v>( arctic_a0037 </v>
      </c>
      <c r="C38" s="4" t="str">
        <f>IFERROR(__xludf.DUMMYFUNCTION("""COMPUTED_VALUE"""),"I was the only one who remained sitting.")</f>
        <v>I was the only one who remained sitting.</v>
      </c>
      <c r="D38" s="4" t="str">
        <f>IFERROR(__xludf.DUMMYFUNCTION("""COMPUTED_VALUE""")," ")</f>
        <v> </v>
      </c>
    </row>
    <row r="39">
      <c r="A39" s="5" t="s">
        <v>3436</v>
      </c>
      <c r="B39" s="4" t="str">
        <f>IFERROR(__xludf.DUMMYFUNCTION("SPLIT(A39,"""""")"")"),"( arctic_a0038 ")</f>
        <v>( arctic_a0038 </v>
      </c>
      <c r="C39" s="4" t="str">
        <f>IFERROR(__xludf.DUMMYFUNCTION("""COMPUTED_VALUE"""),"We'll have to watch our chances.")</f>
        <v>We'll have to watch our chances.</v>
      </c>
      <c r="D39" s="4" t="str">
        <f>IFERROR(__xludf.DUMMYFUNCTION("""COMPUTED_VALUE""")," ")</f>
        <v> </v>
      </c>
    </row>
    <row r="40">
      <c r="A40" s="5" t="s">
        <v>3437</v>
      </c>
      <c r="B40" s="4" t="str">
        <f>IFERROR(__xludf.DUMMYFUNCTION("SPLIT(A40,"""""")"")"),"( arctic_a0039 ")</f>
        <v>( arctic_a0039 </v>
      </c>
      <c r="C40" s="4" t="str">
        <f>IFERROR(__xludf.DUMMYFUNCTION("""COMPUTED_VALUE"""),"The ship should be in within a week or ten days.")</f>
        <v>The ship should be in within a week or ten days.</v>
      </c>
      <c r="D40" s="4" t="str">
        <f>IFERROR(__xludf.DUMMYFUNCTION("""COMPUTED_VALUE""")," ")</f>
        <v> </v>
      </c>
    </row>
    <row r="41">
      <c r="A41" s="5" t="s">
        <v>3438</v>
      </c>
      <c r="B41" s="4" t="str">
        <f>IFERROR(__xludf.DUMMYFUNCTION("SPLIT(A41,"""""")"")"),"( arctic_a0040 ")</f>
        <v>( arctic_a0040 </v>
      </c>
      <c r="C41" s="4" t="str">
        <f>IFERROR(__xludf.DUMMYFUNCTION("""COMPUTED_VALUE"""),"I suppose you wonder why she is coming up here.")</f>
        <v>I suppose you wonder why she is coming up here.</v>
      </c>
      <c r="D41" s="4" t="str">
        <f>IFERROR(__xludf.DUMMYFUNCTION("""COMPUTED_VALUE""")," ")</f>
        <v> </v>
      </c>
    </row>
    <row r="42">
      <c r="A42" s="5" t="s">
        <v>3439</v>
      </c>
      <c r="B42" s="4" t="str">
        <f>IFERROR(__xludf.DUMMYFUNCTION("SPLIT(A42,"""""")"")"),"( arctic_a0041 ")</f>
        <v>( arctic_a0041 </v>
      </c>
      <c r="C42" s="4" t="str">
        <f>IFERROR(__xludf.DUMMYFUNCTION("""COMPUTED_VALUE"""),"Meanwhile I'll go out to breathe a spell.")</f>
        <v>Meanwhile I'll go out to breathe a spell.</v>
      </c>
      <c r="D42" s="4" t="str">
        <f>IFERROR(__xludf.DUMMYFUNCTION("""COMPUTED_VALUE""")," ")</f>
        <v> </v>
      </c>
    </row>
    <row r="43">
      <c r="A43" s="5" t="s">
        <v>3440</v>
      </c>
      <c r="B43" s="4" t="str">
        <f>IFERROR(__xludf.DUMMYFUNCTION("SPLIT(A43,"""""")"")"),"( arctic_a0042 ")</f>
        <v>( arctic_a0042 </v>
      </c>
      <c r="C43" s="4" t="str">
        <f>IFERROR(__xludf.DUMMYFUNCTION("""COMPUTED_VALUE"""),"How could he explain his possession of the sketch.")</f>
        <v>How could he explain his possession of the sketch.</v>
      </c>
      <c r="D43" s="4" t="str">
        <f>IFERROR(__xludf.DUMMYFUNCTION("""COMPUTED_VALUE""")," ")</f>
        <v> </v>
      </c>
    </row>
    <row r="44">
      <c r="A44" s="5" t="s">
        <v>3441</v>
      </c>
      <c r="B44" s="4" t="str">
        <f>IFERROR(__xludf.DUMMYFUNCTION("SPLIT(A44,"""""")"")"),"( arctic_a0043 ")</f>
        <v>( arctic_a0043 </v>
      </c>
      <c r="C44" s="4" t="str">
        <f>IFERROR(__xludf.DUMMYFUNCTION("""COMPUTED_VALUE"""),"It seemed nearer to him since he had seen and talked with Gregson.")</f>
        <v>It seemed nearer to him since he had seen and talked with Gregson.</v>
      </c>
      <c r="D44" s="4" t="str">
        <f>IFERROR(__xludf.DUMMYFUNCTION("""COMPUTED_VALUE""")," ")</f>
        <v> </v>
      </c>
    </row>
    <row r="45">
      <c r="A45" s="5" t="s">
        <v>3442</v>
      </c>
      <c r="B45" s="4" t="str">
        <f>IFERROR(__xludf.DUMMYFUNCTION("SPLIT(A45,"""""")"")"),"( arctic_a0044 ")</f>
        <v>( arctic_a0044 </v>
      </c>
      <c r="C45" s="4" t="str">
        <f>IFERROR(__xludf.DUMMYFUNCTION("""COMPUTED_VALUE"""),"Her own betrayal of herself was like tonic to Philip.")</f>
        <v>Her own betrayal of herself was like tonic to Philip.</v>
      </c>
      <c r="D45" s="4" t="str">
        <f>IFERROR(__xludf.DUMMYFUNCTION("""COMPUTED_VALUE""")," ")</f>
        <v> </v>
      </c>
    </row>
    <row r="46">
      <c r="A46" s="5" t="s">
        <v>3443</v>
      </c>
      <c r="B46" s="4" t="str">
        <f>IFERROR(__xludf.DUMMYFUNCTION("SPLIT(A46,"""""")"")"),"( arctic_a0045 ")</f>
        <v>( arctic_a0045 </v>
      </c>
      <c r="C46" s="4" t="str">
        <f>IFERROR(__xludf.DUMMYFUNCTION("""COMPUTED_VALUE"""),"He moved away as quietly as he had come.")</f>
        <v>He moved away as quietly as he had come.</v>
      </c>
      <c r="D46" s="4" t="str">
        <f>IFERROR(__xludf.DUMMYFUNCTION("""COMPUTED_VALUE""")," ")</f>
        <v> </v>
      </c>
    </row>
    <row r="47">
      <c r="A47" s="5" t="s">
        <v>3444</v>
      </c>
      <c r="B47" s="4" t="str">
        <f>IFERROR(__xludf.DUMMYFUNCTION("SPLIT(A47,"""""")"")"),"( arctic_a0046 ")</f>
        <v>( arctic_a0046 </v>
      </c>
      <c r="C47" s="4" t="str">
        <f>IFERROR(__xludf.DUMMYFUNCTION("""COMPUTED_VALUE"""),"The girl faced him, her eyes shining with sudden fear.")</f>
        <v>The girl faced him, her eyes shining with sudden fear.</v>
      </c>
      <c r="D47" s="4" t="str">
        <f>IFERROR(__xludf.DUMMYFUNCTION("""COMPUTED_VALUE""")," ")</f>
        <v> </v>
      </c>
    </row>
    <row r="48">
      <c r="A48" s="5" t="s">
        <v>3445</v>
      </c>
      <c r="B48" s="4" t="str">
        <f>IFERROR(__xludf.DUMMYFUNCTION("SPLIT(A48,"""""")"")"),"( arctic_a0047 ")</f>
        <v>( arctic_a0047 </v>
      </c>
      <c r="C48" s="4" t="str">
        <f>IFERROR(__xludf.DUMMYFUNCTION("""COMPUTED_VALUE"""),"Close beside him gleamed the white fangs of the wolf-dog.")</f>
        <v>Close beside him gleamed the white fangs of the wolf-dog.</v>
      </c>
      <c r="D48" s="4" t="str">
        <f>IFERROR(__xludf.DUMMYFUNCTION("""COMPUTED_VALUE""")," ")</f>
        <v> </v>
      </c>
    </row>
    <row r="49">
      <c r="A49" s="5" t="s">
        <v>3446</v>
      </c>
      <c r="B49" s="4" t="str">
        <f>IFERROR(__xludf.DUMMYFUNCTION("SPLIT(A49,"""""")"")"),"( arctic_a0048 ")</f>
        <v>( arctic_a0048 </v>
      </c>
      <c r="C49" s="4" t="str">
        <f>IFERROR(__xludf.DUMMYFUNCTION("""COMPUTED_VALUE"""),"He looked at the handkerchief more, closely.")</f>
        <v>He looked at the handkerchief more, closely.</v>
      </c>
      <c r="D49" s="4" t="str">
        <f>IFERROR(__xludf.DUMMYFUNCTION("""COMPUTED_VALUE""")," ")</f>
        <v> </v>
      </c>
    </row>
    <row r="50">
      <c r="A50" s="5" t="s">
        <v>3447</v>
      </c>
      <c r="B50" s="4" t="str">
        <f>IFERROR(__xludf.DUMMYFUNCTION("SPLIT(A50,"""""")"")"),"( arctic_a0049 ")</f>
        <v>( arctic_a0049 </v>
      </c>
      <c r="C50" s="4" t="str">
        <f>IFERROR(__xludf.DUMMYFUNCTION("""COMPUTED_VALUE"""),"Gregson was asleep when he re-entered the cabin.")</f>
        <v>Gregson was asleep when he re-entered the cabin.</v>
      </c>
      <c r="D50" s="4" t="str">
        <f>IFERROR(__xludf.DUMMYFUNCTION("""COMPUTED_VALUE""")," ")</f>
        <v> </v>
      </c>
    </row>
    <row r="51">
      <c r="A51" s="5" t="s">
        <v>3448</v>
      </c>
      <c r="B51" s="4" t="str">
        <f>IFERROR(__xludf.DUMMYFUNCTION("SPLIT(A51,"""""")"")"),"( arctic_a0050 ")</f>
        <v>( arctic_a0050 </v>
      </c>
      <c r="C51" s="4" t="str">
        <f>IFERROR(__xludf.DUMMYFUNCTION("""COMPUTED_VALUE"""),"In spite of their absurdity the words affected Philip curiously.")</f>
        <v>In spite of their absurdity the words affected Philip curiously.</v>
      </c>
      <c r="D51" s="4" t="str">
        <f>IFERROR(__xludf.DUMMYFUNCTION("""COMPUTED_VALUE""")," ")</f>
        <v> </v>
      </c>
    </row>
    <row r="52">
      <c r="A52" s="5" t="s">
        <v>3449</v>
      </c>
      <c r="B52" s="4" t="str">
        <f>IFERROR(__xludf.DUMMYFUNCTION("SPLIT(A52,"""""")"")"),"( arctic_a0051 ")</f>
        <v>( arctic_a0051 </v>
      </c>
      <c r="C52" s="4" t="str">
        <f>IFERROR(__xludf.DUMMYFUNCTION("""COMPUTED_VALUE"""),"The lace was of a delicate ivory color, faintly tinted with yellow.")</f>
        <v>The lace was of a delicate ivory color, faintly tinted with yellow.</v>
      </c>
      <c r="D52" s="4" t="str">
        <f>IFERROR(__xludf.DUMMYFUNCTION("""COMPUTED_VALUE""")," ")</f>
        <v> </v>
      </c>
    </row>
    <row r="53">
      <c r="A53" s="5" t="s">
        <v>3450</v>
      </c>
      <c r="B53" s="4" t="str">
        <f>IFERROR(__xludf.DUMMYFUNCTION("SPLIT(A53,"""""")"")"),"( arctic_a0052 ")</f>
        <v>( arctic_a0052 </v>
      </c>
      <c r="C53" s="4" t="str">
        <f>IFERROR(__xludf.DUMMYFUNCTION("""COMPUTED_VALUE"""),"It was a curious coincidence.")</f>
        <v>It was a curious coincidence.</v>
      </c>
      <c r="D53" s="4" t="str">
        <f>IFERROR(__xludf.DUMMYFUNCTION("""COMPUTED_VALUE""")," ")</f>
        <v> </v>
      </c>
    </row>
    <row r="54">
      <c r="A54" s="5" t="s">
        <v>3451</v>
      </c>
      <c r="B54" s="4" t="str">
        <f>IFERROR(__xludf.DUMMYFUNCTION("SPLIT(A54,"""""")"")"),"( arctic_a0053 ")</f>
        <v>( arctic_a0053 </v>
      </c>
      <c r="C54" s="4" t="str">
        <f>IFERROR(__xludf.DUMMYFUNCTION("""COMPUTED_VALUE"""),"Suddenly his fingers closed tightly over the handkerchief.")</f>
        <v>Suddenly his fingers closed tightly over the handkerchief.</v>
      </c>
      <c r="D54" s="4" t="str">
        <f>IFERROR(__xludf.DUMMYFUNCTION("""COMPUTED_VALUE""")," ")</f>
        <v> </v>
      </c>
    </row>
    <row r="55">
      <c r="A55" s="5" t="s">
        <v>3452</v>
      </c>
      <c r="B55" s="4" t="str">
        <f>IFERROR(__xludf.DUMMYFUNCTION("SPLIT(A55,"""""")"")"),"( arctic_a0054 ")</f>
        <v>( arctic_a0054 </v>
      </c>
      <c r="C55" s="4" t="str">
        <f>IFERROR(__xludf.DUMMYFUNCTION("""COMPUTED_VALUE"""),"There was nothing on the rock.")</f>
        <v>There was nothing on the rock.</v>
      </c>
      <c r="D55" s="4" t="str">
        <f>IFERROR(__xludf.DUMMYFUNCTION("""COMPUTED_VALUE""")," ")</f>
        <v> </v>
      </c>
    </row>
    <row r="56">
      <c r="A56" s="5" t="s">
        <v>3453</v>
      </c>
      <c r="B56" s="4" t="str">
        <f>IFERROR(__xludf.DUMMYFUNCTION("SPLIT(A56,"""""")"")"),"( arctic_a0055 ")</f>
        <v>( arctic_a0055 </v>
      </c>
      <c r="C56" s="4" t="str">
        <f>IFERROR(__xludf.DUMMYFUNCTION("""COMPUTED_VALUE"""),"Philip stood undecided, his ears strained to catch the slightest sound.")</f>
        <v>Philip stood undecided, his ears strained to catch the slightest sound.</v>
      </c>
      <c r="D56" s="4" t="str">
        <f>IFERROR(__xludf.DUMMYFUNCTION("""COMPUTED_VALUE""")," ")</f>
        <v> </v>
      </c>
    </row>
    <row r="57">
      <c r="A57" s="5" t="s">
        <v>3454</v>
      </c>
      <c r="B57" s="4" t="str">
        <f>IFERROR(__xludf.DUMMYFUNCTION("SPLIT(A57,"""""")"")"),"( arctic_a0056 ")</f>
        <v>( arctic_a0056 </v>
      </c>
      <c r="C57" s="4" t="str">
        <f>IFERROR(__xludf.DUMMYFUNCTION("""COMPUTED_VALUE"""),"Pearce's little eyes were fixed on him shrewdly.")</f>
        <v>Pearce's little eyes were fixed on him shrewdly.</v>
      </c>
      <c r="D57" s="4" t="str">
        <f>IFERROR(__xludf.DUMMYFUNCTION("""COMPUTED_VALUE""")," ")</f>
        <v> </v>
      </c>
    </row>
    <row r="58">
      <c r="A58" s="5" t="s">
        <v>3455</v>
      </c>
      <c r="B58" s="4" t="str">
        <f>IFERROR(__xludf.DUMMYFUNCTION("SPLIT(A58,"""""")"")"),"( arctic_a0057 ")</f>
        <v>( arctic_a0057 </v>
      </c>
      <c r="C58" s="4" t="str">
        <f>IFERROR(__xludf.DUMMYFUNCTION("""COMPUTED_VALUE"""),"I have no idea, replied Philip.")</f>
        <v>I have no idea, replied Philip.</v>
      </c>
      <c r="D58" s="4" t="str">
        <f>IFERROR(__xludf.DUMMYFUNCTION("""COMPUTED_VALUE""")," ")</f>
        <v> </v>
      </c>
    </row>
    <row r="59">
      <c r="A59" s="5" t="s">
        <v>3456</v>
      </c>
      <c r="B59" s="4" t="str">
        <f>IFERROR(__xludf.DUMMYFUNCTION("SPLIT(A59,"""""")"")"),"( arctic_a0058 ")</f>
        <v>( arctic_a0058 </v>
      </c>
      <c r="C59" s="4" t="str">
        <f>IFERROR(__xludf.DUMMYFUNCTION("""COMPUTED_VALUE"""),"I came for information more out of curiosity than anything else.")</f>
        <v>I came for information more out of curiosity than anything else.</v>
      </c>
      <c r="D59" s="4" t="str">
        <f>IFERROR(__xludf.DUMMYFUNCTION("""COMPUTED_VALUE""")," ")</f>
        <v> </v>
      </c>
    </row>
    <row r="60">
      <c r="A60" s="5" t="s">
        <v>3457</v>
      </c>
      <c r="B60" s="4" t="str">
        <f>IFERROR(__xludf.DUMMYFUNCTION("SPLIT(A60,"""""")"")"),"( arctic_a0059 ")</f>
        <v>( arctic_a0059 </v>
      </c>
      <c r="C60" s="4" t="str">
        <f>IFERROR(__xludf.DUMMYFUNCTION("""COMPUTED_VALUE"""),"His immaculate appearance was gone.")</f>
        <v>His immaculate appearance was gone.</v>
      </c>
      <c r="D60" s="4" t="str">
        <f>IFERROR(__xludf.DUMMYFUNCTION("""COMPUTED_VALUE""")," ")</f>
        <v> </v>
      </c>
    </row>
    <row r="61">
      <c r="A61" s="5" t="s">
        <v>3458</v>
      </c>
      <c r="B61" s="4" t="str">
        <f>IFERROR(__xludf.DUMMYFUNCTION("SPLIT(A61,"""""")"")"),"( arctic_a0060 ")</f>
        <v>( arctic_a0060 </v>
      </c>
      <c r="C61" s="4" t="str">
        <f>IFERROR(__xludf.DUMMYFUNCTION("""COMPUTED_VALUE"""),"Anyway, no one saw her like that.")</f>
        <v>Anyway, no one saw her like that.</v>
      </c>
      <c r="D61" s="4" t="str">
        <f>IFERROR(__xludf.DUMMYFUNCTION("""COMPUTED_VALUE""")," ")</f>
        <v> </v>
      </c>
    </row>
    <row r="62">
      <c r="A62" s="5" t="s">
        <v>3459</v>
      </c>
      <c r="B62" s="4" t="str">
        <f>IFERROR(__xludf.DUMMYFUNCTION("SPLIT(A62,"""""")"")"),"( arctic_a0061 ")</f>
        <v>( arctic_a0061 </v>
      </c>
      <c r="C62" s="4" t="str">
        <f>IFERROR(__xludf.DUMMYFUNCTION("""COMPUTED_VALUE"""),"Philip snatched at the letter which Gregson held out to him.")</f>
        <v>Philip snatched at the letter which Gregson held out to him.</v>
      </c>
      <c r="D62" s="4" t="str">
        <f>IFERROR(__xludf.DUMMYFUNCTION("""COMPUTED_VALUE""")," ")</f>
        <v> </v>
      </c>
    </row>
    <row r="63">
      <c r="A63" s="5" t="s">
        <v>3460</v>
      </c>
      <c r="B63" s="4" t="str">
        <f>IFERROR(__xludf.DUMMYFUNCTION("SPLIT(A63,"""""")"")"),"( arctic_a0062 ")</f>
        <v>( arctic_a0062 </v>
      </c>
      <c r="C63" s="4" t="str">
        <f>IFERROR(__xludf.DUMMYFUNCTION("""COMPUTED_VALUE"""),"The men stared into each other's face.")</f>
        <v>The men stared into each other's face.</v>
      </c>
      <c r="D63" s="4" t="str">
        <f>IFERROR(__xludf.DUMMYFUNCTION("""COMPUTED_VALUE""")," ")</f>
        <v> </v>
      </c>
    </row>
    <row r="64">
      <c r="A64" s="5" t="s">
        <v>3461</v>
      </c>
      <c r="B64" s="4" t="str">
        <f>IFERROR(__xludf.DUMMYFUNCTION("SPLIT(A64,"""""")"")"),"( arctic_a0063 ")</f>
        <v>( arctic_a0063 </v>
      </c>
      <c r="C64" s="4" t="str">
        <f>IFERROR(__xludf.DUMMYFUNCTION("""COMPUTED_VALUE"""),"Yes, it was a man who asked, a stranger.")</f>
        <v>Yes, it was a man who asked, a stranger.</v>
      </c>
      <c r="D64" s="4" t="str">
        <f>IFERROR(__xludf.DUMMYFUNCTION("""COMPUTED_VALUE""")," ")</f>
        <v> </v>
      </c>
    </row>
    <row r="65">
      <c r="A65" s="5" t="s">
        <v>3462</v>
      </c>
      <c r="B65" s="4" t="str">
        <f>IFERROR(__xludf.DUMMYFUNCTION("SPLIT(A65,"""""")"")"),"( arctic_a0064 ")</f>
        <v>( arctic_a0064 </v>
      </c>
      <c r="C65" s="4" t="str">
        <f>IFERROR(__xludf.DUMMYFUNCTION("""COMPUTED_VALUE"""),"The fourth and fifth days passed without any developments.")</f>
        <v>The fourth and fifth days passed without any developments.</v>
      </c>
      <c r="D65" s="4" t="str">
        <f>IFERROR(__xludf.DUMMYFUNCTION("""COMPUTED_VALUE""")," ")</f>
        <v> </v>
      </c>
    </row>
    <row r="66">
      <c r="A66" s="5" t="s">
        <v>3463</v>
      </c>
      <c r="B66" s="4" t="str">
        <f>IFERROR(__xludf.DUMMYFUNCTION("SPLIT(A66,"""""")"")"),"( arctic_a0065 ")</f>
        <v>( arctic_a0065 </v>
      </c>
      <c r="C66" s="4" t="str">
        <f>IFERROR(__xludf.DUMMYFUNCTION("""COMPUTED_VALUE"""),"They closed now until his fingers were like cords of steel.")</f>
        <v>They closed now until his fingers were like cords of steel.</v>
      </c>
      <c r="D66" s="4" t="str">
        <f>IFERROR(__xludf.DUMMYFUNCTION("""COMPUTED_VALUE""")," ")</f>
        <v> </v>
      </c>
    </row>
    <row r="67">
      <c r="A67" s="5" t="s">
        <v>3464</v>
      </c>
      <c r="B67" s="4" t="str">
        <f>IFERROR(__xludf.DUMMYFUNCTION("SPLIT(A67,"""""")"")"),"( arctic_a0066 ")</f>
        <v>( arctic_a0066 </v>
      </c>
      <c r="C67" s="4" t="str">
        <f>IFERROR(__xludf.DUMMYFUNCTION("""COMPUTED_VALUE"""),"He saw Jeanne falter for a moment.")</f>
        <v>He saw Jeanne falter for a moment.</v>
      </c>
      <c r="D67" s="4" t="str">
        <f>IFERROR(__xludf.DUMMYFUNCTION("""COMPUTED_VALUE""")," ")</f>
        <v> </v>
      </c>
    </row>
    <row r="68">
      <c r="A68" s="5" t="s">
        <v>3465</v>
      </c>
      <c r="B68" s="4" t="str">
        <f>IFERROR(__xludf.DUMMYFUNCTION("SPLIT(A68,"""""")"")"),"( arctic_a0067 ")</f>
        <v>( arctic_a0067 </v>
      </c>
      <c r="C68" s="4" t="str">
        <f>IFERROR(__xludf.DUMMYFUNCTION("""COMPUTED_VALUE"""),"Surely I will excuse you, she cried.")</f>
        <v>Surely I will excuse you, she cried.</v>
      </c>
      <c r="D68" s="4" t="str">
        <f>IFERROR(__xludf.DUMMYFUNCTION("""COMPUTED_VALUE""")," ")</f>
        <v> </v>
      </c>
    </row>
    <row r="69">
      <c r="A69" s="5" t="s">
        <v>3466</v>
      </c>
      <c r="B69" s="4" t="str">
        <f>IFERROR(__xludf.DUMMYFUNCTION("SPLIT(A69,"""""")"")"),"( arctic_a0068 ")</f>
        <v>( arctic_a0068 </v>
      </c>
      <c r="C69" s="4" t="str">
        <f>IFERROR(__xludf.DUMMYFUNCTION("""COMPUTED_VALUE"""),"In a flash Philip followed its direction.")</f>
        <v>In a flash Philip followed its direction.</v>
      </c>
      <c r="D69" s="4" t="str">
        <f>IFERROR(__xludf.DUMMYFUNCTION("""COMPUTED_VALUE""")," ")</f>
        <v> </v>
      </c>
    </row>
    <row r="70">
      <c r="A70" s="5" t="s">
        <v>3467</v>
      </c>
      <c r="B70" s="4" t="str">
        <f>IFERROR(__xludf.DUMMYFUNCTION("SPLIT(A70,"""""")"")"),"( arctic_a0069 ")</f>
        <v>( arctic_a0069 </v>
      </c>
      <c r="C70" s="4" t="str">
        <f>IFERROR(__xludf.DUMMYFUNCTION("""COMPUTED_VALUE"""),"It was his intention to return to Eileen and her father.")</f>
        <v>It was his intention to return to Eileen and her father.</v>
      </c>
      <c r="D70" s="4" t="str">
        <f>IFERROR(__xludf.DUMMYFUNCTION("""COMPUTED_VALUE""")," ")</f>
        <v> </v>
      </c>
    </row>
    <row r="71">
      <c r="A71" s="5" t="s">
        <v>3468</v>
      </c>
      <c r="B71" s="4" t="str">
        <f>IFERROR(__xludf.DUMMYFUNCTION("SPLIT(A71,"""""")"")"),"( arctic_a0070 ")</f>
        <v>( arctic_a0070 </v>
      </c>
      <c r="C71" s="4" t="str">
        <f>IFERROR(__xludf.DUMMYFUNCTION("""COMPUTED_VALUE"""),"He would first hunt up Gregson and begin his work there.")</f>
        <v>He would first hunt up Gregson and begin his work there.</v>
      </c>
      <c r="D71" s="4" t="str">
        <f>IFERROR(__xludf.DUMMYFUNCTION("""COMPUTED_VALUE""")," ")</f>
        <v> </v>
      </c>
    </row>
    <row r="72">
      <c r="A72" s="5" t="s">
        <v>3469</v>
      </c>
      <c r="B72" s="4" t="str">
        <f>IFERROR(__xludf.DUMMYFUNCTION("SPLIT(A72,"""""")"")"),"( arctic_a0071 ")</f>
        <v>( arctic_a0071 </v>
      </c>
      <c r="C72" s="4" t="str">
        <f>IFERROR(__xludf.DUMMYFUNCTION("""COMPUTED_VALUE"""),"What was the object of your little sensation.")</f>
        <v>What was the object of your little sensation.</v>
      </c>
      <c r="D72" s="4" t="str">
        <f>IFERROR(__xludf.DUMMYFUNCTION("""COMPUTED_VALUE""")," ")</f>
        <v> </v>
      </c>
    </row>
    <row r="73">
      <c r="A73" s="5" t="s">
        <v>3470</v>
      </c>
      <c r="B73" s="4" t="str">
        <f>IFERROR(__xludf.DUMMYFUNCTION("SPLIT(A73,"""""")"")"),"( arctic_a0072 ")</f>
        <v>( arctic_a0072 </v>
      </c>
      <c r="C73" s="4" t="str">
        <f>IFERROR(__xludf.DUMMYFUNCTION("""COMPUTED_VALUE"""),"But who was Eileen's double.")</f>
        <v>But who was Eileen's double.</v>
      </c>
      <c r="D73" s="4" t="str">
        <f>IFERROR(__xludf.DUMMYFUNCTION("""COMPUTED_VALUE""")," ")</f>
        <v> </v>
      </c>
    </row>
    <row r="74">
      <c r="A74" s="5" t="s">
        <v>3471</v>
      </c>
      <c r="B74" s="4" t="str">
        <f>IFERROR(__xludf.DUMMYFUNCTION("SPLIT(A74,"""""")"")"),"( arctic_a0073 ")</f>
        <v>( arctic_a0073 </v>
      </c>
      <c r="C74" s="4" t="str">
        <f>IFERROR(__xludf.DUMMYFUNCTION("""COMPUTED_VALUE"""),"The promoter's eyes were heavy, with little puffy bags under them.")</f>
        <v>The promoter's eyes were heavy, with little puffy bags under them.</v>
      </c>
      <c r="D74" s="4" t="str">
        <f>IFERROR(__xludf.DUMMYFUNCTION("""COMPUTED_VALUE""")," ")</f>
        <v> </v>
      </c>
    </row>
    <row r="75">
      <c r="A75" s="5" t="s">
        <v>3472</v>
      </c>
      <c r="B75" s="4" t="str">
        <f>IFERROR(__xludf.DUMMYFUNCTION("SPLIT(A75,"""""")"")"),"( arctic_a0074 ")</f>
        <v>( arctic_a0074 </v>
      </c>
      <c r="C75" s="4" t="str">
        <f>IFERROR(__xludf.DUMMYFUNCTION("""COMPUTED_VALUE"""),"And now, down there, Eileen was waiting for him.")</f>
        <v>And now, down there, Eileen was waiting for him.</v>
      </c>
      <c r="D75" s="4" t="str">
        <f>IFERROR(__xludf.DUMMYFUNCTION("""COMPUTED_VALUE""")," ")</f>
        <v> </v>
      </c>
    </row>
    <row r="76">
      <c r="A76" s="5" t="s">
        <v>3473</v>
      </c>
      <c r="B76" s="4" t="str">
        <f>IFERROR(__xludf.DUMMYFUNCTION("SPLIT(A76,"""""")"")"),"( arctic_a0075 ")</f>
        <v>( arctic_a0075 </v>
      </c>
      <c r="C76" s="4" t="str">
        <f>IFERROR(__xludf.DUMMYFUNCTION("""COMPUTED_VALUE"""),"There has been a change, she interrupted him.")</f>
        <v>There has been a change, she interrupted him.</v>
      </c>
      <c r="D76" s="4" t="str">
        <f>IFERROR(__xludf.DUMMYFUNCTION("""COMPUTED_VALUE""")," ")</f>
        <v> </v>
      </c>
    </row>
    <row r="77">
      <c r="A77" s="5" t="s">
        <v>3474</v>
      </c>
      <c r="B77" s="4" t="str">
        <f>IFERROR(__xludf.DUMMYFUNCTION("SPLIT(A77,"""""")"")"),"( arctic_a0076 ")</f>
        <v>( arctic_a0076 </v>
      </c>
      <c r="C77" s="4" t="str">
        <f>IFERROR(__xludf.DUMMYFUNCTION("""COMPUTED_VALUE"""),"The gray eyes faltered; the flush deepened.")</f>
        <v>The gray eyes faltered; the flush deepened.</v>
      </c>
      <c r="D77" s="4" t="str">
        <f>IFERROR(__xludf.DUMMYFUNCTION("""COMPUTED_VALUE""")," ")</f>
        <v> </v>
      </c>
    </row>
    <row r="78">
      <c r="A78" s="5" t="s">
        <v>3475</v>
      </c>
      <c r="B78" s="4" t="str">
        <f>IFERROR(__xludf.DUMMYFUNCTION("SPLIT(A78,"""""")"")"),"( arctic_a0077 ")</f>
        <v>( arctic_a0077 </v>
      </c>
      <c r="C78" s="4" t="str">
        <f>IFERROR(__xludf.DUMMYFUNCTION("""COMPUTED_VALUE"""),"It is the fire, partly, she said.")</f>
        <v>It is the fire, partly, she said.</v>
      </c>
      <c r="D78" s="4" t="str">
        <f>IFERROR(__xludf.DUMMYFUNCTION("""COMPUTED_VALUE""")," ")</f>
        <v> </v>
      </c>
    </row>
    <row r="79">
      <c r="A79" s="5" t="s">
        <v>3476</v>
      </c>
      <c r="B79" s="4" t="str">
        <f>IFERROR(__xludf.DUMMYFUNCTION("SPLIT(A79,"""""")"")"),"( arctic_a0078 ")</f>
        <v>( arctic_a0078 </v>
      </c>
      <c r="C79" s="4" t="str">
        <f>IFERROR(__xludf.DUMMYFUNCTION("""COMPUTED_VALUE"""),"Then, and at supper, he tried to fathom her.")</f>
        <v>Then, and at supper, he tried to fathom her.</v>
      </c>
      <c r="D79" s="4" t="str">
        <f>IFERROR(__xludf.DUMMYFUNCTION("""COMPUTED_VALUE""")," ")</f>
        <v> </v>
      </c>
    </row>
    <row r="80">
      <c r="A80" s="5" t="s">
        <v>3477</v>
      </c>
      <c r="B80" s="4" t="str">
        <f>IFERROR(__xludf.DUMMYFUNCTION("SPLIT(A80,"""""")"")"),"( arctic_a0079 ")</f>
        <v>( arctic_a0079 </v>
      </c>
      <c r="C80" s="4" t="str">
        <f>IFERROR(__xludf.DUMMYFUNCTION("""COMPUTED_VALUE"""),"It was a large canoe.")</f>
        <v>It was a large canoe.</v>
      </c>
      <c r="D80" s="4" t="str">
        <f>IFERROR(__xludf.DUMMYFUNCTION("""COMPUTED_VALUE""")," ")</f>
        <v> </v>
      </c>
    </row>
    <row r="81">
      <c r="A81" s="5" t="s">
        <v>3478</v>
      </c>
      <c r="B81" s="4" t="str">
        <f>IFERROR(__xludf.DUMMYFUNCTION("SPLIT(A81,"""""")"")"),"( arctic_a0080 ")</f>
        <v>( arctic_a0080 </v>
      </c>
      <c r="C81" s="4" t="str">
        <f>IFERROR(__xludf.DUMMYFUNCTION("""COMPUTED_VALUE"""),"What if Jeanne failed him.")</f>
        <v>What if Jeanne failed him.</v>
      </c>
      <c r="D81" s="4" t="str">
        <f>IFERROR(__xludf.DUMMYFUNCTION("""COMPUTED_VALUE""")," ")</f>
        <v> </v>
      </c>
    </row>
    <row r="82">
      <c r="A82" s="5" t="s">
        <v>3479</v>
      </c>
      <c r="B82" s="4" t="str">
        <f>IFERROR(__xludf.DUMMYFUNCTION("SPLIT(A82,"""""")"")"),"( arctic_a0081 ")</f>
        <v>( arctic_a0081 </v>
      </c>
      <c r="C82" s="4" t="str">
        <f>IFERROR(__xludf.DUMMYFUNCTION("""COMPUTED_VALUE"""),"What if she did not come to the rock.")</f>
        <v>What if she did not come to the rock.</v>
      </c>
      <c r="D82" s="4" t="str">
        <f>IFERROR(__xludf.DUMMYFUNCTION("""COMPUTED_VALUE""")," ")</f>
        <v> </v>
      </c>
    </row>
    <row r="83">
      <c r="A83" s="5" t="s">
        <v>3480</v>
      </c>
      <c r="B83" s="4" t="str">
        <f>IFERROR(__xludf.DUMMYFUNCTION("SPLIT(A83,"""""")"")"),"( arctic_a0082 ")</f>
        <v>( arctic_a0082 </v>
      </c>
      <c r="C83" s="4" t="str">
        <f>IFERROR(__xludf.DUMMYFUNCTION("""COMPUTED_VALUE"""),"His face was streaming with blood.")</f>
        <v>His face was streaming with blood.</v>
      </c>
      <c r="D83" s="4" t="str">
        <f>IFERROR(__xludf.DUMMYFUNCTION("""COMPUTED_VALUE""")," ")</f>
        <v> </v>
      </c>
    </row>
    <row r="84">
      <c r="A84" s="5" t="s">
        <v>3481</v>
      </c>
      <c r="B84" s="4" t="str">
        <f>IFERROR(__xludf.DUMMYFUNCTION("SPLIT(A84,"""""")"")"),"( arctic_a0083 ")</f>
        <v>( arctic_a0083 </v>
      </c>
      <c r="C84" s="4" t="str">
        <f>IFERROR(__xludf.DUMMYFUNCTION("""COMPUTED_VALUE"""),"A shadow was creeping over Pierre's eyes.")</f>
        <v>A shadow was creeping over Pierre's eyes.</v>
      </c>
      <c r="D84" s="4" t="str">
        <f>IFERROR(__xludf.DUMMYFUNCTION("""COMPUTED_VALUE""")," ")</f>
        <v> </v>
      </c>
    </row>
    <row r="85">
      <c r="A85" s="5" t="s">
        <v>3482</v>
      </c>
      <c r="B85" s="4" t="str">
        <f>IFERROR(__xludf.DUMMYFUNCTION("SPLIT(A85,"""""")"")"),"( arctic_a0084 ")</f>
        <v>( arctic_a0084 </v>
      </c>
      <c r="C85" s="4" t="str">
        <f>IFERROR(__xludf.DUMMYFUNCTION("""COMPUTED_VALUE"""),"Scarcely had he uttered the name when Pierre's closing eyes shot open.")</f>
        <v>Scarcely had he uttered the name when Pierre's closing eyes shot open.</v>
      </c>
      <c r="D85" s="4" t="str">
        <f>IFERROR(__xludf.DUMMYFUNCTION("""COMPUTED_VALUE""")," ")</f>
        <v> </v>
      </c>
    </row>
    <row r="86">
      <c r="A86" s="5" t="s">
        <v>3483</v>
      </c>
      <c r="B86" s="4" t="str">
        <f>IFERROR(__xludf.DUMMYFUNCTION("SPLIT(A86,"""""")"")"),"( arctic_a0085 ")</f>
        <v>( arctic_a0085 </v>
      </c>
      <c r="C86" s="4" t="str">
        <f>IFERROR(__xludf.DUMMYFUNCTION("""COMPUTED_VALUE"""),"A trickle of fresh blood ran over his face.")</f>
        <v>A trickle of fresh blood ran over his face.</v>
      </c>
      <c r="D86" s="4" t="str">
        <f>IFERROR(__xludf.DUMMYFUNCTION("""COMPUTED_VALUE""")," ")</f>
        <v> </v>
      </c>
    </row>
    <row r="87">
      <c r="A87" s="5" t="s">
        <v>3484</v>
      </c>
      <c r="B87" s="4" t="str">
        <f>IFERROR(__xludf.DUMMYFUNCTION("SPLIT(A87,"""""")"")"),"( arctic_a0086 ")</f>
        <v>( arctic_a0086 </v>
      </c>
      <c r="C87" s="4" t="str">
        <f>IFERROR(__xludf.DUMMYFUNCTION("""COMPUTED_VALUE"""),"Death had come with terrible suddenness.")</f>
        <v>Death had come with terrible suddenness.</v>
      </c>
      <c r="D87" s="4" t="str">
        <f>IFERROR(__xludf.DUMMYFUNCTION("""COMPUTED_VALUE""")," ")</f>
        <v> </v>
      </c>
    </row>
    <row r="88">
      <c r="A88" s="5" t="s">
        <v>3485</v>
      </c>
      <c r="B88" s="4" t="str">
        <f>IFERROR(__xludf.DUMMYFUNCTION("SPLIT(A88,"""""")"")"),"( arctic_a0087 ")</f>
        <v>( arctic_a0087 </v>
      </c>
      <c r="C88" s="4" t="str">
        <f>IFERROR(__xludf.DUMMYFUNCTION("""COMPUTED_VALUE"""),"Philip bent lower, and stared into the face of the dead man.")</f>
        <v>Philip bent lower, and stared into the face of the dead man.</v>
      </c>
      <c r="D88" s="4" t="str">
        <f>IFERROR(__xludf.DUMMYFUNCTION("""COMPUTED_VALUE""")," ")</f>
        <v> </v>
      </c>
    </row>
    <row r="89">
      <c r="A89" s="5" t="s">
        <v>3486</v>
      </c>
      <c r="B89" s="4" t="str">
        <f>IFERROR(__xludf.DUMMYFUNCTION("SPLIT(A89,"""""")"")"),"( arctic_a0088 ")</f>
        <v>( arctic_a0088 </v>
      </c>
      <c r="C89" s="4" t="str">
        <f>IFERROR(__xludf.DUMMYFUNCTION("""COMPUTED_VALUE"""),"He made sure that the magazine was loaded, and resumed his paddling.")</f>
        <v>He made sure that the magazine was loaded, and resumed his paddling.</v>
      </c>
      <c r="D89" s="4" t="str">
        <f>IFERROR(__xludf.DUMMYFUNCTION("""COMPUTED_VALUE""")," ")</f>
        <v> </v>
      </c>
    </row>
    <row r="90">
      <c r="A90" s="5" t="s">
        <v>3487</v>
      </c>
      <c r="B90" s="4" t="str">
        <f>IFERROR(__xludf.DUMMYFUNCTION("SPLIT(A90,"""""")"")"),"( arctic_a0089 ")</f>
        <v>( arctic_a0089 </v>
      </c>
      <c r="C90" s="4" t="str">
        <f>IFERROR(__xludf.DUMMYFUNCTION("""COMPUTED_VALUE"""),"The nightglow was treacherous to shoot by.")</f>
        <v>The nightglow was treacherous to shoot by.</v>
      </c>
      <c r="D90" s="4" t="str">
        <f>IFERROR(__xludf.DUMMYFUNCTION("""COMPUTED_VALUE""")," ")</f>
        <v> </v>
      </c>
    </row>
    <row r="91">
      <c r="A91" s="5" t="s">
        <v>3488</v>
      </c>
      <c r="B91" s="4" t="str">
        <f>IFERROR(__xludf.DUMMYFUNCTION("SPLIT(A91,"""""")"")"),"( arctic_a0090 ")</f>
        <v>( arctic_a0090 </v>
      </c>
      <c r="C91" s="4" t="str">
        <f>IFERROR(__xludf.DUMMYFUNCTION("""COMPUTED_VALUE"""),"The singing voice approached rapidly.")</f>
        <v>The singing voice approached rapidly.</v>
      </c>
      <c r="D91" s="4" t="str">
        <f>IFERROR(__xludf.DUMMYFUNCTION("""COMPUTED_VALUE""")," ")</f>
        <v> </v>
      </c>
    </row>
    <row r="92">
      <c r="A92" s="5" t="s">
        <v>3489</v>
      </c>
      <c r="B92" s="4" t="str">
        <f>IFERROR(__xludf.DUMMYFUNCTION("SPLIT(A92,"""""")"")"),"( arctic_a0091 ")</f>
        <v>( arctic_a0091 </v>
      </c>
      <c r="C92" s="4" t="str">
        <f>IFERROR(__xludf.DUMMYFUNCTION("""COMPUTED_VALUE"""),"His blood grew hot with rage at the thought.")</f>
        <v>His blood grew hot with rage at the thought.</v>
      </c>
      <c r="D92" s="4" t="str">
        <f>IFERROR(__xludf.DUMMYFUNCTION("""COMPUTED_VALUE""")," ")</f>
        <v> </v>
      </c>
    </row>
    <row r="93">
      <c r="A93" s="5" t="s">
        <v>3490</v>
      </c>
      <c r="B93" s="4" t="str">
        <f>IFERROR(__xludf.DUMMYFUNCTION("SPLIT(A93,"""""")"")"),"( arctic_a0092 ")</f>
        <v>( arctic_a0092 </v>
      </c>
      <c r="C93" s="4" t="str">
        <f>IFERROR(__xludf.DUMMYFUNCTION("""COMPUTED_VALUE"""),"He went down in midstream, searching the shadows of both shores.")</f>
        <v>He went down in midstream, searching the shadows of both shores.</v>
      </c>
      <c r="D93" s="4" t="str">
        <f>IFERROR(__xludf.DUMMYFUNCTION("""COMPUTED_VALUE""")," ")</f>
        <v> </v>
      </c>
    </row>
    <row r="94">
      <c r="A94" s="5" t="s">
        <v>3491</v>
      </c>
      <c r="B94" s="4" t="str">
        <f>IFERROR(__xludf.DUMMYFUNCTION("SPLIT(A94,"""""")"")"),"( arctic_a0093 ")</f>
        <v>( arctic_a0093 </v>
      </c>
      <c r="C94" s="4" t="str">
        <f>IFERROR(__xludf.DUMMYFUNCTION("""COMPUTED_VALUE"""),"For a full minute he crouched and listened.")</f>
        <v>For a full minute he crouched and listened.</v>
      </c>
      <c r="D94" s="4" t="str">
        <f>IFERROR(__xludf.DUMMYFUNCTION("""COMPUTED_VALUE""")," ")</f>
        <v> </v>
      </c>
    </row>
    <row r="95">
      <c r="A95" s="5" t="s">
        <v>3492</v>
      </c>
      <c r="B95" s="4" t="str">
        <f>IFERROR(__xludf.DUMMYFUNCTION("SPLIT(A95,"""""")"")"),"( arctic_a0094 ")</f>
        <v>( arctic_a0094 </v>
      </c>
      <c r="C95" s="4" t="str">
        <f>IFERROR(__xludf.DUMMYFUNCTION("""COMPUTED_VALUE"""),"He had barely entered this when he saw the glow of a fire.")</f>
        <v>He had barely entered this when he saw the glow of a fire.</v>
      </c>
      <c r="D95" s="4" t="str">
        <f>IFERROR(__xludf.DUMMYFUNCTION("""COMPUTED_VALUE""")," ")</f>
        <v> </v>
      </c>
    </row>
    <row r="96">
      <c r="A96" s="5" t="s">
        <v>3493</v>
      </c>
      <c r="B96" s="4" t="str">
        <f>IFERROR(__xludf.DUMMYFUNCTION("SPLIT(A96,"""""")"")"),"( arctic_a0095 ")</f>
        <v>( arctic_a0095 </v>
      </c>
      <c r="C96" s="4" t="str">
        <f>IFERROR(__xludf.DUMMYFUNCTION("""COMPUTED_VALUE"""),"A big canvas tent was the first thing to come within his vision.")</f>
        <v>A big canvas tent was the first thing to come within his vision.</v>
      </c>
      <c r="D96" s="4" t="str">
        <f>IFERROR(__xludf.DUMMYFUNCTION("""COMPUTED_VALUE""")," ")</f>
        <v> </v>
      </c>
    </row>
    <row r="97">
      <c r="A97" s="5" t="s">
        <v>3494</v>
      </c>
      <c r="B97" s="4" t="str">
        <f>IFERROR(__xludf.DUMMYFUNCTION("SPLIT(A97,"""""")"")"),"( arctic_a0096 ")</f>
        <v>( arctic_a0096 </v>
      </c>
      <c r="C97" s="4" t="str">
        <f>IFERROR(__xludf.DUMMYFUNCTION("""COMPUTED_VALUE"""),"Perhaps she had already met her fate a little deeper in the forest.")</f>
        <v>Perhaps she had already met her fate a little deeper in the forest.</v>
      </c>
      <c r="D97" s="4" t="str">
        <f>IFERROR(__xludf.DUMMYFUNCTION("""COMPUTED_VALUE""")," ")</f>
        <v> </v>
      </c>
    </row>
    <row r="98">
      <c r="A98" s="5" t="s">
        <v>3495</v>
      </c>
      <c r="B98" s="4" t="str">
        <f>IFERROR(__xludf.DUMMYFUNCTION("SPLIT(A98,"""""")"")"),"( arctic_a0097 ")</f>
        <v>( arctic_a0097 </v>
      </c>
      <c r="C98" s="4" t="str">
        <f>IFERROR(__xludf.DUMMYFUNCTION("""COMPUTED_VALUE"""),"Then you can arrange yourself comfortably among these robes in the bow.")</f>
        <v>Then you can arrange yourself comfortably among these robes in the bow.</v>
      </c>
      <c r="D98" s="4" t="str">
        <f>IFERROR(__xludf.DUMMYFUNCTION("""COMPUTED_VALUE""")," ")</f>
        <v> </v>
      </c>
    </row>
    <row r="99">
      <c r="A99" s="5" t="s">
        <v>3496</v>
      </c>
      <c r="B99" s="4" t="str">
        <f>IFERROR(__xludf.DUMMYFUNCTION("SPLIT(A99,"""""")"")"),"( arctic_a0098 ")</f>
        <v>( arctic_a0098 </v>
      </c>
      <c r="C99" s="4" t="str">
        <f>IFERROR(__xludf.DUMMYFUNCTION("""COMPUTED_VALUE"""),"Shall I carry you.")</f>
        <v>Shall I carry you.</v>
      </c>
      <c r="D99" s="4" t="str">
        <f>IFERROR(__xludf.DUMMYFUNCTION("""COMPUTED_VALUE""")," ")</f>
        <v> </v>
      </c>
    </row>
    <row r="100">
      <c r="A100" s="5" t="s">
        <v>3497</v>
      </c>
      <c r="B100" s="4" t="str">
        <f>IFERROR(__xludf.DUMMYFUNCTION("SPLIT(A100,"""""")"")"),"( arctic_a0099 ")</f>
        <v>( arctic_a0099 </v>
      </c>
      <c r="C100" s="4" t="str">
        <f>IFERROR(__xludf.DUMMYFUNCTION("""COMPUTED_VALUE"""),"A maddening joy pounded in his brain.")</f>
        <v>A maddening joy pounded in his brain.</v>
      </c>
      <c r="D100" s="4" t="str">
        <f>IFERROR(__xludf.DUMMYFUNCTION("""COMPUTED_VALUE""")," ")</f>
        <v> </v>
      </c>
    </row>
    <row r="101">
      <c r="A101" s="5" t="s">
        <v>3498</v>
      </c>
      <c r="B101" s="4" t="str">
        <f>IFERROR(__xludf.DUMMYFUNCTION("SPLIT(A101,"""""")"")"),"( arctic_a0100 ")</f>
        <v>( arctic_a0100 </v>
      </c>
      <c r="C101" s="4" t="str">
        <f>IFERROR(__xludf.DUMMYFUNCTION("""COMPUTED_VALUE"""),"You must sleep, he urged.")</f>
        <v>You must sleep, he urged.</v>
      </c>
      <c r="D101" s="4" t="str">
        <f>IFERROR(__xludf.DUMMYFUNCTION("""COMPUTED_VALUE""")," ")</f>
        <v> </v>
      </c>
    </row>
    <row r="102">
      <c r="A102" s="5" t="s">
        <v>3499</v>
      </c>
      <c r="B102" s="4" t="str">
        <f>IFERROR(__xludf.DUMMYFUNCTION("SPLIT(A102,"""""")"")"),"( arctic_a0101 ")</f>
        <v>( arctic_a0101 </v>
      </c>
      <c r="C102" s="4" t="str">
        <f>IFERROR(__xludf.DUMMYFUNCTION("""COMPUTED_VALUE"""),"You, you would not keep the truth from me.")</f>
        <v>You, you would not keep the truth from me.</v>
      </c>
      <c r="D102" s="4" t="str">
        <f>IFERROR(__xludf.DUMMYFUNCTION("""COMPUTED_VALUE""")," ")</f>
        <v> </v>
      </c>
    </row>
    <row r="103">
      <c r="A103" s="5" t="s">
        <v>3500</v>
      </c>
      <c r="B103" s="4" t="str">
        <f>IFERROR(__xludf.DUMMYFUNCTION("SPLIT(A103,"""""")"")"),"( arctic_a0102 ")</f>
        <v>( arctic_a0102 </v>
      </c>
      <c r="C103" s="4" t="str">
        <f>IFERROR(__xludf.DUMMYFUNCTION("""COMPUTED_VALUE"""),"He will follow us soon.")</f>
        <v>He will follow us soon.</v>
      </c>
      <c r="D103" s="4" t="str">
        <f>IFERROR(__xludf.DUMMYFUNCTION("""COMPUTED_VALUE""")," ")</f>
        <v> </v>
      </c>
    </row>
    <row r="104">
      <c r="A104" s="5" t="s">
        <v>3501</v>
      </c>
      <c r="B104" s="4" t="str">
        <f>IFERROR(__xludf.DUMMYFUNCTION("SPLIT(A104,"""""")"")"),"( arctic_a0103 ")</f>
        <v>( arctic_a0103 </v>
      </c>
      <c r="C104" s="4" t="str">
        <f>IFERROR(__xludf.DUMMYFUNCTION("""COMPUTED_VALUE"""),"But there came no promise from the bow of the canoe.")</f>
        <v>But there came no promise from the bow of the canoe.</v>
      </c>
      <c r="D104" s="4" t="str">
        <f>IFERROR(__xludf.DUMMYFUNCTION("""COMPUTED_VALUE""")," ")</f>
        <v> </v>
      </c>
    </row>
    <row r="105">
      <c r="A105" s="5" t="s">
        <v>3502</v>
      </c>
      <c r="B105" s="4" t="str">
        <f>IFERROR(__xludf.DUMMYFUNCTION("SPLIT(A105,"""""")"")"),"( arctic_a0104 ")</f>
        <v>( arctic_a0104 </v>
      </c>
      <c r="C105" s="4" t="str">
        <f>IFERROR(__xludf.DUMMYFUNCTION("""COMPUTED_VALUE"""),"She was sleeping under his protection as sweetly as a child.")</f>
        <v>She was sleeping under his protection as sweetly as a child.</v>
      </c>
      <c r="D105" s="4" t="str">
        <f>IFERROR(__xludf.DUMMYFUNCTION("""COMPUTED_VALUE""")," ")</f>
        <v> </v>
      </c>
    </row>
    <row r="106">
      <c r="A106" s="5" t="s">
        <v>3503</v>
      </c>
      <c r="B106" s="4" t="str">
        <f>IFERROR(__xludf.DUMMYFUNCTION("SPLIT(A106,"""""")"")"),"( arctic_a0105 ")</f>
        <v>( arctic_a0105 </v>
      </c>
      <c r="C106" s="4" t="str">
        <f>IFERROR(__xludf.DUMMYFUNCTION("""COMPUTED_VALUE"""),"Only, it is so wonderful, so almost impossible to believe.")</f>
        <v>Only, it is so wonderful, so almost impossible to believe.</v>
      </c>
      <c r="D106" s="4" t="str">
        <f>IFERROR(__xludf.DUMMYFUNCTION("""COMPUTED_VALUE""")," ")</f>
        <v> </v>
      </c>
    </row>
    <row r="107">
      <c r="A107" s="5" t="s">
        <v>3504</v>
      </c>
      <c r="B107" s="4" t="str">
        <f>IFERROR(__xludf.DUMMYFUNCTION("SPLIT(A107,"""""")"")"),"( arctic_a0106 ")</f>
        <v>( arctic_a0106 </v>
      </c>
      <c r="C107" s="4" t="str">
        <f>IFERROR(__xludf.DUMMYFUNCTION("""COMPUTED_VALUE"""),"The emotion which she had suppressed burst forth now in a choking sob.")</f>
        <v>The emotion which she had suppressed burst forth now in a choking sob.</v>
      </c>
      <c r="D107" s="4" t="str">
        <f>IFERROR(__xludf.DUMMYFUNCTION("""COMPUTED_VALUE""")," ")</f>
        <v> </v>
      </c>
    </row>
    <row r="108">
      <c r="A108" s="5" t="s">
        <v>3505</v>
      </c>
      <c r="B108" s="4" t="str">
        <f>IFERROR(__xludf.DUMMYFUNCTION("SPLIT(A108,"""""")"")"),"( arctic_a0107 ")</f>
        <v>( arctic_a0107 </v>
      </c>
      <c r="C108" s="4" t="str">
        <f>IFERROR(__xludf.DUMMYFUNCTION("""COMPUTED_VALUE"""),"If you only could know how I thank you.")</f>
        <v>If you only could know how I thank you.</v>
      </c>
      <c r="D108" s="4" t="str">
        <f>IFERROR(__xludf.DUMMYFUNCTION("""COMPUTED_VALUE""")," ")</f>
        <v> </v>
      </c>
    </row>
    <row r="109">
      <c r="A109" s="5" t="s">
        <v>3506</v>
      </c>
      <c r="B109" s="4" t="str">
        <f>IFERROR(__xludf.DUMMYFUNCTION("SPLIT(A109,"""""")"")"),"( arctic_a0108 ")</f>
        <v>( arctic_a0108 </v>
      </c>
      <c r="C109" s="4" t="str">
        <f>IFERROR(__xludf.DUMMYFUNCTION("""COMPUTED_VALUE"""),"He waded into the edge of the water and began scrubbing himself.")</f>
        <v>He waded into the edge of the water and began scrubbing himself.</v>
      </c>
      <c r="D109" s="4" t="str">
        <f>IFERROR(__xludf.DUMMYFUNCTION("""COMPUTED_VALUE""")," ")</f>
        <v> </v>
      </c>
    </row>
    <row r="110">
      <c r="A110" s="5" t="s">
        <v>3507</v>
      </c>
      <c r="B110" s="4" t="str">
        <f>IFERROR(__xludf.DUMMYFUNCTION("SPLIT(A110,"""""")"")"),"( arctic_a0109 ")</f>
        <v>( arctic_a0109 </v>
      </c>
      <c r="C110" s="4" t="str">
        <f>IFERROR(__xludf.DUMMYFUNCTION("""COMPUTED_VALUE"""),"Do you know that you are shaking my confidence in you.")</f>
        <v>Do you know that you are shaking my confidence in you.</v>
      </c>
      <c r="D110" s="4" t="str">
        <f>IFERROR(__xludf.DUMMYFUNCTION("""COMPUTED_VALUE""")," ")</f>
        <v> </v>
      </c>
    </row>
    <row r="111">
      <c r="A111" s="5" t="s">
        <v>3508</v>
      </c>
      <c r="B111" s="4" t="str">
        <f>IFERROR(__xludf.DUMMYFUNCTION("SPLIT(A111,"""""")"")"),"( arctic_a0110 ")</f>
        <v>( arctic_a0110 </v>
      </c>
      <c r="C111" s="4" t="str">
        <f>IFERROR(__xludf.DUMMYFUNCTION("""COMPUTED_VALUE"""),"Much, replied Jeanne, as tersely.")</f>
        <v>Much, replied Jeanne, as tersely.</v>
      </c>
      <c r="D111" s="4" t="str">
        <f>IFERROR(__xludf.DUMMYFUNCTION("""COMPUTED_VALUE""")," ")</f>
        <v> </v>
      </c>
    </row>
    <row r="112">
      <c r="A112" s="5" t="s">
        <v>3509</v>
      </c>
      <c r="B112" s="4" t="str">
        <f>IFERROR(__xludf.DUMMYFUNCTION("SPLIT(A112,"""""")"")"),"( arctic_a0111 ")</f>
        <v>( arctic_a0111 </v>
      </c>
      <c r="C112" s="4" t="str">
        <f>IFERROR(__xludf.DUMMYFUNCTION("""COMPUTED_VALUE"""),"Instead, he joined her; and they ate like two hungry children.")</f>
        <v>Instead, he joined her; and they ate like two hungry children.</v>
      </c>
      <c r="D112" s="4" t="str">
        <f>IFERROR(__xludf.DUMMYFUNCTION("""COMPUTED_VALUE""")," ")</f>
        <v> </v>
      </c>
    </row>
    <row r="113">
      <c r="A113" s="5" t="s">
        <v>3510</v>
      </c>
      <c r="B113" s="4" t="str">
        <f>IFERROR(__xludf.DUMMYFUNCTION("SPLIT(A113,"""""")"")"),"( arctic_a0112 ")</f>
        <v>( arctic_a0112 </v>
      </c>
      <c r="C113" s="4" t="str">
        <f>IFERROR(__xludf.DUMMYFUNCTION("""COMPUTED_VALUE"""),"He was wounded in the arm.")</f>
        <v>He was wounded in the arm.</v>
      </c>
      <c r="D113" s="4" t="str">
        <f>IFERROR(__xludf.DUMMYFUNCTION("""COMPUTED_VALUE""")," ")</f>
        <v> </v>
      </c>
    </row>
    <row r="114">
      <c r="A114" s="5" t="s">
        <v>3511</v>
      </c>
      <c r="B114" s="4" t="str">
        <f>IFERROR(__xludf.DUMMYFUNCTION("SPLIT(A114,"""""")"")"),"( arctic_a0113 ")</f>
        <v>( arctic_a0113 </v>
      </c>
      <c r="C114" s="4" t="str">
        <f>IFERROR(__xludf.DUMMYFUNCTION("""COMPUTED_VALUE"""),"I suppose you picked that lingo up among the Indians.")</f>
        <v>I suppose you picked that lingo up among the Indians.</v>
      </c>
      <c r="D114" s="4" t="str">
        <f>IFERROR(__xludf.DUMMYFUNCTION("""COMPUTED_VALUE""")," ")</f>
        <v> </v>
      </c>
    </row>
    <row r="115">
      <c r="A115" s="5" t="s">
        <v>3512</v>
      </c>
      <c r="B115" s="4" t="str">
        <f>IFERROR(__xludf.DUMMYFUNCTION("SPLIT(A115,"""""")"")"),"( arctic_a0114 ")</f>
        <v>( arctic_a0114 </v>
      </c>
      <c r="C115" s="4" t="str">
        <f>IFERROR(__xludf.DUMMYFUNCTION("""COMPUTED_VALUE"""),"Her words sent a strange chill through Philip.")</f>
        <v>Her words sent a strange chill through Philip.</v>
      </c>
      <c r="D115" s="4" t="str">
        <f>IFERROR(__xludf.DUMMYFUNCTION("""COMPUTED_VALUE""")," ")</f>
        <v> </v>
      </c>
    </row>
    <row r="116">
      <c r="A116" s="5" t="s">
        <v>3513</v>
      </c>
      <c r="B116" s="4" t="str">
        <f>IFERROR(__xludf.DUMMYFUNCTION("SPLIT(A116,"""""")"")"),"( arctic_a0115 ")</f>
        <v>( arctic_a0115 </v>
      </c>
      <c r="C116" s="4" t="str">
        <f>IFERROR(__xludf.DUMMYFUNCTION("""COMPUTED_VALUE"""),"He had no excuse for the feelings which were aroused in him.")</f>
        <v>He had no excuse for the feelings which were aroused in him.</v>
      </c>
      <c r="D116" s="4" t="str">
        <f>IFERROR(__xludf.DUMMYFUNCTION("""COMPUTED_VALUE""")," ")</f>
        <v> </v>
      </c>
    </row>
    <row r="117">
      <c r="A117" s="5" t="s">
        <v>3514</v>
      </c>
      <c r="B117" s="4" t="str">
        <f>IFERROR(__xludf.DUMMYFUNCTION("SPLIT(A117,"""""")"")"),"( arctic_a0116 ")</f>
        <v>( arctic_a0116 </v>
      </c>
      <c r="C117" s="4" t="str">
        <f>IFERROR(__xludf.DUMMYFUNCTION("""COMPUTED_VALUE"""),"Was it the rendezvous of those who were striving to work his ruin.")</f>
        <v>Was it the rendezvous of those who were striving to work his ruin.</v>
      </c>
      <c r="D117" s="4" t="str">
        <f>IFERROR(__xludf.DUMMYFUNCTION("""COMPUTED_VALUE""")," ")</f>
        <v> </v>
      </c>
    </row>
    <row r="118">
      <c r="A118" s="5" t="s">
        <v>3515</v>
      </c>
      <c r="B118" s="4" t="str">
        <f>IFERROR(__xludf.DUMMYFUNCTION("SPLIT(A118,"""""")"")"),"( arctic_a0117 ")</f>
        <v>( arctic_a0117 </v>
      </c>
      <c r="C118" s="4" t="str">
        <f>IFERROR(__xludf.DUMMYFUNCTION("""COMPUTED_VALUE"""),"She added, with genuine sympathy in her face and voice.")</f>
        <v>She added, with genuine sympathy in her face and voice.</v>
      </c>
      <c r="D118" s="4" t="str">
        <f>IFERROR(__xludf.DUMMYFUNCTION("""COMPUTED_VALUE""")," ")</f>
        <v> </v>
      </c>
    </row>
    <row r="119">
      <c r="A119" s="5" t="s">
        <v>3516</v>
      </c>
      <c r="B119" s="4" t="str">
        <f>IFERROR(__xludf.DUMMYFUNCTION("SPLIT(A119,"""""")"")"),"( arctic_a0118 ")</f>
        <v>( arctic_a0118 </v>
      </c>
      <c r="C119" s="4" t="str">
        <f>IFERROR(__xludf.DUMMYFUNCTION("""COMPUTED_VALUE"""),"Pierre obeys me when we are together.")</f>
        <v>Pierre obeys me when we are together.</v>
      </c>
      <c r="D119" s="4" t="str">
        <f>IFERROR(__xludf.DUMMYFUNCTION("""COMPUTED_VALUE""")," ")</f>
        <v> </v>
      </c>
    </row>
    <row r="120">
      <c r="A120" s="5" t="s">
        <v>3517</v>
      </c>
      <c r="B120" s="4" t="str">
        <f>IFERROR(__xludf.DUMMYFUNCTION("SPLIT(A120,"""""")"")"),"( arctic_a0119 ")</f>
        <v>( arctic_a0119 </v>
      </c>
      <c r="C120" s="4" t="str">
        <f>IFERROR(__xludf.DUMMYFUNCTION("""COMPUTED_VALUE"""),"Jeanne was turning the bow shoreward.")</f>
        <v>Jeanne was turning the bow shoreward.</v>
      </c>
      <c r="D120" s="4" t="str">
        <f>IFERROR(__xludf.DUMMYFUNCTION("""COMPUTED_VALUE""")," ")</f>
        <v> </v>
      </c>
    </row>
    <row r="121">
      <c r="A121" s="5" t="s">
        <v>3518</v>
      </c>
      <c r="B121" s="4" t="str">
        <f>IFERROR(__xludf.DUMMYFUNCTION("SPLIT(A121,"""""")"")"),"( arctic_a0120 ")</f>
        <v>( arctic_a0120 </v>
      </c>
      <c r="C121" s="4" t="str">
        <f>IFERROR(__xludf.DUMMYFUNCTION("""COMPUTED_VALUE"""),"My right foot feels like that of a Chinese debutante.")</f>
        <v>My right foot feels like that of a Chinese debutante.</v>
      </c>
      <c r="D121" s="4" t="str">
        <f>IFERROR(__xludf.DUMMYFUNCTION("""COMPUTED_VALUE""")," ")</f>
        <v> </v>
      </c>
    </row>
    <row r="122">
      <c r="A122" s="5" t="s">
        <v>3519</v>
      </c>
      <c r="B122" s="4" t="str">
        <f>IFERROR(__xludf.DUMMYFUNCTION("SPLIT(A122,"""""")"")"),"( arctic_a0121 ")</f>
        <v>( arctic_a0121 </v>
      </c>
      <c r="C122" s="4" t="str">
        <f>IFERROR(__xludf.DUMMYFUNCTION("""COMPUTED_VALUE"""),"They ate dinner at the fifth, and rested for two hours.")</f>
        <v>They ate dinner at the fifth, and rested for two hours.</v>
      </c>
      <c r="D122" s="4" t="str">
        <f>IFERROR(__xludf.DUMMYFUNCTION("""COMPUTED_VALUE""")," ")</f>
        <v> </v>
      </c>
    </row>
    <row r="123">
      <c r="A123" s="5" t="s">
        <v>3520</v>
      </c>
      <c r="B123" s="4" t="str">
        <f>IFERROR(__xludf.DUMMYFUNCTION("SPLIT(A123,"""""")"")"),"( arctic_a0122 ")</f>
        <v>( arctic_a0122 </v>
      </c>
      <c r="C123" s="4" t="str">
        <f>IFERROR(__xludf.DUMMYFUNCTION("""COMPUTED_VALUE"""),"Two years ago I gave up civilization for this.")</f>
        <v>Two years ago I gave up civilization for this.</v>
      </c>
      <c r="D123" s="4" t="str">
        <f>IFERROR(__xludf.DUMMYFUNCTION("""COMPUTED_VALUE""")," ")</f>
        <v> </v>
      </c>
    </row>
    <row r="124">
      <c r="A124" s="5" t="s">
        <v>3521</v>
      </c>
      <c r="B124" s="4" t="str">
        <f>IFERROR(__xludf.DUMMYFUNCTION("SPLIT(A124,"""""")"")"),"( arctic_a0123 ")</f>
        <v>( arctic_a0123 </v>
      </c>
      <c r="C124" s="4" t="str">
        <f>IFERROR(__xludf.DUMMYFUNCTION("""COMPUTED_VALUE"""),"She had died from cold and starvation.")</f>
        <v>She had died from cold and starvation.</v>
      </c>
      <c r="D124" s="4" t="str">
        <f>IFERROR(__xludf.DUMMYFUNCTION("""COMPUTED_VALUE""")," ")</f>
        <v> </v>
      </c>
    </row>
    <row r="125">
      <c r="A125" s="5" t="s">
        <v>3522</v>
      </c>
      <c r="B125" s="4" t="str">
        <f>IFERROR(__xludf.DUMMYFUNCTION("SPLIT(A125,"""""")"")"),"( arctic_a0124 ")</f>
        <v>( arctic_a0124 </v>
      </c>
      <c r="C125" s="4" t="str">
        <f>IFERROR(__xludf.DUMMYFUNCTION("""COMPUTED_VALUE"""),"It was Jeanne singing softly over beyond the rocks.")</f>
        <v>It was Jeanne singing softly over beyond the rocks.</v>
      </c>
      <c r="D125" s="4" t="str">
        <f>IFERROR(__xludf.DUMMYFUNCTION("""COMPUTED_VALUE""")," ")</f>
        <v> </v>
      </c>
    </row>
    <row r="126">
      <c r="A126" s="5" t="s">
        <v>3523</v>
      </c>
      <c r="B126" s="4" t="str">
        <f>IFERROR(__xludf.DUMMYFUNCTION("SPLIT(A126,"""""")"")"),"( arctic_a0125 ")</f>
        <v>( arctic_a0125 </v>
      </c>
      <c r="C126" s="4" t="str">
        <f>IFERROR(__xludf.DUMMYFUNCTION("""COMPUTED_VALUE"""),"He was determined now to maintain a more certain hold upon himself.")</f>
        <v>He was determined now to maintain a more certain hold upon himself.</v>
      </c>
      <c r="D126" s="4" t="str">
        <f>IFERROR(__xludf.DUMMYFUNCTION("""COMPUTED_VALUE""")," ")</f>
        <v> </v>
      </c>
    </row>
    <row r="127">
      <c r="A127" s="5" t="s">
        <v>3524</v>
      </c>
      <c r="B127" s="4" t="str">
        <f>IFERROR(__xludf.DUMMYFUNCTION("SPLIT(A127,"""""")"")"),"( arctic_a0126 ")</f>
        <v>( arctic_a0126 </v>
      </c>
      <c r="C127" s="4" t="str">
        <f>IFERROR(__xludf.DUMMYFUNCTION("""COMPUTED_VALUE"""),"Each day she became a more vital part of him.")</f>
        <v>Each day she became a more vital part of him.</v>
      </c>
      <c r="D127" s="4" t="str">
        <f>IFERROR(__xludf.DUMMYFUNCTION("""COMPUTED_VALUE""")," ")</f>
        <v> </v>
      </c>
    </row>
    <row r="128">
      <c r="A128" s="5" t="s">
        <v>3525</v>
      </c>
      <c r="B128" s="4" t="str">
        <f>IFERROR(__xludf.DUMMYFUNCTION("SPLIT(A128,"""""")"")"),"( arctic_a0127 ")</f>
        <v>( arctic_a0127 </v>
      </c>
      <c r="C128" s="4" t="str">
        <f>IFERROR(__xludf.DUMMYFUNCTION("""COMPUTED_VALUE"""),"It was a temptation, but he resisted it.")</f>
        <v>It was a temptation, but he resisted it.</v>
      </c>
      <c r="D128" s="4" t="str">
        <f>IFERROR(__xludf.DUMMYFUNCTION("""COMPUTED_VALUE""")," ")</f>
        <v> </v>
      </c>
    </row>
    <row r="129">
      <c r="A129" s="5" t="s">
        <v>3526</v>
      </c>
      <c r="B129" s="4" t="str">
        <f>IFERROR(__xludf.DUMMYFUNCTION("SPLIT(A129,"""""")"")"),"( arctic_a0128 ")</f>
        <v>( arctic_a0128 </v>
      </c>
      <c r="C129" s="4" t="str">
        <f>IFERROR(__xludf.DUMMYFUNCTION("""COMPUTED_VALUE"""),"This one hope was destroyed as quickly as it was born.")</f>
        <v>This one hope was destroyed as quickly as it was born.</v>
      </c>
      <c r="D129" s="4" t="str">
        <f>IFERROR(__xludf.DUMMYFUNCTION("""COMPUTED_VALUE""")," ")</f>
        <v> </v>
      </c>
    </row>
    <row r="130">
      <c r="A130" s="5" t="s">
        <v>3527</v>
      </c>
      <c r="B130" s="4" t="str">
        <f>IFERROR(__xludf.DUMMYFUNCTION("SPLIT(A130,"""""")"")"),"( arctic_a0129 ")</f>
        <v>( arctic_a0129 </v>
      </c>
      <c r="C130" s="4" t="str">
        <f>IFERROR(__xludf.DUMMYFUNCTION("""COMPUTED_VALUE"""),"Her face was against his breast.")</f>
        <v>Her face was against his breast.</v>
      </c>
      <c r="D130" s="4" t="str">
        <f>IFERROR(__xludf.DUMMYFUNCTION("""COMPUTED_VALUE""")," ")</f>
        <v> </v>
      </c>
    </row>
    <row r="131">
      <c r="A131" s="5" t="s">
        <v>3528</v>
      </c>
      <c r="B131" s="4" t="str">
        <f>IFERROR(__xludf.DUMMYFUNCTION("SPLIT(A131,"""""")"")"),"( arctic_a0130 ")</f>
        <v>( arctic_a0130 </v>
      </c>
      <c r="C131" s="4" t="str">
        <f>IFERROR(__xludf.DUMMYFUNCTION("""COMPUTED_VALUE"""),"She was his now, forever.")</f>
        <v>She was his now, forever.</v>
      </c>
      <c r="D131" s="4" t="str">
        <f>IFERROR(__xludf.DUMMYFUNCTION("""COMPUTED_VALUE""")," ")</f>
        <v> </v>
      </c>
    </row>
    <row r="132">
      <c r="A132" s="5" t="s">
        <v>3529</v>
      </c>
      <c r="B132" s="4" t="str">
        <f>IFERROR(__xludf.DUMMYFUNCTION("SPLIT(A132,"""""")"")"),"( arctic_a0131 ")</f>
        <v>( arctic_a0131 </v>
      </c>
      <c r="C132" s="4" t="str">
        <f>IFERROR(__xludf.DUMMYFUNCTION("""COMPUTED_VALUE"""),"Providence had delivered him through the maelstrom.")</f>
        <v>Providence had delivered him through the maelstrom.</v>
      </c>
      <c r="D132" s="4" t="str">
        <f>IFERROR(__xludf.DUMMYFUNCTION("""COMPUTED_VALUE""")," ")</f>
        <v> </v>
      </c>
    </row>
    <row r="133">
      <c r="A133" s="5" t="s">
        <v>3530</v>
      </c>
      <c r="B133" s="4" t="str">
        <f>IFERROR(__xludf.DUMMYFUNCTION("SPLIT(A133,"""""")"")"),"( arctic_a0132 ")</f>
        <v>( arctic_a0132 </v>
      </c>
      <c r="C133" s="4" t="str">
        <f>IFERROR(__xludf.DUMMYFUNCTION("""COMPUTED_VALUE"""),"A cry of joy burst from Philip's lips.")</f>
        <v>A cry of joy burst from Philip's lips.</v>
      </c>
      <c r="D133" s="4" t="str">
        <f>IFERROR(__xludf.DUMMYFUNCTION("""COMPUTED_VALUE""")," ")</f>
        <v> </v>
      </c>
    </row>
    <row r="134">
      <c r="A134" s="5" t="s">
        <v>3531</v>
      </c>
      <c r="B134" s="4" t="str">
        <f>IFERROR(__xludf.DUMMYFUNCTION("SPLIT(A134,"""""")"")"),"( arctic_a0133 ")</f>
        <v>( arctic_a0133 </v>
      </c>
      <c r="C134" s="4" t="str">
        <f>IFERROR(__xludf.DUMMYFUNCTION("""COMPUTED_VALUE"""),"Philip began to feel that he had foolishly overestimated his strength.")</f>
        <v>Philip began to feel that he had foolishly overestimated his strength.</v>
      </c>
      <c r="D134" s="4" t="str">
        <f>IFERROR(__xludf.DUMMYFUNCTION("""COMPUTED_VALUE""")," ")</f>
        <v> </v>
      </c>
    </row>
    <row r="135">
      <c r="A135" s="5" t="s">
        <v>3532</v>
      </c>
      <c r="B135" s="4" t="str">
        <f>IFERROR(__xludf.DUMMYFUNCTION("SPLIT(A135,"""""")"")"),"( arctic_a0134 ")</f>
        <v>( arctic_a0134 </v>
      </c>
      <c r="C135" s="4" t="str">
        <f>IFERROR(__xludf.DUMMYFUNCTION("""COMPUTED_VALUE"""),"He obeyed the pressure of her hand.")</f>
        <v>He obeyed the pressure of her hand.</v>
      </c>
      <c r="D135" s="4" t="str">
        <f>IFERROR(__xludf.DUMMYFUNCTION("""COMPUTED_VALUE""")," ")</f>
        <v> </v>
      </c>
    </row>
    <row r="136">
      <c r="A136" s="5" t="s">
        <v>3533</v>
      </c>
      <c r="B136" s="4" t="str">
        <f>IFERROR(__xludf.DUMMYFUNCTION("SPLIT(A136,"""""")"")"),"( arctic_a0135 ")</f>
        <v>( arctic_a0135 </v>
      </c>
      <c r="C136" s="4" t="str">
        <f>IFERROR(__xludf.DUMMYFUNCTION("""COMPUTED_VALUE"""),"I am going to surprise father, and you will go with Pierre.")</f>
        <v>I am going to surprise father, and you will go with Pierre.</v>
      </c>
      <c r="D136" s="4" t="str">
        <f>IFERROR(__xludf.DUMMYFUNCTION("""COMPUTED_VALUE""")," ")</f>
        <v> </v>
      </c>
    </row>
    <row r="137">
      <c r="A137" s="5" t="s">
        <v>3534</v>
      </c>
      <c r="B137" s="4" t="str">
        <f>IFERROR(__xludf.DUMMYFUNCTION("SPLIT(A137,"""""")"")"),"( arctic_a0136 ")</f>
        <v>( arctic_a0136 </v>
      </c>
      <c r="C137" s="4" t="str">
        <f>IFERROR(__xludf.DUMMYFUNCTION("""COMPUTED_VALUE"""),"About him, everywhere, were the evidences of luxury and of age.")</f>
        <v>About him, everywhere, were the evidences of luxury and of age.</v>
      </c>
      <c r="D137" s="4" t="str">
        <f>IFERROR(__xludf.DUMMYFUNCTION("""COMPUTED_VALUE""")," ")</f>
        <v> </v>
      </c>
    </row>
    <row r="138">
      <c r="A138" s="5" t="s">
        <v>3535</v>
      </c>
      <c r="B138" s="4" t="str">
        <f>IFERROR(__xludf.DUMMYFUNCTION("SPLIT(A138,"""""")"")"),"( arctic_a0137 ")</f>
        <v>( arctic_a0137 </v>
      </c>
      <c r="C138" s="4" t="str">
        <f>IFERROR(__xludf.DUMMYFUNCTION("""COMPUTED_VALUE"""),"Then he stepped back with a low cry of pleasure.")</f>
        <v>Then he stepped back with a low cry of pleasure.</v>
      </c>
      <c r="D138" s="4" t="str">
        <f>IFERROR(__xludf.DUMMYFUNCTION("""COMPUTED_VALUE""")," ")</f>
        <v> </v>
      </c>
    </row>
    <row r="139">
      <c r="A139" s="5" t="s">
        <v>3536</v>
      </c>
      <c r="B139" s="4" t="str">
        <f>IFERROR(__xludf.DUMMYFUNCTION("SPLIT(A139,"""""")"")"),"( arctic_a0138 ")</f>
        <v>( arctic_a0138 </v>
      </c>
      <c r="C139" s="4" t="str">
        <f>IFERROR(__xludf.DUMMYFUNCTION("""COMPUTED_VALUE"""),"In the picture he saw each moment a greater resemblance to Jeanne.")</f>
        <v>In the picture he saw each moment a greater resemblance to Jeanne.</v>
      </c>
      <c r="D139" s="4" t="str">
        <f>IFERROR(__xludf.DUMMYFUNCTION("""COMPUTED_VALUE""")," ")</f>
        <v> </v>
      </c>
    </row>
    <row r="140">
      <c r="A140" s="5" t="s">
        <v>3537</v>
      </c>
      <c r="B140" s="4" t="str">
        <f>IFERROR(__xludf.DUMMYFUNCTION("SPLIT(A140,"""""")"")"),"( arctic_a0139 ")</f>
        <v>( arctic_a0139 </v>
      </c>
      <c r="C140" s="4" t="str">
        <f>IFERROR(__xludf.DUMMYFUNCTION("""COMPUTED_VALUE"""),"He told himself that as he washed himself and groomed his disheveled clothes.")</f>
        <v>He told himself that as he washed himself and groomed his disheveled clothes.</v>
      </c>
      <c r="D140" s="4" t="str">
        <f>IFERROR(__xludf.DUMMYFUNCTION("""COMPUTED_VALUE""")," ")</f>
        <v> </v>
      </c>
    </row>
    <row r="141">
      <c r="A141" s="5" t="s">
        <v>3538</v>
      </c>
      <c r="B141" s="4" t="str">
        <f>IFERROR(__xludf.DUMMYFUNCTION("SPLIT(A141,"""""")"")"),"( arctic_a0140 ")</f>
        <v>( arctic_a0140 </v>
      </c>
      <c r="C141" s="4" t="str">
        <f>IFERROR(__xludf.DUMMYFUNCTION("""COMPUTED_VALUE"""),"Accept a father's blessing, and with it, this.")</f>
        <v>Accept a father's blessing, and with it, this.</v>
      </c>
      <c r="D141" s="4" t="str">
        <f>IFERROR(__xludf.DUMMYFUNCTION("""COMPUTED_VALUE""")," ")</f>
        <v> </v>
      </c>
    </row>
    <row r="142">
      <c r="A142" s="5" t="s">
        <v>3539</v>
      </c>
      <c r="B142" s="4" t="str">
        <f>IFERROR(__xludf.DUMMYFUNCTION("SPLIT(A142,"""""")"")"),"( arctic_a0141 ")</f>
        <v>( arctic_a0141 </v>
      </c>
      <c r="C142" s="4" t="str">
        <f>IFERROR(__xludf.DUMMYFUNCTION("""COMPUTED_VALUE"""),"It seems like a strange pointing of the hand of God.")</f>
        <v>It seems like a strange pointing of the hand of God.</v>
      </c>
      <c r="D142" s="4" t="str">
        <f>IFERROR(__xludf.DUMMYFUNCTION("""COMPUTED_VALUE""")," ")</f>
        <v> </v>
      </c>
    </row>
    <row r="143">
      <c r="A143" s="5" t="s">
        <v>3540</v>
      </c>
      <c r="B143" s="4" t="str">
        <f>IFERROR(__xludf.DUMMYFUNCTION("SPLIT(A143,"""""")"")"),"( arctic_a0142 ")</f>
        <v>( arctic_a0142 </v>
      </c>
      <c r="C143" s="4" t="str">
        <f>IFERROR(__xludf.DUMMYFUNCTION("""COMPUTED_VALUE"""),"Such things had occurred before, he told Philip.")</f>
        <v>Such things had occurred before, he told Philip.</v>
      </c>
      <c r="D143" s="4" t="str">
        <f>IFERROR(__xludf.DUMMYFUNCTION("""COMPUTED_VALUE""")," ")</f>
        <v> </v>
      </c>
    </row>
    <row r="144">
      <c r="A144" s="5" t="s">
        <v>3541</v>
      </c>
      <c r="B144" s="4" t="str">
        <f>IFERROR(__xludf.DUMMYFUNCTION("SPLIT(A144,"""""")"")"),"( arctic_a0143 ")</f>
        <v>( arctic_a0143 </v>
      </c>
      <c r="C144" s="4" t="str">
        <f>IFERROR(__xludf.DUMMYFUNCTION("""COMPUTED_VALUE"""),"Ah, I had forgotten, he exclaimed.")</f>
        <v>Ah, I had forgotten, he exclaimed.</v>
      </c>
      <c r="D144" s="4" t="str">
        <f>IFERROR(__xludf.DUMMYFUNCTION("""COMPUTED_VALUE""")," ")</f>
        <v> </v>
      </c>
    </row>
    <row r="145">
      <c r="A145" s="5" t="s">
        <v>3542</v>
      </c>
      <c r="B145" s="4" t="str">
        <f>IFERROR(__xludf.DUMMYFUNCTION("SPLIT(A145,"""""")"")"),"( arctic_a0144 ")</f>
        <v>( arctic_a0144 </v>
      </c>
      <c r="C145" s="4" t="str">
        <f>IFERROR(__xludf.DUMMYFUNCTION("""COMPUTED_VALUE"""),"But there was something even more startling than this resemblance.")</f>
        <v>But there was something even more startling than this resemblance.</v>
      </c>
      <c r="D145" s="4" t="str">
        <f>IFERROR(__xludf.DUMMYFUNCTION("""COMPUTED_VALUE""")," ")</f>
        <v> </v>
      </c>
    </row>
    <row r="146">
      <c r="A146" s="5" t="s">
        <v>3543</v>
      </c>
      <c r="B146" s="4" t="str">
        <f>IFERROR(__xludf.DUMMYFUNCTION("SPLIT(A146,"""""")"")"),"( arctic_a0145 ")</f>
        <v>( arctic_a0145 </v>
      </c>
      <c r="C146" s="4" t="str">
        <f>IFERROR(__xludf.DUMMYFUNCTION("""COMPUTED_VALUE"""),"I have to be careful of them, as they tear very easily.")</f>
        <v>I have to be careful of them, as they tear very easily.</v>
      </c>
      <c r="D146" s="4" t="str">
        <f>IFERROR(__xludf.DUMMYFUNCTION("""COMPUTED_VALUE""")," ")</f>
        <v> </v>
      </c>
    </row>
    <row r="147">
      <c r="A147" s="5" t="s">
        <v>3544</v>
      </c>
      <c r="B147" s="4" t="str">
        <f>IFERROR(__xludf.DUMMYFUNCTION("SPLIT(A147,"""""")"")"),"( arctic_a0146 ")</f>
        <v>( arctic_a0146 </v>
      </c>
      <c r="C147" s="4" t="str">
        <f>IFERROR(__xludf.DUMMYFUNCTION("""COMPUTED_VALUE"""),"Of course, that is uninteresting, she continued.")</f>
        <v>Of course, that is uninteresting, she continued.</v>
      </c>
      <c r="D147" s="4" t="str">
        <f>IFERROR(__xludf.DUMMYFUNCTION("""COMPUTED_VALUE""")," ")</f>
        <v> </v>
      </c>
    </row>
    <row r="148">
      <c r="A148" s="5" t="s">
        <v>3545</v>
      </c>
      <c r="B148" s="4" t="str">
        <f>IFERROR(__xludf.DUMMYFUNCTION("SPLIT(A148,"""""")"")"),"( arctic_a0147 ")</f>
        <v>( arctic_a0147 </v>
      </c>
      <c r="C148" s="4" t="str">
        <f>IFERROR(__xludf.DUMMYFUNCTION("""COMPUTED_VALUE"""),"A moment before he was intoxicated by a joy that was almost madness.")</f>
        <v>A moment before he was intoxicated by a joy that was almost madness.</v>
      </c>
      <c r="D148" s="4" t="str">
        <f>IFERROR(__xludf.DUMMYFUNCTION("""COMPUTED_VALUE""")," ")</f>
        <v> </v>
      </c>
    </row>
    <row r="149">
      <c r="A149" s="5" t="s">
        <v>3546</v>
      </c>
      <c r="B149" s="4" t="str">
        <f>IFERROR(__xludf.DUMMYFUNCTION("SPLIT(A149,"""""")"")"),"( arctic_a0148 ")</f>
        <v>( arctic_a0148 </v>
      </c>
      <c r="C149" s="4" t="str">
        <f>IFERROR(__xludf.DUMMYFUNCTION("""COMPUTED_VALUE"""),"Now these things had been struck dead within him.")</f>
        <v>Now these things had been struck dead within him.</v>
      </c>
      <c r="D149" s="4" t="str">
        <f>IFERROR(__xludf.DUMMYFUNCTION("""COMPUTED_VALUE""")," ")</f>
        <v> </v>
      </c>
    </row>
    <row r="150">
      <c r="A150" s="5" t="s">
        <v>3547</v>
      </c>
      <c r="B150" s="4" t="str">
        <f>IFERROR(__xludf.DUMMYFUNCTION("SPLIT(A150,"""""")"")"),"( arctic_a0149 ")</f>
        <v>( arctic_a0149 </v>
      </c>
      <c r="C150" s="4" t="str">
        <f>IFERROR(__xludf.DUMMYFUNCTION("""COMPUTED_VALUE"""),"For an instant he saw Pierre drawn like a silhouette against the sky.")</f>
        <v>For an instant he saw Pierre drawn like a silhouette against the sky.</v>
      </c>
      <c r="D150" s="4" t="str">
        <f>IFERROR(__xludf.DUMMYFUNCTION("""COMPUTED_VALUE""")," ")</f>
        <v> </v>
      </c>
    </row>
    <row r="151">
      <c r="A151" s="5" t="s">
        <v>3548</v>
      </c>
      <c r="B151" s="4" t="str">
        <f>IFERROR(__xludf.DUMMYFUNCTION("SPLIT(A151,"""""")"")"),"( arctic_a0150 ")</f>
        <v>( arctic_a0150 </v>
      </c>
      <c r="C151" s="4" t="str">
        <f>IFERROR(__xludf.DUMMYFUNCTION("""COMPUTED_VALUE"""),"Goodbye, Pierre, he shouted.")</f>
        <v>Goodbye, Pierre, he shouted.</v>
      </c>
      <c r="D151" s="4" t="str">
        <f>IFERROR(__xludf.DUMMYFUNCTION("""COMPUTED_VALUE""")," ")</f>
        <v> </v>
      </c>
    </row>
    <row r="152">
      <c r="A152" s="5" t="s">
        <v>3549</v>
      </c>
      <c r="B152" s="4" t="str">
        <f>IFERROR(__xludf.DUMMYFUNCTION("SPLIT(A152,"""""")"")"),"( arctic_a0151 ")</f>
        <v>( arctic_a0151 </v>
      </c>
      <c r="C152" s="4" t="str">
        <f>IFERROR(__xludf.DUMMYFUNCTION("""COMPUTED_VALUE"""),"And MacDougall was beyond the trail, with three weeks to spare.")</f>
        <v>And MacDougall was beyond the trail, with three weeks to spare.</v>
      </c>
      <c r="D152" s="4" t="str">
        <f>IFERROR(__xludf.DUMMYFUNCTION("""COMPUTED_VALUE""")," ")</f>
        <v> </v>
      </c>
    </row>
    <row r="153">
      <c r="A153" s="5" t="s">
        <v>3550</v>
      </c>
      <c r="B153" s="4" t="str">
        <f>IFERROR(__xludf.DUMMYFUNCTION("SPLIT(A153,"""""")"")"),"( arctic_a0152 ")</f>
        <v>( arctic_a0152 </v>
      </c>
      <c r="C153" s="4" t="str">
        <f>IFERROR(__xludf.DUMMYFUNCTION("""COMPUTED_VALUE"""),"Philip thrust himself against it and entered.")</f>
        <v>Philip thrust himself against it and entered.</v>
      </c>
      <c r="D153" s="4" t="str">
        <f>IFERROR(__xludf.DUMMYFUNCTION("""COMPUTED_VALUE""")," ")</f>
        <v> </v>
      </c>
    </row>
    <row r="154">
      <c r="A154" s="5" t="s">
        <v>3551</v>
      </c>
      <c r="B154" s="4" t="str">
        <f>IFERROR(__xludf.DUMMYFUNCTION("SPLIT(A154,"""""")"")"),"( arctic_a0153 ")</f>
        <v>( arctic_a0153 </v>
      </c>
      <c r="C154" s="4" t="str">
        <f>IFERROR(__xludf.DUMMYFUNCTION("""COMPUTED_VALUE"""),"MacDougall tapped his forehead suspiciously with a stubby forefinger.")</f>
        <v>MacDougall tapped his forehead suspiciously with a stubby forefinger.</v>
      </c>
      <c r="D154" s="4" t="str">
        <f>IFERROR(__xludf.DUMMYFUNCTION("""COMPUTED_VALUE""")," ")</f>
        <v> </v>
      </c>
    </row>
    <row r="155">
      <c r="A155" s="5" t="s">
        <v>3552</v>
      </c>
      <c r="B155" s="4" t="str">
        <f>IFERROR(__xludf.DUMMYFUNCTION("SPLIT(A155,"""""")"")"),"( arctic_a0154 ")</f>
        <v>( arctic_a0154 </v>
      </c>
      <c r="C155" s="4" t="str">
        <f>IFERROR(__xludf.DUMMYFUNCTION("""COMPUTED_VALUE"""),"He was smooth-shaven, and his hair and eyes were black.")</f>
        <v>He was smooth-shaven, and his hair and eyes were black.</v>
      </c>
      <c r="D155" s="4" t="str">
        <f>IFERROR(__xludf.DUMMYFUNCTION("""COMPUTED_VALUE""")," ")</f>
        <v> </v>
      </c>
    </row>
    <row r="156">
      <c r="A156" s="5" t="s">
        <v>3553</v>
      </c>
      <c r="B156" s="4" t="str">
        <f>IFERROR(__xludf.DUMMYFUNCTION("SPLIT(A156,"""""")"")"),"( arctic_a0155 ")</f>
        <v>( arctic_a0155 </v>
      </c>
      <c r="C156" s="4" t="str">
        <f>IFERROR(__xludf.DUMMYFUNCTION("""COMPUTED_VALUE"""),"Won't you draw up, gentlemen.")</f>
        <v>Won't you draw up, gentlemen.</v>
      </c>
      <c r="D156" s="4" t="str">
        <f>IFERROR(__xludf.DUMMYFUNCTION("""COMPUTED_VALUE""")," ")</f>
        <v> </v>
      </c>
    </row>
    <row r="157">
      <c r="A157" s="5" t="s">
        <v>3554</v>
      </c>
      <c r="B157" s="4" t="str">
        <f>IFERROR(__xludf.DUMMYFUNCTION("SPLIT(A157,"""""")"")"),"( arctic_a0156 ")</f>
        <v>( arctic_a0156 </v>
      </c>
      <c r="C157" s="4" t="str">
        <f>IFERROR(__xludf.DUMMYFUNCTION("""COMPUTED_VALUE"""),"A strange fire burned in his eyes when Thorpe turned.")</f>
        <v>A strange fire burned in his eyes when Thorpe turned.</v>
      </c>
      <c r="D157" s="4" t="str">
        <f>IFERROR(__xludf.DUMMYFUNCTION("""COMPUTED_VALUE""")," ")</f>
        <v> </v>
      </c>
    </row>
    <row r="158">
      <c r="A158" s="5" t="s">
        <v>3555</v>
      </c>
      <c r="B158" s="4" t="str">
        <f>IFERROR(__xludf.DUMMYFUNCTION("SPLIT(A158,"""""")"")"),"( arctic_a0157 ")</f>
        <v>( arctic_a0157 </v>
      </c>
      <c r="C158" s="4" t="str">
        <f>IFERROR(__xludf.DUMMYFUNCTION("""COMPUTED_VALUE"""),"He had worshiped her, as Dante might have worshiped Beatrice.")</f>
        <v>He had worshiped her, as Dante might have worshiped Beatrice.</v>
      </c>
      <c r="D158" s="4" t="str">
        <f>IFERROR(__xludf.DUMMYFUNCTION("""COMPUTED_VALUE""")," ")</f>
        <v> </v>
      </c>
    </row>
    <row r="159">
      <c r="A159" s="5" t="s">
        <v>3556</v>
      </c>
      <c r="B159" s="4" t="str">
        <f>IFERROR(__xludf.DUMMYFUNCTION("SPLIT(A159,"""""")"")"),"( arctic_a0158 ")</f>
        <v>( arctic_a0158 </v>
      </c>
      <c r="C159" s="4" t="str">
        <f>IFERROR(__xludf.DUMMYFUNCTION("""COMPUTED_VALUE"""),"Does that look good.")</f>
        <v>Does that look good.</v>
      </c>
      <c r="D159" s="4" t="str">
        <f>IFERROR(__xludf.DUMMYFUNCTION("""COMPUTED_VALUE""")," ")</f>
        <v> </v>
      </c>
    </row>
    <row r="160">
      <c r="A160" s="5" t="s">
        <v>3557</v>
      </c>
      <c r="B160" s="4" t="str">
        <f>IFERROR(__xludf.DUMMYFUNCTION("SPLIT(A160,"""""")"")"),"( arctic_a0159 ")</f>
        <v>( arctic_a0159 </v>
      </c>
      <c r="C160" s="4" t="str">
        <f>IFERROR(__xludf.DUMMYFUNCTION("""COMPUTED_VALUE"""),"They look as though he had been drumming a piano all his life.")</f>
        <v>They look as though he had been drumming a piano all his life.</v>
      </c>
      <c r="D160" s="4" t="str">
        <f>IFERROR(__xludf.DUMMYFUNCTION("""COMPUTED_VALUE""")," ")</f>
        <v> </v>
      </c>
    </row>
    <row r="161">
      <c r="A161" s="5" t="s">
        <v>3558</v>
      </c>
      <c r="B161" s="4" t="str">
        <f>IFERROR(__xludf.DUMMYFUNCTION("SPLIT(A161,"""""")"")"),"( arctic_a0160 ")</f>
        <v>( arctic_a0160 </v>
      </c>
      <c r="C161" s="4" t="str">
        <f>IFERROR(__xludf.DUMMYFUNCTION("""COMPUTED_VALUE"""),"You want to go over and see his gang throw dirt.")</f>
        <v>You want to go over and see his gang throw dirt.</v>
      </c>
      <c r="D161" s="4" t="str">
        <f>IFERROR(__xludf.DUMMYFUNCTION("""COMPUTED_VALUE""")," ")</f>
        <v> </v>
      </c>
    </row>
    <row r="162">
      <c r="A162" s="5" t="s">
        <v>3559</v>
      </c>
      <c r="B162" s="4" t="str">
        <f>IFERROR(__xludf.DUMMYFUNCTION("SPLIT(A162,"""""")"")"),"( arctic_a0161 ")</f>
        <v>( arctic_a0161 </v>
      </c>
      <c r="C162" s="4" t="str">
        <f>IFERROR(__xludf.DUMMYFUNCTION("""COMPUTED_VALUE"""),"Take away their foreman and they wouldn't be worth their grub.")</f>
        <v>Take away their foreman and they wouldn't be worth their grub.</v>
      </c>
      <c r="D162" s="4" t="str">
        <f>IFERROR(__xludf.DUMMYFUNCTION("""COMPUTED_VALUE""")," ")</f>
        <v> </v>
      </c>
    </row>
    <row r="163">
      <c r="A163" s="5" t="s">
        <v>3560</v>
      </c>
      <c r="B163" s="4" t="str">
        <f>IFERROR(__xludf.DUMMYFUNCTION("SPLIT(A163,"""""")"")"),"( arctic_a0162 ")</f>
        <v>( arctic_a0162 </v>
      </c>
      <c r="C163" s="4" t="str">
        <f>IFERROR(__xludf.DUMMYFUNCTION("""COMPUTED_VALUE"""),"That's the sub-foreman, explained Thorpe.")</f>
        <v>That's the sub-foreman, explained Thorpe.</v>
      </c>
      <c r="D163" s="4" t="str">
        <f>IFERROR(__xludf.DUMMYFUNCTION("""COMPUTED_VALUE""")," ")</f>
        <v> </v>
      </c>
    </row>
    <row r="164">
      <c r="A164" s="5" t="s">
        <v>3561</v>
      </c>
      <c r="B164" s="4" t="str">
        <f>IFERROR(__xludf.DUMMYFUNCTION("SPLIT(A164,"""""")"")"),"( arctic_a0163 ")</f>
        <v>( arctic_a0163 </v>
      </c>
      <c r="C164" s="4" t="str">
        <f>IFERROR(__xludf.DUMMYFUNCTION("""COMPUTED_VALUE"""),"Philip made no effort to follow.")</f>
        <v>Philip made no effort to follow.</v>
      </c>
      <c r="D164" s="4" t="str">
        <f>IFERROR(__xludf.DUMMYFUNCTION("""COMPUTED_VALUE""")," ")</f>
        <v> </v>
      </c>
    </row>
    <row r="165">
      <c r="A165" s="5" t="s">
        <v>3562</v>
      </c>
      <c r="B165" s="4" t="str">
        <f>IFERROR(__xludf.DUMMYFUNCTION("SPLIT(A165,"""""")"")"),"( arctic_a0164 ")</f>
        <v>( arctic_a0164 </v>
      </c>
      <c r="C165" s="4" t="str">
        <f>IFERROR(__xludf.DUMMYFUNCTION("""COMPUTED_VALUE"""),"He came first a year ago, and revealed himself to Jeanne.")</f>
        <v>He came first a year ago, and revealed himself to Jeanne.</v>
      </c>
      <c r="D165" s="4" t="str">
        <f>IFERROR(__xludf.DUMMYFUNCTION("""COMPUTED_VALUE""")," ")</f>
        <v> </v>
      </c>
    </row>
    <row r="166">
      <c r="A166" s="5" t="s">
        <v>3563</v>
      </c>
      <c r="B166" s="4" t="str">
        <f>IFERROR(__xludf.DUMMYFUNCTION("SPLIT(A166,"""""")"")"),"( arctic_a0165 ")</f>
        <v>( arctic_a0165 </v>
      </c>
      <c r="C166" s="4" t="str">
        <f>IFERROR(__xludf.DUMMYFUNCTION("""COMPUTED_VALUE"""),"They are to attack your camp tomorrow night.")</f>
        <v>They are to attack your camp tomorrow night.</v>
      </c>
      <c r="D166" s="4" t="str">
        <f>IFERROR(__xludf.DUMMYFUNCTION("""COMPUTED_VALUE""")," ")</f>
        <v> </v>
      </c>
    </row>
    <row r="167">
      <c r="A167" s="5" t="s">
        <v>3564</v>
      </c>
      <c r="B167" s="4" t="str">
        <f>IFERROR(__xludf.DUMMYFUNCTION("SPLIT(A167,"""""")"")"),"( arctic_a0166 ")</f>
        <v>( arctic_a0166 </v>
      </c>
      <c r="C167" s="4" t="str">
        <f>IFERROR(__xludf.DUMMYFUNCTION("""COMPUTED_VALUE"""),"Two days ago Jeanne learned where her father's men were hiding.")</f>
        <v>Two days ago Jeanne learned where her father's men were hiding.</v>
      </c>
      <c r="D167" s="4" t="str">
        <f>IFERROR(__xludf.DUMMYFUNCTION("""COMPUTED_VALUE""")," ")</f>
        <v> </v>
      </c>
    </row>
    <row r="168">
      <c r="A168" s="5" t="s">
        <v>3565</v>
      </c>
      <c r="B168" s="4" t="str">
        <f>IFERROR(__xludf.DUMMYFUNCTION("SPLIT(A168,"""""")"")"),"( arctic_a0167 ")</f>
        <v>( arctic_a0167 </v>
      </c>
      <c r="C168" s="4" t="str">
        <f>IFERROR(__xludf.DUMMYFUNCTION("""COMPUTED_VALUE"""),"I was near the cabin, and saw you.")</f>
        <v>I was near the cabin, and saw you.</v>
      </c>
      <c r="D168" s="4" t="str">
        <f>IFERROR(__xludf.DUMMYFUNCTION("""COMPUTED_VALUE""")," ")</f>
        <v> </v>
      </c>
    </row>
    <row r="169">
      <c r="A169" s="5" t="s">
        <v>3566</v>
      </c>
      <c r="B169" s="4" t="str">
        <f>IFERROR(__xludf.DUMMYFUNCTION("SPLIT(A169,"""""")"")"),"( arctic_a0168 ")</f>
        <v>( arctic_a0168 </v>
      </c>
      <c r="C169" s="4" t="str">
        <f>IFERROR(__xludf.DUMMYFUNCTION("""COMPUTED_VALUE"""),"Low bush whipped him in the face and left no sting.")</f>
        <v>Low bush whipped him in the face and left no sting.</v>
      </c>
      <c r="D169" s="4" t="str">
        <f>IFERROR(__xludf.DUMMYFUNCTION("""COMPUTED_VALUE""")," ")</f>
        <v> </v>
      </c>
    </row>
    <row r="170">
      <c r="A170" s="5" t="s">
        <v>3567</v>
      </c>
      <c r="B170" s="4" t="str">
        <f>IFERROR(__xludf.DUMMYFUNCTION("SPLIT(A170,"""""")"")"),"( arctic_a0169 ")</f>
        <v>( arctic_a0169 </v>
      </c>
      <c r="C170" s="4" t="str">
        <f>IFERROR(__xludf.DUMMYFUNCTION("""COMPUTED_VALUE"""),"Suddenly Jeanne stopped for an instant.")</f>
        <v>Suddenly Jeanne stopped for an instant.</v>
      </c>
      <c r="D170" s="4" t="str">
        <f>IFERROR(__xludf.DUMMYFUNCTION("""COMPUTED_VALUE""")," ")</f>
        <v> </v>
      </c>
    </row>
    <row r="171">
      <c r="A171" s="5" t="s">
        <v>3568</v>
      </c>
      <c r="B171" s="4" t="str">
        <f>IFERROR(__xludf.DUMMYFUNCTION("SPLIT(A171,"""""")"")"),"( arctic_a0170 ")</f>
        <v>( arctic_a0170 </v>
      </c>
      <c r="C171" s="4" t="str">
        <f>IFERROR(__xludf.DUMMYFUNCTION("""COMPUTED_VALUE"""),"There was none of the joy of meeting in his face.")</f>
        <v>There was none of the joy of meeting in his face.</v>
      </c>
      <c r="D171" s="4" t="str">
        <f>IFERROR(__xludf.DUMMYFUNCTION("""COMPUTED_VALUE""")," ")</f>
        <v> </v>
      </c>
    </row>
    <row r="172">
      <c r="A172" s="5" t="s">
        <v>3569</v>
      </c>
      <c r="B172" s="4" t="str">
        <f>IFERROR(__xludf.DUMMYFUNCTION("SPLIT(A172,"""""")"")"),"( arctic_a0171 ")</f>
        <v>( arctic_a0171 </v>
      </c>
      <c r="C172" s="4" t="str">
        <f>IFERROR(__xludf.DUMMYFUNCTION("""COMPUTED_VALUE"""),"And when you come back in a few days, bring Eileen.")</f>
        <v>And when you come back in a few days, bring Eileen.</v>
      </c>
      <c r="D172" s="4" t="str">
        <f>IFERROR(__xludf.DUMMYFUNCTION("""COMPUTED_VALUE""")," ")</f>
        <v> </v>
      </c>
    </row>
    <row r="173">
      <c r="A173" s="5" t="s">
        <v>3570</v>
      </c>
      <c r="B173" s="4" t="str">
        <f>IFERROR(__xludf.DUMMYFUNCTION("SPLIT(A173,"""""")"")"),"( arctic_a0172 ")</f>
        <v>( arctic_a0172 </v>
      </c>
      <c r="C173" s="4" t="str">
        <f>IFERROR(__xludf.DUMMYFUNCTION("""COMPUTED_VALUE"""),"Gregson had left the outer door slightly ajar.")</f>
        <v>Gregson had left the outer door slightly ajar.</v>
      </c>
      <c r="D173" s="4" t="str">
        <f>IFERROR(__xludf.DUMMYFUNCTION("""COMPUTED_VALUE""")," ")</f>
        <v> </v>
      </c>
    </row>
    <row r="174">
      <c r="A174" s="5" t="s">
        <v>3571</v>
      </c>
      <c r="B174" s="4" t="str">
        <f>IFERROR(__xludf.DUMMYFUNCTION("SPLIT(A174,"""""")"")"),"( arctic_a0173 ")</f>
        <v>( arctic_a0173 </v>
      </c>
      <c r="C174" s="4" t="str">
        <f>IFERROR(__xludf.DUMMYFUNCTION("""COMPUTED_VALUE"""),"The date was nearly eighteen years old.")</f>
        <v>The date was nearly eighteen years old.</v>
      </c>
      <c r="D174" s="4" t="str">
        <f>IFERROR(__xludf.DUMMYFUNCTION("""COMPUTED_VALUE""")," ")</f>
        <v> </v>
      </c>
    </row>
    <row r="175">
      <c r="A175" s="5" t="s">
        <v>3572</v>
      </c>
      <c r="B175" s="4" t="str">
        <f>IFERROR(__xludf.DUMMYFUNCTION("SPLIT(A175,"""""")"")"),"( arctic_a0174 ")</f>
        <v>( arctic_a0174 </v>
      </c>
      <c r="C175" s="4" t="str">
        <f>IFERROR(__xludf.DUMMYFUNCTION("""COMPUTED_VALUE"""),"They were the presage of storm.")</f>
        <v>They were the presage of storm.</v>
      </c>
      <c r="D175" s="4" t="str">
        <f>IFERROR(__xludf.DUMMYFUNCTION("""COMPUTED_VALUE""")," ")</f>
        <v> </v>
      </c>
    </row>
    <row r="176">
      <c r="A176" s="5" t="s">
        <v>3573</v>
      </c>
      <c r="B176" s="4" t="str">
        <f>IFERROR(__xludf.DUMMYFUNCTION("SPLIT(A176,"""""")"")"),"( arctic_a0175 ")</f>
        <v>( arctic_a0175 </v>
      </c>
      <c r="C176" s="4" t="str">
        <f>IFERROR(__xludf.DUMMYFUNCTION("""COMPUTED_VALUE"""),"Down there the earth was already swelling with life.")</f>
        <v>Down there the earth was already swelling with life.</v>
      </c>
      <c r="D176" s="4" t="str">
        <f>IFERROR(__xludf.DUMMYFUNCTION("""COMPUTED_VALUE""")," ")</f>
        <v> </v>
      </c>
    </row>
    <row r="177">
      <c r="A177" s="5" t="s">
        <v>3574</v>
      </c>
      <c r="B177" s="4" t="str">
        <f>IFERROR(__xludf.DUMMYFUNCTION("SPLIT(A177,"""""")"")"),"( arctic_a0176 ")</f>
        <v>( arctic_a0176 </v>
      </c>
      <c r="C177" s="4" t="str">
        <f>IFERROR(__xludf.DUMMYFUNCTION("""COMPUTED_VALUE"""),"For the first time in his life he was yearning for a scrap.")</f>
        <v>For the first time in his life he was yearning for a scrap.</v>
      </c>
      <c r="D177" s="4" t="str">
        <f>IFERROR(__xludf.DUMMYFUNCTION("""COMPUTED_VALUE""")," ")</f>
        <v> </v>
      </c>
    </row>
    <row r="178">
      <c r="A178" s="5" t="s">
        <v>3575</v>
      </c>
      <c r="B178" s="4" t="str">
        <f>IFERROR(__xludf.DUMMYFUNCTION("SPLIT(A178,"""""")"")"),"( arctic_a0177 ")</f>
        <v>( arctic_a0177 </v>
      </c>
      <c r="C178" s="4" t="str">
        <f>IFERROR(__xludf.DUMMYFUNCTION("""COMPUTED_VALUE"""),"She had been thoroughly and efficiently mauled.")</f>
        <v>She had been thoroughly and efficiently mauled.</v>
      </c>
      <c r="D178" s="4" t="str">
        <f>IFERROR(__xludf.DUMMYFUNCTION("""COMPUTED_VALUE""")," ")</f>
        <v> </v>
      </c>
    </row>
    <row r="179">
      <c r="A179" s="5" t="s">
        <v>3576</v>
      </c>
      <c r="B179" s="4" t="str">
        <f>IFERROR(__xludf.DUMMYFUNCTION("SPLIT(A179,"""""")"")"),"( arctic_a0178 ")</f>
        <v>( arctic_a0178 </v>
      </c>
      <c r="C179" s="4" t="str">
        <f>IFERROR(__xludf.DUMMYFUNCTION("""COMPUTED_VALUE"""),"Every bone in her aged body seemed broken or dislocated.")</f>
        <v>Every bone in her aged body seemed broken or dislocated.</v>
      </c>
      <c r="D179" s="4" t="str">
        <f>IFERROR(__xludf.DUMMYFUNCTION("""COMPUTED_VALUE""")," ")</f>
        <v> </v>
      </c>
    </row>
    <row r="180">
      <c r="A180" s="5" t="s">
        <v>3577</v>
      </c>
      <c r="B180" s="4" t="str">
        <f>IFERROR(__xludf.DUMMYFUNCTION("SPLIT(A180,"""""")"")"),"( arctic_a0179 ")</f>
        <v>( arctic_a0179 </v>
      </c>
      <c r="C180" s="4" t="str">
        <f>IFERROR(__xludf.DUMMYFUNCTION("""COMPUTED_VALUE"""),"Tomorrow I'm going after that bear, he said.")</f>
        <v>Tomorrow I'm going after that bear, he said.</v>
      </c>
      <c r="D180" s="4" t="str">
        <f>IFERROR(__xludf.DUMMYFUNCTION("""COMPUTED_VALUE""")," ")</f>
        <v> </v>
      </c>
    </row>
    <row r="181">
      <c r="A181" s="5" t="s">
        <v>3578</v>
      </c>
      <c r="B181" s="4" t="str">
        <f>IFERROR(__xludf.DUMMYFUNCTION("SPLIT(A181,"""""")"")"),"( arctic_a0180 ")</f>
        <v>( arctic_a0180 </v>
      </c>
      <c r="C181" s="4" t="str">
        <f>IFERROR(__xludf.DUMMYFUNCTION("""COMPUTED_VALUE"""),"If not, let's say our prayers and go to bed.")</f>
        <v>If not, let's say our prayers and go to bed.</v>
      </c>
      <c r="D181" s="4" t="str">
        <f>IFERROR(__xludf.DUMMYFUNCTION("""COMPUTED_VALUE""")," ")</f>
        <v> </v>
      </c>
    </row>
    <row r="182">
      <c r="A182" s="5" t="s">
        <v>3579</v>
      </c>
      <c r="B182" s="4" t="str">
        <f>IFERROR(__xludf.DUMMYFUNCTION("SPLIT(A182,"""""")"")"),"( arctic_a0181 ")</f>
        <v>( arctic_a0181 </v>
      </c>
      <c r="C182" s="4" t="str">
        <f>IFERROR(__xludf.DUMMYFUNCTION("""COMPUTED_VALUE"""),"So cheer up, and give us your paw.")</f>
        <v>So cheer up, and give us your paw.</v>
      </c>
      <c r="D182" s="4" t="str">
        <f>IFERROR(__xludf.DUMMYFUNCTION("""COMPUTED_VALUE""")," ")</f>
        <v> </v>
      </c>
    </row>
    <row r="183">
      <c r="A183" s="5" t="s">
        <v>3580</v>
      </c>
      <c r="B183" s="4" t="str">
        <f>IFERROR(__xludf.DUMMYFUNCTION("SPLIT(A183,"""""")"")"),"( arctic_a0182 ")</f>
        <v>( arctic_a0182 </v>
      </c>
      <c r="C183" s="4" t="str">
        <f>IFERROR(__xludf.DUMMYFUNCTION("""COMPUTED_VALUE"""),"This time he did not yap for mercy.")</f>
        <v>This time he did not yap for mercy.</v>
      </c>
      <c r="D183" s="4" t="str">
        <f>IFERROR(__xludf.DUMMYFUNCTION("""COMPUTED_VALUE""")," ")</f>
        <v> </v>
      </c>
    </row>
    <row r="184">
      <c r="A184" s="5" t="s">
        <v>3581</v>
      </c>
      <c r="B184" s="4" t="str">
        <f>IFERROR(__xludf.DUMMYFUNCTION("SPLIT(A184,"""""")"")"),"( arctic_a0183 ")</f>
        <v>( arctic_a0183 </v>
      </c>
      <c r="C184" s="4" t="str">
        <f>IFERROR(__xludf.DUMMYFUNCTION("""COMPUTED_VALUE"""),"And the air was growing chilly.")</f>
        <v>And the air was growing chilly.</v>
      </c>
      <c r="D184" s="4" t="str">
        <f>IFERROR(__xludf.DUMMYFUNCTION("""COMPUTED_VALUE""")," ")</f>
        <v> </v>
      </c>
    </row>
    <row r="185">
      <c r="A185" s="5" t="s">
        <v>3582</v>
      </c>
      <c r="B185" s="4" t="str">
        <f>IFERROR(__xludf.DUMMYFUNCTION("SPLIT(A185,"""""")"")"),"( arctic_a0184 ")</f>
        <v>( arctic_a0184 </v>
      </c>
      <c r="C185" s="4" t="str">
        <f>IFERROR(__xludf.DUMMYFUNCTION("""COMPUTED_VALUE"""),"Don't you see, I'm chewing this thing in two.")</f>
        <v>Don't you see, I'm chewing this thing in two.</v>
      </c>
      <c r="D185" s="4" t="str">
        <f>IFERROR(__xludf.DUMMYFUNCTION("""COMPUTED_VALUE""")," ")</f>
        <v> </v>
      </c>
    </row>
    <row r="186">
      <c r="A186" s="5" t="s">
        <v>3583</v>
      </c>
      <c r="B186" s="4" t="str">
        <f>IFERROR(__xludf.DUMMYFUNCTION("SPLIT(A186,"""""")"")"),"( arctic_a0185 ")</f>
        <v>( arctic_a0185 </v>
      </c>
      <c r="C186" s="4" t="str">
        <f>IFERROR(__xludf.DUMMYFUNCTION("""COMPUTED_VALUE"""),"The questions may have come vaguely in his mind.")</f>
        <v>The questions may have come vaguely in his mind.</v>
      </c>
      <c r="D186" s="4" t="str">
        <f>IFERROR(__xludf.DUMMYFUNCTION("""COMPUTED_VALUE""")," ")</f>
        <v> </v>
      </c>
    </row>
    <row r="187">
      <c r="A187" s="5" t="s">
        <v>3584</v>
      </c>
      <c r="B187" s="4" t="str">
        <f>IFERROR(__xludf.DUMMYFUNCTION("SPLIT(A187,"""""")"")"),"( arctic_a0186 ")</f>
        <v>( arctic_a0186 </v>
      </c>
      <c r="C187" s="4" t="str">
        <f>IFERROR(__xludf.DUMMYFUNCTION("""COMPUTED_VALUE"""),"Like a flash he launched himself into the feathered mass of the owl.")</f>
        <v>Like a flash he launched himself into the feathered mass of the owl.</v>
      </c>
      <c r="D187" s="4" t="str">
        <f>IFERROR(__xludf.DUMMYFUNCTION("""COMPUTED_VALUE""")," ")</f>
        <v> </v>
      </c>
    </row>
    <row r="188">
      <c r="A188" s="5" t="s">
        <v>3585</v>
      </c>
      <c r="B188" s="4" t="str">
        <f>IFERROR(__xludf.DUMMYFUNCTION("SPLIT(A188,"""""")"")"),"( arctic_a0187 ")</f>
        <v>( arctic_a0187 </v>
      </c>
      <c r="C188" s="4" t="str">
        <f>IFERROR(__xludf.DUMMYFUNCTION("""COMPUTED_VALUE"""),"Ahead of them they saw a glimmer of sunshine.")</f>
        <v>Ahead of them they saw a glimmer of sunshine.</v>
      </c>
      <c r="D188" s="4" t="str">
        <f>IFERROR(__xludf.DUMMYFUNCTION("""COMPUTED_VALUE""")," ")</f>
        <v> </v>
      </c>
    </row>
    <row r="189">
      <c r="A189" s="5" t="s">
        <v>3586</v>
      </c>
      <c r="B189" s="4" t="str">
        <f>IFERROR(__xludf.DUMMYFUNCTION("SPLIT(A189,"""""")"")"),"( arctic_a0188 ")</f>
        <v>( arctic_a0188 </v>
      </c>
      <c r="C189" s="4" t="str">
        <f>IFERROR(__xludf.DUMMYFUNCTION("""COMPUTED_VALUE"""),"Two gigantic owls were tearing at the carcass.")</f>
        <v>Two gigantic owls were tearing at the carcass.</v>
      </c>
      <c r="D189" s="4" t="str">
        <f>IFERROR(__xludf.DUMMYFUNCTION("""COMPUTED_VALUE""")," ")</f>
        <v> </v>
      </c>
    </row>
    <row r="190">
      <c r="A190" s="5" t="s">
        <v>3587</v>
      </c>
      <c r="B190" s="4" t="str">
        <f>IFERROR(__xludf.DUMMYFUNCTION("SPLIT(A190,"""""")"")"),"( arctic_a0189 ")</f>
        <v>( arctic_a0189 </v>
      </c>
      <c r="C190" s="4" t="str">
        <f>IFERROR(__xludf.DUMMYFUNCTION("""COMPUTED_VALUE"""),"The big-eyed, clucking moose-birds were most annoying.")</f>
        <v>The big-eyed, clucking moose-birds were most annoying.</v>
      </c>
      <c r="D190" s="4" t="str">
        <f>IFERROR(__xludf.DUMMYFUNCTION("""COMPUTED_VALUE""")," ")</f>
        <v> </v>
      </c>
    </row>
    <row r="191">
      <c r="A191" s="5" t="s">
        <v>3588</v>
      </c>
      <c r="B191" s="4" t="str">
        <f>IFERROR(__xludf.DUMMYFUNCTION("SPLIT(A191,"""""")"")"),"( arctic_a0190 ")</f>
        <v>( arctic_a0190 </v>
      </c>
      <c r="C191" s="4" t="str">
        <f>IFERROR(__xludf.DUMMYFUNCTION("""COMPUTED_VALUE"""),"Next to them the Canada jays were most persistent.")</f>
        <v>Next to them the Canada jays were most persistent.</v>
      </c>
      <c r="D191" s="4" t="str">
        <f>IFERROR(__xludf.DUMMYFUNCTION("""COMPUTED_VALUE""")," ")</f>
        <v> </v>
      </c>
    </row>
    <row r="192">
      <c r="A192" s="5" t="s">
        <v>3589</v>
      </c>
      <c r="B192" s="4" t="str">
        <f>IFERROR(__xludf.DUMMYFUNCTION("SPLIT(A192,"""""")"")"),"( arctic_a0191 ")</f>
        <v>( arctic_a0191 </v>
      </c>
      <c r="C192" s="4" t="str">
        <f>IFERROR(__xludf.DUMMYFUNCTION("""COMPUTED_VALUE"""),"For a time the exciting thrill of his adventure was gone.")</f>
        <v>For a time the exciting thrill of his adventure was gone.</v>
      </c>
      <c r="D192" s="4" t="str">
        <f>IFERROR(__xludf.DUMMYFUNCTION("""COMPUTED_VALUE""")," ")</f>
        <v> </v>
      </c>
    </row>
    <row r="193">
      <c r="A193" s="5" t="s">
        <v>3590</v>
      </c>
      <c r="B193" s="4" t="str">
        <f>IFERROR(__xludf.DUMMYFUNCTION("SPLIT(A193,"""""")"")"),"( arctic_a0192 ")</f>
        <v>( arctic_a0192 </v>
      </c>
      <c r="C193" s="4" t="str">
        <f>IFERROR(__xludf.DUMMYFUNCTION("""COMPUTED_VALUE"""),"He did not rush in.")</f>
        <v>He did not rush in.</v>
      </c>
      <c r="D193" s="4" t="str">
        <f>IFERROR(__xludf.DUMMYFUNCTION("""COMPUTED_VALUE""")," ")</f>
        <v> </v>
      </c>
    </row>
    <row r="194">
      <c r="A194" s="5" t="s">
        <v>3591</v>
      </c>
      <c r="B194" s="4" t="str">
        <f>IFERROR(__xludf.DUMMYFUNCTION("SPLIT(A194,"""""")"")"),"( arctic_a0193 ")</f>
        <v>( arctic_a0193 </v>
      </c>
      <c r="C194" s="4" t="str">
        <f>IFERROR(__xludf.DUMMYFUNCTION("""COMPUTED_VALUE"""),"It was edged with ice.")</f>
        <v>It was edged with ice.</v>
      </c>
      <c r="D194" s="4" t="str">
        <f>IFERROR(__xludf.DUMMYFUNCTION("""COMPUTED_VALUE""")," ")</f>
        <v> </v>
      </c>
    </row>
    <row r="195">
      <c r="A195" s="5" t="s">
        <v>3592</v>
      </c>
      <c r="B195" s="4" t="str">
        <f>IFERROR(__xludf.DUMMYFUNCTION("SPLIT(A195,"""""")"")"),"( arctic_a0194 ")</f>
        <v>( arctic_a0194 </v>
      </c>
      <c r="C195" s="4" t="str">
        <f>IFERROR(__xludf.DUMMYFUNCTION("""COMPUTED_VALUE"""),"He drank of the water cautiously.")</f>
        <v>He drank of the water cautiously.</v>
      </c>
      <c r="D195" s="4" t="str">
        <f>IFERROR(__xludf.DUMMYFUNCTION("""COMPUTED_VALUE""")," ")</f>
        <v> </v>
      </c>
    </row>
    <row r="196">
      <c r="A196" s="5" t="s">
        <v>3593</v>
      </c>
      <c r="B196" s="4" t="str">
        <f>IFERROR(__xludf.DUMMYFUNCTION("SPLIT(A196,"""""")"")"),"( arctic_a0195 ")</f>
        <v>( arctic_a0195 </v>
      </c>
      <c r="C196" s="4" t="str">
        <f>IFERROR(__xludf.DUMMYFUNCTION("""COMPUTED_VALUE"""),"But a strange thing happened.")</f>
        <v>But a strange thing happened.</v>
      </c>
      <c r="D196" s="4" t="str">
        <f>IFERROR(__xludf.DUMMYFUNCTION("""COMPUTED_VALUE""")," ")</f>
        <v> </v>
      </c>
    </row>
    <row r="197">
      <c r="A197" s="5" t="s">
        <v>3594</v>
      </c>
      <c r="B197" s="4" t="str">
        <f>IFERROR(__xludf.DUMMYFUNCTION("SPLIT(A197,"""""")"")"),"( arctic_a0196 ")</f>
        <v>( arctic_a0196 </v>
      </c>
      <c r="C197" s="4" t="str">
        <f>IFERROR(__xludf.DUMMYFUNCTION("""COMPUTED_VALUE"""),"He began to follow the footprints of the dog.")</f>
        <v>He began to follow the footprints of the dog.</v>
      </c>
      <c r="D197" s="4" t="str">
        <f>IFERROR(__xludf.DUMMYFUNCTION("""COMPUTED_VALUE""")," ")</f>
        <v> </v>
      </c>
    </row>
    <row r="198">
      <c r="A198" s="5" t="s">
        <v>3595</v>
      </c>
      <c r="B198" s="4" t="str">
        <f>IFERROR(__xludf.DUMMYFUNCTION("SPLIT(A198,"""""")"")"),"( arctic_a0197 ")</f>
        <v>( arctic_a0197 </v>
      </c>
      <c r="C198" s="4" t="str">
        <f>IFERROR(__xludf.DUMMYFUNCTION("""COMPUTED_VALUE"""),"Such a dog the wise driver kills, or turns loose.")</f>
        <v>Such a dog the wise driver kills, or turns loose.</v>
      </c>
      <c r="D198" s="4" t="str">
        <f>IFERROR(__xludf.DUMMYFUNCTION("""COMPUTED_VALUE""")," ")</f>
        <v> </v>
      </c>
    </row>
    <row r="199">
      <c r="A199" s="5" t="s">
        <v>3596</v>
      </c>
      <c r="B199" s="4" t="str">
        <f>IFERROR(__xludf.DUMMYFUNCTION("SPLIT(A199,"""""")"")"),"( arctic_a0198 ")</f>
        <v>( arctic_a0198 </v>
      </c>
      <c r="C199" s="4" t="str">
        <f>IFERROR(__xludf.DUMMYFUNCTION("""COMPUTED_VALUE"""),"Sometimes her dreams were filled with visions.")</f>
        <v>Sometimes her dreams were filled with visions.</v>
      </c>
      <c r="D199" s="4" t="str">
        <f>IFERROR(__xludf.DUMMYFUNCTION("""COMPUTED_VALUE""")," ")</f>
        <v> </v>
      </c>
    </row>
    <row r="200">
      <c r="A200" s="5" t="s">
        <v>3597</v>
      </c>
      <c r="B200" s="4" t="str">
        <f>IFERROR(__xludf.DUMMYFUNCTION("SPLIT(A200,"""""")"")"),"( arctic_a0199 ")</f>
        <v>( arctic_a0199 </v>
      </c>
      <c r="C200" s="4" t="str">
        <f>IFERROR(__xludf.DUMMYFUNCTION("""COMPUTED_VALUE"""),"Thus had the raw wilderness prepared him for this day.")</f>
        <v>Thus had the raw wilderness prepared him for this day.</v>
      </c>
      <c r="D200" s="4" t="str">
        <f>IFERROR(__xludf.DUMMYFUNCTION("""COMPUTED_VALUE""")," ")</f>
        <v> </v>
      </c>
    </row>
    <row r="201">
      <c r="A201" s="5" t="s">
        <v>3598</v>
      </c>
      <c r="B201" s="4" t="str">
        <f>IFERROR(__xludf.DUMMYFUNCTION("SPLIT(A201,"""""")"")"),"( arctic_a0200 ")</f>
        <v>( arctic_a0200 </v>
      </c>
      <c r="C201" s="4" t="str">
        <f>IFERROR(__xludf.DUMMYFUNCTION("""COMPUTED_VALUE"""),"He leapt again, and the club caught him once more.")</f>
        <v>He leapt again, and the club caught him once more.</v>
      </c>
      <c r="D201" s="4" t="str">
        <f>IFERROR(__xludf.DUMMYFUNCTION("""COMPUTED_VALUE""")," ")</f>
        <v> </v>
      </c>
    </row>
    <row r="202">
      <c r="A202" s="5" t="s">
        <v>3599</v>
      </c>
      <c r="B202" s="4" t="str">
        <f>IFERROR(__xludf.DUMMYFUNCTION("SPLIT(A202,"""""")"")"),"( arctic_a0201 ")</f>
        <v>( arctic_a0201 </v>
      </c>
      <c r="C202" s="4" t="str">
        <f>IFERROR(__xludf.DUMMYFUNCTION("""COMPUTED_VALUE"""),"He cried, and swung the club wildly.")</f>
        <v>He cried, and swung the club wildly.</v>
      </c>
      <c r="D202" s="4" t="str">
        <f>IFERROR(__xludf.DUMMYFUNCTION("""COMPUTED_VALUE""")," ")</f>
        <v> </v>
      </c>
    </row>
    <row r="203">
      <c r="A203" s="5" t="s">
        <v>3600</v>
      </c>
      <c r="B203" s="4" t="str">
        <f>IFERROR(__xludf.DUMMYFUNCTION("SPLIT(A203,"""""")"")"),"( arctic_a0202 ")</f>
        <v>( arctic_a0202 </v>
      </c>
      <c r="C203" s="4" t="str">
        <f>IFERROR(__xludf.DUMMYFUNCTION("""COMPUTED_VALUE"""),"She turned, fearing that Jacques might see what was in her face.")</f>
        <v>She turned, fearing that Jacques might see what was in her face.</v>
      </c>
      <c r="D203" s="4" t="str">
        <f>IFERROR(__xludf.DUMMYFUNCTION("""COMPUTED_VALUE""")," ")</f>
        <v> </v>
      </c>
    </row>
    <row r="204">
      <c r="A204" s="5" t="s">
        <v>3601</v>
      </c>
      <c r="B204" s="4" t="str">
        <f>IFERROR(__xludf.DUMMYFUNCTION("SPLIT(A204,"""""")"")"),"( arctic_a0203 ")</f>
        <v>( arctic_a0203 </v>
      </c>
      <c r="C204" s="4" t="str">
        <f>IFERROR(__xludf.DUMMYFUNCTION("""COMPUTED_VALUE"""),"They were following the shore of a lake.")</f>
        <v>They were following the shore of a lake.</v>
      </c>
      <c r="D204" s="4" t="str">
        <f>IFERROR(__xludf.DUMMYFUNCTION("""COMPUTED_VALUE""")," ")</f>
        <v> </v>
      </c>
    </row>
    <row r="205">
      <c r="A205" s="5" t="s">
        <v>3602</v>
      </c>
      <c r="B205" s="4" t="str">
        <f>IFERROR(__xludf.DUMMYFUNCTION("SPLIT(A205,"""""")"")"),"( arctic_a0204 ")</f>
        <v>( arctic_a0204 </v>
      </c>
      <c r="C205" s="4" t="str">
        <f>IFERROR(__xludf.DUMMYFUNCTION("""COMPUTED_VALUE"""),"The wolf-dog thrust his gaunt muzzle toward him.")</f>
        <v>The wolf-dog thrust his gaunt muzzle toward him.</v>
      </c>
      <c r="D205" s="4" t="str">
        <f>IFERROR(__xludf.DUMMYFUNCTION("""COMPUTED_VALUE""")," ")</f>
        <v> </v>
      </c>
    </row>
    <row r="206">
      <c r="A206" s="5" t="s">
        <v>3603</v>
      </c>
      <c r="B206" s="4" t="str">
        <f>IFERROR(__xludf.DUMMYFUNCTION("SPLIT(A206,"""""")"")"),"( arctic_a0205 ")</f>
        <v>( arctic_a0205 </v>
      </c>
      <c r="C206" s="4" t="str">
        <f>IFERROR(__xludf.DUMMYFUNCTION("""COMPUTED_VALUE"""),"From now on we're pals.")</f>
        <v>From now on we're pals.</v>
      </c>
      <c r="D206" s="4" t="str">
        <f>IFERROR(__xludf.DUMMYFUNCTION("""COMPUTED_VALUE""")," ")</f>
        <v> </v>
      </c>
    </row>
    <row r="207">
      <c r="A207" s="5" t="s">
        <v>3604</v>
      </c>
      <c r="B207" s="4" t="str">
        <f>IFERROR(__xludf.DUMMYFUNCTION("SPLIT(A207,"""""")"")"),"( arctic_a0206 ")</f>
        <v>( arctic_a0206 </v>
      </c>
      <c r="C207" s="4" t="str">
        <f>IFERROR(__xludf.DUMMYFUNCTION("""COMPUTED_VALUE"""),"He says he bought him of Jacques Le Beau.")</f>
        <v>He says he bought him of Jacques Le Beau.</v>
      </c>
      <c r="D207" s="4" t="str">
        <f>IFERROR(__xludf.DUMMYFUNCTION("""COMPUTED_VALUE""")," ")</f>
        <v> </v>
      </c>
    </row>
    <row r="208">
      <c r="A208" s="5" t="s">
        <v>3605</v>
      </c>
      <c r="B208" s="4" t="str">
        <f>IFERROR(__xludf.DUMMYFUNCTION("SPLIT(A208,"""""")"")"),"( arctic_a0207 ")</f>
        <v>( arctic_a0207 </v>
      </c>
      <c r="C208" s="4" t="str">
        <f>IFERROR(__xludf.DUMMYFUNCTION("""COMPUTED_VALUE"""),"How much was it.")</f>
        <v>How much was it.</v>
      </c>
      <c r="D208" s="4" t="str">
        <f>IFERROR(__xludf.DUMMYFUNCTION("""COMPUTED_VALUE""")," ")</f>
        <v> </v>
      </c>
    </row>
    <row r="209">
      <c r="A209" s="5" t="s">
        <v>3606</v>
      </c>
      <c r="B209" s="4" t="str">
        <f>IFERROR(__xludf.DUMMYFUNCTION("SPLIT(A209,"""""")"")"),"( arctic_a0208 ")</f>
        <v>( arctic_a0208 </v>
      </c>
      <c r="C209" s="4" t="str">
        <f>IFERROR(__xludf.DUMMYFUNCTION("""COMPUTED_VALUE"""),"Youth had come back to her, freed from the yoke of oppression.")</f>
        <v>Youth had come back to her, freed from the yoke of oppression.</v>
      </c>
      <c r="D209" s="4" t="str">
        <f>IFERROR(__xludf.DUMMYFUNCTION("""COMPUTED_VALUE""")," ")</f>
        <v> </v>
      </c>
    </row>
    <row r="210">
      <c r="A210" s="5" t="s">
        <v>3607</v>
      </c>
      <c r="B210" s="4" t="str">
        <f>IFERROR(__xludf.DUMMYFUNCTION("SPLIT(A210,"""""")"")"),"( arctic_a0209 ")</f>
        <v>( arctic_a0209 </v>
      </c>
      <c r="C210" s="4" t="str">
        <f>IFERROR(__xludf.DUMMYFUNCTION("""COMPUTED_VALUE"""),"It was not a large lake, and almost round.")</f>
        <v>It was not a large lake, and almost round.</v>
      </c>
      <c r="D210" s="4" t="str">
        <f>IFERROR(__xludf.DUMMYFUNCTION("""COMPUTED_VALUE""")," ")</f>
        <v> </v>
      </c>
    </row>
    <row r="211">
      <c r="A211" s="5" t="s">
        <v>3608</v>
      </c>
      <c r="B211" s="4" t="str">
        <f>IFERROR(__xludf.DUMMYFUNCTION("SPLIT(A211,"""""")"")"),"( arctic_a0210 ")</f>
        <v>( arctic_a0210 </v>
      </c>
      <c r="C211" s="4" t="str">
        <f>IFERROR(__xludf.DUMMYFUNCTION("""COMPUTED_VALUE"""),"Its diameter was not more than two hundred yards.")</f>
        <v>Its diameter was not more than two hundred yards.</v>
      </c>
      <c r="D211" s="4" t="str">
        <f>IFERROR(__xludf.DUMMYFUNCTION("""COMPUTED_VALUE""")," ")</f>
        <v> </v>
      </c>
    </row>
    <row r="212">
      <c r="A212" s="5" t="s">
        <v>3609</v>
      </c>
      <c r="B212" s="4" t="str">
        <f>IFERROR(__xludf.DUMMYFUNCTION("SPLIT(A212,"""""")"")"),"( arctic_a0211 ")</f>
        <v>( arctic_a0211 </v>
      </c>
      <c r="C212" s="4" t="str">
        <f>IFERROR(__xludf.DUMMYFUNCTION("""COMPUTED_VALUE"""),"It drowned all sound that brute agony and death may have made.")</f>
        <v>It drowned all sound that brute agony and death may have made.</v>
      </c>
      <c r="D212" s="4" t="str">
        <f>IFERROR(__xludf.DUMMYFUNCTION("""COMPUTED_VALUE""")," ")</f>
        <v> </v>
      </c>
    </row>
    <row r="213">
      <c r="A213" s="5" t="s">
        <v>3610</v>
      </c>
      <c r="B213" s="4" t="str">
        <f>IFERROR(__xludf.DUMMYFUNCTION("SPLIT(A213,"""""")"")"),"( arctic_a0212 ")</f>
        <v>( arctic_a0212 </v>
      </c>
      <c r="C213" s="4" t="str">
        <f>IFERROR(__xludf.DUMMYFUNCTION("""COMPUTED_VALUE"""),"Fresh cases, still able to walk, they clustered about the spokesman.")</f>
        <v>Fresh cases, still able to walk, they clustered about the spokesman.</v>
      </c>
      <c r="D213" s="4" t="str">
        <f>IFERROR(__xludf.DUMMYFUNCTION("""COMPUTED_VALUE""")," ")</f>
        <v> </v>
      </c>
    </row>
    <row r="214">
      <c r="A214" s="5" t="s">
        <v>3611</v>
      </c>
      <c r="B214" s="4" t="str">
        <f>IFERROR(__xludf.DUMMYFUNCTION("SPLIT(A214,"""""")"")"),"( arctic_a0213 ")</f>
        <v>( arctic_a0213 </v>
      </c>
      <c r="C214" s="4" t="str">
        <f>IFERROR(__xludf.DUMMYFUNCTION("""COMPUTED_VALUE"""),"Between him and the beach was the cane-grass fence of the compound.")</f>
        <v>Between him and the beach was the cane-grass fence of the compound.</v>
      </c>
      <c r="D214" s="4" t="str">
        <f>IFERROR(__xludf.DUMMYFUNCTION("""COMPUTED_VALUE""")," ")</f>
        <v> </v>
      </c>
    </row>
    <row r="215">
      <c r="A215" s="5" t="s">
        <v>3612</v>
      </c>
      <c r="B215" s="4" t="str">
        <f>IFERROR(__xludf.DUMMYFUNCTION("SPLIT(A215,"""""")"")"),"( arctic_a0214 ")</f>
        <v>( arctic_a0214 </v>
      </c>
      <c r="C215" s="4" t="str">
        <f>IFERROR(__xludf.DUMMYFUNCTION("""COMPUTED_VALUE"""),"Besides, he was paid one case of tobacco per head.")</f>
        <v>Besides, he was paid one case of tobacco per head.</v>
      </c>
      <c r="D215" s="4" t="str">
        <f>IFERROR(__xludf.DUMMYFUNCTION("""COMPUTED_VALUE""")," ")</f>
        <v> </v>
      </c>
    </row>
    <row r="216">
      <c r="A216" s="5" t="s">
        <v>3613</v>
      </c>
      <c r="B216" s="4" t="str">
        <f>IFERROR(__xludf.DUMMYFUNCTION("SPLIT(A216,"""""")"")"),"( arctic_a0215 ")</f>
        <v>( arctic_a0215 </v>
      </c>
      <c r="C216" s="4" t="str">
        <f>IFERROR(__xludf.DUMMYFUNCTION("""COMPUTED_VALUE"""),"They die out of spite.")</f>
        <v>They die out of spite.</v>
      </c>
      <c r="D216" s="4" t="str">
        <f>IFERROR(__xludf.DUMMYFUNCTION("""COMPUTED_VALUE""")," ")</f>
        <v> </v>
      </c>
    </row>
    <row r="217">
      <c r="A217" s="5" t="s">
        <v>3614</v>
      </c>
      <c r="B217" s="4" t="str">
        <f>IFERROR(__xludf.DUMMYFUNCTION("SPLIT(A217,"""""")"")"),"( arctic_a0216 ")</f>
        <v>( arctic_a0216 </v>
      </c>
      <c r="C217" s="4" t="str">
        <f>IFERROR(__xludf.DUMMYFUNCTION("""COMPUTED_VALUE"""),"The other felt a sudden wave of irritation rush through him.")</f>
        <v>The other felt a sudden wave of irritation rush through him.</v>
      </c>
      <c r="D217" s="4" t="str">
        <f>IFERROR(__xludf.DUMMYFUNCTION("""COMPUTED_VALUE""")," ")</f>
        <v> </v>
      </c>
    </row>
    <row r="218">
      <c r="A218" s="5" t="s">
        <v>3615</v>
      </c>
      <c r="B218" s="4" t="str">
        <f>IFERROR(__xludf.DUMMYFUNCTION("SPLIT(A218,"""""")"")"),"( arctic_a0217 ")</f>
        <v>( arctic_a0217 </v>
      </c>
      <c r="C218" s="4" t="str">
        <f>IFERROR(__xludf.DUMMYFUNCTION("""COMPUTED_VALUE"""),"Oppressive as the heat had been, it was now even more oppressive.")</f>
        <v>Oppressive as the heat had been, it was now even more oppressive.</v>
      </c>
      <c r="D218" s="4" t="str">
        <f>IFERROR(__xludf.DUMMYFUNCTION("""COMPUTED_VALUE""")," ")</f>
        <v> </v>
      </c>
    </row>
    <row r="219">
      <c r="A219" s="5" t="s">
        <v>3616</v>
      </c>
      <c r="B219" s="4" t="str">
        <f>IFERROR(__xludf.DUMMYFUNCTION("SPLIT(A219,"""""")"")"),"( arctic_a0218 ")</f>
        <v>( arctic_a0218 </v>
      </c>
      <c r="C219" s="4" t="str">
        <f>IFERROR(__xludf.DUMMYFUNCTION("""COMPUTED_VALUE"""),"The ringing of the big bell aroused him.")</f>
        <v>The ringing of the big bell aroused him.</v>
      </c>
      <c r="D219" s="4" t="str">
        <f>IFERROR(__xludf.DUMMYFUNCTION("""COMPUTED_VALUE""")," ")</f>
        <v> </v>
      </c>
    </row>
    <row r="220">
      <c r="A220" s="5" t="s">
        <v>3617</v>
      </c>
      <c r="B220" s="4" t="str">
        <f>IFERROR(__xludf.DUMMYFUNCTION("SPLIT(A220,"""""")"")"),"( arctic_a0219 ")</f>
        <v>( arctic_a0219 </v>
      </c>
      <c r="C220" s="4" t="str">
        <f>IFERROR(__xludf.DUMMYFUNCTION("""COMPUTED_VALUE"""),"At first he puzzled over something untoward he was sure had happened.")</f>
        <v>At first he puzzled over something untoward he was sure had happened.</v>
      </c>
      <c r="D220" s="4" t="str">
        <f>IFERROR(__xludf.DUMMYFUNCTION("""COMPUTED_VALUE""")," ")</f>
        <v> </v>
      </c>
    </row>
    <row r="221">
      <c r="A221" s="5" t="s">
        <v>3618</v>
      </c>
      <c r="B221" s="4" t="str">
        <f>IFERROR(__xludf.DUMMYFUNCTION("SPLIT(A221,"""""")"")"),"( arctic_a0220 ")</f>
        <v>( arctic_a0220 </v>
      </c>
      <c r="C221" s="4" t="str">
        <f>IFERROR(__xludf.DUMMYFUNCTION("""COMPUTED_VALUE"""),"A dead man is of no use on a plantation.")</f>
        <v>A dead man is of no use on a plantation.</v>
      </c>
      <c r="D221" s="4" t="str">
        <f>IFERROR(__xludf.DUMMYFUNCTION("""COMPUTED_VALUE""")," ")</f>
        <v> </v>
      </c>
    </row>
    <row r="222">
      <c r="A222" s="5" t="s">
        <v>3619</v>
      </c>
      <c r="B222" s="4" t="str">
        <f>IFERROR(__xludf.DUMMYFUNCTION("SPLIT(A222,"""""")"")"),"( arctic_a0221 ")</f>
        <v>( arctic_a0221 </v>
      </c>
      <c r="C222" s="4" t="str">
        <f>IFERROR(__xludf.DUMMYFUNCTION("""COMPUTED_VALUE"""),"I don't know why you're here at all.")</f>
        <v>I don't know why you're here at all.</v>
      </c>
      <c r="D222" s="4" t="str">
        <f>IFERROR(__xludf.DUMMYFUNCTION("""COMPUTED_VALUE""")," ")</f>
        <v> </v>
      </c>
    </row>
    <row r="223">
      <c r="A223" s="5" t="s">
        <v>3620</v>
      </c>
      <c r="B223" s="4" t="str">
        <f>IFERROR(__xludf.DUMMYFUNCTION("SPLIT(A223,"""""")"")"),"( arctic_a0222 ")</f>
        <v>( arctic_a0222 </v>
      </c>
      <c r="C223" s="4" t="str">
        <f>IFERROR(__xludf.DUMMYFUNCTION("""COMPUTED_VALUE"""),"What part of the United States is your home.")</f>
        <v>What part of the United States is your home.</v>
      </c>
      <c r="D223" s="4" t="str">
        <f>IFERROR(__xludf.DUMMYFUNCTION("""COMPUTED_VALUE""")," ")</f>
        <v> </v>
      </c>
    </row>
    <row r="224">
      <c r="A224" s="5" t="s">
        <v>3621</v>
      </c>
      <c r="B224" s="4" t="str">
        <f>IFERROR(__xludf.DUMMYFUNCTION("SPLIT(A224,"""""")"")"),"( arctic_a0223 ")</f>
        <v>( arctic_a0223 </v>
      </c>
      <c r="C224" s="4" t="str">
        <f>IFERROR(__xludf.DUMMYFUNCTION("""COMPUTED_VALUE"""),"My, I'm almost homesick for it already.")</f>
        <v>My, I'm almost homesick for it already.</v>
      </c>
      <c r="D224" s="4" t="str">
        <f>IFERROR(__xludf.DUMMYFUNCTION("""COMPUTED_VALUE""")," ")</f>
        <v> </v>
      </c>
    </row>
    <row r="225">
      <c r="A225" s="5" t="s">
        <v>3622</v>
      </c>
      <c r="B225" s="4" t="str">
        <f>IFERROR(__xludf.DUMMYFUNCTION("SPLIT(A225,"""""")"")"),"( arctic_a0224 ")</f>
        <v>( arctic_a0224 </v>
      </c>
      <c r="C225" s="4" t="str">
        <f>IFERROR(__xludf.DUMMYFUNCTION("""COMPUTED_VALUE"""),"She nodded, and her eyes grew soft and moist.")</f>
        <v>She nodded, and her eyes grew soft and moist.</v>
      </c>
      <c r="D225" s="4" t="str">
        <f>IFERROR(__xludf.DUMMYFUNCTION("""COMPUTED_VALUE""")," ")</f>
        <v> </v>
      </c>
    </row>
    <row r="226">
      <c r="A226" s="5" t="s">
        <v>3623</v>
      </c>
      <c r="B226" s="4" t="str">
        <f>IFERROR(__xludf.DUMMYFUNCTION("SPLIT(A226,"""""")"")"),"( arctic_a0225 ")</f>
        <v>( arctic_a0225 </v>
      </c>
      <c r="C226" s="4" t="str">
        <f>IFERROR(__xludf.DUMMYFUNCTION("""COMPUTED_VALUE"""),"I was brought up the way most girls in Hawaii are brought up.")</f>
        <v>I was brought up the way most girls in Hawaii are brought up.</v>
      </c>
      <c r="D226" s="4" t="str">
        <f>IFERROR(__xludf.DUMMYFUNCTION("""COMPUTED_VALUE""")," ")</f>
        <v> </v>
      </c>
    </row>
    <row r="227">
      <c r="A227" s="5" t="s">
        <v>3624</v>
      </c>
      <c r="B227" s="4" t="str">
        <f>IFERROR(__xludf.DUMMYFUNCTION("SPLIT(A227,"""""")"")"),"( arctic_a0226 ")</f>
        <v>( arctic_a0226 </v>
      </c>
      <c r="C227" s="4" t="str">
        <f>IFERROR(__xludf.DUMMYFUNCTION("""COMPUTED_VALUE"""),"That came before my A B C's.")</f>
        <v>That came before my A B C's.</v>
      </c>
      <c r="D227" s="4" t="str">
        <f>IFERROR(__xludf.DUMMYFUNCTION("""COMPUTED_VALUE""")," ")</f>
        <v> </v>
      </c>
    </row>
    <row r="228">
      <c r="A228" s="5" t="s">
        <v>3625</v>
      </c>
      <c r="B228" s="4" t="str">
        <f>IFERROR(__xludf.DUMMYFUNCTION("SPLIT(A228,"""""")"")"),"( arctic_a0227 ")</f>
        <v>( arctic_a0227 </v>
      </c>
      <c r="C228" s="4" t="str">
        <f>IFERROR(__xludf.DUMMYFUNCTION("""COMPUTED_VALUE"""),"It was the same way with our revolvers and rifles.")</f>
        <v>It was the same way with our revolvers and rifles.</v>
      </c>
      <c r="D228" s="4" t="str">
        <f>IFERROR(__xludf.DUMMYFUNCTION("""COMPUTED_VALUE""")," ")</f>
        <v> </v>
      </c>
    </row>
    <row r="229">
      <c r="A229" s="5" t="s">
        <v>3626</v>
      </c>
      <c r="B229" s="4" t="str">
        <f>IFERROR(__xludf.DUMMYFUNCTION("SPLIT(A229,"""""")"")"),"( arctic_a0228 ")</f>
        <v>( arctic_a0228 </v>
      </c>
      <c r="C229" s="4" t="str">
        <f>IFERROR(__xludf.DUMMYFUNCTION("""COMPUTED_VALUE"""),"But it contributed to the smash.")</f>
        <v>But it contributed to the smash.</v>
      </c>
      <c r="D229" s="4" t="str">
        <f>IFERROR(__xludf.DUMMYFUNCTION("""COMPUTED_VALUE""")," ")</f>
        <v> </v>
      </c>
    </row>
    <row r="230">
      <c r="A230" s="5" t="s">
        <v>3627</v>
      </c>
      <c r="B230" s="4" t="str">
        <f>IFERROR(__xludf.DUMMYFUNCTION("SPLIT(A230,"""""")"")"),"( arctic_a0229 ")</f>
        <v>( arctic_a0229 </v>
      </c>
      <c r="C230" s="4" t="str">
        <f>IFERROR(__xludf.DUMMYFUNCTION("""COMPUTED_VALUE"""),"The last one I knew was an overseer.")</f>
        <v>The last one I knew was an overseer.</v>
      </c>
      <c r="D230" s="4" t="str">
        <f>IFERROR(__xludf.DUMMYFUNCTION("""COMPUTED_VALUE""")," ")</f>
        <v> </v>
      </c>
    </row>
    <row r="231">
      <c r="A231" s="5" t="s">
        <v>3628</v>
      </c>
      <c r="B231" s="4" t="str">
        <f>IFERROR(__xludf.DUMMYFUNCTION("SPLIT(A231,"""""")"")"),"( arctic_a0230 ")</f>
        <v>( arctic_a0230 </v>
      </c>
      <c r="C231" s="4" t="str">
        <f>IFERROR(__xludf.DUMMYFUNCTION("""COMPUTED_VALUE"""),"Do you know any good land around here.")</f>
        <v>Do you know any good land around here.</v>
      </c>
      <c r="D231" s="4" t="str">
        <f>IFERROR(__xludf.DUMMYFUNCTION("""COMPUTED_VALUE""")," ")</f>
        <v> </v>
      </c>
    </row>
    <row r="232">
      <c r="A232" s="5" t="s">
        <v>3629</v>
      </c>
      <c r="B232" s="4" t="str">
        <f>IFERROR(__xludf.DUMMYFUNCTION("SPLIT(A232,"""""")"")"),"( arctic_a0231 ")</f>
        <v>( arctic_a0231 </v>
      </c>
      <c r="C232" s="4" t="str">
        <f>IFERROR(__xludf.DUMMYFUNCTION("""COMPUTED_VALUE"""),"The Resident Commissioner is away in Australia.")</f>
        <v>The Resident Commissioner is away in Australia.</v>
      </c>
      <c r="D232" s="4" t="str">
        <f>IFERROR(__xludf.DUMMYFUNCTION("""COMPUTED_VALUE""")," ")</f>
        <v> </v>
      </c>
    </row>
    <row r="233">
      <c r="A233" s="5" t="s">
        <v>3630</v>
      </c>
      <c r="B233" s="4" t="str">
        <f>IFERROR(__xludf.DUMMYFUNCTION("SPLIT(A233,"""""")"")"),"( arctic_a0232 ")</f>
        <v>( arctic_a0232 </v>
      </c>
      <c r="C233" s="4" t="str">
        <f>IFERROR(__xludf.DUMMYFUNCTION("""COMPUTED_VALUE"""),"I cannot follow you, she said.")</f>
        <v>I cannot follow you, she said.</v>
      </c>
      <c r="D233" s="4" t="str">
        <f>IFERROR(__xludf.DUMMYFUNCTION("""COMPUTED_VALUE""")," ")</f>
        <v> </v>
      </c>
    </row>
    <row r="234">
      <c r="A234" s="5" t="s">
        <v>3631</v>
      </c>
      <c r="B234" s="4" t="str">
        <f>IFERROR(__xludf.DUMMYFUNCTION("SPLIT(A234,"""""")"")"),"( arctic_a0233 ")</f>
        <v>( arctic_a0233 </v>
      </c>
      <c r="C234" s="4" t="str">
        <f>IFERROR(__xludf.DUMMYFUNCTION("""COMPUTED_VALUE"""),"I never allow what can't be changed to annoy me.")</f>
        <v>I never allow what can't be changed to annoy me.</v>
      </c>
      <c r="D234" s="4" t="str">
        <f>IFERROR(__xludf.DUMMYFUNCTION("""COMPUTED_VALUE""")," ")</f>
        <v> </v>
      </c>
    </row>
    <row r="235">
      <c r="A235" s="5" t="s">
        <v>3632</v>
      </c>
      <c r="B235" s="4" t="str">
        <f>IFERROR(__xludf.DUMMYFUNCTION("SPLIT(A235,"""""")"")"),"( arctic_a0234 ")</f>
        <v>( arctic_a0234 </v>
      </c>
      <c r="C235" s="4" t="str">
        <f>IFERROR(__xludf.DUMMYFUNCTION("""COMPUTED_VALUE"""),"Why, the average review is more nauseating than cod liver oil.")</f>
        <v>Why, the average review is more nauseating than cod liver oil.</v>
      </c>
      <c r="D235" s="4" t="str">
        <f>IFERROR(__xludf.DUMMYFUNCTION("""COMPUTED_VALUE""")," ")</f>
        <v> </v>
      </c>
    </row>
    <row r="236">
      <c r="A236" s="5" t="s">
        <v>3633</v>
      </c>
      <c r="B236" s="4" t="str">
        <f>IFERROR(__xludf.DUMMYFUNCTION("SPLIT(A236,"""""")"")"),"( arctic_a0235 ")</f>
        <v>( arctic_a0235 </v>
      </c>
      <c r="C236" s="4" t="str">
        <f>IFERROR(__xludf.DUMMYFUNCTION("""COMPUTED_VALUE"""),"His voice was passionately rebellious.")</f>
        <v>His voice was passionately rebellious.</v>
      </c>
      <c r="D236" s="4" t="str">
        <f>IFERROR(__xludf.DUMMYFUNCTION("""COMPUTED_VALUE""")," ")</f>
        <v> </v>
      </c>
    </row>
    <row r="237">
      <c r="A237" s="5" t="s">
        <v>3634</v>
      </c>
      <c r="B237" s="4" t="str">
        <f>IFERROR(__xludf.DUMMYFUNCTION("SPLIT(A237,"""""")"")"),"( arctic_a0236 ")</f>
        <v>( arctic_a0236 </v>
      </c>
      <c r="C237" s="4" t="str">
        <f>IFERROR(__xludf.DUMMYFUNCTION("""COMPUTED_VALUE"""),"Don't you see I hate you.")</f>
        <v>Don't you see I hate you.</v>
      </c>
      <c r="D237" s="4" t="str">
        <f>IFERROR(__xludf.DUMMYFUNCTION("""COMPUTED_VALUE""")," ")</f>
        <v> </v>
      </c>
    </row>
    <row r="238">
      <c r="A238" s="5" t="s">
        <v>3635</v>
      </c>
      <c r="B238" s="4" t="str">
        <f>IFERROR(__xludf.DUMMYFUNCTION("SPLIT(A238,"""""")"")"),"( arctic_a0237 ")</f>
        <v>( arctic_a0237 </v>
      </c>
      <c r="C238" s="4" t="str">
        <f>IFERROR(__xludf.DUMMYFUNCTION("""COMPUTED_VALUE"""),"So Hughie and I did the managing ourselves.")</f>
        <v>So Hughie and I did the managing ourselves.</v>
      </c>
      <c r="D238" s="4" t="str">
        <f>IFERROR(__xludf.DUMMYFUNCTION("""COMPUTED_VALUE""")," ")</f>
        <v> </v>
      </c>
    </row>
    <row r="239">
      <c r="A239" s="5" t="s">
        <v>3636</v>
      </c>
      <c r="B239" s="4" t="str">
        <f>IFERROR(__xludf.DUMMYFUNCTION("SPLIT(A239,"""""")"")"),"( arctic_a0238 ")</f>
        <v>( arctic_a0238 </v>
      </c>
      <c r="C239" s="4" t="str">
        <f>IFERROR(__xludf.DUMMYFUNCTION("""COMPUTED_VALUE"""),"It happened to him at the Gallina Society in Oakland one afternoon.")</f>
        <v>It happened to him at the Gallina Society in Oakland one afternoon.</v>
      </c>
      <c r="D239" s="4" t="str">
        <f>IFERROR(__xludf.DUMMYFUNCTION("""COMPUTED_VALUE""")," ")</f>
        <v> </v>
      </c>
    </row>
    <row r="240">
      <c r="A240" s="5" t="s">
        <v>3637</v>
      </c>
      <c r="B240" s="4" t="str">
        <f>IFERROR(__xludf.DUMMYFUNCTION("SPLIT(A240,"""""")"")"),"( arctic_a0239 ")</f>
        <v>( arctic_a0239 </v>
      </c>
      <c r="C240" s="4" t="str">
        <f>IFERROR(__xludf.DUMMYFUNCTION("""COMPUTED_VALUE"""),"He cried in such genuine dismay that she broke into hearty laughter.")</f>
        <v>He cried in such genuine dismay that she broke into hearty laughter.</v>
      </c>
      <c r="D240" s="4" t="str">
        <f>IFERROR(__xludf.DUMMYFUNCTION("""COMPUTED_VALUE""")," ")</f>
        <v> </v>
      </c>
    </row>
    <row r="241">
      <c r="A241" s="5" t="s">
        <v>3638</v>
      </c>
      <c r="B241" s="4" t="str">
        <f>IFERROR(__xludf.DUMMYFUNCTION("SPLIT(A241,"""""")"")"),"( arctic_a0240 ")</f>
        <v>( arctic_a0240 </v>
      </c>
      <c r="C241" s="4" t="str">
        <f>IFERROR(__xludf.DUMMYFUNCTION("""COMPUTED_VALUE"""),"Wash your hands of me.")</f>
        <v>Wash your hands of me.</v>
      </c>
      <c r="D241" s="4" t="str">
        <f>IFERROR(__xludf.DUMMYFUNCTION("""COMPUTED_VALUE""")," ")</f>
        <v> </v>
      </c>
    </row>
    <row r="242">
      <c r="A242" s="5" t="s">
        <v>3639</v>
      </c>
      <c r="B242" s="4" t="str">
        <f>IFERROR(__xludf.DUMMYFUNCTION("SPLIT(A242,"""""")"")"),"( arctic_a0241 ")</f>
        <v>( arctic_a0241 </v>
      </c>
      <c r="C242" s="4" t="str">
        <f>IFERROR(__xludf.DUMMYFUNCTION("""COMPUTED_VALUE"""),"I think it's much nicer to quarrel.")</f>
        <v>I think it's much nicer to quarrel.</v>
      </c>
      <c r="D242" s="4" t="str">
        <f>IFERROR(__xludf.DUMMYFUNCTION("""COMPUTED_VALUE""")," ")</f>
        <v> </v>
      </c>
    </row>
    <row r="243">
      <c r="A243" s="5" t="s">
        <v>3640</v>
      </c>
      <c r="B243" s="4" t="str">
        <f>IFERROR(__xludf.DUMMYFUNCTION("SPLIT(A243,"""""")"")"),"( arctic_a0242 ")</f>
        <v>( arctic_a0242 </v>
      </c>
      <c r="C243" s="4" t="str">
        <f>IFERROR(__xludf.DUMMYFUNCTION("""COMPUTED_VALUE"""),"I saw it when she rolled.")</f>
        <v>I saw it when she rolled.</v>
      </c>
      <c r="D243" s="4" t="str">
        <f>IFERROR(__xludf.DUMMYFUNCTION("""COMPUTED_VALUE""")," ")</f>
        <v> </v>
      </c>
    </row>
    <row r="244">
      <c r="A244" s="5" t="s">
        <v>3641</v>
      </c>
      <c r="B244" s="4" t="str">
        <f>IFERROR(__xludf.DUMMYFUNCTION("SPLIT(A244,"""""")"")"),"( arctic_a0243 ")</f>
        <v>( arctic_a0243 </v>
      </c>
      <c r="C244" s="4" t="str">
        <f>IFERROR(__xludf.DUMMYFUNCTION("""COMPUTED_VALUE"""),"I only read the quotations.")</f>
        <v>I only read the quotations.</v>
      </c>
      <c r="D244" s="4" t="str">
        <f>IFERROR(__xludf.DUMMYFUNCTION("""COMPUTED_VALUE""")," ")</f>
        <v> </v>
      </c>
    </row>
    <row r="245">
      <c r="A245" s="5" t="s">
        <v>3642</v>
      </c>
      <c r="B245" s="4" t="str">
        <f>IFERROR(__xludf.DUMMYFUNCTION("SPLIT(A245,"""""")"")"),"( arctic_a0244 ")</f>
        <v>( arctic_a0244 </v>
      </c>
      <c r="C245" s="4" t="str">
        <f>IFERROR(__xludf.DUMMYFUNCTION("""COMPUTED_VALUE"""),"He was the soul of devotion to his employers.")</f>
        <v>He was the soul of devotion to his employers.</v>
      </c>
      <c r="D245" s="4" t="str">
        <f>IFERROR(__xludf.DUMMYFUNCTION("""COMPUTED_VALUE""")," ")</f>
        <v> </v>
      </c>
    </row>
    <row r="246">
      <c r="A246" s="5" t="s">
        <v>3643</v>
      </c>
      <c r="B246" s="4" t="str">
        <f>IFERROR(__xludf.DUMMYFUNCTION("SPLIT(A246,"""""")"")"),"( arctic_a0245 ")</f>
        <v>( arctic_a0245 </v>
      </c>
      <c r="C246" s="4" t="str">
        <f>IFERROR(__xludf.DUMMYFUNCTION("""COMPUTED_VALUE"""),"Out of his eighteen hundred, he laid aside sixteen hundred each year.")</f>
        <v>Out of his eighteen hundred, he laid aside sixteen hundred each year.</v>
      </c>
      <c r="D246" s="4" t="str">
        <f>IFERROR(__xludf.DUMMYFUNCTION("""COMPUTED_VALUE""")," ")</f>
        <v> </v>
      </c>
    </row>
    <row r="247">
      <c r="A247" s="5" t="s">
        <v>3644</v>
      </c>
      <c r="B247" s="4" t="str">
        <f>IFERROR(__xludf.DUMMYFUNCTION("SPLIT(A247,"""""")"")"),"( arctic_a0246 ")</f>
        <v>( arctic_a0246 </v>
      </c>
      <c r="C247" s="4" t="str">
        <f>IFERROR(__xludf.DUMMYFUNCTION("""COMPUTED_VALUE"""),"You have heard always how he was the lover of the Princess Naomi.")</f>
        <v>You have heard always how he was the lover of the Princess Naomi.</v>
      </c>
      <c r="D247" s="4" t="str">
        <f>IFERROR(__xludf.DUMMYFUNCTION("""COMPUTED_VALUE""")," ")</f>
        <v> </v>
      </c>
    </row>
    <row r="248">
      <c r="A248" s="5" t="s">
        <v>3645</v>
      </c>
      <c r="B248" s="4" t="str">
        <f>IFERROR(__xludf.DUMMYFUNCTION("SPLIT(A248,"""""")"")"),"( arctic_a0247 ")</f>
        <v>( arctic_a0247 </v>
      </c>
      <c r="C248" s="4" t="str">
        <f>IFERROR(__xludf.DUMMYFUNCTION("""COMPUTED_VALUE"""),"They ought to pass here some time today.")</f>
        <v>They ought to pass here some time today.</v>
      </c>
      <c r="D248" s="4" t="str">
        <f>IFERROR(__xludf.DUMMYFUNCTION("""COMPUTED_VALUE""")," ")</f>
        <v> </v>
      </c>
    </row>
    <row r="249">
      <c r="A249" s="5" t="s">
        <v>3646</v>
      </c>
      <c r="B249" s="4" t="str">
        <f>IFERROR(__xludf.DUMMYFUNCTION("SPLIT(A249,"""""")"")"),"( arctic_a0248 ")</f>
        <v>( arctic_a0248 </v>
      </c>
      <c r="C249" s="4" t="str">
        <f>IFERROR(__xludf.DUMMYFUNCTION("""COMPUTED_VALUE"""),"I had been sad too long already.")</f>
        <v>I had been sad too long already.</v>
      </c>
      <c r="D249" s="4" t="str">
        <f>IFERROR(__xludf.DUMMYFUNCTION("""COMPUTED_VALUE""")," ")</f>
        <v> </v>
      </c>
    </row>
    <row r="250">
      <c r="A250" s="5" t="s">
        <v>3647</v>
      </c>
      <c r="B250" s="4" t="str">
        <f>IFERROR(__xludf.DUMMYFUNCTION("SPLIT(A250,"""""")"")"),"( arctic_a0249 ")</f>
        <v>( arctic_a0249 </v>
      </c>
      <c r="C250" s="4" t="str">
        <f>IFERROR(__xludf.DUMMYFUNCTION("""COMPUTED_VALUE"""),"All eyes, however, were staring at him in certitude of expectancy.")</f>
        <v>All eyes, however, were staring at him in certitude of expectancy.</v>
      </c>
      <c r="D250" s="4" t="str">
        <f>IFERROR(__xludf.DUMMYFUNCTION("""COMPUTED_VALUE""")," ")</f>
        <v> </v>
      </c>
    </row>
    <row r="251">
      <c r="A251" s="5" t="s">
        <v>3648</v>
      </c>
      <c r="B251" s="4" t="str">
        <f>IFERROR(__xludf.DUMMYFUNCTION("SPLIT(A251,"""""")"")"),"( arctic_a0250 ")</f>
        <v>( arctic_a0250 </v>
      </c>
      <c r="C251" s="4" t="str">
        <f>IFERROR(__xludf.DUMMYFUNCTION("""COMPUTED_VALUE"""),"He had observed the business life of Hawaii and developed a vaulting ambition.")</f>
        <v>He had observed the business life of Hawaii and developed a vaulting ambition.</v>
      </c>
      <c r="D251" s="4" t="str">
        <f>IFERROR(__xludf.DUMMYFUNCTION("""COMPUTED_VALUE""")," ")</f>
        <v> </v>
      </c>
    </row>
    <row r="252">
      <c r="A252" s="5" t="s">
        <v>3649</v>
      </c>
      <c r="B252" s="4" t="str">
        <f>IFERROR(__xludf.DUMMYFUNCTION("SPLIT(A252,"""""")"")"),"( arctic_a0251 ")</f>
        <v>( arctic_a0251 </v>
      </c>
      <c r="C252" s="4" t="str">
        <f>IFERROR(__xludf.DUMMYFUNCTION("""COMPUTED_VALUE"""),"I may manage to freight a cargo back as well.")</f>
        <v>I may manage to freight a cargo back as well.</v>
      </c>
      <c r="D252" s="4" t="str">
        <f>IFERROR(__xludf.DUMMYFUNCTION("""COMPUTED_VALUE""")," ")</f>
        <v> </v>
      </c>
    </row>
    <row r="253">
      <c r="A253" s="5" t="s">
        <v>3650</v>
      </c>
      <c r="B253" s="4" t="str">
        <f>IFERROR(__xludf.DUMMYFUNCTION("SPLIT(A253,"""""")"")"),"( arctic_a0252 ")</f>
        <v>( arctic_a0252 </v>
      </c>
      <c r="C253" s="4" t="str">
        <f>IFERROR(__xludf.DUMMYFUNCTION("""COMPUTED_VALUE"""),"O'Brien had been a clean living young man with ideals.")</f>
        <v>O'Brien had been a clean living young man with ideals.</v>
      </c>
      <c r="D253" s="4" t="str">
        <f>IFERROR(__xludf.DUMMYFUNCTION("""COMPUTED_VALUE""")," ")</f>
        <v> </v>
      </c>
    </row>
    <row r="254">
      <c r="A254" s="5" t="s">
        <v>3651</v>
      </c>
      <c r="B254" s="4" t="str">
        <f>IFERROR(__xludf.DUMMYFUNCTION("SPLIT(A254,"""""")"")"),"( arctic_a0253 ")</f>
        <v>( arctic_a0253 </v>
      </c>
      <c r="C254" s="4" t="str">
        <f>IFERROR(__xludf.DUMMYFUNCTION("""COMPUTED_VALUE"""),"He it was that lived to found the family of the Patino.")</f>
        <v>He it was that lived to found the family of the Patino.</v>
      </c>
      <c r="D254" s="4" t="str">
        <f>IFERROR(__xludf.DUMMYFUNCTION("""COMPUTED_VALUE""")," ")</f>
        <v> </v>
      </c>
    </row>
    <row r="255">
      <c r="A255" s="5" t="s">
        <v>3652</v>
      </c>
      <c r="B255" s="4" t="str">
        <f>IFERROR(__xludf.DUMMYFUNCTION("SPLIT(A255,"""""")"")"),"( arctic_a0254 ")</f>
        <v>( arctic_a0254 </v>
      </c>
      <c r="C255" s="4" t="str">
        <f>IFERROR(__xludf.DUMMYFUNCTION("""COMPUTED_VALUE"""),"Straight out they swam, their heads growing smaller and smaller.")</f>
        <v>Straight out they swam, their heads growing smaller and smaller.</v>
      </c>
      <c r="D255" s="4" t="str">
        <f>IFERROR(__xludf.DUMMYFUNCTION("""COMPUTED_VALUE""")," ")</f>
        <v> </v>
      </c>
    </row>
    <row r="256">
      <c r="A256" s="5" t="s">
        <v>3653</v>
      </c>
      <c r="B256" s="4" t="str">
        <f>IFERROR(__xludf.DUMMYFUNCTION("SPLIT(A256,"""""")"")"),"( arctic_a0255 ")</f>
        <v>( arctic_a0255 </v>
      </c>
      <c r="C256" s="4" t="str">
        <f>IFERROR(__xludf.DUMMYFUNCTION("""COMPUTED_VALUE"""),"You won't die of malnutrition, be sure of that.")</f>
        <v>You won't die of malnutrition, be sure of that.</v>
      </c>
      <c r="D256" s="4" t="str">
        <f>IFERROR(__xludf.DUMMYFUNCTION("""COMPUTED_VALUE""")," ")</f>
        <v> </v>
      </c>
    </row>
    <row r="257">
      <c r="A257" s="5" t="s">
        <v>3654</v>
      </c>
      <c r="B257" s="4" t="str">
        <f>IFERROR(__xludf.DUMMYFUNCTION("SPLIT(A257,"""""")"")"),"( arctic_a0256 ")</f>
        <v>( arctic_a0256 </v>
      </c>
      <c r="C257" s="4" t="str">
        <f>IFERROR(__xludf.DUMMYFUNCTION("""COMPUTED_VALUE"""),"See the length of the body and that elongated neck.")</f>
        <v>See the length of the body and that elongated neck.</v>
      </c>
      <c r="D257" s="4" t="str">
        <f>IFERROR(__xludf.DUMMYFUNCTION("""COMPUTED_VALUE""")," ")</f>
        <v> </v>
      </c>
    </row>
    <row r="258">
      <c r="A258" s="5" t="s">
        <v>3655</v>
      </c>
      <c r="B258" s="4" t="str">
        <f>IFERROR(__xludf.DUMMYFUNCTION("SPLIT(A258,"""""")"")"),"( arctic_a0257 ")</f>
        <v>( arctic_a0257 </v>
      </c>
      <c r="C258" s="4" t="str">
        <f>IFERROR(__xludf.DUMMYFUNCTION("""COMPUTED_VALUE"""),"They are coming ashore, whoever they are.")</f>
        <v>They are coming ashore, whoever they are.</v>
      </c>
      <c r="D258" s="4" t="str">
        <f>IFERROR(__xludf.DUMMYFUNCTION("""COMPUTED_VALUE""")," ")</f>
        <v> </v>
      </c>
    </row>
    <row r="259">
      <c r="A259" s="5" t="s">
        <v>3656</v>
      </c>
      <c r="B259" s="4" t="str">
        <f>IFERROR(__xludf.DUMMYFUNCTION("SPLIT(A259,"""""")"")"),"( arctic_a0258 ")</f>
        <v>( arctic_a0258 </v>
      </c>
      <c r="C259" s="4" t="str">
        <f>IFERROR(__xludf.DUMMYFUNCTION("""COMPUTED_VALUE"""),"Soaked in seawater they offset the heat rays.")</f>
        <v>Soaked in seawater they offset the heat rays.</v>
      </c>
      <c r="D259" s="4" t="str">
        <f>IFERROR(__xludf.DUMMYFUNCTION("""COMPUTED_VALUE""")," ")</f>
        <v> </v>
      </c>
    </row>
    <row r="260">
      <c r="A260" s="5" t="s">
        <v>3657</v>
      </c>
      <c r="B260" s="4" t="str">
        <f>IFERROR(__xludf.DUMMYFUNCTION("SPLIT(A260,"""""")"")"),"( arctic_a0259 ")</f>
        <v>( arctic_a0259 </v>
      </c>
      <c r="C260" s="4" t="str">
        <f>IFERROR(__xludf.DUMMYFUNCTION("""COMPUTED_VALUE"""),"Think of investing in such an adventure.")</f>
        <v>Think of investing in such an adventure.</v>
      </c>
      <c r="D260" s="4" t="str">
        <f>IFERROR(__xludf.DUMMYFUNCTION("""COMPUTED_VALUE""")," ")</f>
        <v> </v>
      </c>
    </row>
    <row r="261">
      <c r="A261" s="5" t="s">
        <v>3658</v>
      </c>
      <c r="B261" s="4" t="str">
        <f>IFERROR(__xludf.DUMMYFUNCTION("SPLIT(A261,"""""")"")"),"( arctic_a0260 ")</f>
        <v>( arctic_a0260 </v>
      </c>
      <c r="C261" s="4" t="str">
        <f>IFERROR(__xludf.DUMMYFUNCTION("""COMPUTED_VALUE"""),"Nobody knew his history, they of the Junta least of all.")</f>
        <v>Nobody knew his history, they of the Junta least of all.</v>
      </c>
      <c r="D261" s="4" t="str">
        <f>IFERROR(__xludf.DUMMYFUNCTION("""COMPUTED_VALUE""")," ")</f>
        <v> </v>
      </c>
    </row>
    <row r="262">
      <c r="A262" s="5" t="s">
        <v>3659</v>
      </c>
      <c r="B262" s="4" t="str">
        <f>IFERROR(__xludf.DUMMYFUNCTION("SPLIT(A262,"""""")"")"),"( arctic_a0261 ")</f>
        <v>( arctic_a0261 </v>
      </c>
      <c r="C262" s="4" t="str">
        <f>IFERROR(__xludf.DUMMYFUNCTION("""COMPUTED_VALUE"""),"I have been doubly baptized.")</f>
        <v>I have been doubly baptized.</v>
      </c>
      <c r="D262" s="4" t="str">
        <f>IFERROR(__xludf.DUMMYFUNCTION("""COMPUTED_VALUE""")," ")</f>
        <v> </v>
      </c>
    </row>
    <row r="263">
      <c r="A263" s="5" t="s">
        <v>3660</v>
      </c>
      <c r="B263" s="4" t="str">
        <f>IFERROR(__xludf.DUMMYFUNCTION("SPLIT(A263,"""""")"")"),"( arctic_a0262 ")</f>
        <v>( arctic_a0262 </v>
      </c>
      <c r="C263" s="4" t="str">
        <f>IFERROR(__xludf.DUMMYFUNCTION("""COMPUTED_VALUE"""),"They wouldn't be sweeping a big vessel like the Martha.")</f>
        <v>They wouldn't be sweeping a big vessel like the Martha.</v>
      </c>
      <c r="D263" s="4" t="str">
        <f>IFERROR(__xludf.DUMMYFUNCTION("""COMPUTED_VALUE""")," ")</f>
        <v> </v>
      </c>
    </row>
    <row r="264">
      <c r="A264" s="5" t="s">
        <v>3661</v>
      </c>
      <c r="B264" s="4" t="str">
        <f>IFERROR(__xludf.DUMMYFUNCTION("SPLIT(A264,"""""")"")"),"( arctic_a0263 ")</f>
        <v>( arctic_a0263 </v>
      </c>
      <c r="C264" s="4" t="str">
        <f>IFERROR(__xludf.DUMMYFUNCTION("""COMPUTED_VALUE"""),"Joan looked triumphantly at Sheldon, who bowed.")</f>
        <v>Joan looked triumphantly at Sheldon, who bowed.</v>
      </c>
      <c r="D264" s="4" t="str">
        <f>IFERROR(__xludf.DUMMYFUNCTION("""COMPUTED_VALUE""")," ")</f>
        <v> </v>
      </c>
    </row>
    <row r="265">
      <c r="A265" s="5" t="s">
        <v>3662</v>
      </c>
      <c r="B265" s="4" t="str">
        <f>IFERROR(__xludf.DUMMYFUNCTION("SPLIT(A265,"""""")"")"),"( arctic_a0264 ")</f>
        <v>( arctic_a0264 </v>
      </c>
      <c r="C265" s="4" t="str">
        <f>IFERROR(__xludf.DUMMYFUNCTION("""COMPUTED_VALUE"""),"And I hope you've got plenty of chain out, Captain Young.")</f>
        <v>And I hope you've got plenty of chain out, Captain Young.</v>
      </c>
      <c r="D265" s="4" t="str">
        <f>IFERROR(__xludf.DUMMYFUNCTION("""COMPUTED_VALUE""")," ")</f>
        <v> </v>
      </c>
    </row>
    <row r="266">
      <c r="A266" s="5" t="s">
        <v>3663</v>
      </c>
      <c r="B266" s="4" t="str">
        <f>IFERROR(__xludf.DUMMYFUNCTION("SPLIT(A266,"""""")"")"),"( arctic_a0265 ")</f>
        <v>( arctic_a0265 </v>
      </c>
      <c r="C266" s="4" t="str">
        <f>IFERROR(__xludf.DUMMYFUNCTION("""COMPUTED_VALUE"""),"The discovery seemed to have been made on the spur of the moment.")</f>
        <v>The discovery seemed to have been made on the spur of the moment.</v>
      </c>
      <c r="D266" s="4" t="str">
        <f>IFERROR(__xludf.DUMMYFUNCTION("""COMPUTED_VALUE""")," ")</f>
        <v> </v>
      </c>
    </row>
    <row r="267">
      <c r="A267" s="5" t="s">
        <v>3664</v>
      </c>
      <c r="B267" s="4" t="str">
        <f>IFERROR(__xludf.DUMMYFUNCTION("SPLIT(A267,"""""")"")"),"( arctic_a0266 ")</f>
        <v>( arctic_a0266 </v>
      </c>
      <c r="C267" s="4" t="str">
        <f>IFERROR(__xludf.DUMMYFUNCTION("""COMPUTED_VALUE"""),"They handled two men already, both grub-thieves.")</f>
        <v>They handled two men already, both grub-thieves.</v>
      </c>
      <c r="D267" s="4" t="str">
        <f>IFERROR(__xludf.DUMMYFUNCTION("""COMPUTED_VALUE""")," ")</f>
        <v> </v>
      </c>
    </row>
    <row r="268">
      <c r="A268" s="5" t="s">
        <v>3665</v>
      </c>
      <c r="B268" s="4" t="str">
        <f>IFERROR(__xludf.DUMMYFUNCTION("SPLIT(A268,"""""")"")"),"( arctic_a0267 ")</f>
        <v>( arctic_a0267 </v>
      </c>
      <c r="C268" s="4" t="str">
        <f>IFERROR(__xludf.DUMMYFUNCTION("""COMPUTED_VALUE"""),"Eli Harding asked, as Shunk started to follow.")</f>
        <v>Eli Harding asked, as Shunk started to follow.</v>
      </c>
      <c r="D268" s="4" t="str">
        <f>IFERROR(__xludf.DUMMYFUNCTION("""COMPUTED_VALUE""")," ")</f>
        <v> </v>
      </c>
    </row>
    <row r="269">
      <c r="A269" s="5" t="s">
        <v>3666</v>
      </c>
      <c r="B269" s="4" t="str">
        <f>IFERROR(__xludf.DUMMYFUNCTION("SPLIT(A269,"""""")"")"),"( arctic_a0268 ")</f>
        <v>( arctic_a0268 </v>
      </c>
      <c r="C269" s="4" t="str">
        <f>IFERROR(__xludf.DUMMYFUNCTION("""COMPUTED_VALUE"""),"Now go ahead and tell me in a straightforward way what has happened.")</f>
        <v>Now go ahead and tell me in a straightforward way what has happened.</v>
      </c>
      <c r="D269" s="4" t="str">
        <f>IFERROR(__xludf.DUMMYFUNCTION("""COMPUTED_VALUE""")," ")</f>
        <v> </v>
      </c>
    </row>
    <row r="270">
      <c r="A270" s="5" t="s">
        <v>3667</v>
      </c>
      <c r="B270" s="4" t="str">
        <f>IFERROR(__xludf.DUMMYFUNCTION("SPLIT(A270,"""""")"")"),"( arctic_a0269 ")</f>
        <v>( arctic_a0269 </v>
      </c>
      <c r="C270" s="4" t="str">
        <f>IFERROR(__xludf.DUMMYFUNCTION("""COMPUTED_VALUE"""),"That's where they cut off the Scottish Chiefs and killed all hands.")</f>
        <v>That's where they cut off the Scottish Chiefs and killed all hands.</v>
      </c>
      <c r="D270" s="4" t="str">
        <f>IFERROR(__xludf.DUMMYFUNCTION("""COMPUTED_VALUE""")," ")</f>
        <v> </v>
      </c>
    </row>
    <row r="271">
      <c r="A271" s="5" t="s">
        <v>3668</v>
      </c>
      <c r="B271" s="4" t="str">
        <f>IFERROR(__xludf.DUMMYFUNCTION("SPLIT(A271,"""""")"")"),"( arctic_a0270 ")</f>
        <v>( arctic_a0270 </v>
      </c>
      <c r="C271" s="4" t="str">
        <f>IFERROR(__xludf.DUMMYFUNCTION("""COMPUTED_VALUE"""),"And after the bath a shave would not be bad.")</f>
        <v>And after the bath a shave would not be bad.</v>
      </c>
      <c r="D271" s="4" t="str">
        <f>IFERROR(__xludf.DUMMYFUNCTION("""COMPUTED_VALUE""")," ")</f>
        <v> </v>
      </c>
    </row>
    <row r="272">
      <c r="A272" s="5" t="s">
        <v>3669</v>
      </c>
      <c r="B272" s="4" t="str">
        <f>IFERROR(__xludf.DUMMYFUNCTION("SPLIT(A272,"""""")"")"),"( arctic_a0271 ")</f>
        <v>( arctic_a0271 </v>
      </c>
      <c r="C272" s="4" t="str">
        <f>IFERROR(__xludf.DUMMYFUNCTION("""COMPUTED_VALUE"""),"Now please give a plain statement of what occurred.")</f>
        <v>Now please give a plain statement of what occurred.</v>
      </c>
      <c r="D272" s="4" t="str">
        <f>IFERROR(__xludf.DUMMYFUNCTION("""COMPUTED_VALUE""")," ")</f>
        <v> </v>
      </c>
    </row>
    <row r="273">
      <c r="A273" s="5" t="s">
        <v>3670</v>
      </c>
      <c r="B273" s="4" t="str">
        <f>IFERROR(__xludf.DUMMYFUNCTION("SPLIT(A273,"""""")"")"),"( arctic_a0272 ")</f>
        <v>( arctic_a0272 </v>
      </c>
      <c r="C273" s="4" t="str">
        <f>IFERROR(__xludf.DUMMYFUNCTION("""COMPUTED_VALUE"""),"You can take a vacation on pay.")</f>
        <v>You can take a vacation on pay.</v>
      </c>
      <c r="D273" s="4" t="str">
        <f>IFERROR(__xludf.DUMMYFUNCTION("""COMPUTED_VALUE""")," ")</f>
        <v> </v>
      </c>
    </row>
    <row r="274">
      <c r="A274" s="5" t="s">
        <v>3671</v>
      </c>
      <c r="B274" s="4" t="str">
        <f>IFERROR(__xludf.DUMMYFUNCTION("SPLIT(A274,"""""")"")"),"( arctic_a0273 ")</f>
        <v>( arctic_a0273 </v>
      </c>
      <c r="C274" s="4" t="str">
        <f>IFERROR(__xludf.DUMMYFUNCTION("""COMPUTED_VALUE"""),"They are big trees and require plenty of room.")</f>
        <v>They are big trees and require plenty of room.</v>
      </c>
      <c r="D274" s="4" t="str">
        <f>IFERROR(__xludf.DUMMYFUNCTION("""COMPUTED_VALUE""")," ")</f>
        <v> </v>
      </c>
    </row>
    <row r="275">
      <c r="A275" s="5" t="s">
        <v>3672</v>
      </c>
      <c r="B275" s="4" t="str">
        <f>IFERROR(__xludf.DUMMYFUNCTION("SPLIT(A275,"""""")"")"),"( arctic_a0274 ")</f>
        <v>( arctic_a0274 </v>
      </c>
      <c r="C275" s="4" t="str">
        <f>IFERROR(__xludf.DUMMYFUNCTION("""COMPUTED_VALUE"""),"And Raoul listened again to the tale of the house.")</f>
        <v>And Raoul listened again to the tale of the house.</v>
      </c>
      <c r="D275" s="4" t="str">
        <f>IFERROR(__xludf.DUMMYFUNCTION("""COMPUTED_VALUE""")," ")</f>
        <v> </v>
      </c>
    </row>
    <row r="276">
      <c r="A276" s="5" t="s">
        <v>3673</v>
      </c>
      <c r="B276" s="4" t="str">
        <f>IFERROR(__xludf.DUMMYFUNCTION("SPLIT(A276,"""""")"")"),"( arctic_a0275 ")</f>
        <v>( arctic_a0275 </v>
      </c>
      <c r="C276" s="4" t="str">
        <f>IFERROR(__xludf.DUMMYFUNCTION("""COMPUTED_VALUE"""),"There are no kiddies and half grown youths among them.")</f>
        <v>There are no kiddies and half grown youths among them.</v>
      </c>
      <c r="D276" s="4" t="str">
        <f>IFERROR(__xludf.DUMMYFUNCTION("""COMPUTED_VALUE""")," ")</f>
        <v> </v>
      </c>
    </row>
    <row r="277">
      <c r="A277" s="5" t="s">
        <v>3674</v>
      </c>
      <c r="B277" s="4" t="str">
        <f>IFERROR(__xludf.DUMMYFUNCTION("SPLIT(A277,"""""")"")"),"( arctic_a0276 ")</f>
        <v>( arctic_a0276 </v>
      </c>
      <c r="C277" s="4" t="str">
        <f>IFERROR(__xludf.DUMMYFUNCTION("""COMPUTED_VALUE"""),"Oolong Atoll was one hundred and forty miles in circumference.")</f>
        <v>Oolong Atoll was one hundred and forty miles in circumference.</v>
      </c>
      <c r="D277" s="4" t="str">
        <f>IFERROR(__xludf.DUMMYFUNCTION("""COMPUTED_VALUE""")," ")</f>
        <v> </v>
      </c>
    </row>
    <row r="278">
      <c r="A278" s="5" t="s">
        <v>3675</v>
      </c>
      <c r="B278" s="4" t="str">
        <f>IFERROR(__xludf.DUMMYFUNCTION("SPLIT(A278,"""""")"")"),"( arctic_a0277 ")</f>
        <v>( arctic_a0277 </v>
      </c>
      <c r="C278" s="4" t="str">
        <f>IFERROR(__xludf.DUMMYFUNCTION("""COMPUTED_VALUE"""),"McCoy found a stifling, poisonous atmosphere in the pent cabin.")</f>
        <v>McCoy found a stifling, poisonous atmosphere in the pent cabin.</v>
      </c>
      <c r="D278" s="4" t="str">
        <f>IFERROR(__xludf.DUMMYFUNCTION("""COMPUTED_VALUE""")," ")</f>
        <v> </v>
      </c>
    </row>
    <row r="279">
      <c r="A279" s="5" t="s">
        <v>3676</v>
      </c>
      <c r="B279" s="4" t="str">
        <f>IFERROR(__xludf.DUMMYFUNCTION("SPLIT(A279,"""""")"")"),"( arctic_a0278 ")</f>
        <v>( arctic_a0278 </v>
      </c>
      <c r="C279" s="4" t="str">
        <f>IFERROR(__xludf.DUMMYFUNCTION("""COMPUTED_VALUE"""),"It would give me nervous prostration.")</f>
        <v>It would give me nervous prostration.</v>
      </c>
      <c r="D279" s="4" t="str">
        <f>IFERROR(__xludf.DUMMYFUNCTION("""COMPUTED_VALUE""")," ")</f>
        <v> </v>
      </c>
    </row>
    <row r="280">
      <c r="A280" s="5" t="s">
        <v>3677</v>
      </c>
      <c r="B280" s="4" t="str">
        <f>IFERROR(__xludf.DUMMYFUNCTION("SPLIT(A280,"""""")"")"),"( arctic_a0279 ")</f>
        <v>( arctic_a0279 </v>
      </c>
      <c r="C280" s="4" t="str">
        <f>IFERROR(__xludf.DUMMYFUNCTION("""COMPUTED_VALUE"""),"She said with chattering teeth.")</f>
        <v>She said with chattering teeth.</v>
      </c>
      <c r="D280" s="4" t="str">
        <f>IFERROR(__xludf.DUMMYFUNCTION("""COMPUTED_VALUE""")," ")</f>
        <v> </v>
      </c>
    </row>
    <row r="281">
      <c r="A281" s="5" t="s">
        <v>3678</v>
      </c>
      <c r="B281" s="4" t="str">
        <f>IFERROR(__xludf.DUMMYFUNCTION("SPLIT(A281,"""""")"")"),"( arctic_a0280 ")</f>
        <v>( arctic_a0280 </v>
      </c>
      <c r="C281" s="4" t="str">
        <f>IFERROR(__xludf.DUMMYFUNCTION("""COMPUTED_VALUE"""),"I'll be out of my head in fifteen minutes.")</f>
        <v>I'll be out of my head in fifteen minutes.</v>
      </c>
      <c r="D281" s="4" t="str">
        <f>IFERROR(__xludf.DUMMYFUNCTION("""COMPUTED_VALUE""")," ")</f>
        <v> </v>
      </c>
    </row>
    <row r="282">
      <c r="A282" s="5" t="s">
        <v>3679</v>
      </c>
      <c r="B282" s="4" t="str">
        <f>IFERROR(__xludf.DUMMYFUNCTION("SPLIT(A282,"""""")"")"),"( arctic_a0281 ")</f>
        <v>( arctic_a0281 </v>
      </c>
      <c r="C282" s="4" t="str">
        <f>IFERROR(__xludf.DUMMYFUNCTION("""COMPUTED_VALUE"""),"I do not blame you for anything; remember that.")</f>
        <v>I do not blame you for anything; remember that.</v>
      </c>
      <c r="D282" s="4" t="str">
        <f>IFERROR(__xludf.DUMMYFUNCTION("""COMPUTED_VALUE""")," ")</f>
        <v> </v>
      </c>
    </row>
    <row r="283">
      <c r="A283" s="5" t="s">
        <v>3680</v>
      </c>
      <c r="B283" s="4" t="str">
        <f>IFERROR(__xludf.DUMMYFUNCTION("SPLIT(A283,"""""")"")"),"( arctic_a0282 ")</f>
        <v>( arctic_a0282 </v>
      </c>
      <c r="C283" s="4" t="str">
        <f>IFERROR(__xludf.DUMMYFUNCTION("""COMPUTED_VALUE"""),"If you mean to insinuate -- Brentwood began hotly.")</f>
        <v>If you mean to insinuate -- Brentwood began hotly.</v>
      </c>
      <c r="D283" s="4" t="str">
        <f>IFERROR(__xludf.DUMMYFUNCTION("""COMPUTED_VALUE""")," ")</f>
        <v> </v>
      </c>
    </row>
    <row r="284">
      <c r="A284" s="5" t="s">
        <v>3681</v>
      </c>
      <c r="B284" s="4" t="str">
        <f>IFERROR(__xludf.DUMMYFUNCTION("SPLIT(A284,"""""")"")"),"( arctic_a0283 ")</f>
        <v>( arctic_a0283 </v>
      </c>
      <c r="C284" s="4" t="str">
        <f>IFERROR(__xludf.DUMMYFUNCTION("""COMPUTED_VALUE"""),"The woman in you is only incidental, accidental, and irrelevant.")</f>
        <v>The woman in you is only incidental, accidental, and irrelevant.</v>
      </c>
      <c r="D284" s="4" t="str">
        <f>IFERROR(__xludf.DUMMYFUNCTION("""COMPUTED_VALUE""")," ")</f>
        <v> </v>
      </c>
    </row>
    <row r="285">
      <c r="A285" s="5" t="s">
        <v>3682</v>
      </c>
      <c r="B285" s="4" t="str">
        <f>IFERROR(__xludf.DUMMYFUNCTION("SPLIT(A285,"""""")"")"),"( arctic_a0284 ")</f>
        <v>( arctic_a0284 </v>
      </c>
      <c r="C285" s="4" t="str">
        <f>IFERROR(__xludf.DUMMYFUNCTION("""COMPUTED_VALUE"""),"There was no forecasting this strange girl's processes.")</f>
        <v>There was no forecasting this strange girl's processes.</v>
      </c>
      <c r="D285" s="4" t="str">
        <f>IFERROR(__xludf.DUMMYFUNCTION("""COMPUTED_VALUE""")," ")</f>
        <v> </v>
      </c>
    </row>
    <row r="286">
      <c r="A286" s="5" t="s">
        <v>3683</v>
      </c>
      <c r="B286" s="4" t="str">
        <f>IFERROR(__xludf.DUMMYFUNCTION("SPLIT(A286,"""""")"")"),"( arctic_a0285 ")</f>
        <v>( arctic_a0285 </v>
      </c>
      <c r="C286" s="4" t="str">
        <f>IFERROR(__xludf.DUMMYFUNCTION("""COMPUTED_VALUE"""),"But what they want with your toothbrush is more than I can imagine.")</f>
        <v>But what they want with your toothbrush is more than I can imagine.</v>
      </c>
      <c r="D286" s="4" t="str">
        <f>IFERROR(__xludf.DUMMYFUNCTION("""COMPUTED_VALUE""")," ")</f>
        <v> </v>
      </c>
    </row>
    <row r="287">
      <c r="A287" s="5" t="s">
        <v>3684</v>
      </c>
      <c r="B287" s="4" t="str">
        <f>IFERROR(__xludf.DUMMYFUNCTION("SPLIT(A287,"""""")"")"),"( arctic_a0286 ")</f>
        <v>( arctic_a0286 </v>
      </c>
      <c r="C287" s="4" t="str">
        <f>IFERROR(__xludf.DUMMYFUNCTION("""COMPUTED_VALUE"""),"Give them their choice between a fine or an official whipping.")</f>
        <v>Give them their choice between a fine or an official whipping.</v>
      </c>
      <c r="D287" s="4" t="str">
        <f>IFERROR(__xludf.DUMMYFUNCTION("""COMPUTED_VALUE""")," ")</f>
        <v> </v>
      </c>
    </row>
    <row r="288">
      <c r="A288" s="5" t="s">
        <v>3685</v>
      </c>
      <c r="B288" s="4" t="str">
        <f>IFERROR(__xludf.DUMMYFUNCTION("SPLIT(A288,"""""")"")"),"( arctic_a0287 ")</f>
        <v>( arctic_a0287 </v>
      </c>
      <c r="C288" s="4" t="str">
        <f>IFERROR(__xludf.DUMMYFUNCTION("""COMPUTED_VALUE"""),"Keep an eye on him.")</f>
        <v>Keep an eye on him.</v>
      </c>
      <c r="D288" s="4" t="str">
        <f>IFERROR(__xludf.DUMMYFUNCTION("""COMPUTED_VALUE""")," ")</f>
        <v> </v>
      </c>
    </row>
    <row r="289">
      <c r="A289" s="5" t="s">
        <v>3686</v>
      </c>
      <c r="B289" s="4" t="str">
        <f>IFERROR(__xludf.DUMMYFUNCTION("SPLIT(A289,"""""")"")"),"( arctic_a0288 ")</f>
        <v>( arctic_a0288 </v>
      </c>
      <c r="C289" s="4" t="str">
        <f>IFERROR(__xludf.DUMMYFUNCTION("""COMPUTED_VALUE"""),"Those are my oysters, he said at last.")</f>
        <v>Those are my oysters, he said at last.</v>
      </c>
      <c r="D289" s="4" t="str">
        <f>IFERROR(__xludf.DUMMYFUNCTION("""COMPUTED_VALUE""")," ")</f>
        <v> </v>
      </c>
    </row>
    <row r="290">
      <c r="A290" s="5" t="s">
        <v>3687</v>
      </c>
      <c r="B290" s="4" t="str">
        <f>IFERROR(__xludf.DUMMYFUNCTION("SPLIT(A290,"""""")"")"),"( arctic_a0289 ")</f>
        <v>( arctic_a0289 </v>
      </c>
      <c r="C290" s="4" t="str">
        <f>IFERROR(__xludf.DUMMYFUNCTION("""COMPUTED_VALUE"""),"They are not regular oyster pirates, Nicholas continued.")</f>
        <v>They are not regular oyster pirates, Nicholas continued.</v>
      </c>
      <c r="D290" s="4" t="str">
        <f>IFERROR(__xludf.DUMMYFUNCTION("""COMPUTED_VALUE""")," ")</f>
        <v> </v>
      </c>
    </row>
    <row r="291">
      <c r="A291" s="5" t="s">
        <v>3688</v>
      </c>
      <c r="B291" s="4" t="str">
        <f>IFERROR(__xludf.DUMMYFUNCTION("SPLIT(A291,"""""")"")"),"( arctic_a0290 ")</f>
        <v>( arctic_a0290 </v>
      </c>
      <c r="C291" s="4" t="str">
        <f>IFERROR(__xludf.DUMMYFUNCTION("""COMPUTED_VALUE"""),"One by one the boys were captured.")</f>
        <v>One by one the boys were captured.</v>
      </c>
      <c r="D291" s="4" t="str">
        <f>IFERROR(__xludf.DUMMYFUNCTION("""COMPUTED_VALUE""")," ")</f>
        <v> </v>
      </c>
    </row>
    <row r="292">
      <c r="A292" s="5" t="s">
        <v>3689</v>
      </c>
      <c r="B292" s="4" t="str">
        <f>IFERROR(__xludf.DUMMYFUNCTION("SPLIT(A292,"""""")"")"),"( arctic_a0291 ")</f>
        <v>( arctic_a0291 </v>
      </c>
      <c r="C292" s="4" t="str">
        <f>IFERROR(__xludf.DUMMYFUNCTION("""COMPUTED_VALUE"""),"The weeks had gone by, and no overt acts had been attempted.")</f>
        <v>The weeks had gone by, and no overt acts had been attempted.</v>
      </c>
      <c r="D292" s="4" t="str">
        <f>IFERROR(__xludf.DUMMYFUNCTION("""COMPUTED_VALUE""")," ")</f>
        <v> </v>
      </c>
    </row>
    <row r="293">
      <c r="A293" s="5" t="s">
        <v>3690</v>
      </c>
      <c r="B293" s="4" t="str">
        <f>IFERROR(__xludf.DUMMYFUNCTION("SPLIT(A293,"""""")"")"),"( arctic_a0292 ")</f>
        <v>( arctic_a0292 </v>
      </c>
      <c r="C293" s="4" t="str">
        <f>IFERROR(__xludf.DUMMYFUNCTION("""COMPUTED_VALUE"""),"Here, in the midmorning, the first casualty occurred.")</f>
        <v>Here, in the midmorning, the first casualty occurred.</v>
      </c>
      <c r="D293" s="4" t="str">
        <f>IFERROR(__xludf.DUMMYFUNCTION("""COMPUTED_VALUE""")," ")</f>
        <v> </v>
      </c>
    </row>
    <row r="294">
      <c r="A294" s="5" t="s">
        <v>3691</v>
      </c>
      <c r="B294" s="4" t="str">
        <f>IFERROR(__xludf.DUMMYFUNCTION("SPLIT(A294,"""""")"")"),"( arctic_a0293 ")</f>
        <v>( arctic_a0293 </v>
      </c>
      <c r="C294" s="4" t="str">
        <f>IFERROR(__xludf.DUMMYFUNCTION("""COMPUTED_VALUE"""),"They were deep in the primeval forest.")</f>
        <v>They were deep in the primeval forest.</v>
      </c>
      <c r="D294" s="4" t="str">
        <f>IFERROR(__xludf.DUMMYFUNCTION("""COMPUTED_VALUE""")," ")</f>
        <v> </v>
      </c>
    </row>
    <row r="295">
      <c r="A295" s="5" t="s">
        <v>3692</v>
      </c>
      <c r="B295" s="4" t="str">
        <f>IFERROR(__xludf.DUMMYFUNCTION("SPLIT(A295,"""""")"")"),"( arctic_a0294 ")</f>
        <v>( arctic_a0294 </v>
      </c>
      <c r="C295" s="4" t="str">
        <f>IFERROR(__xludf.DUMMYFUNCTION("""COMPUTED_VALUE"""),"He had been foiled in his attempt to escape.")</f>
        <v>He had been foiled in his attempt to escape.</v>
      </c>
      <c r="D295" s="4" t="str">
        <f>IFERROR(__xludf.DUMMYFUNCTION("""COMPUTED_VALUE""")," ")</f>
        <v> </v>
      </c>
    </row>
    <row r="296">
      <c r="A296" s="5" t="s">
        <v>3693</v>
      </c>
      <c r="B296" s="4" t="str">
        <f>IFERROR(__xludf.DUMMYFUNCTION("SPLIT(A296,"""""")"")"),"( arctic_a0295 ")</f>
        <v>( arctic_a0295 </v>
      </c>
      <c r="C296" s="4" t="str">
        <f>IFERROR(__xludf.DUMMYFUNCTION("""COMPUTED_VALUE"""),"And twenty men could hold it with spears and arrows.")</f>
        <v>And twenty men could hold it with spears and arrows.</v>
      </c>
      <c r="D296" s="4" t="str">
        <f>IFERROR(__xludf.DUMMYFUNCTION("""COMPUTED_VALUE""")," ")</f>
        <v> </v>
      </c>
    </row>
    <row r="297">
      <c r="A297" s="5" t="s">
        <v>3694</v>
      </c>
      <c r="B297" s="4" t="str">
        <f>IFERROR(__xludf.DUMMYFUNCTION("SPLIT(A297,"""""")"")"),"( arctic_a0296 ")</f>
        <v>( arctic_a0296 </v>
      </c>
      <c r="C297" s="4" t="str">
        <f>IFERROR(__xludf.DUMMYFUNCTION("""COMPUTED_VALUE"""),"Bassett was a fastidious man.")</f>
        <v>Bassett was a fastidious man.</v>
      </c>
      <c r="D297" s="4" t="str">
        <f>IFERROR(__xludf.DUMMYFUNCTION("""COMPUTED_VALUE""")," ")</f>
        <v> </v>
      </c>
    </row>
    <row r="298">
      <c r="A298" s="5" t="s">
        <v>3695</v>
      </c>
      <c r="B298" s="4" t="str">
        <f>IFERROR(__xludf.DUMMYFUNCTION("SPLIT(A298,"""""")"")"),"( arctic_a0297 ")</f>
        <v>( arctic_a0297 </v>
      </c>
      <c r="C298" s="4" t="str">
        <f>IFERROR(__xludf.DUMMYFUNCTION("""COMPUTED_VALUE"""),"There's a big English general right now whose name is Roberts.")</f>
        <v>There's a big English general right now whose name is Roberts.</v>
      </c>
      <c r="D298" s="4" t="str">
        <f>IFERROR(__xludf.DUMMYFUNCTION("""COMPUTED_VALUE""")," ")</f>
        <v> </v>
      </c>
    </row>
    <row r="299">
      <c r="A299" s="5" t="s">
        <v>3696</v>
      </c>
      <c r="B299" s="4" t="str">
        <f>IFERROR(__xludf.DUMMYFUNCTION("SPLIT(A299,"""""")"")"),"( arctic_a0298 ")</f>
        <v>( arctic_a0298 </v>
      </c>
      <c r="C299" s="4" t="str">
        <f>IFERROR(__xludf.DUMMYFUNCTION("""COMPUTED_VALUE"""),"This tacit promise of continued acquaintance gave Saxon a little joy-thrill.")</f>
        <v>This tacit promise of continued acquaintance gave Saxon a little joy-thrill.</v>
      </c>
      <c r="D299" s="4" t="str">
        <f>IFERROR(__xludf.DUMMYFUNCTION("""COMPUTED_VALUE""")," ")</f>
        <v> </v>
      </c>
    </row>
    <row r="300">
      <c r="A300" s="5" t="s">
        <v>3697</v>
      </c>
      <c r="B300" s="4" t="str">
        <f>IFERROR(__xludf.DUMMYFUNCTION("SPLIT(A300,"""""")"")"),"( arctic_a0299 ")</f>
        <v>( arctic_a0299 </v>
      </c>
      <c r="C300" s="4" t="str">
        <f>IFERROR(__xludf.DUMMYFUNCTION("""COMPUTED_VALUE"""),"I tell you I am disgusted with this adventure tomfoolery and rot.")</f>
        <v>I tell you I am disgusted with this adventure tomfoolery and rot.</v>
      </c>
      <c r="D300" s="4" t="str">
        <f>IFERROR(__xludf.DUMMYFUNCTION("""COMPUTED_VALUE""")," ")</f>
        <v> </v>
      </c>
    </row>
    <row r="301">
      <c r="A301" s="5" t="s">
        <v>3698</v>
      </c>
      <c r="B301" s="4" t="str">
        <f>IFERROR(__xludf.DUMMYFUNCTION("SPLIT(A301,"""""")"")"),"( arctic_a0300 ")</f>
        <v>( arctic_a0300 </v>
      </c>
      <c r="C301" s="4" t="str">
        <f>IFERROR(__xludf.DUMMYFUNCTION("""COMPUTED_VALUE"""),"From my earliest recollection my sleep was a period of terror.")</f>
        <v>From my earliest recollection my sleep was a period of terror.</v>
      </c>
      <c r="D301" s="4" t="str">
        <f>IFERROR(__xludf.DUMMYFUNCTION("""COMPUTED_VALUE""")," ")</f>
        <v> </v>
      </c>
    </row>
    <row r="302">
      <c r="A302" s="5" t="s">
        <v>3699</v>
      </c>
      <c r="B302" s="4" t="str">
        <f>IFERROR(__xludf.DUMMYFUNCTION("SPLIT(A302,"""""")"")"),"( arctic_a0301 ")</f>
        <v>( arctic_a0301 </v>
      </c>
      <c r="C302" s="4" t="str">
        <f>IFERROR(__xludf.DUMMYFUNCTION("""COMPUTED_VALUE"""),"But all my dreams violated this law.")</f>
        <v>But all my dreams violated this law.</v>
      </c>
      <c r="D302" s="4" t="str">
        <f>IFERROR(__xludf.DUMMYFUNCTION("""COMPUTED_VALUE""")," ")</f>
        <v> </v>
      </c>
    </row>
    <row r="303">
      <c r="A303" s="5" t="s">
        <v>3700</v>
      </c>
      <c r="B303" s="4" t="str">
        <f>IFERROR(__xludf.DUMMYFUNCTION("SPLIT(A303,"""""")"")"),"( arctic_a0302 ")</f>
        <v>( arctic_a0302 </v>
      </c>
      <c r="C303" s="4" t="str">
        <f>IFERROR(__xludf.DUMMYFUNCTION("""COMPUTED_VALUE"""),"It is very plausible to such people, a most convincing hypothesis.")</f>
        <v>It is very plausible to such people, a most convincing hypothesis.</v>
      </c>
      <c r="D303" s="4" t="str">
        <f>IFERROR(__xludf.DUMMYFUNCTION("""COMPUTED_VALUE""")," ")</f>
        <v> </v>
      </c>
    </row>
    <row r="304">
      <c r="A304" s="5" t="s">
        <v>3701</v>
      </c>
      <c r="B304" s="4" t="str">
        <f>IFERROR(__xludf.DUMMYFUNCTION("SPLIT(A304,"""""")"")"),"( arctic_a0303 ")</f>
        <v>( arctic_a0303 </v>
      </c>
      <c r="C304" s="4" t="str">
        <f>IFERROR(__xludf.DUMMYFUNCTION("""COMPUTED_VALUE"""),"But they make the mistake of ignoring their own duality.")</f>
        <v>But they make the mistake of ignoring their own duality.</v>
      </c>
      <c r="D304" s="4" t="str">
        <f>IFERROR(__xludf.DUMMYFUNCTION("""COMPUTED_VALUE""")," ")</f>
        <v> </v>
      </c>
    </row>
    <row r="305">
      <c r="A305" s="5" t="s">
        <v>3702</v>
      </c>
      <c r="B305" s="4" t="str">
        <f>IFERROR(__xludf.DUMMYFUNCTION("SPLIT(A305,"""""")"")"),"( arctic_a0304 ")</f>
        <v>( arctic_a0304 </v>
      </c>
      <c r="C305" s="4" t="str">
        <f>IFERROR(__xludf.DUMMYFUNCTION("""COMPUTED_VALUE"""),"I graduated last of my class.")</f>
        <v>I graduated last of my class.</v>
      </c>
      <c r="D305" s="4" t="str">
        <f>IFERROR(__xludf.DUMMYFUNCTION("""COMPUTED_VALUE""")," ")</f>
        <v> </v>
      </c>
    </row>
    <row r="306">
      <c r="A306" s="5" t="s">
        <v>3703</v>
      </c>
      <c r="B306" s="4" t="str">
        <f>IFERROR(__xludf.DUMMYFUNCTION("SPLIT(A306,"""""")"")"),"( arctic_a0305 ")</f>
        <v>( arctic_a0305 </v>
      </c>
      <c r="C306" s="4" t="str">
        <f>IFERROR(__xludf.DUMMYFUNCTION("""COMPUTED_VALUE"""),"They had no fixed values, to be altered by adjectives and adverbs.")</f>
        <v>They had no fixed values, to be altered by adjectives and adverbs.</v>
      </c>
      <c r="D306" s="4" t="str">
        <f>IFERROR(__xludf.DUMMYFUNCTION("""COMPUTED_VALUE""")," ")</f>
        <v> </v>
      </c>
    </row>
    <row r="307">
      <c r="A307" s="5" t="s">
        <v>3704</v>
      </c>
      <c r="B307" s="4" t="str">
        <f>IFERROR(__xludf.DUMMYFUNCTION("SPLIT(A307,"""""")"")"),"( arctic_a0306 ")</f>
        <v>( arctic_a0306 </v>
      </c>
      <c r="C307" s="4" t="str">
        <f>IFERROR(__xludf.DUMMYFUNCTION("""COMPUTED_VALUE"""),"He was pressing beyond the limits of his vocabulary.")</f>
        <v>He was pressing beyond the limits of his vocabulary.</v>
      </c>
      <c r="D307" s="4" t="str">
        <f>IFERROR(__xludf.DUMMYFUNCTION("""COMPUTED_VALUE""")," ")</f>
        <v> </v>
      </c>
    </row>
    <row r="308">
      <c r="A308" s="5" t="s">
        <v>3705</v>
      </c>
      <c r="B308" s="4" t="str">
        <f>IFERROR(__xludf.DUMMYFUNCTION("SPLIT(A308,"""""")"")"),"( arctic_a0307 ")</f>
        <v>( arctic_a0307 </v>
      </c>
      <c r="C308" s="4" t="str">
        <f>IFERROR(__xludf.DUMMYFUNCTION("""COMPUTED_VALUE"""),"Very early in my life, I separated from my mother.")</f>
        <v>Very early in my life, I separated from my mother.</v>
      </c>
      <c r="D308" s="4" t="str">
        <f>IFERROR(__xludf.DUMMYFUNCTION("""COMPUTED_VALUE""")," ")</f>
        <v> </v>
      </c>
    </row>
    <row r="309">
      <c r="A309" s="5" t="s">
        <v>3706</v>
      </c>
      <c r="B309" s="4" t="str">
        <f>IFERROR(__xludf.DUMMYFUNCTION("SPLIT(A309,"""""")"")"),"( arctic_a0308 ")</f>
        <v>( arctic_a0308 </v>
      </c>
      <c r="C309" s="4" t="str">
        <f>IFERROR(__xludf.DUMMYFUNCTION("""COMPUTED_VALUE"""),"His infernal chattering worries me even now as I think of it.")</f>
        <v>His infernal chattering worries me even now as I think of it.</v>
      </c>
      <c r="D309" s="4" t="str">
        <f>IFERROR(__xludf.DUMMYFUNCTION("""COMPUTED_VALUE""")," ")</f>
        <v> </v>
      </c>
    </row>
    <row r="310">
      <c r="A310" s="5" t="s">
        <v>3707</v>
      </c>
      <c r="B310" s="4" t="str">
        <f>IFERROR(__xludf.DUMMYFUNCTION("SPLIT(A310,"""""")"")"),"( arctic_a0309 ")</f>
        <v>( arctic_a0309 </v>
      </c>
      <c r="C310" s="4" t="str">
        <f>IFERROR(__xludf.DUMMYFUNCTION("""COMPUTED_VALUE"""),"White Leghorns, said Mrs Mortimer.")</f>
        <v>White Leghorns, said Mrs Mortimer.</v>
      </c>
      <c r="D310" s="4" t="str">
        <f>IFERROR(__xludf.DUMMYFUNCTION("""COMPUTED_VALUE""")," ")</f>
        <v> </v>
      </c>
    </row>
    <row r="311">
      <c r="A311" s="5" t="s">
        <v>3708</v>
      </c>
      <c r="B311" s="4" t="str">
        <f>IFERROR(__xludf.DUMMYFUNCTION("SPLIT(A311,"""""")"")"),"( arctic_a0310 ")</f>
        <v>( arctic_a0310 </v>
      </c>
      <c r="C311" s="4" t="str">
        <f>IFERROR(__xludf.DUMMYFUNCTION("""COMPUTED_VALUE"""),"Massage under tension, was the cryptic reply.")</f>
        <v>Massage under tension, was the cryptic reply.</v>
      </c>
      <c r="D311" s="4" t="str">
        <f>IFERROR(__xludf.DUMMYFUNCTION("""COMPUTED_VALUE""")," ")</f>
        <v> </v>
      </c>
    </row>
    <row r="312">
      <c r="A312" s="5" t="s">
        <v>3709</v>
      </c>
      <c r="B312" s="4" t="str">
        <f>IFERROR(__xludf.DUMMYFUNCTION("SPLIT(A312,"""""")"")"),"( arctic_a0311 ")</f>
        <v>( arctic_a0311 </v>
      </c>
      <c r="C312" s="4" t="str">
        <f>IFERROR(__xludf.DUMMYFUNCTION("""COMPUTED_VALUE"""),"Therefore, hurrah for the game.")</f>
        <v>Therefore, hurrah for the game.</v>
      </c>
      <c r="D312" s="4" t="str">
        <f>IFERROR(__xludf.DUMMYFUNCTION("""COMPUTED_VALUE""")," ")</f>
        <v> </v>
      </c>
    </row>
    <row r="313">
      <c r="A313" s="5" t="s">
        <v>3710</v>
      </c>
      <c r="B313" s="4" t="str">
        <f>IFERROR(__xludf.DUMMYFUNCTION("SPLIT(A313,"""""")"")"),"( arctic_a0312 ")</f>
        <v>( arctic_a0312 </v>
      </c>
      <c r="C313" s="4" t="str">
        <f>IFERROR(__xludf.DUMMYFUNCTION("""COMPUTED_VALUE"""),"It lived in perpetual apprehension of that quarter of the compass.")</f>
        <v>It lived in perpetual apprehension of that quarter of the compass.</v>
      </c>
      <c r="D313" s="4" t="str">
        <f>IFERROR(__xludf.DUMMYFUNCTION("""COMPUTED_VALUE""")," ")</f>
        <v> </v>
      </c>
    </row>
    <row r="314">
      <c r="A314" s="5" t="s">
        <v>3711</v>
      </c>
      <c r="B314" s="4" t="str">
        <f>IFERROR(__xludf.DUMMYFUNCTION("SPLIT(A314,"""""")"")"),"( arctic_a0313 ")</f>
        <v>( arctic_a0313 </v>
      </c>
      <c r="C314" s="4" t="str">
        <f>IFERROR(__xludf.DUMMYFUNCTION("""COMPUTED_VALUE"""),"Broken-Tooth yelled with fright and pain.")</f>
        <v>Broken-Tooth yelled with fright and pain.</v>
      </c>
      <c r="D314" s="4" t="str">
        <f>IFERROR(__xludf.DUMMYFUNCTION("""COMPUTED_VALUE""")," ")</f>
        <v> </v>
      </c>
    </row>
    <row r="315">
      <c r="A315" s="5" t="s">
        <v>3712</v>
      </c>
      <c r="B315" s="4" t="str">
        <f>IFERROR(__xludf.DUMMYFUNCTION("SPLIT(A315,"""""")"")"),"( arctic_a0314 ")</f>
        <v>( arctic_a0314 </v>
      </c>
      <c r="C315" s="4" t="str">
        <f>IFERROR(__xludf.DUMMYFUNCTION("""COMPUTED_VALUE"""),"Thus was momentum gained in the Younger World.")</f>
        <v>Thus was momentum gained in the Younger World.</v>
      </c>
      <c r="D315" s="4" t="str">
        <f>IFERROR(__xludf.DUMMYFUNCTION("""COMPUTED_VALUE""")," ")</f>
        <v> </v>
      </c>
    </row>
    <row r="316">
      <c r="A316" s="5" t="s">
        <v>3713</v>
      </c>
      <c r="B316" s="4" t="str">
        <f>IFERROR(__xludf.DUMMYFUNCTION("SPLIT(A316,"""""")"")"),"( arctic_a0315 ")</f>
        <v>( arctic_a0315 </v>
      </c>
      <c r="C316" s="4" t="str">
        <f>IFERROR(__xludf.DUMMYFUNCTION("""COMPUTED_VALUE"""),"Saxon waited, for she knew a fresh idea had struck Billy.")</f>
        <v>Saxon waited, for she knew a fresh idea had struck Billy.</v>
      </c>
      <c r="D316" s="4" t="str">
        <f>IFERROR(__xludf.DUMMYFUNCTION("""COMPUTED_VALUE""")," ")</f>
        <v> </v>
      </c>
    </row>
    <row r="317">
      <c r="A317" s="5" t="s">
        <v>3714</v>
      </c>
      <c r="B317" s="4" t="str">
        <f>IFERROR(__xludf.DUMMYFUNCTION("SPLIT(A317,"""""")"")"),"( arctic_a0316 ")</f>
        <v>( arctic_a0316 </v>
      </c>
      <c r="C317" s="4" t="str">
        <f>IFERROR(__xludf.DUMMYFUNCTION("""COMPUTED_VALUE"""),"We had been chased by them ourselves, more than once.")</f>
        <v>We had been chased by them ourselves, more than once.</v>
      </c>
      <c r="D317" s="4" t="str">
        <f>IFERROR(__xludf.DUMMYFUNCTION("""COMPUTED_VALUE""")," ")</f>
        <v> </v>
      </c>
    </row>
    <row r="318">
      <c r="A318" s="5" t="s">
        <v>3715</v>
      </c>
      <c r="B318" s="4" t="str">
        <f>IFERROR(__xludf.DUMMYFUNCTION("SPLIT(A318,"""""")"")"),"( arctic_a0317 ")</f>
        <v>( arctic_a0317 </v>
      </c>
      <c r="C318" s="4" t="str">
        <f>IFERROR(__xludf.DUMMYFUNCTION("""COMPUTED_VALUE"""),"He was a wise hyena.")</f>
        <v>He was a wise hyena.</v>
      </c>
      <c r="D318" s="4" t="str">
        <f>IFERROR(__xludf.DUMMYFUNCTION("""COMPUTED_VALUE""")," ")</f>
        <v> </v>
      </c>
    </row>
    <row r="319">
      <c r="A319" s="5" t="s">
        <v>3716</v>
      </c>
      <c r="B319" s="4" t="str">
        <f>IFERROR(__xludf.DUMMYFUNCTION("SPLIT(A319,"""""")"")"),"( arctic_a0318 ")</f>
        <v>( arctic_a0318 </v>
      </c>
      <c r="C319" s="4" t="str">
        <f>IFERROR(__xludf.DUMMYFUNCTION("""COMPUTED_VALUE"""),"Production is doubling and quadrupling upon itself.")</f>
        <v>Production is doubling and quadrupling upon itself.</v>
      </c>
      <c r="D319" s="4" t="str">
        <f>IFERROR(__xludf.DUMMYFUNCTION("""COMPUTED_VALUE""")," ")</f>
        <v> </v>
      </c>
    </row>
    <row r="320">
      <c r="A320" s="5" t="s">
        <v>3717</v>
      </c>
      <c r="B320" s="4" t="str">
        <f>IFERROR(__xludf.DUMMYFUNCTION("SPLIT(A320,"""""")"")"),"( arctic_a0319 ")</f>
        <v>( arctic_a0319 </v>
      </c>
      <c r="C320" s="4" t="str">
        <f>IFERROR(__xludf.DUMMYFUNCTION("""COMPUTED_VALUE"""),"And the Edinburgh Evening News says, with editorial gloom.")</f>
        <v>And the Edinburgh Evening News says, with editorial gloom.</v>
      </c>
      <c r="D320" s="4" t="str">
        <f>IFERROR(__xludf.DUMMYFUNCTION("""COMPUTED_VALUE""")," ")</f>
        <v> </v>
      </c>
    </row>
    <row r="321">
      <c r="A321" s="5" t="s">
        <v>3718</v>
      </c>
      <c r="B321" s="4" t="str">
        <f>IFERROR(__xludf.DUMMYFUNCTION("SPLIT(A321,"""""")"")"),"( arctic_a0320 ")</f>
        <v>( arctic_a0320 </v>
      </c>
      <c r="C321" s="4" t="str">
        <f>IFERROR(__xludf.DUMMYFUNCTION("""COMPUTED_VALUE"""),"With my strength I slammed it full into Red-Eye's face.")</f>
        <v>With my strength I slammed it full into Red-Eye's face.</v>
      </c>
      <c r="D321" s="4" t="str">
        <f>IFERROR(__xludf.DUMMYFUNCTION("""COMPUTED_VALUE""")," ")</f>
        <v> </v>
      </c>
    </row>
    <row r="322">
      <c r="A322" s="5" t="s">
        <v>3719</v>
      </c>
      <c r="B322" s="4" t="str">
        <f>IFERROR(__xludf.DUMMYFUNCTION("SPLIT(A322,"""""")"")"),"( arctic_a0321 ")</f>
        <v>( arctic_a0321 </v>
      </c>
      <c r="C322" s="4" t="str">
        <f>IFERROR(__xludf.DUMMYFUNCTION("""COMPUTED_VALUE"""),"The log on which Lop-Ear was lying got adrift.")</f>
        <v>The log on which Lop-Ear was lying got adrift.</v>
      </c>
      <c r="D322" s="4" t="str">
        <f>IFERROR(__xludf.DUMMYFUNCTION("""COMPUTED_VALUE""")," ")</f>
        <v> </v>
      </c>
    </row>
    <row r="323">
      <c r="A323" s="5" t="s">
        <v>3720</v>
      </c>
      <c r="B323" s="4" t="str">
        <f>IFERROR(__xludf.DUMMYFUNCTION("SPLIT(A323,"""""")"")"),"( arctic_a0322 ")</f>
        <v>( arctic_a0322 </v>
      </c>
      <c r="C323" s="4" t="str">
        <f>IFERROR(__xludf.DUMMYFUNCTION("""COMPUTED_VALUE"""),"This is a common experience with all of us.")</f>
        <v>This is a common experience with all of us.</v>
      </c>
      <c r="D323" s="4" t="str">
        <f>IFERROR(__xludf.DUMMYFUNCTION("""COMPUTED_VALUE""")," ")</f>
        <v> </v>
      </c>
    </row>
    <row r="324">
      <c r="A324" s="5" t="s">
        <v>3721</v>
      </c>
      <c r="B324" s="4" t="str">
        <f>IFERROR(__xludf.DUMMYFUNCTION("SPLIT(A324,"""""")"")"),"( arctic_a0323 ")</f>
        <v>( arctic_a0323 </v>
      </c>
      <c r="C324" s="4" t="str">
        <f>IFERROR(__xludf.DUMMYFUNCTION("""COMPUTED_VALUE"""),"He considered the victory already his and stepped forward to the meat.")</f>
        <v>He considered the victory already his and stepped forward to the meat.</v>
      </c>
      <c r="D324" s="4" t="str">
        <f>IFERROR(__xludf.DUMMYFUNCTION("""COMPUTED_VALUE""")," ")</f>
        <v> </v>
      </c>
    </row>
    <row r="325">
      <c r="A325" s="5" t="s">
        <v>3722</v>
      </c>
      <c r="B325" s="4" t="str">
        <f>IFERROR(__xludf.DUMMYFUNCTION("SPLIT(A325,"""""")"")"),"( arctic_a0324 ")</f>
        <v>( arctic_a0324 </v>
      </c>
      <c r="C325" s="4" t="str">
        <f>IFERROR(__xludf.DUMMYFUNCTION("""COMPUTED_VALUE"""),"It was not Red-Eye's way to forego revenge so easily.")</f>
        <v>It was not Red-Eye's way to forego revenge so easily.</v>
      </c>
      <c r="D325" s="4" t="str">
        <f>IFERROR(__xludf.DUMMYFUNCTION("""COMPUTED_VALUE""")," ")</f>
        <v> </v>
      </c>
    </row>
    <row r="326">
      <c r="A326" s="5" t="s">
        <v>3723</v>
      </c>
      <c r="B326" s="4" t="str">
        <f>IFERROR(__xludf.DUMMYFUNCTION("SPLIT(A326,"""""")"")"),"( arctic_a0325 ")</f>
        <v>( arctic_a0325 </v>
      </c>
      <c r="C326" s="4" t="str">
        <f>IFERROR(__xludf.DUMMYFUNCTION("""COMPUTED_VALUE"""),"Whiz-zip-bang. Lop-Ear screamed with sudden anguish.")</f>
        <v>Whiz-zip-bang. Lop-Ear screamed with sudden anguish.</v>
      </c>
      <c r="D326" s="4" t="str">
        <f>IFERROR(__xludf.DUMMYFUNCTION("""COMPUTED_VALUE""")," ")</f>
        <v> </v>
      </c>
    </row>
    <row r="327">
      <c r="A327" s="5" t="s">
        <v>3724</v>
      </c>
      <c r="B327" s="4" t="str">
        <f>IFERROR(__xludf.DUMMYFUNCTION("SPLIT(A327,"""""")"")"),"( arctic_a0326 ")</f>
        <v>( arctic_a0326 </v>
      </c>
      <c r="C327" s="4" t="str">
        <f>IFERROR(__xludf.DUMMYFUNCTION("""COMPUTED_VALUE"""),"Cherokee identified himself with his instinct.")</f>
        <v>Cherokee identified himself with his instinct.</v>
      </c>
      <c r="D327" s="4" t="str">
        <f>IFERROR(__xludf.DUMMYFUNCTION("""COMPUTED_VALUE""")," ")</f>
        <v> </v>
      </c>
    </row>
    <row r="328">
      <c r="A328" s="5" t="s">
        <v>3725</v>
      </c>
      <c r="B328" s="4" t="str">
        <f>IFERROR(__xludf.DUMMYFUNCTION("SPLIT(A328,"""""")"")"),"( arctic_a0327 ")</f>
        <v>( arctic_a0327 </v>
      </c>
      <c r="C328" s="4" t="str">
        <f>IFERROR(__xludf.DUMMYFUNCTION("""COMPUTED_VALUE"""),"They were less stooped than we, less springy in their movements.")</f>
        <v>They were less stooped than we, less springy in their movements.</v>
      </c>
      <c r="D328" s="4" t="str">
        <f>IFERROR(__xludf.DUMMYFUNCTION("""COMPUTED_VALUE""")," ")</f>
        <v> </v>
      </c>
    </row>
    <row r="329">
      <c r="A329" s="5" t="s">
        <v>3726</v>
      </c>
      <c r="B329" s="4" t="str">
        <f>IFERROR(__xludf.DUMMYFUNCTION("SPLIT(A329,"""""")"")"),"( arctic_a0328 ")</f>
        <v>( arctic_a0328 </v>
      </c>
      <c r="C329" s="4" t="str">
        <f>IFERROR(__xludf.DUMMYFUNCTION("""COMPUTED_VALUE"""),"The Fire People, like ourselves, lived in caves.")</f>
        <v>The Fire People, like ourselves, lived in caves.</v>
      </c>
      <c r="D329" s="4" t="str">
        <f>IFERROR(__xludf.DUMMYFUNCTION("""COMPUTED_VALUE""")," ")</f>
        <v> </v>
      </c>
    </row>
    <row r="330">
      <c r="A330" s="5" t="s">
        <v>3727</v>
      </c>
      <c r="B330" s="4" t="str">
        <f>IFERROR(__xludf.DUMMYFUNCTION("SPLIT(A330,"""""")"")"),"( arctic_a0329 ")</f>
        <v>( arctic_a0329 </v>
      </c>
      <c r="C330" s="4" t="str">
        <f>IFERROR(__xludf.DUMMYFUNCTION("""COMPUTED_VALUE"""),"Ah, indeed.")</f>
        <v>Ah, indeed.</v>
      </c>
      <c r="D330" s="4" t="str">
        <f>IFERROR(__xludf.DUMMYFUNCTION("""COMPUTED_VALUE""")," ")</f>
        <v> </v>
      </c>
    </row>
    <row r="331">
      <c r="A331" s="5" t="s">
        <v>3728</v>
      </c>
      <c r="B331" s="4" t="str">
        <f>IFERROR(__xludf.DUMMYFUNCTION("SPLIT(A331,"""""")"")"),"( arctic_a0330 ")</f>
        <v>( arctic_a0330 </v>
      </c>
      <c r="C331" s="4" t="str">
        <f>IFERROR(__xludf.DUMMYFUNCTION("""COMPUTED_VALUE"""),"Red-Eye never committed a more outrageous deed.")</f>
        <v>Red-Eye never committed a more outrageous deed.</v>
      </c>
      <c r="D331" s="4" t="str">
        <f>IFERROR(__xludf.DUMMYFUNCTION("""COMPUTED_VALUE""")," ")</f>
        <v> </v>
      </c>
    </row>
    <row r="332">
      <c r="A332" s="5" t="s">
        <v>3729</v>
      </c>
      <c r="B332" s="4" t="str">
        <f>IFERROR(__xludf.DUMMYFUNCTION("SPLIT(A332,"""""")"")"),"( arctic_a0331 ")</f>
        <v>( arctic_a0331 </v>
      </c>
      <c r="C332" s="4" t="str">
        <f>IFERROR(__xludf.DUMMYFUNCTION("""COMPUTED_VALUE"""),"Poor little Crooked-Leg was terribly scared.")</f>
        <v>Poor little Crooked-Leg was terribly scared.</v>
      </c>
      <c r="D332" s="4" t="str">
        <f>IFERROR(__xludf.DUMMYFUNCTION("""COMPUTED_VALUE""")," ")</f>
        <v> </v>
      </c>
    </row>
    <row r="333">
      <c r="A333" s="5" t="s">
        <v>3730</v>
      </c>
      <c r="B333" s="4" t="str">
        <f>IFERROR(__xludf.DUMMYFUNCTION("SPLIT(A333,"""""")"")"),"( arctic_a0332 ")</f>
        <v>( arctic_a0332 </v>
      </c>
      <c r="C333" s="4" t="str">
        <f>IFERROR(__xludf.DUMMYFUNCTION("""COMPUTED_VALUE"""),"Unconsciously, our yells and exclamations yielded to this rhythm.")</f>
        <v>Unconsciously, our yells and exclamations yielded to this rhythm.</v>
      </c>
      <c r="D333" s="4" t="str">
        <f>IFERROR(__xludf.DUMMYFUNCTION("""COMPUTED_VALUE""")," ")</f>
        <v> </v>
      </c>
    </row>
    <row r="334">
      <c r="A334" s="5" t="s">
        <v>3731</v>
      </c>
      <c r="B334" s="4" t="str">
        <f>IFERROR(__xludf.DUMMYFUNCTION("SPLIT(A334,"""""")"")"),"( arctic_a0333 ")</f>
        <v>( arctic_a0333 </v>
      </c>
      <c r="C334" s="4" t="str">
        <f>IFERROR(__xludf.DUMMYFUNCTION("""COMPUTED_VALUE"""),"This is no place for you.")</f>
        <v>This is no place for you.</v>
      </c>
      <c r="D334" s="4" t="str">
        <f>IFERROR(__xludf.DUMMYFUNCTION("""COMPUTED_VALUE""")," ")</f>
        <v> </v>
      </c>
    </row>
    <row r="335">
      <c r="A335" s="5" t="s">
        <v>3732</v>
      </c>
      <c r="B335" s="4" t="str">
        <f>IFERROR(__xludf.DUMMYFUNCTION("SPLIT(A335,"""""")"")"),"( arctic_a0334 ")</f>
        <v>( arctic_a0334 </v>
      </c>
      <c r="C335" s="4" t="str">
        <f>IFERROR(__xludf.DUMMYFUNCTION("""COMPUTED_VALUE"""),"He'll knock you off a few sticks in no time.")</f>
        <v>He'll knock you off a few sticks in no time.</v>
      </c>
      <c r="D335" s="4" t="str">
        <f>IFERROR(__xludf.DUMMYFUNCTION("""COMPUTED_VALUE""")," ")</f>
        <v> </v>
      </c>
    </row>
    <row r="336">
      <c r="A336" s="5" t="s">
        <v>3733</v>
      </c>
      <c r="B336" s="4" t="str">
        <f>IFERROR(__xludf.DUMMYFUNCTION("SPLIT(A336,"""""")"")"),"( arctic_a0335 ")</f>
        <v>( arctic_a0335 </v>
      </c>
      <c r="C336" s="4" t="str">
        <f>IFERROR(__xludf.DUMMYFUNCTION("""COMPUTED_VALUE"""),"Red-Eye swung back and forth on the branch farther down.")</f>
        <v>Red-Eye swung back and forth on the branch farther down.</v>
      </c>
      <c r="D336" s="4" t="str">
        <f>IFERROR(__xludf.DUMMYFUNCTION("""COMPUTED_VALUE""")," ")</f>
        <v> </v>
      </c>
    </row>
    <row r="337">
      <c r="A337" s="5" t="s">
        <v>3734</v>
      </c>
      <c r="B337" s="4" t="str">
        <f>IFERROR(__xludf.DUMMYFUNCTION("SPLIT(A337,"""""")"")"),"( arctic_a0336 ")</f>
        <v>( arctic_a0336 </v>
      </c>
      <c r="C337" s="4" t="str">
        <f>IFERROR(__xludf.DUMMYFUNCTION("""COMPUTED_VALUE"""),"So unexpected was my charge that I knocked him off his feet.")</f>
        <v>So unexpected was my charge that I knocked him off his feet.</v>
      </c>
      <c r="D337" s="4" t="str">
        <f>IFERROR(__xludf.DUMMYFUNCTION("""COMPUTED_VALUE""")," ")</f>
        <v> </v>
      </c>
    </row>
    <row r="338">
      <c r="A338" s="5" t="s">
        <v>3735</v>
      </c>
      <c r="B338" s="4" t="str">
        <f>IFERROR(__xludf.DUMMYFUNCTION("SPLIT(A338,"""""")"")"),"( arctic_a0337 ")</f>
        <v>( arctic_a0337 </v>
      </c>
      <c r="C338" s="4" t="str">
        <f>IFERROR(__xludf.DUMMYFUNCTION("""COMPUTED_VALUE"""),"Encouraged by my conduct, Big-Face became a sudden ally.")</f>
        <v>Encouraged by my conduct, Big-Face became a sudden ally.</v>
      </c>
      <c r="D338" s="4" t="str">
        <f>IFERROR(__xludf.DUMMYFUNCTION("""COMPUTED_VALUE""")," ")</f>
        <v> </v>
      </c>
    </row>
    <row r="339">
      <c r="A339" s="5" t="s">
        <v>3736</v>
      </c>
      <c r="B339" s="4" t="str">
        <f>IFERROR(__xludf.DUMMYFUNCTION("SPLIT(A339,"""""")"")"),"( arctic_a0338 ")</f>
        <v>( arctic_a0338 </v>
      </c>
      <c r="C339" s="4" t="str">
        <f>IFERROR(__xludf.DUMMYFUNCTION("""COMPUTED_VALUE"""),"The fighting had now become intermittent.")</f>
        <v>The fighting had now become intermittent.</v>
      </c>
      <c r="D339" s="4" t="str">
        <f>IFERROR(__xludf.DUMMYFUNCTION("""COMPUTED_VALUE""")," ")</f>
        <v> </v>
      </c>
    </row>
    <row r="340">
      <c r="A340" s="5" t="s">
        <v>3737</v>
      </c>
      <c r="B340" s="4" t="str">
        <f>IFERROR(__xludf.DUMMYFUNCTION("SPLIT(A340,"""""")"")"),"( arctic_a0339 ")</f>
        <v>( arctic_a0339 </v>
      </c>
      <c r="C340" s="4" t="str">
        <f>IFERROR(__xludf.DUMMYFUNCTION("""COMPUTED_VALUE"""),"They obeyed him, and went here and there at his commands.")</f>
        <v>They obeyed him, and went here and there at his commands.</v>
      </c>
      <c r="D340" s="4" t="str">
        <f>IFERROR(__xludf.DUMMYFUNCTION("""COMPUTED_VALUE""")," ")</f>
        <v> </v>
      </c>
    </row>
    <row r="341">
      <c r="A341" s="5" t="s">
        <v>3738</v>
      </c>
      <c r="B341" s="4" t="str">
        <f>IFERROR(__xludf.DUMMYFUNCTION("SPLIT(A341,"""""")"")"),"( arctic_a0340 ")</f>
        <v>( arctic_a0340 </v>
      </c>
      <c r="C341" s="4" t="str">
        <f>IFERROR(__xludf.DUMMYFUNCTION("""COMPUTED_VALUE"""),"It was like the beating of hoofs.")</f>
        <v>It was like the beating of hoofs.</v>
      </c>
      <c r="D341" s="4" t="str">
        <f>IFERROR(__xludf.DUMMYFUNCTION("""COMPUTED_VALUE""")," ")</f>
        <v> </v>
      </c>
    </row>
    <row r="342">
      <c r="A342" s="5" t="s">
        <v>3739</v>
      </c>
      <c r="B342" s="4" t="str">
        <f>IFERROR(__xludf.DUMMYFUNCTION("SPLIT(A342,"""""")"")"),"( arctic_a0341 ")</f>
        <v>( arctic_a0341 </v>
      </c>
      <c r="C342" s="4" t="str">
        <f>IFERROR(__xludf.DUMMYFUNCTION("""COMPUTED_VALUE"""),"Why, doggone you all, shake again.")</f>
        <v>Why, doggone you all, shake again.</v>
      </c>
      <c r="D342" s="4" t="str">
        <f>IFERROR(__xludf.DUMMYFUNCTION("""COMPUTED_VALUE""")," ")</f>
        <v> </v>
      </c>
    </row>
    <row r="343">
      <c r="A343" s="5" t="s">
        <v>3740</v>
      </c>
      <c r="B343" s="4" t="str">
        <f>IFERROR(__xludf.DUMMYFUNCTION("SPLIT(A343,"""""")"")"),"( arctic_a0342 ")</f>
        <v>( arctic_a0342 </v>
      </c>
      <c r="C343" s="4" t="str">
        <f>IFERROR(__xludf.DUMMYFUNCTION("""COMPUTED_VALUE"""),"Seventeen, no, eighteen days ago.")</f>
        <v>Seventeen, no, eighteen days ago.</v>
      </c>
      <c r="D343" s="4" t="str">
        <f>IFERROR(__xludf.DUMMYFUNCTION("""COMPUTED_VALUE""")," ")</f>
        <v> </v>
      </c>
    </row>
    <row r="344">
      <c r="A344" s="5" t="s">
        <v>3741</v>
      </c>
      <c r="B344" s="4" t="str">
        <f>IFERROR(__xludf.DUMMYFUNCTION("SPLIT(A344,"""""")"")"),"( arctic_a0343 ")</f>
        <v>( arctic_a0343 </v>
      </c>
      <c r="C344" s="4" t="str">
        <f>IFERROR(__xludf.DUMMYFUNCTION("""COMPUTED_VALUE"""),"You mean for this State, General, Alberta.")</f>
        <v>You mean for this State, General, Alberta.</v>
      </c>
      <c r="D344" s="4" t="str">
        <f>IFERROR(__xludf.DUMMYFUNCTION("""COMPUTED_VALUE""")," ")</f>
        <v> </v>
      </c>
    </row>
    <row r="345">
      <c r="A345" s="5" t="s">
        <v>3742</v>
      </c>
      <c r="B345" s="4" t="str">
        <f>IFERROR(__xludf.DUMMYFUNCTION("SPLIT(A345,"""""")"")"),"( arctic_a0344 ")</f>
        <v>( arctic_a0344 </v>
      </c>
      <c r="C345" s="4" t="str">
        <f>IFERROR(__xludf.DUMMYFUNCTION("""COMPUTED_VALUE"""),"He seemed to fill it with his tremendous vitality.")</f>
        <v>He seemed to fill it with his tremendous vitality.</v>
      </c>
      <c r="D345" s="4" t="str">
        <f>IFERROR(__xludf.DUMMYFUNCTION("""COMPUTED_VALUE""")," ")</f>
        <v> </v>
      </c>
    </row>
    <row r="346">
      <c r="A346" s="5" t="s">
        <v>3743</v>
      </c>
      <c r="B346" s="4" t="str">
        <f>IFERROR(__xludf.DUMMYFUNCTION("SPLIT(A346,"""""")"")"),"( arctic_a0345 ")</f>
        <v>( arctic_a0345 </v>
      </c>
      <c r="C346" s="4" t="str">
        <f>IFERROR(__xludf.DUMMYFUNCTION("""COMPUTED_VALUE"""),"She was trying to pass the apron string around him.")</f>
        <v>She was trying to pass the apron string around him.</v>
      </c>
      <c r="D346" s="4" t="str">
        <f>IFERROR(__xludf.DUMMYFUNCTION("""COMPUTED_VALUE""")," ")</f>
        <v> </v>
      </c>
    </row>
    <row r="347">
      <c r="A347" s="5" t="s">
        <v>3744</v>
      </c>
      <c r="B347" s="4" t="str">
        <f>IFERROR(__xludf.DUMMYFUNCTION("SPLIT(A347,"""""")"")"),"( arctic_a0346 ")</f>
        <v>( arctic_a0346 </v>
      </c>
      <c r="C347" s="4" t="str">
        <f>IFERROR(__xludf.DUMMYFUNCTION("""COMPUTED_VALUE"""),"Get down and dig in.")</f>
        <v>Get down and dig in.</v>
      </c>
      <c r="D347" s="4" t="str">
        <f>IFERROR(__xludf.DUMMYFUNCTION("""COMPUTED_VALUE""")," ")</f>
        <v> </v>
      </c>
    </row>
    <row r="348">
      <c r="A348" s="5" t="s">
        <v>3745</v>
      </c>
      <c r="B348" s="4" t="str">
        <f>IFERROR(__xludf.DUMMYFUNCTION("SPLIT(A348,"""""")"")"),"( arctic_a0347 ")</f>
        <v>( arctic_a0347 </v>
      </c>
      <c r="C348" s="4" t="str">
        <f>IFERROR(__xludf.DUMMYFUNCTION("""COMPUTED_VALUE"""),"They are greatly delighted with anything that is bright or giveth a sound.")</f>
        <v>They are greatly delighted with anything that is bright or giveth a sound.</v>
      </c>
      <c r="D348" s="4" t="str">
        <f>IFERROR(__xludf.DUMMYFUNCTION("""COMPUTED_VALUE""")," ")</f>
        <v> </v>
      </c>
    </row>
    <row r="349">
      <c r="A349" s="5" t="s">
        <v>3746</v>
      </c>
      <c r="B349" s="4" t="str">
        <f>IFERROR(__xludf.DUMMYFUNCTION("SPLIT(A349,"""""")"")"),"( arctic_a0348 ")</f>
        <v>( arctic_a0348 </v>
      </c>
      <c r="C349" s="4" t="str">
        <f>IFERROR(__xludf.DUMMYFUNCTION("""COMPUTED_VALUE"""),"They only lifted seven hundred and fifty.")</f>
        <v>They only lifted seven hundred and fifty.</v>
      </c>
      <c r="D349" s="4" t="str">
        <f>IFERROR(__xludf.DUMMYFUNCTION("""COMPUTED_VALUE""")," ")</f>
        <v> </v>
      </c>
    </row>
    <row r="350">
      <c r="A350" s="5" t="s">
        <v>3747</v>
      </c>
      <c r="B350" s="4" t="str">
        <f>IFERROR(__xludf.DUMMYFUNCTION("SPLIT(A350,"""""")"")"),"( arctic_a0349 ")</f>
        <v>( arctic_a0349 </v>
      </c>
      <c r="C350" s="4" t="str">
        <f>IFERROR(__xludf.DUMMYFUNCTION("""COMPUTED_VALUE"""),"It was simple, in its way, and no virtue of his.")</f>
        <v>It was simple, in its way, and no virtue of his.</v>
      </c>
      <c r="D350" s="4" t="str">
        <f>IFERROR(__xludf.DUMMYFUNCTION("""COMPUTED_VALUE""")," ")</f>
        <v> </v>
      </c>
    </row>
    <row r="351">
      <c r="A351" s="5" t="s">
        <v>3748</v>
      </c>
      <c r="B351" s="4" t="str">
        <f>IFERROR(__xludf.DUMMYFUNCTION("SPLIT(A351,"""""")"")"),"( arctic_a0350 ")</f>
        <v>( arctic_a0350 </v>
      </c>
      <c r="C351" s="4" t="str">
        <f>IFERROR(__xludf.DUMMYFUNCTION("""COMPUTED_VALUE"""),"Is that Pat Hanrahan's mug looking hungry and willing.")</f>
        <v>Is that Pat Hanrahan's mug looking hungry and willing.</v>
      </c>
      <c r="D351" s="4" t="str">
        <f>IFERROR(__xludf.DUMMYFUNCTION("""COMPUTED_VALUE""")," ")</f>
        <v> </v>
      </c>
    </row>
    <row r="352">
      <c r="A352" s="5" t="s">
        <v>3749</v>
      </c>
      <c r="B352" s="4" t="str">
        <f>IFERROR(__xludf.DUMMYFUNCTION("SPLIT(A352,"""""")"")"),"( arctic_a0351 ")</f>
        <v>( arctic_a0351 </v>
      </c>
      <c r="C352" s="4" t="str">
        <f>IFERROR(__xludf.DUMMYFUNCTION("""COMPUTED_VALUE"""),"It was more like sugar.")</f>
        <v>It was more like sugar.</v>
      </c>
      <c r="D352" s="4" t="str">
        <f>IFERROR(__xludf.DUMMYFUNCTION("""COMPUTED_VALUE""")," ")</f>
        <v> </v>
      </c>
    </row>
    <row r="353">
      <c r="A353" s="5" t="s">
        <v>3750</v>
      </c>
      <c r="B353" s="4" t="str">
        <f>IFERROR(__xludf.DUMMYFUNCTION("SPLIT(A353,"""""")"")"),"( arctic_a0352 ")</f>
        <v>( arctic_a0352 </v>
      </c>
      <c r="C353" s="4" t="str">
        <f>IFERROR(__xludf.DUMMYFUNCTION("""COMPUTED_VALUE"""),"I'm sure going along with you all, Elijah.")</f>
        <v>I'm sure going along with you all, Elijah.</v>
      </c>
      <c r="D353" s="4" t="str">
        <f>IFERROR(__xludf.DUMMYFUNCTION("""COMPUTED_VALUE""")," ")</f>
        <v> </v>
      </c>
    </row>
    <row r="354">
      <c r="A354" s="5" t="s">
        <v>3751</v>
      </c>
      <c r="B354" s="4" t="str">
        <f>IFERROR(__xludf.DUMMYFUNCTION("SPLIT(A354,"""""")"")"),"( arctic_a0353 ")</f>
        <v>( arctic_a0353 </v>
      </c>
      <c r="C354" s="4" t="str">
        <f>IFERROR(__xludf.DUMMYFUNCTION("""COMPUTED_VALUE"""),"Here the explosion of mirth drowned him out.")</f>
        <v>Here the explosion of mirth drowned him out.</v>
      </c>
      <c r="D354" s="4" t="str">
        <f>IFERROR(__xludf.DUMMYFUNCTION("""COMPUTED_VALUE""")," ")</f>
        <v> </v>
      </c>
    </row>
    <row r="355">
      <c r="A355" s="5" t="s">
        <v>3752</v>
      </c>
      <c r="B355" s="4" t="str">
        <f>IFERROR(__xludf.DUMMYFUNCTION("SPLIT(A355,"""""")"")"),"( arctic_a0354 ")</f>
        <v>( arctic_a0354 </v>
      </c>
      <c r="C355" s="4" t="str">
        <f>IFERROR(__xludf.DUMMYFUNCTION("""COMPUTED_VALUE"""),"Fresh meat they failed to obtain.")</f>
        <v>Fresh meat they failed to obtain.</v>
      </c>
      <c r="D355" s="4" t="str">
        <f>IFERROR(__xludf.DUMMYFUNCTION("""COMPUTED_VALUE""")," ")</f>
        <v> </v>
      </c>
    </row>
    <row r="356">
      <c r="A356" s="5" t="s">
        <v>3753</v>
      </c>
      <c r="B356" s="4" t="str">
        <f>IFERROR(__xludf.DUMMYFUNCTION("SPLIT(A356,"""""")"")"),"( arctic_a0355 ")</f>
        <v>( arctic_a0355 </v>
      </c>
      <c r="C356" s="4" t="str">
        <f>IFERROR(__xludf.DUMMYFUNCTION("""COMPUTED_VALUE"""),"A burst of laughter was his reward.")</f>
        <v>A burst of laughter was his reward.</v>
      </c>
      <c r="D356" s="4" t="str">
        <f>IFERROR(__xludf.DUMMYFUNCTION("""COMPUTED_VALUE""")," ")</f>
        <v> </v>
      </c>
    </row>
    <row r="357">
      <c r="A357" s="5" t="s">
        <v>3754</v>
      </c>
      <c r="B357" s="4" t="str">
        <f>IFERROR(__xludf.DUMMYFUNCTION("SPLIT(A357,"""""")"")"),"( arctic_a0356 ")</f>
        <v>( arctic_a0356 </v>
      </c>
      <c r="C357" s="4" t="str">
        <f>IFERROR(__xludf.DUMMYFUNCTION("""COMPUTED_VALUE"""),"You don't catch me at any such foolishness.")</f>
        <v>You don't catch me at any such foolishness.</v>
      </c>
      <c r="D357" s="4" t="str">
        <f>IFERROR(__xludf.DUMMYFUNCTION("""COMPUTED_VALUE""")," ")</f>
        <v> </v>
      </c>
    </row>
    <row r="358">
      <c r="A358" s="5" t="s">
        <v>3755</v>
      </c>
      <c r="B358" s="4" t="str">
        <f>IFERROR(__xludf.DUMMYFUNCTION("SPLIT(A358,"""""")"")"),"( arctic_a0357 ")</f>
        <v>( arctic_a0357 </v>
      </c>
      <c r="C358" s="4" t="str">
        <f>IFERROR(__xludf.DUMMYFUNCTION("""COMPUTED_VALUE"""),"A month passed by, and Bonanza Creek remained quiet.")</f>
        <v>A month passed by, and Bonanza Creek remained quiet.</v>
      </c>
      <c r="D358" s="4" t="str">
        <f>IFERROR(__xludf.DUMMYFUNCTION("""COMPUTED_VALUE""")," ")</f>
        <v> </v>
      </c>
    </row>
    <row r="359">
      <c r="A359" s="5" t="s">
        <v>3756</v>
      </c>
      <c r="B359" s="4" t="str">
        <f>IFERROR(__xludf.DUMMYFUNCTION("SPLIT(A359,"""""")"")"),"( arctic_a0358 ")</f>
        <v>( arctic_a0358 </v>
      </c>
      <c r="C359" s="4" t="str">
        <f>IFERROR(__xludf.DUMMYFUNCTION("""COMPUTED_VALUE"""),"They continued valiantly to lie, but the truth continued to outrun them.")</f>
        <v>They continued valiantly to lie, but the truth continued to outrun them.</v>
      </c>
      <c r="D359" s="4" t="str">
        <f>IFERROR(__xludf.DUMMYFUNCTION("""COMPUTED_VALUE""")," ")</f>
        <v> </v>
      </c>
    </row>
    <row r="360">
      <c r="A360" s="5" t="s">
        <v>3757</v>
      </c>
      <c r="B360" s="4" t="str">
        <f>IFERROR(__xludf.DUMMYFUNCTION("SPLIT(A360,"""""")"")"),"( arctic_a0359 ")</f>
        <v>( arctic_a0359 </v>
      </c>
      <c r="C360" s="4" t="str">
        <f>IFERROR(__xludf.DUMMYFUNCTION("""COMPUTED_VALUE"""),"Earth and gravel seemed to fill the pan.")</f>
        <v>Earth and gravel seemed to fill the pan.</v>
      </c>
      <c r="D360" s="4" t="str">
        <f>IFERROR(__xludf.DUMMYFUNCTION("""COMPUTED_VALUE""")," ")</f>
        <v> </v>
      </c>
    </row>
    <row r="361">
      <c r="A361" s="5" t="s">
        <v>3758</v>
      </c>
      <c r="B361" s="4" t="str">
        <f>IFERROR(__xludf.DUMMYFUNCTION("SPLIT(A361,"""""")"")"),"( arctic_a0360 ")</f>
        <v>( arctic_a0360 </v>
      </c>
      <c r="C361" s="4" t="str">
        <f>IFERROR(__xludf.DUMMYFUNCTION("""COMPUTED_VALUE"""),"But he no longer cared quite so much for that form of diversion.")</f>
        <v>But he no longer cared quite so much for that form of diversion.</v>
      </c>
      <c r="D361" s="4" t="str">
        <f>IFERROR(__xludf.DUMMYFUNCTION("""COMPUTED_VALUE""")," ")</f>
        <v> </v>
      </c>
    </row>
    <row r="362">
      <c r="A362" s="5" t="s">
        <v>3759</v>
      </c>
      <c r="B362" s="4" t="str">
        <f>IFERROR(__xludf.DUMMYFUNCTION("SPLIT(A362,"""""")"")"),"( arctic_a0361 ")</f>
        <v>( arctic_a0361 </v>
      </c>
      <c r="C362" s="4" t="str">
        <f>IFERROR(__xludf.DUMMYFUNCTION("""COMPUTED_VALUE"""),"But he did not broach it, preferring to mature it carefully.")</f>
        <v>But he did not broach it, preferring to mature it carefully.</v>
      </c>
      <c r="D362" s="4" t="str">
        <f>IFERROR(__xludf.DUMMYFUNCTION("""COMPUTED_VALUE""")," ")</f>
        <v> </v>
      </c>
    </row>
    <row r="363">
      <c r="A363" s="5" t="s">
        <v>3760</v>
      </c>
      <c r="B363" s="4" t="str">
        <f>IFERROR(__xludf.DUMMYFUNCTION("SPLIT(A363,"""""")"")"),"( arctic_a0362 ")</f>
        <v>( arctic_a0362 </v>
      </c>
      <c r="C363" s="4" t="str">
        <f>IFERROR(__xludf.DUMMYFUNCTION("""COMPUTED_VALUE"""),"Nope, not the slightest idea.")</f>
        <v>Nope, not the slightest idea.</v>
      </c>
      <c r="D363" s="4" t="str">
        <f>IFERROR(__xludf.DUMMYFUNCTION("""COMPUTED_VALUE""")," ")</f>
        <v> </v>
      </c>
    </row>
    <row r="364">
      <c r="A364" s="5" t="s">
        <v>3761</v>
      </c>
      <c r="B364" s="4" t="str">
        <f>IFERROR(__xludf.DUMMYFUNCTION("SPLIT(A364,"""""")"")"),"( arctic_a0363 ")</f>
        <v>( arctic_a0363 </v>
      </c>
      <c r="C364" s="4" t="str">
        <f>IFERROR(__xludf.DUMMYFUNCTION("""COMPUTED_VALUE"""),"It is not an attempt to smash the market.")</f>
        <v>It is not an attempt to smash the market.</v>
      </c>
      <c r="D364" s="4" t="str">
        <f>IFERROR(__xludf.DUMMYFUNCTION("""COMPUTED_VALUE""")," ")</f>
        <v> </v>
      </c>
    </row>
    <row r="365">
      <c r="A365" s="5" t="s">
        <v>3762</v>
      </c>
      <c r="B365" s="4" t="str">
        <f>IFERROR(__xludf.DUMMYFUNCTION("SPLIT(A365,"""""")"")"),"( arctic_a0364 ")</f>
        <v>( arctic_a0364 </v>
      </c>
      <c r="C365" s="4" t="str">
        <f>IFERROR(__xludf.DUMMYFUNCTION("""COMPUTED_VALUE"""),"We have plenty of capital ourselves, and yet we want more.")</f>
        <v>We have plenty of capital ourselves, and yet we want more.</v>
      </c>
      <c r="D365" s="4" t="str">
        <f>IFERROR(__xludf.DUMMYFUNCTION("""COMPUTED_VALUE""")," ")</f>
        <v> </v>
      </c>
    </row>
    <row r="366">
      <c r="A366" s="5" t="s">
        <v>3763</v>
      </c>
      <c r="B366" s="4" t="str">
        <f>IFERROR(__xludf.DUMMYFUNCTION("SPLIT(A366,"""""")"")"),"( arctic_a0365 ")</f>
        <v>( arctic_a0365 </v>
      </c>
      <c r="C366" s="4" t="str">
        <f>IFERROR(__xludf.DUMMYFUNCTION("""COMPUTED_VALUE"""),"These rumors may even originate with us.")</f>
        <v>These rumors may even originate with us.</v>
      </c>
      <c r="D366" s="4" t="str">
        <f>IFERROR(__xludf.DUMMYFUNCTION("""COMPUTED_VALUE""")," ")</f>
        <v> </v>
      </c>
    </row>
    <row r="367">
      <c r="A367" s="5" t="s">
        <v>3764</v>
      </c>
      <c r="B367" s="4" t="str">
        <f>IFERROR(__xludf.DUMMYFUNCTION("SPLIT(A367,"""""")"")"),"( arctic_a0366 ")</f>
        <v>( arctic_a0366 </v>
      </c>
      <c r="C367" s="4" t="str">
        <f>IFERROR(__xludf.DUMMYFUNCTION("""COMPUTED_VALUE"""),"A wildly exciting time was his during the week preceding Thursday the eighteenth.")</f>
        <v>A wildly exciting time was his during the week preceding Thursday the eighteenth.</v>
      </c>
      <c r="D367" s="4" t="str">
        <f>IFERROR(__xludf.DUMMYFUNCTION("""COMPUTED_VALUE""")," ")</f>
        <v> </v>
      </c>
    </row>
    <row r="368">
      <c r="A368" s="5" t="s">
        <v>3765</v>
      </c>
      <c r="B368" s="4" t="str">
        <f>IFERROR(__xludf.DUMMYFUNCTION("SPLIT(A368,"""""")"")"),"( arctic_a0367 ")</f>
        <v>( arctic_a0367 </v>
      </c>
      <c r="C368" s="4" t="str">
        <f>IFERROR(__xludf.DUMMYFUNCTION("""COMPUTED_VALUE"""),"There is not an iota of truth in it, certainly not.")</f>
        <v>There is not an iota of truth in it, certainly not.</v>
      </c>
      <c r="D368" s="4" t="str">
        <f>IFERROR(__xludf.DUMMYFUNCTION("""COMPUTED_VALUE""")," ")</f>
        <v> </v>
      </c>
    </row>
    <row r="369">
      <c r="A369" s="5" t="s">
        <v>3766</v>
      </c>
      <c r="B369" s="4" t="str">
        <f>IFERROR(__xludf.DUMMYFUNCTION("SPLIT(A369,"""""")"")"),"( arctic_a0368 ")</f>
        <v>( arctic_a0368 </v>
      </c>
      <c r="C369" s="4" t="str">
        <f>IFERROR(__xludf.DUMMYFUNCTION("""COMPUTED_VALUE"""),"I just do appreciate it without being able to express my feelings.")</f>
        <v>I just do appreciate it without being able to express my feelings.</v>
      </c>
      <c r="D369" s="4" t="str">
        <f>IFERROR(__xludf.DUMMYFUNCTION("""COMPUTED_VALUE""")," ")</f>
        <v> </v>
      </c>
    </row>
    <row r="370">
      <c r="A370" s="5" t="s">
        <v>3767</v>
      </c>
      <c r="B370" s="4" t="str">
        <f>IFERROR(__xludf.DUMMYFUNCTION("SPLIT(A370,"""""")"")"),"( arctic_a0369 ")</f>
        <v>( arctic_a0369 </v>
      </c>
      <c r="C370" s="4" t="str">
        <f>IFERROR(__xludf.DUMMYFUNCTION("""COMPUTED_VALUE"""),"In partnership with Daylight, the pair raided the San Jose Interurban.")</f>
        <v>In partnership with Daylight, the pair raided the San Jose Interurban.</v>
      </c>
      <c r="D370" s="4" t="str">
        <f>IFERROR(__xludf.DUMMYFUNCTION("""COMPUTED_VALUE""")," ")</f>
        <v> </v>
      </c>
    </row>
    <row r="371">
      <c r="A371" s="5" t="s">
        <v>3768</v>
      </c>
      <c r="B371" s="4" t="str">
        <f>IFERROR(__xludf.DUMMYFUNCTION("SPLIT(A371,"""""")"")"),"( arctic_a0370 ")</f>
        <v>( arctic_a0370 </v>
      </c>
      <c r="C371" s="4" t="str">
        <f>IFERROR(__xludf.DUMMYFUNCTION("""COMPUTED_VALUE"""),"He saw all men in the business game doing this.")</f>
        <v>He saw all men in the business game doing this.</v>
      </c>
      <c r="D371" s="4" t="str">
        <f>IFERROR(__xludf.DUMMYFUNCTION("""COMPUTED_VALUE""")," ")</f>
        <v> </v>
      </c>
    </row>
    <row r="372">
      <c r="A372" s="5" t="s">
        <v>3769</v>
      </c>
      <c r="B372" s="4" t="str">
        <f>IFERROR(__xludf.DUMMYFUNCTION("SPLIT(A372,"""""")"")"),"( arctic_a0371 ")</f>
        <v>( arctic_a0371 </v>
      </c>
      <c r="C372" s="4" t="str">
        <f>IFERROR(__xludf.DUMMYFUNCTION("""COMPUTED_VALUE"""),"It issued a rate of forty two dollars a car on charcoal.")</f>
        <v>It issued a rate of forty two dollars a car on charcoal.</v>
      </c>
      <c r="D372" s="4" t="str">
        <f>IFERROR(__xludf.DUMMYFUNCTION("""COMPUTED_VALUE""")," ")</f>
        <v> </v>
      </c>
    </row>
    <row r="373">
      <c r="A373" s="5" t="s">
        <v>3770</v>
      </c>
      <c r="B373" s="4" t="str">
        <f>IFERROR(__xludf.DUMMYFUNCTION("SPLIT(A373,"""""")"")"),"( arctic_a0372 ")</f>
        <v>( arctic_a0372 </v>
      </c>
      <c r="C373" s="4" t="str">
        <f>IFERROR(__xludf.DUMMYFUNCTION("""COMPUTED_VALUE"""),"He saw only the effect in a general, sketchy way.")</f>
        <v>He saw only the effect in a general, sketchy way.</v>
      </c>
      <c r="D373" s="4" t="str">
        <f>IFERROR(__xludf.DUMMYFUNCTION("""COMPUTED_VALUE""")," ")</f>
        <v> </v>
      </c>
    </row>
    <row r="374">
      <c r="A374" s="5" t="s">
        <v>3771</v>
      </c>
      <c r="B374" s="4" t="str">
        <f>IFERROR(__xludf.DUMMYFUNCTION("SPLIT(A374,"""""")"")"),"( arctic_a0373 ")</f>
        <v>( arctic_a0373 </v>
      </c>
      <c r="C374" s="4" t="str">
        <f>IFERROR(__xludf.DUMMYFUNCTION("""COMPUTED_VALUE"""),"Points of view, new ideas, life.")</f>
        <v>Points of view, new ideas, life.</v>
      </c>
      <c r="D374" s="4" t="str">
        <f>IFERROR(__xludf.DUMMYFUNCTION("""COMPUTED_VALUE""")," ")</f>
        <v> </v>
      </c>
    </row>
    <row r="375">
      <c r="A375" s="5" t="s">
        <v>3772</v>
      </c>
      <c r="B375" s="4" t="str">
        <f>IFERROR(__xludf.DUMMYFUNCTION("SPLIT(A375,"""""")"")"),"( arctic_a0374 ")</f>
        <v>( arctic_a0374 </v>
      </c>
      <c r="C375" s="4" t="str">
        <f>IFERROR(__xludf.DUMMYFUNCTION("""COMPUTED_VALUE"""),"But life's worth more than cash, she argued.")</f>
        <v>But life's worth more than cash, she argued.</v>
      </c>
      <c r="D375" s="4" t="str">
        <f>IFERROR(__xludf.DUMMYFUNCTION("""COMPUTED_VALUE""")," ")</f>
        <v> </v>
      </c>
    </row>
    <row r="376">
      <c r="A376" s="5" t="s">
        <v>3773</v>
      </c>
      <c r="B376" s="4" t="str">
        <f>IFERROR(__xludf.DUMMYFUNCTION("SPLIT(A376,"""""")"")"),"( arctic_a0375 ")</f>
        <v>( arctic_a0375 </v>
      </c>
      <c r="C376" s="4" t="str">
        <f>IFERROR(__xludf.DUMMYFUNCTION("""COMPUTED_VALUE"""),"The butchers and meat cutters refused to handle meat destined for unfair restaurants.")</f>
        <v>The butchers and meat cutters refused to handle meat destined for unfair restaurants.</v>
      </c>
      <c r="D376" s="4" t="str">
        <f>IFERROR(__xludf.DUMMYFUNCTION("""COMPUTED_VALUE""")," ")</f>
        <v> </v>
      </c>
    </row>
    <row r="377">
      <c r="A377" s="5" t="s">
        <v>3774</v>
      </c>
      <c r="B377" s="4" t="str">
        <f>IFERROR(__xludf.DUMMYFUNCTION("SPLIT(A377,"""""")"")"),"( arctic_a0376 ")</f>
        <v>( arctic_a0376 </v>
      </c>
      <c r="C377" s="4" t="str">
        <f>IFERROR(__xludf.DUMMYFUNCTION("""COMPUTED_VALUE"""),"Your price, my son, is just about thirty per week.")</f>
        <v>Your price, my son, is just about thirty per week.</v>
      </c>
      <c r="D377" s="4" t="str">
        <f>IFERROR(__xludf.DUMMYFUNCTION("""COMPUTED_VALUE""")," ")</f>
        <v> </v>
      </c>
    </row>
    <row r="378">
      <c r="A378" s="5" t="s">
        <v>3775</v>
      </c>
      <c r="B378" s="4" t="str">
        <f>IFERROR(__xludf.DUMMYFUNCTION("SPLIT(A378,"""""")"")"),"( arctic_a0377 ")</f>
        <v>( arctic_a0377 </v>
      </c>
      <c r="C378" s="4" t="str">
        <f>IFERROR(__xludf.DUMMYFUNCTION("""COMPUTED_VALUE"""),"This sound did not disturb the hush and awe of the place.")</f>
        <v>This sound did not disturb the hush and awe of the place.</v>
      </c>
      <c r="D378" s="4" t="str">
        <f>IFERROR(__xludf.DUMMYFUNCTION("""COMPUTED_VALUE""")," ")</f>
        <v> </v>
      </c>
    </row>
    <row r="379">
      <c r="A379" s="5" t="s">
        <v>3776</v>
      </c>
      <c r="B379" s="4" t="str">
        <f>IFERROR(__xludf.DUMMYFUNCTION("SPLIT(A379,"""""")"")"),"( arctic_a0378 ")</f>
        <v>( arctic_a0378 </v>
      </c>
      <c r="C379" s="4" t="str">
        <f>IFERROR(__xludf.DUMMYFUNCTION("""COMPUTED_VALUE"""),"That's why its boundaries are all gouged and jagged.")</f>
        <v>That's why its boundaries are all gouged and jagged.</v>
      </c>
      <c r="D379" s="4" t="str">
        <f>IFERROR(__xludf.DUMMYFUNCTION("""COMPUTED_VALUE""")," ")</f>
        <v> </v>
      </c>
    </row>
    <row r="380">
      <c r="A380" s="5" t="s">
        <v>3777</v>
      </c>
      <c r="B380" s="4" t="str">
        <f>IFERROR(__xludf.DUMMYFUNCTION("SPLIT(A380,"""""")"")"),"( arctic_a0379 ")</f>
        <v>( arctic_a0379 </v>
      </c>
      <c r="C380" s="4" t="str">
        <f>IFERROR(__xludf.DUMMYFUNCTION("""COMPUTED_VALUE"""),"How old are you, daddy.")</f>
        <v>How old are you, daddy.</v>
      </c>
      <c r="D380" s="4" t="str">
        <f>IFERROR(__xludf.DUMMYFUNCTION("""COMPUTED_VALUE""")," ")</f>
        <v> </v>
      </c>
    </row>
    <row r="381">
      <c r="A381" s="5" t="s">
        <v>3778</v>
      </c>
      <c r="B381" s="4" t="str">
        <f>IFERROR(__xludf.DUMMYFUNCTION("SPLIT(A381,"""""")"")"),"( arctic_a0380 ")</f>
        <v>( arctic_a0380 </v>
      </c>
      <c r="C381" s="4" t="str">
        <f>IFERROR(__xludf.DUMMYFUNCTION("""COMPUTED_VALUE"""),"But in the canyons water was plentiful and also a luxuriant forest growth.")</f>
        <v>But in the canyons water was plentiful and also a luxuriant forest growth.</v>
      </c>
      <c r="D381" s="4" t="str">
        <f>IFERROR(__xludf.DUMMYFUNCTION("""COMPUTED_VALUE""")," ")</f>
        <v> </v>
      </c>
    </row>
    <row r="382">
      <c r="A382" s="5" t="s">
        <v>3779</v>
      </c>
      <c r="B382" s="4" t="str">
        <f>IFERROR(__xludf.DUMMYFUNCTION("SPLIT(A382,"""""")"")"),"( arctic_a0381 ")</f>
        <v>( arctic_a0381 </v>
      </c>
      <c r="C382" s="4" t="str">
        <f>IFERROR(__xludf.DUMMYFUNCTION("""COMPUTED_VALUE"""),"My name's Ferguson.")</f>
        <v>My name's Ferguson.</v>
      </c>
      <c r="D382" s="4" t="str">
        <f>IFERROR(__xludf.DUMMYFUNCTION("""COMPUTED_VALUE""")," ")</f>
        <v> </v>
      </c>
    </row>
    <row r="383">
      <c r="A383" s="5" t="s">
        <v>3780</v>
      </c>
      <c r="B383" s="4" t="str">
        <f>IFERROR(__xludf.DUMMYFUNCTION("SPLIT(A383,"""""")"")"),"( arctic_a0382 ")</f>
        <v>( arctic_a0382 </v>
      </c>
      <c r="C383" s="4" t="str">
        <f>IFERROR(__xludf.DUMMYFUNCTION("""COMPUTED_VALUE"""),"Daylight found himself charmed and made curious by the little man.")</f>
        <v>Daylight found himself charmed and made curious by the little man.</v>
      </c>
      <c r="D383" s="4" t="str">
        <f>IFERROR(__xludf.DUMMYFUNCTION("""COMPUTED_VALUE""")," ")</f>
        <v> </v>
      </c>
    </row>
    <row r="384">
      <c r="A384" s="5" t="s">
        <v>3781</v>
      </c>
      <c r="B384" s="4" t="str">
        <f>IFERROR(__xludf.DUMMYFUNCTION("SPLIT(A384,"""""")"")"),"( arctic_a0383 ")</f>
        <v>( arctic_a0383 </v>
      </c>
      <c r="C384" s="4" t="str">
        <f>IFERROR(__xludf.DUMMYFUNCTION("""COMPUTED_VALUE"""),"To his surprise, her answer was flat and uncompromising.")</f>
        <v>To his surprise, her answer was flat and uncompromising.</v>
      </c>
      <c r="D384" s="4" t="str">
        <f>IFERROR(__xludf.DUMMYFUNCTION("""COMPUTED_VALUE""")," ")</f>
        <v> </v>
      </c>
    </row>
    <row r="385">
      <c r="A385" s="5" t="s">
        <v>3782</v>
      </c>
      <c r="B385" s="4" t="str">
        <f>IFERROR(__xludf.DUMMYFUNCTION("SPLIT(A385,"""""")"")"),"( arctic_a0384 ")</f>
        <v>( arctic_a0384 </v>
      </c>
      <c r="C385" s="4" t="str">
        <f>IFERROR(__xludf.DUMMYFUNCTION("""COMPUTED_VALUE"""),"The farmer works the soil and produces grain.")</f>
        <v>The farmer works the soil and produces grain.</v>
      </c>
      <c r="D385" s="4" t="str">
        <f>IFERROR(__xludf.DUMMYFUNCTION("""COMPUTED_VALUE""")," ")</f>
        <v> </v>
      </c>
    </row>
    <row r="386">
      <c r="A386" s="5" t="s">
        <v>3783</v>
      </c>
      <c r="B386" s="4" t="str">
        <f>IFERROR(__xludf.DUMMYFUNCTION("SPLIT(A386,"""""")"")"),"( arctic_a0385 ")</f>
        <v>( arctic_a0385 </v>
      </c>
      <c r="C386" s="4" t="str">
        <f>IFERROR(__xludf.DUMMYFUNCTION("""COMPUTED_VALUE"""),"That's what Carnegie did.")</f>
        <v>That's what Carnegie did.</v>
      </c>
      <c r="D386" s="4" t="str">
        <f>IFERROR(__xludf.DUMMYFUNCTION("""COMPUTED_VALUE""")," ")</f>
        <v> </v>
      </c>
    </row>
    <row r="387">
      <c r="A387" s="5" t="s">
        <v>3784</v>
      </c>
      <c r="B387" s="4" t="str">
        <f>IFERROR(__xludf.DUMMYFUNCTION("SPLIT(A387,"""""")"")"),"( arctic_a0386 ")</f>
        <v>( arctic_a0386 </v>
      </c>
      <c r="C387" s="4" t="str">
        <f>IFERROR(__xludf.DUMMYFUNCTION("""COMPUTED_VALUE"""),"I can't argue with you, and you know that.")</f>
        <v>I can't argue with you, and you know that.</v>
      </c>
      <c r="D387" s="4" t="str">
        <f>IFERROR(__xludf.DUMMYFUNCTION("""COMPUTED_VALUE""")," ")</f>
        <v> </v>
      </c>
    </row>
    <row r="388">
      <c r="A388" s="5" t="s">
        <v>3785</v>
      </c>
      <c r="B388" s="4" t="str">
        <f>IFERROR(__xludf.DUMMYFUNCTION("SPLIT(A388,"""""")"")"),"( arctic_a0387 ")</f>
        <v>( arctic_a0387 </v>
      </c>
      <c r="C388" s="4" t="str">
        <f>IFERROR(__xludf.DUMMYFUNCTION("""COMPUTED_VALUE"""),"Bob, growing disgusted, turned back suddenly and attempted to pass Mab.")</f>
        <v>Bob, growing disgusted, turned back suddenly and attempted to pass Mab.</v>
      </c>
      <c r="D388" s="4" t="str">
        <f>IFERROR(__xludf.DUMMYFUNCTION("""COMPUTED_VALUE""")," ")</f>
        <v> </v>
      </c>
    </row>
    <row r="389">
      <c r="A389" s="5" t="s">
        <v>3786</v>
      </c>
      <c r="B389" s="4" t="str">
        <f>IFERROR(__xludf.DUMMYFUNCTION("SPLIT(A389,"""""")"")"),"( arctic_a0388 ")</f>
        <v>( arctic_a0388 </v>
      </c>
      <c r="C389" s="4" t="str">
        <f>IFERROR(__xludf.DUMMYFUNCTION("""COMPUTED_VALUE"""),"It was my idea to a tee.")</f>
        <v>It was my idea to a tee.</v>
      </c>
      <c r="D389" s="4" t="str">
        <f>IFERROR(__xludf.DUMMYFUNCTION("""COMPUTED_VALUE""")," ")</f>
        <v> </v>
      </c>
    </row>
    <row r="390">
      <c r="A390" s="5" t="s">
        <v>3787</v>
      </c>
      <c r="B390" s="4" t="str">
        <f>IFERROR(__xludf.DUMMYFUNCTION("SPLIT(A390,"""""")"")"),"( arctic_a0389 ")</f>
        <v>( arctic_a0389 </v>
      </c>
      <c r="C390" s="4" t="str">
        <f>IFERROR(__xludf.DUMMYFUNCTION("""COMPUTED_VALUE"""),"Mab, she said.")</f>
        <v>Mab, she said.</v>
      </c>
      <c r="D390" s="4" t="str">
        <f>IFERROR(__xludf.DUMMYFUNCTION("""COMPUTED_VALUE""")," ")</f>
        <v> </v>
      </c>
    </row>
    <row r="391">
      <c r="A391" s="5" t="s">
        <v>3788</v>
      </c>
      <c r="B391" s="4" t="str">
        <f>IFERROR(__xludf.DUMMYFUNCTION("SPLIT(A391,"""""")"")"),"( arctic_a0390 ")</f>
        <v>( arctic_a0390 </v>
      </c>
      <c r="C391" s="4" t="str">
        <f>IFERROR(__xludf.DUMMYFUNCTION("""COMPUTED_VALUE"""),"I'll go over tomorrow afternoon.")</f>
        <v>I'll go over tomorrow afternoon.</v>
      </c>
      <c r="D391" s="4" t="str">
        <f>IFERROR(__xludf.DUMMYFUNCTION("""COMPUTED_VALUE""")," ")</f>
        <v> </v>
      </c>
    </row>
    <row r="392">
      <c r="A392" s="5" t="s">
        <v>3789</v>
      </c>
      <c r="B392" s="4" t="str">
        <f>IFERROR(__xludf.DUMMYFUNCTION("SPLIT(A392,"""""")"")"),"( arctic_a0391 ")</f>
        <v>( arctic_a0391 </v>
      </c>
      <c r="C392" s="4" t="str">
        <f>IFERROR(__xludf.DUMMYFUNCTION("""COMPUTED_VALUE"""),"But he reconciled himself to it by an act of faith.")</f>
        <v>But he reconciled himself to it by an act of faith.</v>
      </c>
      <c r="D392" s="4" t="str">
        <f>IFERROR(__xludf.DUMMYFUNCTION("""COMPUTED_VALUE""")," ")</f>
        <v> </v>
      </c>
    </row>
    <row r="393">
      <c r="A393" s="5" t="s">
        <v>3790</v>
      </c>
      <c r="B393" s="4" t="str">
        <f>IFERROR(__xludf.DUMMYFUNCTION("SPLIT(A393,"""""")"")"),"( arctic_a0392 ")</f>
        <v>( arctic_a0392 </v>
      </c>
      <c r="C393" s="4" t="str">
        <f>IFERROR(__xludf.DUMMYFUNCTION("""COMPUTED_VALUE"""),"There is that magnificent Bob, eating his head off in the stable.")</f>
        <v>There is that magnificent Bob, eating his head off in the stable.</v>
      </c>
      <c r="D393" s="4" t="str">
        <f>IFERROR(__xludf.DUMMYFUNCTION("""COMPUTED_VALUE""")," ")</f>
        <v> </v>
      </c>
    </row>
    <row r="394">
      <c r="A394" s="5" t="s">
        <v>3791</v>
      </c>
      <c r="B394" s="4" t="str">
        <f>IFERROR(__xludf.DUMMYFUNCTION("SPLIT(A394,"""""")"")"),"( arctic_a0393 ")</f>
        <v>( arctic_a0393 </v>
      </c>
      <c r="C394" s="4" t="str">
        <f>IFERROR(__xludf.DUMMYFUNCTION("""COMPUTED_VALUE"""),"Already he had begun borrowing from the banks.")</f>
        <v>Already he had begun borrowing from the banks.</v>
      </c>
      <c r="D394" s="4" t="str">
        <f>IFERROR(__xludf.DUMMYFUNCTION("""COMPUTED_VALUE""")," ")</f>
        <v> </v>
      </c>
    </row>
    <row r="395">
      <c r="A395" s="5" t="s">
        <v>3792</v>
      </c>
      <c r="B395" s="4" t="str">
        <f>IFERROR(__xludf.DUMMYFUNCTION("SPLIT(A395,"""""")"")"),"( arctic_a0394 ")</f>
        <v>( arctic_a0394 </v>
      </c>
      <c r="C395" s="4" t="str">
        <f>IFERROR(__xludf.DUMMYFUNCTION("""COMPUTED_VALUE"""),"It's the strap hangers that'll keep us from going under.")</f>
        <v>It's the strap hangers that'll keep us from going under.</v>
      </c>
      <c r="D395" s="4" t="str">
        <f>IFERROR(__xludf.DUMMYFUNCTION("""COMPUTED_VALUE""")," ")</f>
        <v> </v>
      </c>
    </row>
    <row r="396">
      <c r="A396" s="5" t="s">
        <v>3793</v>
      </c>
      <c r="B396" s="4" t="str">
        <f>IFERROR(__xludf.DUMMYFUNCTION("SPLIT(A396,"""""")"")"),"( arctic_a0395 ")</f>
        <v>( arctic_a0395 </v>
      </c>
      <c r="C396" s="4" t="str">
        <f>IFERROR(__xludf.DUMMYFUNCTION("""COMPUTED_VALUE"""),"As for himself, weren't the street railway earnings increasing steadily.")</f>
        <v>As for himself, weren't the street railway earnings increasing steadily.</v>
      </c>
      <c r="D396" s="4" t="str">
        <f>IFERROR(__xludf.DUMMYFUNCTION("""COMPUTED_VALUE""")," ")</f>
        <v> </v>
      </c>
    </row>
    <row r="397">
      <c r="A397" s="5" t="s">
        <v>3794</v>
      </c>
      <c r="B397" s="4" t="str">
        <f>IFERROR(__xludf.DUMMYFUNCTION("SPLIT(A397,"""""")"")"),"( arctic_a0396 ")</f>
        <v>( arctic_a0396 </v>
      </c>
      <c r="C397" s="4" t="str">
        <f>IFERROR(__xludf.DUMMYFUNCTION("""COMPUTED_VALUE"""),"A rising tide of fat had submerged them.")</f>
        <v>A rising tide of fat had submerged them.</v>
      </c>
      <c r="D397" s="4" t="str">
        <f>IFERROR(__xludf.DUMMYFUNCTION("""COMPUTED_VALUE""")," ")</f>
        <v> </v>
      </c>
    </row>
    <row r="398">
      <c r="A398" s="5" t="s">
        <v>3795</v>
      </c>
      <c r="B398" s="4" t="str">
        <f>IFERROR(__xludf.DUMMYFUNCTION("SPLIT(A398,"""""")"")"),"( arctic_a0397 ")</f>
        <v>( arctic_a0397 </v>
      </c>
      <c r="C398" s="4" t="str">
        <f>IFERROR(__xludf.DUMMYFUNCTION("""COMPUTED_VALUE"""),"Call me that again, he murmured ecstatically.")</f>
        <v>Call me that again, he murmured ecstatically.</v>
      </c>
      <c r="D398" s="4" t="str">
        <f>IFERROR(__xludf.DUMMYFUNCTION("""COMPUTED_VALUE""")," ")</f>
        <v> </v>
      </c>
    </row>
    <row r="399">
      <c r="A399" s="5" t="s">
        <v>3796</v>
      </c>
      <c r="B399" s="4" t="str">
        <f>IFERROR(__xludf.DUMMYFUNCTION("SPLIT(A399,"""""")"")"),"( arctic_a0398 ")</f>
        <v>( arctic_a0398 </v>
      </c>
      <c r="C399" s="4" t="str">
        <f>IFERROR(__xludf.DUMMYFUNCTION("""COMPUTED_VALUE"""),"In the car were Unwin and Harrison, while Jones sat with the chauffeur.")</f>
        <v>In the car were Unwin and Harrison, while Jones sat with the chauffeur.</v>
      </c>
      <c r="D399" s="4" t="str">
        <f>IFERROR(__xludf.DUMMYFUNCTION("""COMPUTED_VALUE""")," ")</f>
        <v> </v>
      </c>
    </row>
    <row r="400">
      <c r="A400" s="5" t="s">
        <v>3797</v>
      </c>
      <c r="B400" s="4" t="str">
        <f>IFERROR(__xludf.DUMMYFUNCTION("SPLIT(A400,"""""")"")"),"( arctic_a0399 ")</f>
        <v>( arctic_a0399 </v>
      </c>
      <c r="C400" s="4" t="str">
        <f>IFERROR(__xludf.DUMMYFUNCTION("""COMPUTED_VALUE"""),"And here's another idea.")</f>
        <v>And here's another idea.</v>
      </c>
      <c r="D400" s="4" t="str">
        <f>IFERROR(__xludf.DUMMYFUNCTION("""COMPUTED_VALUE""")," ")</f>
        <v> </v>
      </c>
    </row>
    <row r="401">
      <c r="A401" s="5" t="s">
        <v>3798</v>
      </c>
      <c r="B401" s="4" t="str">
        <f>IFERROR(__xludf.DUMMYFUNCTION("SPLIT(A401,"""""")"")"),"( arctic_a0400 ")</f>
        <v>( arctic_a0400 </v>
      </c>
      <c r="C401" s="4" t="str">
        <f>IFERROR(__xludf.DUMMYFUNCTION("""COMPUTED_VALUE"""),"Manuel had one besetting sin.")</f>
        <v>Manuel had one besetting sin.</v>
      </c>
      <c r="D401" s="4" t="str">
        <f>IFERROR(__xludf.DUMMYFUNCTION("""COMPUTED_VALUE""")," ")</f>
        <v> </v>
      </c>
    </row>
    <row r="402">
      <c r="A402" s="5" t="s">
        <v>3799</v>
      </c>
      <c r="B402" s="4" t="str">
        <f>IFERROR(__xludf.DUMMYFUNCTION("SPLIT(A402,"""""")"")"),"( arctic_a0401 ")</f>
        <v>( arctic_a0401 </v>
      </c>
      <c r="C402" s="4" t="str">
        <f>IFERROR(__xludf.DUMMYFUNCTION("""COMPUTED_VALUE"""),"The man smiled grimly, and brought a hatchet and a club.")</f>
        <v>The man smiled grimly, and brought a hatchet and a club.</v>
      </c>
      <c r="D402" s="4" t="str">
        <f>IFERROR(__xludf.DUMMYFUNCTION("""COMPUTED_VALUE""")," ")</f>
        <v> </v>
      </c>
    </row>
    <row r="403">
      <c r="A403" s="5" t="s">
        <v>3800</v>
      </c>
      <c r="B403" s="4" t="str">
        <f>IFERROR(__xludf.DUMMYFUNCTION("SPLIT(A403,"""""")"")"),"( arctic_a0402 ")</f>
        <v>( arctic_a0402 </v>
      </c>
      <c r="C403" s="4" t="str">
        <f>IFERROR(__xludf.DUMMYFUNCTION("""COMPUTED_VALUE"""),"Curly rushed her antagonist, who struck again and leaped aside.")</f>
        <v>Curly rushed her antagonist, who struck again and leaped aside.</v>
      </c>
      <c r="D403" s="4" t="str">
        <f>IFERROR(__xludf.DUMMYFUNCTION("""COMPUTED_VALUE""")," ")</f>
        <v> </v>
      </c>
    </row>
    <row r="404">
      <c r="A404" s="5" t="s">
        <v>3801</v>
      </c>
      <c r="B404" s="4" t="str">
        <f>IFERROR(__xludf.DUMMYFUNCTION("SPLIT(A404,"""""")"")"),"( arctic_a0403 ")</f>
        <v>( arctic_a0403 </v>
      </c>
      <c r="C404" s="4" t="str">
        <f>IFERROR(__xludf.DUMMYFUNCTION("""COMPUTED_VALUE"""),"His newborn cunning gave him poise and control.")</f>
        <v>His newborn cunning gave him poise and control.</v>
      </c>
      <c r="D404" s="4" t="str">
        <f>IFERROR(__xludf.DUMMYFUNCTION("""COMPUTED_VALUE""")," ")</f>
        <v> </v>
      </c>
    </row>
    <row r="405">
      <c r="A405" s="5" t="s">
        <v>3802</v>
      </c>
      <c r="B405" s="4" t="str">
        <f>IFERROR(__xludf.DUMMYFUNCTION("SPLIT(A405,"""""")"")"),"( arctic_a0404 ")</f>
        <v>( arctic_a0404 </v>
      </c>
      <c r="C405" s="4" t="str">
        <f>IFERROR(__xludf.DUMMYFUNCTION("""COMPUTED_VALUE"""),"Perrault found one with head buried in the grub box.")</f>
        <v>Perrault found one with head buried in the grub box.</v>
      </c>
      <c r="D405" s="4" t="str">
        <f>IFERROR(__xludf.DUMMYFUNCTION("""COMPUTED_VALUE""")," ")</f>
        <v> </v>
      </c>
    </row>
    <row r="406">
      <c r="A406" s="5" t="s">
        <v>3803</v>
      </c>
      <c r="B406" s="4" t="str">
        <f>IFERROR(__xludf.DUMMYFUNCTION("SPLIT(A406,"""""")"")"),"( arctic_a0405 ")</f>
        <v>( arctic_a0405 </v>
      </c>
      <c r="C406" s="4" t="str">
        <f>IFERROR(__xludf.DUMMYFUNCTION("""COMPUTED_VALUE"""),"It seemed the ordained order of things that dogs should work.")</f>
        <v>It seemed the ordained order of things that dogs should work.</v>
      </c>
      <c r="D406" s="4" t="str">
        <f>IFERROR(__xludf.DUMMYFUNCTION("""COMPUTED_VALUE""")," ")</f>
        <v> </v>
      </c>
    </row>
    <row r="407">
      <c r="A407" s="5" t="s">
        <v>3804</v>
      </c>
      <c r="B407" s="4" t="str">
        <f>IFERROR(__xludf.DUMMYFUNCTION("SPLIT(A407,"""""")"")"),"( arctic_a0406 ")</f>
        <v>( arctic_a0406 </v>
      </c>
      <c r="C407" s="4" t="str">
        <f>IFERROR(__xludf.DUMMYFUNCTION("""COMPUTED_VALUE"""),"And that was the last of Francois and Perrault.")</f>
        <v>And that was the last of Francois and Perrault.</v>
      </c>
      <c r="D407" s="4" t="str">
        <f>IFERROR(__xludf.DUMMYFUNCTION("""COMPUTED_VALUE""")," ")</f>
        <v> </v>
      </c>
    </row>
    <row r="408">
      <c r="A408" s="5" t="s">
        <v>3805</v>
      </c>
      <c r="B408" s="4" t="str">
        <f>IFERROR(__xludf.DUMMYFUNCTION("SPLIT(A408,"""""")"")"),"( arctic_a0407 ")</f>
        <v>( arctic_a0407 </v>
      </c>
      <c r="C408" s="4" t="str">
        <f>IFERROR(__xludf.DUMMYFUNCTION("""COMPUTED_VALUE"""),"Mercedes screamed, cried, laughed, and manifested the chaotic abandonment of hysteria.")</f>
        <v>Mercedes screamed, cried, laughed, and manifested the chaotic abandonment of hysteria.</v>
      </c>
      <c r="D408" s="4" t="str">
        <f>IFERROR(__xludf.DUMMYFUNCTION("""COMPUTED_VALUE""")," ")</f>
        <v> </v>
      </c>
    </row>
    <row r="409">
      <c r="A409" s="5" t="s">
        <v>3806</v>
      </c>
      <c r="B409" s="4" t="str">
        <f>IFERROR(__xludf.DUMMYFUNCTION("SPLIT(A409,"""""")"")"),"( arctic_a0408 ")</f>
        <v>( arctic_a0408 </v>
      </c>
      <c r="C409" s="4" t="str">
        <f>IFERROR(__xludf.DUMMYFUNCTION("""COMPUTED_VALUE"""),"The Eldorado emptied its occupants into the street to see the test.")</f>
        <v>The Eldorado emptied its occupants into the street to see the test.</v>
      </c>
      <c r="D409" s="4" t="str">
        <f>IFERROR(__xludf.DUMMYFUNCTION("""COMPUTED_VALUE""")," ")</f>
        <v> </v>
      </c>
    </row>
    <row r="410">
      <c r="A410" s="5" t="s">
        <v>3807</v>
      </c>
      <c r="B410" s="4" t="str">
        <f>IFERROR(__xludf.DUMMYFUNCTION("SPLIT(A410,"""""")"")"),"( arctic_a0409 ")</f>
        <v>( arctic_a0409 </v>
      </c>
      <c r="C410" s="4" t="str">
        <f>IFERROR(__xludf.DUMMYFUNCTION("""COMPUTED_VALUE"""),"He could feel a new stir in the land.")</f>
        <v>He could feel a new stir in the land.</v>
      </c>
      <c r="D410" s="4" t="str">
        <f>IFERROR(__xludf.DUMMYFUNCTION("""COMPUTED_VALUE""")," ")</f>
        <v> </v>
      </c>
    </row>
    <row r="411">
      <c r="A411" s="5" t="s">
        <v>3808</v>
      </c>
      <c r="B411" s="4" t="str">
        <f>IFERROR(__xludf.DUMMYFUNCTION("SPLIT(A411,"""""")"")"),"( arctic_a0410 ")</f>
        <v>( arctic_a0410 </v>
      </c>
      <c r="C411" s="4" t="str">
        <f>IFERROR(__xludf.DUMMYFUNCTION("""COMPUTED_VALUE"""),"So we have to fit the boat throughout with oil lamps as well.")</f>
        <v>So we have to fit the boat throughout with oil lamps as well.</v>
      </c>
      <c r="D411" s="4" t="str">
        <f>IFERROR(__xludf.DUMMYFUNCTION("""COMPUTED_VALUE""")," ")</f>
        <v> </v>
      </c>
    </row>
    <row r="412">
      <c r="A412" s="5" t="s">
        <v>3809</v>
      </c>
      <c r="B412" s="4" t="str">
        <f>IFERROR(__xludf.DUMMYFUNCTION("SPLIT(A412,"""""")"")"),"( arctic_a0411 ")</f>
        <v>( arctic_a0411 </v>
      </c>
      <c r="C412" s="4" t="str">
        <f>IFERROR(__xludf.DUMMYFUNCTION("""COMPUTED_VALUE"""),"It will break our hearts and our backs to hoist anchor by hand.")</f>
        <v>It will break our hearts and our backs to hoist anchor by hand.</v>
      </c>
      <c r="D412" s="4" t="str">
        <f>IFERROR(__xludf.DUMMYFUNCTION("""COMPUTED_VALUE""")," ")</f>
        <v> </v>
      </c>
    </row>
    <row r="413">
      <c r="A413" s="5" t="s">
        <v>3810</v>
      </c>
      <c r="B413" s="4" t="str">
        <f>IFERROR(__xludf.DUMMYFUNCTION("SPLIT(A413,"""""")"")"),"( arctic_a0412 ")</f>
        <v>( arctic_a0412 </v>
      </c>
      <c r="C413" s="4" t="str">
        <f>IFERROR(__xludf.DUMMYFUNCTION("""COMPUTED_VALUE"""),"There is another virtue in these bulkheads.")</f>
        <v>There is another virtue in these bulkheads.</v>
      </c>
      <c r="D413" s="4" t="str">
        <f>IFERROR(__xludf.DUMMYFUNCTION("""COMPUTED_VALUE""")," ")</f>
        <v> </v>
      </c>
    </row>
    <row r="414">
      <c r="A414" s="5" t="s">
        <v>3811</v>
      </c>
      <c r="B414" s="4" t="str">
        <f>IFERROR(__xludf.DUMMYFUNCTION("SPLIT(A414,"""""")"")"),"( arctic_a0413 ")</f>
        <v>( arctic_a0413 </v>
      </c>
      <c r="C414" s="4" t="str">
        <f>IFERROR(__xludf.DUMMYFUNCTION("""COMPUTED_VALUE"""),"But I am at the end of my resources.")</f>
        <v>But I am at the end of my resources.</v>
      </c>
      <c r="D414" s="4" t="str">
        <f>IFERROR(__xludf.DUMMYFUNCTION("""COMPUTED_VALUE""")," ")</f>
        <v> </v>
      </c>
    </row>
    <row r="415">
      <c r="A415" s="5" t="s">
        <v>3812</v>
      </c>
      <c r="B415" s="4" t="str">
        <f>IFERROR(__xludf.DUMMYFUNCTION("SPLIT(A415,"""""")"")"),"( arctic_a0414 ")</f>
        <v>( arctic_a0414 </v>
      </c>
      <c r="C415" s="4" t="str">
        <f>IFERROR(__xludf.DUMMYFUNCTION("""COMPUTED_VALUE"""),"Now our figuring was all right.")</f>
        <v>Now our figuring was all right.</v>
      </c>
      <c r="D415" s="4" t="str">
        <f>IFERROR(__xludf.DUMMYFUNCTION("""COMPUTED_VALUE""")," ")</f>
        <v> </v>
      </c>
    </row>
    <row r="416">
      <c r="A416" s="5" t="s">
        <v>3813</v>
      </c>
      <c r="B416" s="4" t="str">
        <f>IFERROR(__xludf.DUMMYFUNCTION("SPLIT(A416,"""""")"")"),"( arctic_a0415 ")</f>
        <v>( arctic_a0415 </v>
      </c>
      <c r="C416" s="4" t="str">
        <f>IFERROR(__xludf.DUMMYFUNCTION("""COMPUTED_VALUE"""),"It lasted as a deterrent for two days.")</f>
        <v>It lasted as a deterrent for two days.</v>
      </c>
      <c r="D416" s="4" t="str">
        <f>IFERROR(__xludf.DUMMYFUNCTION("""COMPUTED_VALUE""")," ")</f>
        <v> </v>
      </c>
    </row>
    <row r="417">
      <c r="A417" s="5" t="s">
        <v>3814</v>
      </c>
      <c r="B417" s="4" t="str">
        <f>IFERROR(__xludf.DUMMYFUNCTION("SPLIT(A417,"""""")"")"),"( arctic_a0416 ")</f>
        <v>( arctic_a0416 </v>
      </c>
      <c r="C417" s="4" t="str">
        <f>IFERROR(__xludf.DUMMYFUNCTION("""COMPUTED_VALUE"""),"The added weight had a velocity of fifteen miles per hour.")</f>
        <v>The added weight had a velocity of fifteen miles per hour.</v>
      </c>
      <c r="D417" s="4" t="str">
        <f>IFERROR(__xludf.DUMMYFUNCTION("""COMPUTED_VALUE""")," ")</f>
        <v> </v>
      </c>
    </row>
    <row r="418">
      <c r="A418" s="5" t="s">
        <v>3815</v>
      </c>
      <c r="B418" s="4" t="str">
        <f>IFERROR(__xludf.DUMMYFUNCTION("SPLIT(A418,"""""")"")"),"( arctic_a0417 ")</f>
        <v>( arctic_a0417 </v>
      </c>
      <c r="C418" s="4" t="str">
        <f>IFERROR(__xludf.DUMMYFUNCTION("""COMPUTED_VALUE"""),"It is also an insidious, deceitful sun.")</f>
        <v>It is also an insidious, deceitful sun.</v>
      </c>
      <c r="D418" s="4" t="str">
        <f>IFERROR(__xludf.DUMMYFUNCTION("""COMPUTED_VALUE""")," ")</f>
        <v> </v>
      </c>
    </row>
    <row r="419">
      <c r="A419" s="5" t="s">
        <v>3816</v>
      </c>
      <c r="B419" s="4" t="str">
        <f>IFERROR(__xludf.DUMMYFUNCTION("SPLIT(A419,"""""")"")"),"( arctic_a0418 ")</f>
        <v>( arctic_a0418 </v>
      </c>
      <c r="C419" s="4" t="str">
        <f>IFERROR(__xludf.DUMMYFUNCTION("""COMPUTED_VALUE"""),"The Portuguese boy crawled nearer and nearer.")</f>
        <v>The Portuguese boy crawled nearer and nearer.</v>
      </c>
      <c r="D419" s="4" t="str">
        <f>IFERROR(__xludf.DUMMYFUNCTION("""COMPUTED_VALUE""")," ")</f>
        <v> </v>
      </c>
    </row>
    <row r="420">
      <c r="A420" s="5" t="s">
        <v>3817</v>
      </c>
      <c r="B420" s="4" t="str">
        <f>IFERROR(__xludf.DUMMYFUNCTION("SPLIT(A420,"""""")"")"),"( arctic_a0419 ")</f>
        <v>( arctic_a0419 </v>
      </c>
      <c r="C420" s="4" t="str">
        <f>IFERROR(__xludf.DUMMYFUNCTION("""COMPUTED_VALUE"""),"The Portuguese boy passed the Hawaiian.")</f>
        <v>The Portuguese boy passed the Hawaiian.</v>
      </c>
      <c r="D420" s="4" t="str">
        <f>IFERROR(__xludf.DUMMYFUNCTION("""COMPUTED_VALUE""")," ")</f>
        <v> </v>
      </c>
    </row>
    <row r="421">
      <c r="A421" s="5" t="s">
        <v>3818</v>
      </c>
      <c r="B421" s="4" t="str">
        <f>IFERROR(__xludf.DUMMYFUNCTION("SPLIT(A421,"""""")"")"),"( arctic_a0420 ")</f>
        <v>( arctic_a0420 </v>
      </c>
      <c r="C421" s="4" t="str">
        <f>IFERROR(__xludf.DUMMYFUNCTION("""COMPUTED_VALUE"""),"When I came to I was waving my hat and murmuring ecstatically.")</f>
        <v>When I came to I was waving my hat and murmuring ecstatically.</v>
      </c>
      <c r="D421" s="4" t="str">
        <f>IFERROR(__xludf.DUMMYFUNCTION("""COMPUTED_VALUE""")," ")</f>
        <v> </v>
      </c>
    </row>
    <row r="422">
      <c r="A422" s="5" t="s">
        <v>3819</v>
      </c>
      <c r="B422" s="4" t="str">
        <f>IFERROR(__xludf.DUMMYFUNCTION("SPLIT(A422,"""""")"")"),"( arctic_a0421 ")</f>
        <v>( arctic_a0421 </v>
      </c>
      <c r="C422" s="4" t="str">
        <f>IFERROR(__xludf.DUMMYFUNCTION("""COMPUTED_VALUE"""),"By golly, the boy wins.")</f>
        <v>By golly, the boy wins.</v>
      </c>
      <c r="D422" s="4" t="str">
        <f>IFERROR(__xludf.DUMMYFUNCTION("""COMPUTED_VALUE""")," ")</f>
        <v> </v>
      </c>
    </row>
    <row r="423">
      <c r="A423" s="5" t="s">
        <v>3820</v>
      </c>
      <c r="B423" s="4" t="str">
        <f>IFERROR(__xludf.DUMMYFUNCTION("SPLIT(A423,"""""")"")"),"( arctic_a0422 ")</f>
        <v>( arctic_a0422 </v>
      </c>
      <c r="C423" s="4" t="str">
        <f>IFERROR(__xludf.DUMMYFUNCTION("""COMPUTED_VALUE"""),"Halfway around the track one donkey got into an argument with its rider.")</f>
        <v>Halfway around the track one donkey got into an argument with its rider.</v>
      </c>
      <c r="D423" s="4" t="str">
        <f>IFERROR(__xludf.DUMMYFUNCTION("""COMPUTED_VALUE""")," ")</f>
        <v> </v>
      </c>
    </row>
    <row r="424">
      <c r="A424" s="5" t="s">
        <v>3821</v>
      </c>
      <c r="B424" s="4" t="str">
        <f>IFERROR(__xludf.DUMMYFUNCTION("SPLIT(A424,"""""")"")"),"( arctic_a0423 ")</f>
        <v>( arctic_a0423 </v>
      </c>
      <c r="C424" s="4" t="str">
        <f>IFERROR(__xludf.DUMMYFUNCTION("""COMPUTED_VALUE"""),"McVeigh when he returns from a trip to Honolulu.")</f>
        <v>McVeigh when he returns from a trip to Honolulu.</v>
      </c>
      <c r="D424" s="4" t="str">
        <f>IFERROR(__xludf.DUMMYFUNCTION("""COMPUTED_VALUE""")," ")</f>
        <v> </v>
      </c>
    </row>
    <row r="425">
      <c r="A425" s="5" t="s">
        <v>3822</v>
      </c>
      <c r="B425" s="4" t="str">
        <f>IFERROR(__xludf.DUMMYFUNCTION("SPLIT(A425,"""""")"")"),"( arctic_a0424 ")</f>
        <v>( arctic_a0424 </v>
      </c>
      <c r="C425" s="4" t="str">
        <f>IFERROR(__xludf.DUMMYFUNCTION("""COMPUTED_VALUE"""),"Obviously, it was a disease that could be contracted by contact.")</f>
        <v>Obviously, it was a disease that could be contracted by contact.</v>
      </c>
      <c r="D425" s="4" t="str">
        <f>IFERROR(__xludf.DUMMYFUNCTION("""COMPUTED_VALUE""")," ")</f>
        <v> </v>
      </c>
    </row>
    <row r="426">
      <c r="A426" s="5" t="s">
        <v>3823</v>
      </c>
      <c r="B426" s="4" t="str">
        <f>IFERROR(__xludf.DUMMYFUNCTION("SPLIT(A426,"""""")"")"),"( arctic_a0425 ")</f>
        <v>( arctic_a0425 </v>
      </c>
      <c r="C426" s="4" t="str">
        <f>IFERROR(__xludf.DUMMYFUNCTION("""COMPUTED_VALUE"""),"Otherwise no restriction is put upon their seafaring.")</f>
        <v>Otherwise no restriction is put upon their seafaring.</v>
      </c>
      <c r="D426" s="4" t="str">
        <f>IFERROR(__xludf.DUMMYFUNCTION("""COMPUTED_VALUE""")," ")</f>
        <v> </v>
      </c>
    </row>
    <row r="427">
      <c r="A427" s="5" t="s">
        <v>3824</v>
      </c>
      <c r="B427" s="4" t="str">
        <f>IFERROR(__xludf.DUMMYFUNCTION("SPLIT(A427,"""""")"")"),"( arctic_a0426 ")</f>
        <v>( arctic_a0426 </v>
      </c>
      <c r="C427" s="4" t="str">
        <f>IFERROR(__xludf.DUMMYFUNCTION("""COMPUTED_VALUE"""),"They do not know the length of time of incubation.")</f>
        <v>They do not know the length of time of incubation.</v>
      </c>
      <c r="D427" s="4" t="str">
        <f>IFERROR(__xludf.DUMMYFUNCTION("""COMPUTED_VALUE""")," ")</f>
        <v> </v>
      </c>
    </row>
    <row r="428">
      <c r="A428" s="5" t="s">
        <v>3825</v>
      </c>
      <c r="B428" s="4" t="str">
        <f>IFERROR(__xludf.DUMMYFUNCTION("SPLIT(A428,"""""")"")"),"( arctic_a0427 ")</f>
        <v>( arctic_a0427 </v>
      </c>
      <c r="C428" s="4" t="str">
        <f>IFERROR(__xludf.DUMMYFUNCTION("""COMPUTED_VALUE"""),"Enters now the psychology of the situation.")</f>
        <v>Enters now the psychology of the situation.</v>
      </c>
      <c r="D428" s="4" t="str">
        <f>IFERROR(__xludf.DUMMYFUNCTION("""COMPUTED_VALUE""")," ")</f>
        <v> </v>
      </c>
    </row>
    <row r="429">
      <c r="A429" s="5" t="s">
        <v>3826</v>
      </c>
      <c r="B429" s="4" t="str">
        <f>IFERROR(__xludf.DUMMYFUNCTION("SPLIT(A429,"""""")"")"),"( arctic_a0428 ")</f>
        <v>( arctic_a0428 </v>
      </c>
      <c r="C429" s="4" t="str">
        <f>IFERROR(__xludf.DUMMYFUNCTION("""COMPUTED_VALUE"""),"It was not exactly a deportation.")</f>
        <v>It was not exactly a deportation.</v>
      </c>
      <c r="D429" s="4" t="str">
        <f>IFERROR(__xludf.DUMMYFUNCTION("""COMPUTED_VALUE""")," ")</f>
        <v> </v>
      </c>
    </row>
    <row r="430">
      <c r="A430" s="5" t="s">
        <v>3827</v>
      </c>
      <c r="B430" s="4" t="str">
        <f>IFERROR(__xludf.DUMMYFUNCTION("SPLIT(A430,"""""")"")"),"( arctic_a0429 ")</f>
        <v>( arctic_a0429 </v>
      </c>
      <c r="C430" s="4" t="str">
        <f>IFERROR(__xludf.DUMMYFUNCTION("""COMPUTED_VALUE"""),"Quick was the disappointment in his face, yet smiling was the acquiescence.")</f>
        <v>Quick was the disappointment in his face, yet smiling was the acquiescence.</v>
      </c>
      <c r="D430" s="4" t="str">
        <f>IFERROR(__xludf.DUMMYFUNCTION("""COMPUTED_VALUE""")," ")</f>
        <v> </v>
      </c>
    </row>
    <row r="431">
      <c r="A431" s="5" t="s">
        <v>3828</v>
      </c>
      <c r="B431" s="4" t="str">
        <f>IFERROR(__xludf.DUMMYFUNCTION("SPLIT(A431,"""""")"")"),"( arctic_a0430 ")</f>
        <v>( arctic_a0430 </v>
      </c>
      <c r="C431" s="4" t="str">
        <f>IFERROR(__xludf.DUMMYFUNCTION("""COMPUTED_VALUE"""),"Nevertheless we found ourselves once more in the high seat of abundance.")</f>
        <v>Nevertheless we found ourselves once more in the high seat of abundance.</v>
      </c>
      <c r="D431" s="4" t="str">
        <f>IFERROR(__xludf.DUMMYFUNCTION("""COMPUTED_VALUE""")," ")</f>
        <v> </v>
      </c>
    </row>
    <row r="432">
      <c r="A432" s="5" t="s">
        <v>3829</v>
      </c>
      <c r="B432" s="4" t="str">
        <f>IFERROR(__xludf.DUMMYFUNCTION("SPLIT(A432,"""""")"")"),"( arctic_a0431 ")</f>
        <v>( arctic_a0431 </v>
      </c>
      <c r="C432" s="4" t="str">
        <f>IFERROR(__xludf.DUMMYFUNCTION("""COMPUTED_VALUE"""),"Wada and Nakata were in a bit of a funk.")</f>
        <v>Wada and Nakata were in a bit of a funk.</v>
      </c>
      <c r="D432" s="4" t="str">
        <f>IFERROR(__xludf.DUMMYFUNCTION("""COMPUTED_VALUE""")," ")</f>
        <v> </v>
      </c>
    </row>
    <row r="433">
      <c r="A433" s="5" t="s">
        <v>3830</v>
      </c>
      <c r="B433" s="4" t="str">
        <f>IFERROR(__xludf.DUMMYFUNCTION("SPLIT(A433,"""""")"")"),"( arctic_a0432 ")</f>
        <v>( arctic_a0432 </v>
      </c>
      <c r="C433" s="4" t="str">
        <f>IFERROR(__xludf.DUMMYFUNCTION("""COMPUTED_VALUE"""),"The boy at the wheel lost his head.")</f>
        <v>The boy at the wheel lost his head.</v>
      </c>
      <c r="D433" s="4" t="str">
        <f>IFERROR(__xludf.DUMMYFUNCTION("""COMPUTED_VALUE""")," ")</f>
        <v> </v>
      </c>
    </row>
    <row r="434">
      <c r="A434" s="5" t="s">
        <v>3831</v>
      </c>
      <c r="B434" s="4" t="str">
        <f>IFERROR(__xludf.DUMMYFUNCTION("SPLIT(A434,"""""")"")"),"( arctic_a0433 ")</f>
        <v>( arctic_a0433 </v>
      </c>
      <c r="C434" s="4" t="str">
        <f>IFERROR(__xludf.DUMMYFUNCTION("""COMPUTED_VALUE"""),"To her the bridge was tambo, which is the native for taboo.")</f>
        <v>To her the bridge was tambo, which is the native for taboo.</v>
      </c>
      <c r="D434" s="4" t="str">
        <f>IFERROR(__xludf.DUMMYFUNCTION("""COMPUTED_VALUE""")," ")</f>
        <v> </v>
      </c>
    </row>
    <row r="435">
      <c r="A435" s="5" t="s">
        <v>3832</v>
      </c>
      <c r="B435" s="4" t="str">
        <f>IFERROR(__xludf.DUMMYFUNCTION("SPLIT(A435,"""""")"")"),"( arctic_a0434 ")</f>
        <v>( arctic_a0434 </v>
      </c>
      <c r="C435" s="4" t="str">
        <f>IFERROR(__xludf.DUMMYFUNCTION("""COMPUTED_VALUE"""),"A half a case of tobacco was worth three pounds.")</f>
        <v>A half a case of tobacco was worth three pounds.</v>
      </c>
      <c r="D435" s="4" t="str">
        <f>IFERROR(__xludf.DUMMYFUNCTION("""COMPUTED_VALUE""")," ")</f>
        <v> </v>
      </c>
    </row>
    <row r="436">
      <c r="A436" s="5" t="s">
        <v>3833</v>
      </c>
      <c r="B436" s="4" t="str">
        <f>IFERROR(__xludf.DUMMYFUNCTION("SPLIT(A436,"""""")"")"),"( arctic_a0435 ")</f>
        <v>( arctic_a0435 </v>
      </c>
      <c r="C436" s="4" t="str">
        <f>IFERROR(__xludf.DUMMYFUNCTION("""COMPUTED_VALUE"""),"What do you mean by this outrageous conduct.")</f>
        <v>What do you mean by this outrageous conduct.</v>
      </c>
      <c r="D436" s="4" t="str">
        <f>IFERROR(__xludf.DUMMYFUNCTION("""COMPUTED_VALUE""")," ")</f>
        <v> </v>
      </c>
    </row>
    <row r="437">
      <c r="A437" s="5" t="s">
        <v>3834</v>
      </c>
      <c r="B437" s="4" t="str">
        <f>IFERROR(__xludf.DUMMYFUNCTION("SPLIT(A437,"""""")"")"),"( arctic_a0436 ")</f>
        <v>( arctic_a0436 </v>
      </c>
      <c r="C437" s="4" t="str">
        <f>IFERROR(__xludf.DUMMYFUNCTION("""COMPUTED_VALUE"""),"But Martin smiled a superior smile.")</f>
        <v>But Martin smiled a superior smile.</v>
      </c>
      <c r="D437" s="4" t="str">
        <f>IFERROR(__xludf.DUMMYFUNCTION("""COMPUTED_VALUE""")," ")</f>
        <v> </v>
      </c>
    </row>
    <row r="438">
      <c r="A438" s="5" t="s">
        <v>3835</v>
      </c>
      <c r="B438" s="4" t="str">
        <f>IFERROR(__xludf.DUMMYFUNCTION("SPLIT(A438,"""""")"")"),"( arctic_a0437 ")</f>
        <v>( arctic_a0437 </v>
      </c>
      <c r="C438" s="4" t="str">
        <f>IFERROR(__xludf.DUMMYFUNCTION("""COMPUTED_VALUE"""),"By that answer my professional medical prestige stood or fell.")</f>
        <v>By that answer my professional medical prestige stood or fell.</v>
      </c>
      <c r="D438" s="4" t="str">
        <f>IFERROR(__xludf.DUMMYFUNCTION("""COMPUTED_VALUE""")," ")</f>
        <v> </v>
      </c>
    </row>
    <row r="439">
      <c r="A439" s="5" t="s">
        <v>3836</v>
      </c>
      <c r="B439" s="4" t="str">
        <f>IFERROR(__xludf.DUMMYFUNCTION("SPLIT(A439,"""""")"")"),"( arctic_a0438 ")</f>
        <v>( arctic_a0438 </v>
      </c>
      <c r="C439" s="4" t="str">
        <f>IFERROR(__xludf.DUMMYFUNCTION("""COMPUTED_VALUE"""),"At sea, Monday, March 16, 1908.")</f>
        <v>At sea, Monday, March 16, 1908.</v>
      </c>
      <c r="D439" s="4" t="str">
        <f>IFERROR(__xludf.DUMMYFUNCTION("""COMPUTED_VALUE""")," ")</f>
        <v> </v>
      </c>
    </row>
    <row r="440">
      <c r="A440" s="5" t="s">
        <v>3837</v>
      </c>
      <c r="B440" s="4" t="str">
        <f>IFERROR(__xludf.DUMMYFUNCTION("SPLIT(A440,"""""")"")"),"( arctic_a0439 ")</f>
        <v>( arctic_a0439 </v>
      </c>
      <c r="C440" s="4" t="str">
        <f>IFERROR(__xludf.DUMMYFUNCTION("""COMPUTED_VALUE"""),"At sea, Wednesday, March 18, 1908.")</f>
        <v>At sea, Wednesday, March 18, 1908.</v>
      </c>
      <c r="D440" s="4" t="str">
        <f>IFERROR(__xludf.DUMMYFUNCTION("""COMPUTED_VALUE""")," ")</f>
        <v> </v>
      </c>
    </row>
    <row r="441">
      <c r="A441" s="5" t="s">
        <v>3838</v>
      </c>
      <c r="B441" s="4" t="str">
        <f>IFERROR(__xludf.DUMMYFUNCTION("SPLIT(A441,"""""")"")"),"( arctic_a0440 ")</f>
        <v>( arctic_a0440 </v>
      </c>
      <c r="C441" s="4" t="str">
        <f>IFERROR(__xludf.DUMMYFUNCTION("""COMPUTED_VALUE"""),"Yes, sir, I corrected.")</f>
        <v>Yes, sir, I corrected.</v>
      </c>
      <c r="D441" s="4" t="str">
        <f>IFERROR(__xludf.DUMMYFUNCTION("""COMPUTED_VALUE""")," ")</f>
        <v> </v>
      </c>
    </row>
    <row r="442">
      <c r="A442" s="5" t="s">
        <v>3839</v>
      </c>
      <c r="B442" s="4" t="str">
        <f>IFERROR(__xludf.DUMMYFUNCTION("SPLIT(A442,"""""")"")"),"( arctic_a0441 ")</f>
        <v>( arctic_a0441 </v>
      </c>
      <c r="C442" s="4" t="str">
        <f>IFERROR(__xludf.DUMMYFUNCTION("""COMPUTED_VALUE"""),"Violent life and athletic sports had never appealed to me.")</f>
        <v>Violent life and athletic sports had never appealed to me.</v>
      </c>
      <c r="D442" s="4" t="str">
        <f>IFERROR(__xludf.DUMMYFUNCTION("""COMPUTED_VALUE""")," ")</f>
        <v> </v>
      </c>
    </row>
    <row r="443">
      <c r="A443" s="5" t="s">
        <v>3840</v>
      </c>
      <c r="B443" s="4" t="str">
        <f>IFERROR(__xludf.DUMMYFUNCTION("SPLIT(A443,"""""")"")"),"( arctic_a0442 ")</f>
        <v>( arctic_a0442 </v>
      </c>
      <c r="C443" s="4" t="str">
        <f>IFERROR(__xludf.DUMMYFUNCTION("""COMPUTED_VALUE"""),"You live on an income which your father earned.")</f>
        <v>You live on an income which your father earned.</v>
      </c>
      <c r="D443" s="4" t="str">
        <f>IFERROR(__xludf.DUMMYFUNCTION("""COMPUTED_VALUE""")," ")</f>
        <v> </v>
      </c>
    </row>
    <row r="444">
      <c r="A444" s="5" t="s">
        <v>3841</v>
      </c>
      <c r="B444" s="4" t="str">
        <f>IFERROR(__xludf.DUMMYFUNCTION("SPLIT(A444,"""""")"")"),"( arctic_a0443 ")</f>
        <v>( arctic_a0443 </v>
      </c>
      <c r="C444" s="4" t="str">
        <f>IFERROR(__xludf.DUMMYFUNCTION("""COMPUTED_VALUE"""),"He was worth nothing to the world.")</f>
        <v>He was worth nothing to the world.</v>
      </c>
      <c r="D444" s="4" t="str">
        <f>IFERROR(__xludf.DUMMYFUNCTION("""COMPUTED_VALUE""")," ")</f>
        <v> </v>
      </c>
    </row>
    <row r="445">
      <c r="A445" s="5" t="s">
        <v>3842</v>
      </c>
      <c r="B445" s="4" t="str">
        <f>IFERROR(__xludf.DUMMYFUNCTION("SPLIT(A445,"""""")"")"),"( arctic_a0444 ")</f>
        <v>( arctic_a0444 </v>
      </c>
      <c r="C445" s="4" t="str">
        <f>IFERROR(__xludf.DUMMYFUNCTION("""COMPUTED_VALUE"""),"Then you don't believe in altruism.")</f>
        <v>Then you don't believe in altruism.</v>
      </c>
      <c r="D445" s="4" t="str">
        <f>IFERROR(__xludf.DUMMYFUNCTION("""COMPUTED_VALUE""")," ")</f>
        <v> </v>
      </c>
    </row>
    <row r="446">
      <c r="A446" s="5" t="s">
        <v>3843</v>
      </c>
      <c r="B446" s="4" t="str">
        <f>IFERROR(__xludf.DUMMYFUNCTION("SPLIT(A446,"""""")"")"),"( arctic_a0445 ")</f>
        <v>( arctic_a0445 </v>
      </c>
      <c r="C446" s="4" t="str">
        <f>IFERROR(__xludf.DUMMYFUNCTION("""COMPUTED_VALUE"""),"The creative joy, I murmured.")</f>
        <v>The creative joy, I murmured.</v>
      </c>
      <c r="D446" s="4" t="str">
        <f>IFERROR(__xludf.DUMMYFUNCTION("""COMPUTED_VALUE""")," ")</f>
        <v> </v>
      </c>
    </row>
    <row r="447">
      <c r="A447" s="5" t="s">
        <v>3844</v>
      </c>
      <c r="B447" s="4" t="str">
        <f>IFERROR(__xludf.DUMMYFUNCTION("SPLIT(A447,"""""")"")"),"( arctic_a0446 ")</f>
        <v>( arctic_a0446 </v>
      </c>
      <c r="C447" s="4" t="str">
        <f>IFERROR(__xludf.DUMMYFUNCTION("""COMPUTED_VALUE"""),"He deluged me, overwhelmed me with argument.")</f>
        <v>He deluged me, overwhelmed me with argument.</v>
      </c>
      <c r="D447" s="4" t="str">
        <f>IFERROR(__xludf.DUMMYFUNCTION("""COMPUTED_VALUE""")," ")</f>
        <v> </v>
      </c>
    </row>
    <row r="448">
      <c r="A448" s="5" t="s">
        <v>3845</v>
      </c>
      <c r="B448" s="4" t="str">
        <f>IFERROR(__xludf.DUMMYFUNCTION("SPLIT(A448,"""""")"")"),"( arctic_a0447 ")</f>
        <v>( arctic_a0447 </v>
      </c>
      <c r="C448" s="4" t="str">
        <f>IFERROR(__xludf.DUMMYFUNCTION("""COMPUTED_VALUE"""),"Ah, it is growing dark and darker.")</f>
        <v>Ah, it is growing dark and darker.</v>
      </c>
      <c r="D448" s="4" t="str">
        <f>IFERROR(__xludf.DUMMYFUNCTION("""COMPUTED_VALUE""")," ")</f>
        <v> </v>
      </c>
    </row>
    <row r="449">
      <c r="A449" s="5" t="s">
        <v>3846</v>
      </c>
      <c r="B449" s="4" t="str">
        <f>IFERROR(__xludf.DUMMYFUNCTION("SPLIT(A449,"""""")"")"),"( arctic_a0448 ")</f>
        <v>( arctic_a0448 </v>
      </c>
      <c r="C449" s="4" t="str">
        <f>IFERROR(__xludf.DUMMYFUNCTION("""COMPUTED_VALUE"""),"I was Hump, cabin boy on the schooner Ghost.")</f>
        <v>I was Hump, cabin boy on the schooner Ghost.</v>
      </c>
      <c r="D449" s="4" t="str">
        <f>IFERROR(__xludf.DUMMYFUNCTION("""COMPUTED_VALUE""")," ")</f>
        <v> </v>
      </c>
    </row>
    <row r="450">
      <c r="A450" s="5" t="s">
        <v>3847</v>
      </c>
      <c r="B450" s="4" t="str">
        <f>IFERROR(__xludf.DUMMYFUNCTION("SPLIT(A450,"""""")"")"),"( arctic_a0449 ")</f>
        <v>( arctic_a0449 </v>
      </c>
      <c r="C450" s="4" t="str">
        <f>IFERROR(__xludf.DUMMYFUNCTION("""COMPUTED_VALUE"""),"A sinewy hand, dripping with water, was clutching the rail.")</f>
        <v>A sinewy hand, dripping with water, was clutching the rail.</v>
      </c>
      <c r="D450" s="4" t="str">
        <f>IFERROR(__xludf.DUMMYFUNCTION("""COMPUTED_VALUE""")," ")</f>
        <v> </v>
      </c>
    </row>
    <row r="451">
      <c r="A451" s="5" t="s">
        <v>3848</v>
      </c>
      <c r="B451" s="4" t="str">
        <f>IFERROR(__xludf.DUMMYFUNCTION("SPLIT(A451,"""""")"")"),"( arctic_a0450 ")</f>
        <v>( arctic_a0450 </v>
      </c>
      <c r="C451" s="4" t="str">
        <f>IFERROR(__xludf.DUMMYFUNCTION("""COMPUTED_VALUE"""),"No man ate of the seal meat or the oil.")</f>
        <v>No man ate of the seal meat or the oil.</v>
      </c>
      <c r="D451" s="4" t="str">
        <f>IFERROR(__xludf.DUMMYFUNCTION("""COMPUTED_VALUE""")," ")</f>
        <v> </v>
      </c>
    </row>
    <row r="452">
      <c r="A452" s="5" t="s">
        <v>3849</v>
      </c>
      <c r="B452" s="4" t="str">
        <f>IFERROR(__xludf.DUMMYFUNCTION("SPLIT(A452,"""""")"")"),"( arctic_a0451 ")</f>
        <v>( arctic_a0451 </v>
      </c>
      <c r="C452" s="4" t="str">
        <f>IFERROR(__xludf.DUMMYFUNCTION("""COMPUTED_VALUE"""),"I noticed blood spouting from Kerfoot's left hand.")</f>
        <v>I noticed blood spouting from Kerfoot's left hand.</v>
      </c>
      <c r="D452" s="4" t="str">
        <f>IFERROR(__xludf.DUMMYFUNCTION("""COMPUTED_VALUE""")," ")</f>
        <v> </v>
      </c>
    </row>
    <row r="453">
      <c r="A453" s="5" t="s">
        <v>3850</v>
      </c>
      <c r="B453" s="4" t="str">
        <f>IFERROR(__xludf.DUMMYFUNCTION("SPLIT(A453,"""""")"")"),"( arctic_a0452 ")</f>
        <v>( arctic_a0452 </v>
      </c>
      <c r="C453" s="4" t="str">
        <f>IFERROR(__xludf.DUMMYFUNCTION("""COMPUTED_VALUE"""),"Three oilers and a fourth engineer, was his greeting.")</f>
        <v>Three oilers and a fourth engineer, was his greeting.</v>
      </c>
      <c r="D453" s="4" t="str">
        <f>IFERROR(__xludf.DUMMYFUNCTION("""COMPUTED_VALUE""")," ")</f>
        <v> </v>
      </c>
    </row>
    <row r="454">
      <c r="A454" s="5" t="s">
        <v>3851</v>
      </c>
      <c r="B454" s="4" t="str">
        <f>IFERROR(__xludf.DUMMYFUNCTION("SPLIT(A454,"""""")"")"),"( arctic_a0453 ")</f>
        <v>( arctic_a0453 </v>
      </c>
      <c r="C454" s="4" t="str">
        <f>IFERROR(__xludf.DUMMYFUNCTION("""COMPUTED_VALUE"""),"Eighteen hundred, he calculated.")</f>
        <v>Eighteen hundred, he calculated.</v>
      </c>
      <c r="D454" s="4" t="str">
        <f>IFERROR(__xludf.DUMMYFUNCTION("""COMPUTED_VALUE""")," ")</f>
        <v> </v>
      </c>
    </row>
    <row r="455">
      <c r="A455" s="5" t="s">
        <v>3852</v>
      </c>
      <c r="B455" s="4" t="str">
        <f>IFERROR(__xludf.DUMMYFUNCTION("SPLIT(A455,"""""")"")"),"( arctic_a0454 ")</f>
        <v>( arctic_a0454 </v>
      </c>
      <c r="C455" s="4" t="str">
        <f>IFERROR(__xludf.DUMMYFUNCTION("""COMPUTED_VALUE"""),"The sharp voice of Wolf Larsen aroused me.")</f>
        <v>The sharp voice of Wolf Larsen aroused me.</v>
      </c>
      <c r="D455" s="4" t="str">
        <f>IFERROR(__xludf.DUMMYFUNCTION("""COMPUTED_VALUE""")," ")</f>
        <v> </v>
      </c>
    </row>
    <row r="456">
      <c r="A456" s="5" t="s">
        <v>3853</v>
      </c>
      <c r="B456" s="4" t="str">
        <f>IFERROR(__xludf.DUMMYFUNCTION("SPLIT(A456,"""""")"")"),"( arctic_a0455 ")</f>
        <v>( arctic_a0455 </v>
      </c>
      <c r="C456" s="4" t="str">
        <f>IFERROR(__xludf.DUMMYFUNCTION("""COMPUTED_VALUE"""),"I obeyed, and a minute or two later they stood before him.")</f>
        <v>I obeyed, and a minute or two later they stood before him.</v>
      </c>
      <c r="D456" s="4" t="str">
        <f>IFERROR(__xludf.DUMMYFUNCTION("""COMPUTED_VALUE""")," ")</f>
        <v> </v>
      </c>
    </row>
    <row r="457">
      <c r="A457" s="5" t="s">
        <v>3854</v>
      </c>
      <c r="B457" s="4" t="str">
        <f>IFERROR(__xludf.DUMMYFUNCTION("SPLIT(A457,"""""")"")"),"( arctic_a0456 ")</f>
        <v>( arctic_a0456 </v>
      </c>
      <c r="C457" s="4" t="str">
        <f>IFERROR(__xludf.DUMMYFUNCTION("""COMPUTED_VALUE"""),"But it won't continue, she said with easy confidence.")</f>
        <v>But it won't continue, she said with easy confidence.</v>
      </c>
      <c r="D457" s="4" t="str">
        <f>IFERROR(__xludf.DUMMYFUNCTION("""COMPUTED_VALUE""")," ")</f>
        <v> </v>
      </c>
    </row>
    <row r="458">
      <c r="A458" s="5" t="s">
        <v>3855</v>
      </c>
      <c r="B458" s="4" t="str">
        <f>IFERROR(__xludf.DUMMYFUNCTION("SPLIT(A458,"""""")"")"),"( arctic_a0457 ")</f>
        <v>( arctic_a0457 </v>
      </c>
      <c r="C458" s="4" t="str">
        <f>IFERROR(__xludf.DUMMYFUNCTION("""COMPUTED_VALUE"""),"What I saw I could not at first believe.")</f>
        <v>What I saw I could not at first believe.</v>
      </c>
      <c r="D458" s="4" t="str">
        <f>IFERROR(__xludf.DUMMYFUNCTION("""COMPUTED_VALUE""")," ")</f>
        <v> </v>
      </c>
    </row>
    <row r="459">
      <c r="A459" s="5" t="s">
        <v>3856</v>
      </c>
      <c r="B459" s="4" t="str">
        <f>IFERROR(__xludf.DUMMYFUNCTION("SPLIT(A459,"""""")"")"),"( arctic_a0458 ")</f>
        <v>( arctic_a0458 </v>
      </c>
      <c r="C459" s="4" t="str">
        <f>IFERROR(__xludf.DUMMYFUNCTION("""COMPUTED_VALUE"""),"The stout wood was crushed like an eggshell.")</f>
        <v>The stout wood was crushed like an eggshell.</v>
      </c>
      <c r="D459" s="4" t="str">
        <f>IFERROR(__xludf.DUMMYFUNCTION("""COMPUTED_VALUE""")," ")</f>
        <v> </v>
      </c>
    </row>
    <row r="460">
      <c r="A460" s="5" t="s">
        <v>3857</v>
      </c>
      <c r="B460" s="4" t="str">
        <f>IFERROR(__xludf.DUMMYFUNCTION("SPLIT(A460,"""""")"")"),"( arctic_a0459 ")</f>
        <v>( arctic_a0459 </v>
      </c>
      <c r="C460" s="4" t="str">
        <f>IFERROR(__xludf.DUMMYFUNCTION("""COMPUTED_VALUE"""),"There's too much of the schoolboy in me.")</f>
        <v>There's too much of the schoolboy in me.</v>
      </c>
      <c r="D460" s="4" t="str">
        <f>IFERROR(__xludf.DUMMYFUNCTION("""COMPUTED_VALUE""")," ")</f>
        <v> </v>
      </c>
    </row>
    <row r="461">
      <c r="A461" s="5" t="s">
        <v>3858</v>
      </c>
      <c r="B461" s="4" t="str">
        <f>IFERROR(__xludf.DUMMYFUNCTION("SPLIT(A461,"""""")"")"),"( arctic_a0460 ")</f>
        <v>( arctic_a0460 </v>
      </c>
      <c r="C461" s="4" t="str">
        <f>IFERROR(__xludf.DUMMYFUNCTION("""COMPUTED_VALUE"""),"I had forgotten their existence.")</f>
        <v>I had forgotten their existence.</v>
      </c>
      <c r="D461" s="4" t="str">
        <f>IFERROR(__xludf.DUMMYFUNCTION("""COMPUTED_VALUE""")," ")</f>
        <v> </v>
      </c>
    </row>
    <row r="462">
      <c r="A462" s="5" t="s">
        <v>3859</v>
      </c>
      <c r="B462" s="4" t="str">
        <f>IFERROR(__xludf.DUMMYFUNCTION("SPLIT(A462,"""""")"")"),"( arctic_a0461 ")</f>
        <v>( arctic_a0461 </v>
      </c>
      <c r="C462" s="4" t="str">
        <f>IFERROR(__xludf.DUMMYFUNCTION("""COMPUTED_VALUE"""),"Ah, we were very close together in that moment.")</f>
        <v>Ah, we were very close together in that moment.</v>
      </c>
      <c r="D462" s="4" t="str">
        <f>IFERROR(__xludf.DUMMYFUNCTION("""COMPUTED_VALUE""")," ")</f>
        <v> </v>
      </c>
    </row>
    <row r="463">
      <c r="A463" s="5" t="s">
        <v>3860</v>
      </c>
      <c r="B463" s="4" t="str">
        <f>IFERROR(__xludf.DUMMYFUNCTION("SPLIT(A463,"""""")"")"),"( arctic_a0462 ")</f>
        <v>( arctic_a0462 </v>
      </c>
      <c r="C463" s="4" t="str">
        <f>IFERROR(__xludf.DUMMYFUNCTION("""COMPUTED_VALUE"""),"But she swung obediently on her heel into the wind.")</f>
        <v>But she swung obediently on her heel into the wind.</v>
      </c>
      <c r="D463" s="4" t="str">
        <f>IFERROR(__xludf.DUMMYFUNCTION("""COMPUTED_VALUE""")," ")</f>
        <v> </v>
      </c>
    </row>
    <row r="464">
      <c r="A464" s="5" t="s">
        <v>3861</v>
      </c>
      <c r="B464" s="4" t="str">
        <f>IFERROR(__xludf.DUMMYFUNCTION("SPLIT(A464,"""""")"")"),"( arctic_a0463 ")</f>
        <v>( arctic_a0463 </v>
      </c>
      <c r="C464" s="4" t="str">
        <f>IFERROR(__xludf.DUMMYFUNCTION("""COMPUTED_VALUE"""),"They are his tongue, by which he makes his knowledge articulate.")</f>
        <v>They are his tongue, by which he makes his knowledge articulate.</v>
      </c>
      <c r="D464" s="4" t="str">
        <f>IFERROR(__xludf.DUMMYFUNCTION("""COMPUTED_VALUE""")," ")</f>
        <v> </v>
      </c>
    </row>
    <row r="465">
      <c r="A465" s="5" t="s">
        <v>3862</v>
      </c>
      <c r="B465" s="4" t="str">
        <f>IFERROR(__xludf.DUMMYFUNCTION("SPLIT(A465,"""""")"")"),"( arctic_a0464 ")</f>
        <v>( arctic_a0464 </v>
      </c>
      <c r="C465" s="4" t="str">
        <f>IFERROR(__xludf.DUMMYFUNCTION("""COMPUTED_VALUE"""),"Between the rush of the cascades, streaks of rust showed everywhere.")</f>
        <v>Between the rush of the cascades, streaks of rust showed everywhere.</v>
      </c>
      <c r="D465" s="4" t="str">
        <f>IFERROR(__xludf.DUMMYFUNCTION("""COMPUTED_VALUE""")," ")</f>
        <v> </v>
      </c>
    </row>
    <row r="466">
      <c r="A466" s="5" t="s">
        <v>3863</v>
      </c>
      <c r="B466" s="4" t="str">
        <f>IFERROR(__xludf.DUMMYFUNCTION("SPLIT(A466,"""""")"")"),"( arctic_a0465 ")</f>
        <v>( arctic_a0465 </v>
      </c>
      <c r="C466" s="4" t="str">
        <f>IFERROR(__xludf.DUMMYFUNCTION("""COMPUTED_VALUE"""),"He'll never do a tap of work the whole Voyage.")</f>
        <v>He'll never do a tap of work the whole Voyage.</v>
      </c>
      <c r="D466" s="4" t="str">
        <f>IFERROR(__xludf.DUMMYFUNCTION("""COMPUTED_VALUE""")," ")</f>
        <v> </v>
      </c>
    </row>
    <row r="467">
      <c r="A467" s="5" t="s">
        <v>3864</v>
      </c>
      <c r="B467" s="4" t="str">
        <f>IFERROR(__xludf.DUMMYFUNCTION("SPLIT(A467,"""""")"")"),"( arctic_a0466 ")</f>
        <v>( arctic_a0466 </v>
      </c>
      <c r="C467" s="4" t="str">
        <f>IFERROR(__xludf.DUMMYFUNCTION("""COMPUTED_VALUE"""),"Captain West may be a Samurai, but he is also human.")</f>
        <v>Captain West may be a Samurai, but he is also human.</v>
      </c>
      <c r="D467" s="4" t="str">
        <f>IFERROR(__xludf.DUMMYFUNCTION("""COMPUTED_VALUE""")," ")</f>
        <v> </v>
      </c>
    </row>
    <row r="468">
      <c r="A468" s="5" t="s">
        <v>3865</v>
      </c>
      <c r="B468" s="4" t="str">
        <f>IFERROR(__xludf.DUMMYFUNCTION("SPLIT(A468,"""""")"")"),"( arctic_a0467 ")</f>
        <v>( arctic_a0467 </v>
      </c>
      <c r="C468" s="4" t="str">
        <f>IFERROR(__xludf.DUMMYFUNCTION("""COMPUTED_VALUE"""),"And so early in the voyage, too.")</f>
        <v>And so early in the voyage, too.</v>
      </c>
      <c r="D468" s="4" t="str">
        <f>IFERROR(__xludf.DUMMYFUNCTION("""COMPUTED_VALUE""")," ")</f>
        <v> </v>
      </c>
    </row>
    <row r="469">
      <c r="A469" s="5" t="s">
        <v>3866</v>
      </c>
      <c r="B469" s="4" t="str">
        <f>IFERROR(__xludf.DUMMYFUNCTION("SPLIT(A469,"""""")"")"),"( arctic_a0468 ")</f>
        <v>( arctic_a0468 </v>
      </c>
      <c r="C469" s="4" t="str">
        <f>IFERROR(__xludf.DUMMYFUNCTION("""COMPUTED_VALUE"""),"In the matter of curry she is a sheer genius.")</f>
        <v>In the matter of curry she is a sheer genius.</v>
      </c>
      <c r="D469" s="4" t="str">
        <f>IFERROR(__xludf.DUMMYFUNCTION("""COMPUTED_VALUE""")," ")</f>
        <v> </v>
      </c>
    </row>
    <row r="470">
      <c r="A470" s="5" t="s">
        <v>3867</v>
      </c>
      <c r="B470" s="4" t="str">
        <f>IFERROR(__xludf.DUMMYFUNCTION("SPLIT(A470,"""""")"")"),"( arctic_a0469 ")</f>
        <v>( arctic_a0469 </v>
      </c>
      <c r="C470" s="4" t="str">
        <f>IFERROR(__xludf.DUMMYFUNCTION("""COMPUTED_VALUE"""),"The eastern heavens were equally spectacular.")</f>
        <v>The eastern heavens were equally spectacular.</v>
      </c>
      <c r="D470" s="4" t="str">
        <f>IFERROR(__xludf.DUMMYFUNCTION("""COMPUTED_VALUE""")," ")</f>
        <v> </v>
      </c>
    </row>
    <row r="471">
      <c r="A471" s="5" t="s">
        <v>3868</v>
      </c>
      <c r="B471" s="4" t="str">
        <f>IFERROR(__xludf.DUMMYFUNCTION("SPLIT(A471,"""""")"")"),"( arctic_a0470 ")</f>
        <v>( arctic_a0470 </v>
      </c>
      <c r="C471" s="4" t="str">
        <f>IFERROR(__xludf.DUMMYFUNCTION("""COMPUTED_VALUE"""),"He spat it out like so much venom.")</f>
        <v>He spat it out like so much venom.</v>
      </c>
      <c r="D471" s="4" t="str">
        <f>IFERROR(__xludf.DUMMYFUNCTION("""COMPUTED_VALUE""")," ")</f>
        <v> </v>
      </c>
    </row>
    <row r="472">
      <c r="A472" s="5" t="s">
        <v>3869</v>
      </c>
      <c r="B472" s="4" t="str">
        <f>IFERROR(__xludf.DUMMYFUNCTION("SPLIT(A472,"""""")"")"),"( arctic_a0471 ")</f>
        <v>( arctic_a0471 </v>
      </c>
      <c r="C472" s="4" t="str">
        <f>IFERROR(__xludf.DUMMYFUNCTION("""COMPUTED_VALUE"""),"I saw Mr Pike nod his head grimly and sarcastically.")</f>
        <v>I saw Mr Pike nod his head grimly and sarcastically.</v>
      </c>
      <c r="D472" s="4" t="str">
        <f>IFERROR(__xludf.DUMMYFUNCTION("""COMPUTED_VALUE""")," ")</f>
        <v> </v>
      </c>
    </row>
    <row r="473">
      <c r="A473" s="5" t="s">
        <v>3870</v>
      </c>
      <c r="B473" s="4" t="str">
        <f>IFERROR(__xludf.DUMMYFUNCTION("SPLIT(A473,"""""")"")"),"( arctic_a0472 ")</f>
        <v>( arctic_a0472 </v>
      </c>
      <c r="C473" s="4" t="str">
        <f>IFERROR(__xludf.DUMMYFUNCTION("""COMPUTED_VALUE"""),"He is too keenly intelligent, too sharply sensitive, successfully to endure.")</f>
        <v>He is too keenly intelligent, too sharply sensitive, successfully to endure.</v>
      </c>
      <c r="D473" s="4" t="str">
        <f>IFERROR(__xludf.DUMMYFUNCTION("""COMPUTED_VALUE""")," ")</f>
        <v> </v>
      </c>
    </row>
    <row r="474">
      <c r="A474" s="5" t="s">
        <v>3871</v>
      </c>
      <c r="B474" s="4" t="str">
        <f>IFERROR(__xludf.DUMMYFUNCTION("SPLIT(A474,"""""")"")"),"( arctic_a0473 ")</f>
        <v>( arctic_a0473 </v>
      </c>
      <c r="C474" s="4" t="str">
        <f>IFERROR(__xludf.DUMMYFUNCTION("""COMPUTED_VALUE"""),"The night was calm and snowy.")</f>
        <v>The night was calm and snowy.</v>
      </c>
      <c r="D474" s="4" t="str">
        <f>IFERROR(__xludf.DUMMYFUNCTION("""COMPUTED_VALUE""")," ")</f>
        <v> </v>
      </c>
    </row>
    <row r="475">
      <c r="A475" s="5" t="s">
        <v>3872</v>
      </c>
      <c r="B475" s="4" t="str">
        <f>IFERROR(__xludf.DUMMYFUNCTION("SPLIT(A475,"""""")"")"),"( arctic_a0474 ")</f>
        <v>( arctic_a0474 </v>
      </c>
      <c r="C475" s="4" t="str">
        <f>IFERROR(__xludf.DUMMYFUNCTION("""COMPUTED_VALUE"""),"I sailed third mate in the little Vampire before you were born.")</f>
        <v>I sailed third mate in the little Vampire before you were born.</v>
      </c>
      <c r="D475" s="4" t="str">
        <f>IFERROR(__xludf.DUMMYFUNCTION("""COMPUTED_VALUE""")," ")</f>
        <v> </v>
      </c>
    </row>
    <row r="476">
      <c r="A476" s="5" t="s">
        <v>3873</v>
      </c>
      <c r="B476" s="4" t="str">
        <f>IFERROR(__xludf.DUMMYFUNCTION("SPLIT(A476,"""""")"")"),"( arctic_a0475 ")</f>
        <v>( arctic_a0475 </v>
      </c>
      <c r="C476" s="4" t="str">
        <f>IFERROR(__xludf.DUMMYFUNCTION("""COMPUTED_VALUE"""),"His outstretched arm dropped to his side, and he paused.")</f>
        <v>His outstretched arm dropped to his side, and he paused.</v>
      </c>
      <c r="D476" s="4" t="str">
        <f>IFERROR(__xludf.DUMMYFUNCTION("""COMPUTED_VALUE""")," ")</f>
        <v> </v>
      </c>
    </row>
    <row r="477">
      <c r="A477" s="5" t="s">
        <v>3874</v>
      </c>
      <c r="B477" s="4" t="str">
        <f>IFERROR(__xludf.DUMMYFUNCTION("SPLIT(A477,"""""")"")"),"( arctic_a0476 ")</f>
        <v>( arctic_a0476 </v>
      </c>
      <c r="C477" s="4" t="str">
        <f>IFERROR(__xludf.DUMMYFUNCTION("""COMPUTED_VALUE"""),"At this moment I felt a stir at my shoulder.")</f>
        <v>At this moment I felt a stir at my shoulder.</v>
      </c>
      <c r="D477" s="4" t="str">
        <f>IFERROR(__xludf.DUMMYFUNCTION("""COMPUTED_VALUE""")," ")</f>
        <v> </v>
      </c>
    </row>
    <row r="478">
      <c r="A478" s="5" t="s">
        <v>3875</v>
      </c>
      <c r="B478" s="4" t="str">
        <f>IFERROR(__xludf.DUMMYFUNCTION("SPLIT(A478,"""""")"")"),"( arctic_a0477 ")</f>
        <v>( arctic_a0477 </v>
      </c>
      <c r="C478" s="4" t="str">
        <f>IFERROR(__xludf.DUMMYFUNCTION("""COMPUTED_VALUE"""),"Wada, Louis, and the steward are servants of Asiatic breed.")</f>
        <v>Wada, Louis, and the steward are servants of Asiatic breed.</v>
      </c>
      <c r="D478" s="4" t="str">
        <f>IFERROR(__xludf.DUMMYFUNCTION("""COMPUTED_VALUE""")," ")</f>
        <v> </v>
      </c>
    </row>
    <row r="479">
      <c r="A479" s="5" t="s">
        <v>3876</v>
      </c>
      <c r="B479" s="4" t="str">
        <f>IFERROR(__xludf.DUMMYFUNCTION("SPLIT(A479,"""""")"")"),"( arctic_a0478 ")</f>
        <v>( arctic_a0478 </v>
      </c>
      <c r="C479" s="4" t="str">
        <f>IFERROR(__xludf.DUMMYFUNCTION("""COMPUTED_VALUE"""),"Also, she has forbidden them smoking their pipes in the after-room.")</f>
        <v>Also, she has forbidden them smoking their pipes in the after-room.</v>
      </c>
      <c r="D479" s="4" t="str">
        <f>IFERROR(__xludf.DUMMYFUNCTION("""COMPUTED_VALUE""")," ")</f>
        <v> </v>
      </c>
    </row>
    <row r="480">
      <c r="A480" s="5" t="s">
        <v>3877</v>
      </c>
      <c r="B480" s="4" t="str">
        <f>IFERROR(__xludf.DUMMYFUNCTION("SPLIT(A480,"""""")"")"),"( arctic_a0479 ")</f>
        <v>( arctic_a0479 </v>
      </c>
      <c r="C480" s="4" t="str">
        <f>IFERROR(__xludf.DUMMYFUNCTION("""COMPUTED_VALUE"""),"I tried to read George Moore last night, and was dreadfully bored.")</f>
        <v>I tried to read George Moore last night, and was dreadfully bored.</v>
      </c>
      <c r="D480" s="4" t="str">
        <f>IFERROR(__xludf.DUMMYFUNCTION("""COMPUTED_VALUE""")," ")</f>
        <v> </v>
      </c>
    </row>
    <row r="481">
      <c r="A481" s="5" t="s">
        <v>3878</v>
      </c>
      <c r="B481" s="4" t="str">
        <f>IFERROR(__xludf.DUMMYFUNCTION("SPLIT(A481,"""""")"")"),"( arctic_a0480 ")</f>
        <v>( arctic_a0480 </v>
      </c>
      <c r="C481" s="4" t="str">
        <f>IFERROR(__xludf.DUMMYFUNCTION("""COMPUTED_VALUE"""),"Tom Spink has a harpoon.")</f>
        <v>Tom Spink has a harpoon.</v>
      </c>
      <c r="D481" s="4" t="str">
        <f>IFERROR(__xludf.DUMMYFUNCTION("""COMPUTED_VALUE""")," ")</f>
        <v> </v>
      </c>
    </row>
    <row r="482">
      <c r="A482" s="5" t="s">
        <v>3879</v>
      </c>
      <c r="B482" s="4" t="str">
        <f>IFERROR(__xludf.DUMMYFUNCTION("SPLIT(A482,"""""")"")"),"( arctic_a0481 ")</f>
        <v>( arctic_a0481 </v>
      </c>
      <c r="C482" s="4" t="str">
        <f>IFERROR(__xludf.DUMMYFUNCTION("""COMPUTED_VALUE"""),"Nimrod replied, with a slight manifestation of sensitiveness.")</f>
        <v>Nimrod replied, with a slight manifestation of sensitiveness.</v>
      </c>
      <c r="D482" s="4" t="str">
        <f>IFERROR(__xludf.DUMMYFUNCTION("""COMPUTED_VALUE""")," ")</f>
        <v> </v>
      </c>
    </row>
    <row r="483">
      <c r="A483" s="5" t="s">
        <v>3880</v>
      </c>
      <c r="B483" s="4" t="str">
        <f>IFERROR(__xludf.DUMMYFUNCTION("SPLIT(A483,"""""")"")"),"( arctic_a0482 ")</f>
        <v>( arctic_a0482 </v>
      </c>
      <c r="C483" s="4" t="str">
        <f>IFERROR(__xludf.DUMMYFUNCTION("""COMPUTED_VALUE"""),"And their chief virtue lies in that they will never wear out.")</f>
        <v>And their chief virtue lies in that they will never wear out.</v>
      </c>
      <c r="D483" s="4" t="str">
        <f>IFERROR(__xludf.DUMMYFUNCTION("""COMPUTED_VALUE""")," ")</f>
        <v> </v>
      </c>
    </row>
    <row r="484">
      <c r="A484" s="5" t="s">
        <v>3881</v>
      </c>
      <c r="B484" s="4" t="str">
        <f>IFERROR(__xludf.DUMMYFUNCTION("SPLIT(A484,"""""")"")"),"( arctic_a0483 ")</f>
        <v>( arctic_a0483 </v>
      </c>
      <c r="C484" s="4" t="str">
        <f>IFERROR(__xludf.DUMMYFUNCTION("""COMPUTED_VALUE"""),"Beyond dispute, Corry Hutchinson had married Mabel Holmes.")</f>
        <v>Beyond dispute, Corry Hutchinson had married Mabel Holmes.</v>
      </c>
      <c r="D484" s="4" t="str">
        <f>IFERROR(__xludf.DUMMYFUNCTION("""COMPUTED_VALUE""")," ")</f>
        <v> </v>
      </c>
    </row>
    <row r="485">
      <c r="A485" s="5" t="s">
        <v>3882</v>
      </c>
      <c r="B485" s="4" t="str">
        <f>IFERROR(__xludf.DUMMYFUNCTION("SPLIT(A485,"""""")"")"),"( arctic_a0484 ")</f>
        <v>( arctic_a0484 </v>
      </c>
      <c r="C485" s="4" t="str">
        <f>IFERROR(__xludf.DUMMYFUNCTION("""COMPUTED_VALUE"""),"No-sir-ee.")</f>
        <v>No-sir-ee.</v>
      </c>
      <c r="D485" s="4" t="str">
        <f>IFERROR(__xludf.DUMMYFUNCTION("""COMPUTED_VALUE""")," ")</f>
        <v> </v>
      </c>
    </row>
    <row r="486">
      <c r="A486" s="5" t="s">
        <v>3883</v>
      </c>
      <c r="B486" s="4" t="str">
        <f>IFERROR(__xludf.DUMMYFUNCTION("SPLIT(A486,"""""")"")"),"( arctic_a0485 ")</f>
        <v>( arctic_a0485 </v>
      </c>
      <c r="C486" s="4" t="str">
        <f>IFERROR(__xludf.DUMMYFUNCTION("""COMPUTED_VALUE"""),"Each insult added to the value of the claim.")</f>
        <v>Each insult added to the value of the claim.</v>
      </c>
      <c r="D486" s="4" t="str">
        <f>IFERROR(__xludf.DUMMYFUNCTION("""COMPUTED_VALUE""")," ")</f>
        <v> </v>
      </c>
    </row>
    <row r="487">
      <c r="A487" s="5" t="s">
        <v>3884</v>
      </c>
      <c r="B487" s="4" t="str">
        <f>IFERROR(__xludf.DUMMYFUNCTION("SPLIT(A487,"""""")"")"),"( arctic_a0486 ")</f>
        <v>( arctic_a0486 </v>
      </c>
      <c r="C487" s="4" t="str">
        <f>IFERROR(__xludf.DUMMYFUNCTION("""COMPUTED_VALUE"""),"For the rest, he was a mere automaton.")</f>
        <v>For the rest, he was a mere automaton.</v>
      </c>
      <c r="D487" s="4" t="str">
        <f>IFERROR(__xludf.DUMMYFUNCTION("""COMPUTED_VALUE""")," ")</f>
        <v> </v>
      </c>
    </row>
    <row r="488">
      <c r="A488" s="5" t="s">
        <v>3885</v>
      </c>
      <c r="B488" s="4" t="str">
        <f>IFERROR(__xludf.DUMMYFUNCTION("SPLIT(A488,"""""")"")"),"( arctic_a0487 ")</f>
        <v>( arctic_a0487 </v>
      </c>
      <c r="C488" s="4" t="str">
        <f>IFERROR(__xludf.DUMMYFUNCTION("""COMPUTED_VALUE"""),"The river bared its bosom, and snorting steamboats challenged the wilderness.")</f>
        <v>The river bared its bosom, and snorting steamboats challenged the wilderness.</v>
      </c>
      <c r="D488" s="4" t="str">
        <f>IFERROR(__xludf.DUMMYFUNCTION("""COMPUTED_VALUE""")," ")</f>
        <v> </v>
      </c>
    </row>
    <row r="489">
      <c r="A489" s="5" t="s">
        <v>3886</v>
      </c>
      <c r="B489" s="4" t="str">
        <f>IFERROR(__xludf.DUMMYFUNCTION("SPLIT(A489,"""""")"")"),"( arctic_a0488 ")</f>
        <v>( arctic_a0488 </v>
      </c>
      <c r="C489" s="4" t="str">
        <f>IFERROR(__xludf.DUMMYFUNCTION("""COMPUTED_VALUE"""),"Their love burned with increasing brightness.")</f>
        <v>Their love burned with increasing brightness.</v>
      </c>
      <c r="D489" s="4" t="str">
        <f>IFERROR(__xludf.DUMMYFUNCTION("""COMPUTED_VALUE""")," ")</f>
        <v> </v>
      </c>
    </row>
    <row r="490">
      <c r="A490" s="5" t="s">
        <v>3887</v>
      </c>
      <c r="B490" s="4" t="str">
        <f>IFERROR(__xludf.DUMMYFUNCTION("SPLIT(A490,"""""")"")"),"( arctic_a0489 ")</f>
        <v>( arctic_a0489 </v>
      </c>
      <c r="C490" s="4" t="str">
        <f>IFERROR(__xludf.DUMMYFUNCTION("""COMPUTED_VALUE"""),"They were artists, not biologists.")</f>
        <v>They were artists, not biologists.</v>
      </c>
      <c r="D490" s="4" t="str">
        <f>IFERROR(__xludf.DUMMYFUNCTION("""COMPUTED_VALUE""")," ")</f>
        <v> </v>
      </c>
    </row>
    <row r="491">
      <c r="A491" s="5" t="s">
        <v>3888</v>
      </c>
      <c r="B491" s="4" t="str">
        <f>IFERROR(__xludf.DUMMYFUNCTION("SPLIT(A491,"""""")"")"),"( arctic_a0490 ")</f>
        <v>( arctic_a0490 </v>
      </c>
      <c r="C491" s="4" t="str">
        <f>IFERROR(__xludf.DUMMYFUNCTION("""COMPUTED_VALUE"""),"Both Johnny and his mother shuffled their feet as they walked.")</f>
        <v>Both Johnny and his mother shuffled their feet as they walked.</v>
      </c>
      <c r="D491" s="4" t="str">
        <f>IFERROR(__xludf.DUMMYFUNCTION("""COMPUTED_VALUE""")," ")</f>
        <v> </v>
      </c>
    </row>
    <row r="492">
      <c r="A492" s="5" t="s">
        <v>3889</v>
      </c>
      <c r="B492" s="4" t="str">
        <f>IFERROR(__xludf.DUMMYFUNCTION("SPLIT(A492,"""""")"")"),"( arctic_a0491 ")</f>
        <v>( arctic_a0491 </v>
      </c>
      <c r="C492" s="4" t="str">
        <f>IFERROR(__xludf.DUMMYFUNCTION("""COMPUTED_VALUE"""),"And as in denial of guilt, the one-legged boy replied.")</f>
        <v>And as in denial of guilt, the one-legged boy replied.</v>
      </c>
      <c r="D492" s="4" t="str">
        <f>IFERROR(__xludf.DUMMYFUNCTION("""COMPUTED_VALUE""")," ")</f>
        <v> </v>
      </c>
    </row>
    <row r="493">
      <c r="A493" s="5" t="s">
        <v>3890</v>
      </c>
      <c r="B493" s="4" t="str">
        <f>IFERROR(__xludf.DUMMYFUNCTION("SPLIT(A493,"""""")"")"),"( arctic_a0492 ")</f>
        <v>( arctic_a0492 </v>
      </c>
      <c r="C493" s="4" t="str">
        <f>IFERROR(__xludf.DUMMYFUNCTION("""COMPUTED_VALUE"""),"Burnt out like the crater of a volcano.")</f>
        <v>Burnt out like the crater of a volcano.</v>
      </c>
      <c r="D493" s="4" t="str">
        <f>IFERROR(__xludf.DUMMYFUNCTION("""COMPUTED_VALUE""")," ")</f>
        <v> </v>
      </c>
    </row>
    <row r="494">
      <c r="A494" s="5" t="s">
        <v>3891</v>
      </c>
      <c r="B494" s="4" t="str">
        <f>IFERROR(__xludf.DUMMYFUNCTION("SPLIT(A494,"""""")"")"),"( arctic_a0493 ")</f>
        <v>( arctic_a0493 </v>
      </c>
      <c r="C494" s="4" t="str">
        <f>IFERROR(__xludf.DUMMYFUNCTION("""COMPUTED_VALUE"""),"The boy, O'Brien, was specially maltreated.")</f>
        <v>The boy, O'Brien, was specially maltreated.</v>
      </c>
      <c r="D494" s="4" t="str">
        <f>IFERROR(__xludf.DUMMYFUNCTION("""COMPUTED_VALUE""")," ")</f>
        <v> </v>
      </c>
    </row>
    <row r="495">
      <c r="A495" s="5" t="s">
        <v>3892</v>
      </c>
      <c r="B495" s="4" t="str">
        <f>IFERROR(__xludf.DUMMYFUNCTION("SPLIT(A495,"""""")"")"),"( arctic_a0494 ")</f>
        <v>( arctic_a0494 </v>
      </c>
      <c r="C495" s="4" t="str">
        <f>IFERROR(__xludf.DUMMYFUNCTION("""COMPUTED_VALUE"""),"O'Brien took off his coat and bared his right arm.")</f>
        <v>O'Brien took off his coat and bared his right arm.</v>
      </c>
      <c r="D495" s="4" t="str">
        <f>IFERROR(__xludf.DUMMYFUNCTION("""COMPUTED_VALUE""")," ")</f>
        <v> </v>
      </c>
    </row>
    <row r="496">
      <c r="A496" s="5" t="s">
        <v>3893</v>
      </c>
      <c r="B496" s="4" t="str">
        <f>IFERROR(__xludf.DUMMYFUNCTION("SPLIT(A496,"""""")"")"),"( arctic_a0495 ")</f>
        <v>( arctic_a0495 </v>
      </c>
      <c r="C496" s="4" t="str">
        <f>IFERROR(__xludf.DUMMYFUNCTION("""COMPUTED_VALUE"""),"He bore no grudges and had few enemies.")</f>
        <v>He bore no grudges and had few enemies.</v>
      </c>
      <c r="D496" s="4" t="str">
        <f>IFERROR(__xludf.DUMMYFUNCTION("""COMPUTED_VALUE""")," ")</f>
        <v> </v>
      </c>
    </row>
    <row r="497">
      <c r="A497" s="5" t="s">
        <v>3894</v>
      </c>
      <c r="B497" s="4" t="str">
        <f>IFERROR(__xludf.DUMMYFUNCTION("SPLIT(A497,"""""")"")"),"( arctic_a0496 ")</f>
        <v>( arctic_a0496 </v>
      </c>
      <c r="C497" s="4" t="str">
        <f>IFERROR(__xludf.DUMMYFUNCTION("""COMPUTED_VALUE"""),"And Tom King patiently endured.")</f>
        <v>And Tom King patiently endured.</v>
      </c>
      <c r="D497" s="4" t="str">
        <f>IFERROR(__xludf.DUMMYFUNCTION("""COMPUTED_VALUE""")," ")</f>
        <v> </v>
      </c>
    </row>
    <row r="498">
      <c r="A498" s="5" t="s">
        <v>3895</v>
      </c>
      <c r="B498" s="4" t="str">
        <f>IFERROR(__xludf.DUMMYFUNCTION("SPLIT(A498,"""""")"")"),"( arctic_a0497 ")</f>
        <v>( arctic_a0497 </v>
      </c>
      <c r="C498" s="4" t="str">
        <f>IFERROR(__xludf.DUMMYFUNCTION("""COMPUTED_VALUE"""),"King took every advantage he knew.")</f>
        <v>King took every advantage he knew.</v>
      </c>
      <c r="D498" s="4" t="str">
        <f>IFERROR(__xludf.DUMMYFUNCTION("""COMPUTED_VALUE""")," ")</f>
        <v> </v>
      </c>
    </row>
    <row r="499">
      <c r="A499" s="5" t="s">
        <v>3896</v>
      </c>
      <c r="B499" s="4" t="str">
        <f>IFERROR(__xludf.DUMMYFUNCTION("SPLIT(A499,"""""")"")"),"( arctic_a0498 ")</f>
        <v>( arctic_a0498 </v>
      </c>
      <c r="C499" s="4" t="str">
        <f>IFERROR(__xludf.DUMMYFUNCTION("""COMPUTED_VALUE"""),"The lines were now very taut.")</f>
        <v>The lines were now very taut.</v>
      </c>
      <c r="D499" s="4" t="str">
        <f>IFERROR(__xludf.DUMMYFUNCTION("""COMPUTED_VALUE""")," ")</f>
        <v> </v>
      </c>
    </row>
    <row r="500">
      <c r="A500" s="5" t="s">
        <v>3897</v>
      </c>
      <c r="B500" s="4" t="str">
        <f>IFERROR(__xludf.DUMMYFUNCTION("SPLIT(A500,"""""")"")"),"( arctic_a0499 ")</f>
        <v>( arctic_a0499 </v>
      </c>
      <c r="C500" s="4" t="str">
        <f>IFERROR(__xludf.DUMMYFUNCTION("""COMPUTED_VALUE"""),"And right there I saw and knew it all.")</f>
        <v>And right there I saw and knew it all.</v>
      </c>
      <c r="D500" s="4" t="str">
        <f>IFERROR(__xludf.DUMMYFUNCTION("""COMPUTED_VALUE""")," ")</f>
        <v> </v>
      </c>
    </row>
    <row r="501">
      <c r="A501" s="5" t="s">
        <v>3898</v>
      </c>
      <c r="B501" s="4" t="str">
        <f>IFERROR(__xludf.DUMMYFUNCTION("SPLIT(A501,"""""")"")"),"( arctic_a0500 ")</f>
        <v>( arctic_a0500 </v>
      </c>
      <c r="C501" s="4" t="str">
        <f>IFERROR(__xludf.DUMMYFUNCTION("""COMPUTED_VALUE"""),"Who the devil gave it to you to be judge and jury.")</f>
        <v>Who the devil gave it to you to be judge and jury.</v>
      </c>
      <c r="D501" s="4" t="str">
        <f>IFERROR(__xludf.DUMMYFUNCTION("""COMPUTED_VALUE""")," ")</f>
        <v> </v>
      </c>
    </row>
    <row r="502">
      <c r="A502" s="5" t="s">
        <v>3899</v>
      </c>
      <c r="B502" s="4" t="str">
        <f>IFERROR(__xludf.DUMMYFUNCTION("SPLIT(A502,"""""")"")"),"( arctic_a0501 ")</f>
        <v>( arctic_a0501 </v>
      </c>
      <c r="C502" s="4" t="str">
        <f>IFERROR(__xludf.DUMMYFUNCTION("""COMPUTED_VALUE"""),"You're joking me, sir, the other managed to articulate.")</f>
        <v>You're joking me, sir, the other managed to articulate.</v>
      </c>
      <c r="D502" s="4" t="str">
        <f>IFERROR(__xludf.DUMMYFUNCTION("""COMPUTED_VALUE""")," ")</f>
        <v> </v>
      </c>
    </row>
    <row r="503">
      <c r="A503" s="5" t="s">
        <v>3900</v>
      </c>
      <c r="B503" s="4" t="str">
        <f>IFERROR(__xludf.DUMMYFUNCTION("SPLIT(A503,"""""")"")"),"( arctic_a0502 ")</f>
        <v>( arctic_a0502 </v>
      </c>
      <c r="C503" s="4" t="str">
        <f>IFERROR(__xludf.DUMMYFUNCTION("""COMPUTED_VALUE"""),"Anything unusual or abnormal was sufficient to send a fellow to Molokai.")</f>
        <v>Anything unusual or abnormal was sufficient to send a fellow to Molokai.</v>
      </c>
      <c r="D503" s="4" t="str">
        <f>IFERROR(__xludf.DUMMYFUNCTION("""COMPUTED_VALUE""")," ")</f>
        <v> </v>
      </c>
    </row>
    <row r="504">
      <c r="A504" s="5" t="s">
        <v>3901</v>
      </c>
      <c r="B504" s="4" t="str">
        <f>IFERROR(__xludf.DUMMYFUNCTION("SPLIT(A504,"""""")"")"),"( arctic_a0503 ")</f>
        <v>( arctic_a0503 </v>
      </c>
      <c r="C504" s="4" t="str">
        <f>IFERROR(__xludf.DUMMYFUNCTION("""COMPUTED_VALUE"""),"His beady black eyes saw bargains where other men saw bankruptcy.")</f>
        <v>His beady black eyes saw bargains where other men saw bankruptcy.</v>
      </c>
      <c r="D504" s="4" t="str">
        <f>IFERROR(__xludf.DUMMYFUNCTION("""COMPUTED_VALUE""")," ")</f>
        <v> </v>
      </c>
    </row>
    <row r="505">
      <c r="A505" s="5" t="s">
        <v>3902</v>
      </c>
      <c r="B505" s="4" t="str">
        <f>IFERROR(__xludf.DUMMYFUNCTION("SPLIT(A505,"""""")"")"),"( arctic_a0504 ")</f>
        <v>( arctic_a0504 </v>
      </c>
      <c r="C505" s="4" t="str">
        <f>IFERROR(__xludf.DUMMYFUNCTION("""COMPUTED_VALUE"""),"He was an athlete and a giant.")</f>
        <v>He was an athlete and a giant.</v>
      </c>
      <c r="D505" s="4" t="str">
        <f>IFERROR(__xludf.DUMMYFUNCTION("""COMPUTED_VALUE""")," ")</f>
        <v> </v>
      </c>
    </row>
    <row r="506">
      <c r="A506" s="5" t="s">
        <v>3903</v>
      </c>
      <c r="B506" s="4" t="str">
        <f>IFERROR(__xludf.DUMMYFUNCTION("SPLIT(A506,"""""")"")"),"( arctic_a0505 ")</f>
        <v>( arctic_a0505 </v>
      </c>
      <c r="C506" s="4" t="str">
        <f>IFERROR(__xludf.DUMMYFUNCTION("""COMPUTED_VALUE"""),"We fished sharks on Niihau together.")</f>
        <v>We fished sharks on Niihau together.</v>
      </c>
      <c r="D506" s="4" t="str">
        <f>IFERROR(__xludf.DUMMYFUNCTION("""COMPUTED_VALUE""")," ")</f>
        <v> </v>
      </c>
    </row>
    <row r="507">
      <c r="A507" s="5" t="s">
        <v>3904</v>
      </c>
      <c r="B507" s="4" t="str">
        <f>IFERROR(__xludf.DUMMYFUNCTION("SPLIT(A507,"""""")"")"),"( arctic_a0506 ")</f>
        <v>( arctic_a0506 </v>
      </c>
      <c r="C507" s="4" t="str">
        <f>IFERROR(__xludf.DUMMYFUNCTION("""COMPUTED_VALUE"""),"The Claudine was leaving next morning for Honolulu.")</f>
        <v>The Claudine was leaving next morning for Honolulu.</v>
      </c>
      <c r="D507" s="4" t="str">
        <f>IFERROR(__xludf.DUMMYFUNCTION("""COMPUTED_VALUE""")," ")</f>
        <v> </v>
      </c>
    </row>
    <row r="508">
      <c r="A508" s="5" t="s">
        <v>3905</v>
      </c>
      <c r="B508" s="4" t="str">
        <f>IFERROR(__xludf.DUMMYFUNCTION("SPLIT(A508,"""""")"")"),"( arctic_a0508 ")</f>
        <v>( arctic_a0508 </v>
      </c>
      <c r="C508" s="4" t="str">
        <f>IFERROR(__xludf.DUMMYFUNCTION("""COMPUTED_VALUE"""),"Soon shall it be thrust back from off prostrate humanity.")</f>
        <v>Soon shall it be thrust back from off prostrate humanity.</v>
      </c>
      <c r="D508" s="4" t="str">
        <f>IFERROR(__xludf.DUMMYFUNCTION("""COMPUTED_VALUE""")," ")</f>
        <v> </v>
      </c>
    </row>
    <row r="509">
      <c r="A509" s="5" t="s">
        <v>3906</v>
      </c>
      <c r="B509" s="4" t="str">
        <f>IFERROR(__xludf.DUMMYFUNCTION("SPLIT(A509,"""""")"")"),"( arctic_a0509 ")</f>
        <v>( arctic_a0509 </v>
      </c>
      <c r="C509" s="4" t="str">
        <f>IFERROR(__xludf.DUMMYFUNCTION("""COMPUTED_VALUE"""),"Yet, in accordance with Ernest's test of truth, it worked.")</f>
        <v>Yet, in accordance with Ernest's test of truth, it worked.</v>
      </c>
      <c r="D509" s="4" t="str">
        <f>IFERROR(__xludf.DUMMYFUNCTION("""COMPUTED_VALUE""")," ")</f>
        <v> </v>
      </c>
    </row>
    <row r="510">
      <c r="A510" s="5" t="s">
        <v>3907</v>
      </c>
      <c r="B510" s="4" t="str">
        <f>IFERROR(__xludf.DUMMYFUNCTION("SPLIT(A510,"""""")"")"),"( arctic_a0510 ")</f>
        <v>( arctic_a0510 </v>
      </c>
      <c r="C510" s="4" t="str">
        <f>IFERROR(__xludf.DUMMYFUNCTION("""COMPUTED_VALUE"""),"Much more Ernest told them of themselves and of his disillusionment.")</f>
        <v>Much more Ernest told them of themselves and of his disillusionment.</v>
      </c>
      <c r="D510" s="4" t="str">
        <f>IFERROR(__xludf.DUMMYFUNCTION("""COMPUTED_VALUE""")," ")</f>
        <v> </v>
      </c>
    </row>
    <row r="511">
      <c r="A511" s="5" t="s">
        <v>3908</v>
      </c>
      <c r="B511" s="4" t="str">
        <f>IFERROR(__xludf.DUMMYFUNCTION("SPLIT(A511,"""""")"")"),"( arctic_a0511 ")</f>
        <v>( arctic_a0511 </v>
      </c>
      <c r="C511" s="4" t="str">
        <f>IFERROR(__xludf.DUMMYFUNCTION("""COMPUTED_VALUE"""),"There is more behind this than a mere university ideal.")</f>
        <v>There is more behind this than a mere university ideal.</v>
      </c>
      <c r="D511" s="4" t="str">
        <f>IFERROR(__xludf.DUMMYFUNCTION("""COMPUTED_VALUE""")," ")</f>
        <v> </v>
      </c>
    </row>
    <row r="512">
      <c r="A512" s="5" t="s">
        <v>3909</v>
      </c>
      <c r="B512" s="4" t="str">
        <f>IFERROR(__xludf.DUMMYFUNCTION("SPLIT(A512,"""""")"")"),"( arctic_a0512 ")</f>
        <v>( arctic_a0512 </v>
      </c>
      <c r="C512" s="4" t="str">
        <f>IFERROR(__xludf.DUMMYFUNCTION("""COMPUTED_VALUE"""),"No, it is a palace, wherein there are many servants.")</f>
        <v>No, it is a palace, wherein there are many servants.</v>
      </c>
      <c r="D512" s="4" t="str">
        <f>IFERROR(__xludf.DUMMYFUNCTION("""COMPUTED_VALUE""")," ")</f>
        <v> </v>
      </c>
    </row>
    <row r="513">
      <c r="A513" s="5" t="s">
        <v>3910</v>
      </c>
      <c r="B513" s="4" t="str">
        <f>IFERROR(__xludf.DUMMYFUNCTION("SPLIT(A513,"""""")"")"),"( arctic_a0513 ")</f>
        <v>( arctic_a0513 </v>
      </c>
      <c r="C513" s="4" t="str">
        <f>IFERROR(__xludf.DUMMYFUNCTION("""COMPUTED_VALUE"""),"We must give ourselves and not our money alone.")</f>
        <v>We must give ourselves and not our money alone.</v>
      </c>
      <c r="D513" s="4" t="str">
        <f>IFERROR(__xludf.DUMMYFUNCTION("""COMPUTED_VALUE""")," ")</f>
        <v> </v>
      </c>
    </row>
    <row r="514">
      <c r="A514" s="5" t="s">
        <v>3911</v>
      </c>
      <c r="B514" s="4" t="str">
        <f>IFERROR(__xludf.DUMMYFUNCTION("SPLIT(A514,"""""")"")"),"( arctic_a0514 ")</f>
        <v>( arctic_a0514 </v>
      </c>
      <c r="C514" s="4" t="str">
        <f>IFERROR(__xludf.DUMMYFUNCTION("""COMPUTED_VALUE"""),"We are consumed in our own flesh-pots.")</f>
        <v>We are consumed in our own flesh-pots.</v>
      </c>
      <c r="D514" s="4" t="str">
        <f>IFERROR(__xludf.DUMMYFUNCTION("""COMPUTED_VALUE""")," ")</f>
        <v> </v>
      </c>
    </row>
    <row r="515">
      <c r="A515" s="5" t="s">
        <v>3912</v>
      </c>
      <c r="B515" s="4" t="str">
        <f>IFERROR(__xludf.DUMMYFUNCTION("SPLIT(A515,"""""")"")"),"( arctic_a0515 ")</f>
        <v>( arctic_a0515 </v>
      </c>
      <c r="C515" s="4" t="str">
        <f>IFERROR(__xludf.DUMMYFUNCTION("""COMPUTED_VALUE"""),"But here amongst ourselves let us speak out.")</f>
        <v>But here amongst ourselves let us speak out.</v>
      </c>
      <c r="D515" s="4" t="str">
        <f>IFERROR(__xludf.DUMMYFUNCTION("""COMPUTED_VALUE""")," ")</f>
        <v> </v>
      </c>
    </row>
    <row r="516">
      <c r="A516" s="5" t="s">
        <v>3913</v>
      </c>
      <c r="B516" s="4" t="str">
        <f>IFERROR(__xludf.DUMMYFUNCTION("SPLIT(A516,"""""")"")"),"( arctic_a0516 ")</f>
        <v>( arctic_a0516 </v>
      </c>
      <c r="C516" s="4" t="str">
        <f>IFERROR(__xludf.DUMMYFUNCTION("""COMPUTED_VALUE"""),"Also, there was awe in their faces.")</f>
        <v>Also, there was awe in their faces.</v>
      </c>
      <c r="D516" s="4" t="str">
        <f>IFERROR(__xludf.DUMMYFUNCTION("""COMPUTED_VALUE""")," ")</f>
        <v> </v>
      </c>
    </row>
    <row r="517">
      <c r="A517" s="5" t="s">
        <v>3914</v>
      </c>
      <c r="B517" s="4" t="str">
        <f>IFERROR(__xludf.DUMMYFUNCTION("SPLIT(A517,"""""")"")"),"( arctic_a0517 ")</f>
        <v>( arctic_a0517 </v>
      </c>
      <c r="C517" s="4" t="str">
        <f>IFERROR(__xludf.DUMMYFUNCTION("""COMPUTED_VALUE"""),"Out of abstractions Ernest had conjured a vision and made them see it.")</f>
        <v>Out of abstractions Ernest had conjured a vision and made them see it.</v>
      </c>
      <c r="D517" s="4" t="str">
        <f>IFERROR(__xludf.DUMMYFUNCTION("""COMPUTED_VALUE""")," ")</f>
        <v> </v>
      </c>
    </row>
    <row r="518">
      <c r="A518" s="5" t="s">
        <v>3915</v>
      </c>
      <c r="B518" s="4" t="str">
        <f>IFERROR(__xludf.DUMMYFUNCTION("SPLIT(A518,"""""")"")"),"( arctic_a0518 ")</f>
        <v>( arctic_a0518 </v>
      </c>
      <c r="C518" s="4" t="str">
        <f>IFERROR(__xludf.DUMMYFUNCTION("""COMPUTED_VALUE"""),"Illuminating oil was becoming all profit.")</f>
        <v>Illuminating oil was becoming all profit.</v>
      </c>
      <c r="D518" s="4" t="str">
        <f>IFERROR(__xludf.DUMMYFUNCTION("""COMPUTED_VALUE""")," ")</f>
        <v> </v>
      </c>
    </row>
    <row r="519">
      <c r="A519" s="5" t="s">
        <v>3916</v>
      </c>
      <c r="B519" s="4" t="str">
        <f>IFERROR(__xludf.DUMMYFUNCTION("SPLIT(A519,"""""")"")"),"( arctic_a0519 ")</f>
        <v>( arctic_a0519 </v>
      </c>
      <c r="C519" s="4" t="str">
        <f>IFERROR(__xludf.DUMMYFUNCTION("""COMPUTED_VALUE"""),"Such an act was in direct violation of the laws of the land.")</f>
        <v>Such an act was in direct violation of the laws of the land.</v>
      </c>
      <c r="D519" s="4" t="str">
        <f>IFERROR(__xludf.DUMMYFUNCTION("""COMPUTED_VALUE""")," ")</f>
        <v> </v>
      </c>
    </row>
    <row r="520">
      <c r="A520" s="5" t="s">
        <v>3917</v>
      </c>
      <c r="B520" s="4" t="str">
        <f>IFERROR(__xludf.DUMMYFUNCTION("SPLIT(A520,"""""")"")"),"( arctic_a0520 ")</f>
        <v>( arctic_a0520 </v>
      </c>
      <c r="C520" s="4" t="str">
        <f>IFERROR(__xludf.DUMMYFUNCTION("""COMPUTED_VALUE"""),"He was fond of quoting a fragment from a certain poem.")</f>
        <v>He was fond of quoting a fragment from a certain poem.</v>
      </c>
      <c r="D520" s="4" t="str">
        <f>IFERROR(__xludf.DUMMYFUNCTION("""COMPUTED_VALUE""")," ")</f>
        <v> </v>
      </c>
    </row>
    <row r="521">
      <c r="A521" s="5" t="s">
        <v>3918</v>
      </c>
      <c r="B521" s="4" t="str">
        <f>IFERROR(__xludf.DUMMYFUNCTION("SPLIT(A521,"""""")"")"),"( arctic_a0521 ")</f>
        <v>( arctic_a0521 </v>
      </c>
      <c r="C521" s="4" t="str">
        <f>IFERROR(__xludf.DUMMYFUNCTION("""COMPUTED_VALUE"""),"Without them he could not run his empire.")</f>
        <v>Without them he could not run his empire.</v>
      </c>
      <c r="D521" s="4" t="str">
        <f>IFERROR(__xludf.DUMMYFUNCTION("""COMPUTED_VALUE""")," ")</f>
        <v> </v>
      </c>
    </row>
    <row r="522">
      <c r="A522" s="5" t="s">
        <v>3919</v>
      </c>
      <c r="B522" s="4" t="str">
        <f>IFERROR(__xludf.DUMMYFUNCTION("SPLIT(A522,"""""")"")"),"( arctic_a0522 ")</f>
        <v>( arctic_a0522 </v>
      </c>
      <c r="C522" s="4" t="str">
        <f>IFERROR(__xludf.DUMMYFUNCTION("""COMPUTED_VALUE"""),"For such countries nothing remained but reorganization.")</f>
        <v>For such countries nothing remained but reorganization.</v>
      </c>
      <c r="D522" s="4" t="str">
        <f>IFERROR(__xludf.DUMMYFUNCTION("""COMPUTED_VALUE""")," ")</f>
        <v> </v>
      </c>
    </row>
    <row r="523">
      <c r="A523" s="5" t="s">
        <v>3920</v>
      </c>
      <c r="B523" s="4" t="str">
        <f>IFERROR(__xludf.DUMMYFUNCTION("SPLIT(A523,"""""")"")"),"( arctic_a0523 ")</f>
        <v>( arctic_a0523 </v>
      </c>
      <c r="C523" s="4" t="str">
        <f>IFERROR(__xludf.DUMMYFUNCTION("""COMPUTED_VALUE"""),"They could not continue their method of producing surpluses.")</f>
        <v>They could not continue their method of producing surpluses.</v>
      </c>
      <c r="D523" s="4" t="str">
        <f>IFERROR(__xludf.DUMMYFUNCTION("""COMPUTED_VALUE""")," ")</f>
        <v> </v>
      </c>
    </row>
    <row r="524">
      <c r="A524" s="5" t="s">
        <v>3921</v>
      </c>
      <c r="B524" s="4" t="str">
        <f>IFERROR(__xludf.DUMMYFUNCTION("SPLIT(A524,"""""")"")"),"( arctic_a0524 ")</f>
        <v>( arctic_a0524 </v>
      </c>
      <c r="C524" s="4" t="str">
        <f>IFERROR(__xludf.DUMMYFUNCTION("""COMPUTED_VALUE"""),"At once would be instituted a dozen cooperative commonwealth states.")</f>
        <v>At once would be instituted a dozen cooperative commonwealth states.</v>
      </c>
      <c r="D524" s="4" t="str">
        <f>IFERROR(__xludf.DUMMYFUNCTION("""COMPUTED_VALUE""")," ")</f>
        <v> </v>
      </c>
    </row>
    <row r="525">
      <c r="A525" s="5" t="s">
        <v>3922</v>
      </c>
      <c r="B525" s="4" t="str">
        <f>IFERROR(__xludf.DUMMYFUNCTION("SPLIT(A525,"""""")"")"),"( arctic_a0525 ")</f>
        <v>( arctic_a0525 </v>
      </c>
      <c r="C525" s="4" t="str">
        <f>IFERROR(__xludf.DUMMYFUNCTION("""COMPUTED_VALUE"""),"The Oligarchy wanted violence, and it set its agents provocateurs to work.")</f>
        <v>The Oligarchy wanted violence, and it set its agents provocateurs to work.</v>
      </c>
      <c r="D525" s="4" t="str">
        <f>IFERROR(__xludf.DUMMYFUNCTION("""COMPUTED_VALUE""")," ")</f>
        <v> </v>
      </c>
    </row>
    <row r="526">
      <c r="A526" s="5" t="s">
        <v>3923</v>
      </c>
      <c r="B526" s="4" t="str">
        <f>IFERROR(__xludf.DUMMYFUNCTION("SPLIT(A526,"""""")"")"),"( arctic_a0526 ")</f>
        <v>( arctic_a0526 </v>
      </c>
      <c r="C526" s="4" t="str">
        <f>IFERROR(__xludf.DUMMYFUNCTION("""COMPUTED_VALUE"""),"Nowhere did the raw earth appear.")</f>
        <v>Nowhere did the raw earth appear.</v>
      </c>
      <c r="D526" s="4" t="str">
        <f>IFERROR(__xludf.DUMMYFUNCTION("""COMPUTED_VALUE""")," ")</f>
        <v> </v>
      </c>
    </row>
    <row r="527">
      <c r="A527" s="5" t="s">
        <v>3924</v>
      </c>
      <c r="B527" s="4" t="str">
        <f>IFERROR(__xludf.DUMMYFUNCTION("SPLIT(A527,"""""")"")"),"( arctic_a0527 ")</f>
        <v>( arctic_a0527 </v>
      </c>
      <c r="C527" s="4" t="str">
        <f>IFERROR(__xludf.DUMMYFUNCTION("""COMPUTED_VALUE"""),"The lush vegetation of that sheltered spot make a natural shield.")</f>
        <v>The lush vegetation of that sheltered spot make a natural shield.</v>
      </c>
      <c r="D527" s="4" t="str">
        <f>IFERROR(__xludf.DUMMYFUNCTION("""COMPUTED_VALUE""")," ")</f>
        <v> </v>
      </c>
    </row>
    <row r="528">
      <c r="A528" s="5" t="s">
        <v>3925</v>
      </c>
      <c r="B528" s="4" t="str">
        <f>IFERROR(__xludf.DUMMYFUNCTION("SPLIT(A528,"""""")"")"),"( arctic_a0528 ")</f>
        <v>( arctic_a0528 </v>
      </c>
      <c r="C528" s="4" t="str">
        <f>IFERROR(__xludf.DUMMYFUNCTION("""COMPUTED_VALUE"""),"Men who endure it, call it living death.")</f>
        <v>Men who endure it, call it living death.</v>
      </c>
      <c r="D528" s="4" t="str">
        <f>IFERROR(__xludf.DUMMYFUNCTION("""COMPUTED_VALUE""")," ")</f>
        <v> </v>
      </c>
    </row>
    <row r="529">
      <c r="A529" s="5" t="s">
        <v>3926</v>
      </c>
      <c r="B529" s="4" t="str">
        <f>IFERROR(__xludf.DUMMYFUNCTION("SPLIT(A529,"""""")"")"),"( arctic_a0529 ")</f>
        <v>( arctic_a0529 </v>
      </c>
      <c r="C529" s="4" t="str">
        <f>IFERROR(__xludf.DUMMYFUNCTION("""COMPUTED_VALUE"""),"As I say, he had tapped the message very rapidly.")</f>
        <v>As I say, he had tapped the message very rapidly.</v>
      </c>
      <c r="D529" s="4" t="str">
        <f>IFERROR(__xludf.DUMMYFUNCTION("""COMPUTED_VALUE""")," ")</f>
        <v> </v>
      </c>
    </row>
    <row r="530">
      <c r="A530" s="5" t="s">
        <v>3927</v>
      </c>
      <c r="B530" s="4" t="str">
        <f>IFERROR(__xludf.DUMMYFUNCTION("SPLIT(A530,"""""")"")"),"( arctic_a0530 ")</f>
        <v>( arctic_a0530 </v>
      </c>
      <c r="C530" s="4" t="str">
        <f>IFERROR(__xludf.DUMMYFUNCTION("""COMPUTED_VALUE"""),"Ask him, I laughed, then turned to Pasquini.")</f>
        <v>Ask him, I laughed, then turned to Pasquini.</v>
      </c>
      <c r="D530" s="4" t="str">
        <f>IFERROR(__xludf.DUMMYFUNCTION("""COMPUTED_VALUE""")," ")</f>
        <v> </v>
      </c>
    </row>
    <row r="531">
      <c r="A531" s="5" t="s">
        <v>3928</v>
      </c>
      <c r="B531" s="4" t="str">
        <f>IFERROR(__xludf.DUMMYFUNCTION("SPLIT(A531,"""""")"")"),"( arctic_a0531 ")</f>
        <v>( arctic_a0531 </v>
      </c>
      <c r="C531" s="4" t="str">
        <f>IFERROR(__xludf.DUMMYFUNCTION("""COMPUTED_VALUE"""),"In what bucolic school of fence he had been taught was beyond imagining.")</f>
        <v>In what bucolic school of fence he had been taught was beyond imagining.</v>
      </c>
      <c r="D531" s="4" t="str">
        <f>IFERROR(__xludf.DUMMYFUNCTION("""COMPUTED_VALUE""")," ")</f>
        <v> </v>
      </c>
    </row>
    <row r="532">
      <c r="A532" s="5" t="s">
        <v>3929</v>
      </c>
      <c r="B532" s="4" t="str">
        <f>IFERROR(__xludf.DUMMYFUNCTION("SPLIT(A532,"""""")"")"),"( arctic_a0532 ")</f>
        <v>( arctic_a0532 </v>
      </c>
      <c r="C532" s="4" t="str">
        <f>IFERROR(__xludf.DUMMYFUNCTION("""COMPUTED_VALUE"""),"May drought destroy your crops.")</f>
        <v>May drought destroy your crops.</v>
      </c>
      <c r="D532" s="4" t="str">
        <f>IFERROR(__xludf.DUMMYFUNCTION("""COMPUTED_VALUE""")," ")</f>
        <v> </v>
      </c>
    </row>
    <row r="533">
      <c r="A533" s="5" t="s">
        <v>3930</v>
      </c>
      <c r="B533" s="4" t="str">
        <f>IFERROR(__xludf.DUMMYFUNCTION("SPLIT(A533,"""""")"")"),"( arctic_a0533 ")</f>
        <v>( arctic_a0533 </v>
      </c>
      <c r="C533" s="4" t="str">
        <f>IFERROR(__xludf.DUMMYFUNCTION("""COMPUTED_VALUE"""),"Dunham, can your boy go along with Jesse.")</f>
        <v>Dunham, can your boy go along with Jesse.</v>
      </c>
      <c r="D533" s="4" t="str">
        <f>IFERROR(__xludf.DUMMYFUNCTION("""COMPUTED_VALUE""")," ")</f>
        <v> </v>
      </c>
    </row>
    <row r="534">
      <c r="A534" s="5" t="s">
        <v>3931</v>
      </c>
      <c r="B534" s="4" t="str">
        <f>IFERROR(__xludf.DUMMYFUNCTION("SPLIT(A534,"""""")"")"),"( arctic_a0534 ")</f>
        <v>( arctic_a0534 </v>
      </c>
      <c r="C534" s="4" t="str">
        <f>IFERROR(__xludf.DUMMYFUNCTION("""COMPUTED_VALUE"""),"But Johannes could, and did.")</f>
        <v>But Johannes could, and did.</v>
      </c>
      <c r="D534" s="4" t="str">
        <f>IFERROR(__xludf.DUMMYFUNCTION("""COMPUTED_VALUE""")," ")</f>
        <v> </v>
      </c>
    </row>
    <row r="535">
      <c r="A535" s="5" t="s">
        <v>3932</v>
      </c>
      <c r="B535" s="4" t="str">
        <f>IFERROR(__xludf.DUMMYFUNCTION("SPLIT(A535,"""""")"")"),"( arctic_a0535 ")</f>
        <v>( arctic_a0535 </v>
      </c>
      <c r="C535" s="4" t="str">
        <f>IFERROR(__xludf.DUMMYFUNCTION("""COMPUTED_VALUE"""),"A new preacher and a new doctrine come to Jerusalem.")</f>
        <v>A new preacher and a new doctrine come to Jerusalem.</v>
      </c>
      <c r="D535" s="4" t="str">
        <f>IFERROR(__xludf.DUMMYFUNCTION("""COMPUTED_VALUE""")," ")</f>
        <v> </v>
      </c>
    </row>
    <row r="536">
      <c r="A536" s="5" t="s">
        <v>3933</v>
      </c>
      <c r="B536" s="4" t="str">
        <f>IFERROR(__xludf.DUMMYFUNCTION("SPLIT(A536,"""""")"")"),"( arctic_a0536 ")</f>
        <v>( arctic_a0536 </v>
      </c>
      <c r="C536" s="4" t="str">
        <f>IFERROR(__xludf.DUMMYFUNCTION("""COMPUTED_VALUE"""),"He would destroy all things that are fixed.")</f>
        <v>He would destroy all things that are fixed.</v>
      </c>
      <c r="D536" s="4" t="str">
        <f>IFERROR(__xludf.DUMMYFUNCTION("""COMPUTED_VALUE""")," ")</f>
        <v> </v>
      </c>
    </row>
    <row r="537">
      <c r="A537" s="5" t="s">
        <v>3934</v>
      </c>
      <c r="B537" s="4" t="str">
        <f>IFERROR(__xludf.DUMMYFUNCTION("SPLIT(A537,"""""")"")"),"( arctic_a0537 ")</f>
        <v>( arctic_a0537 </v>
      </c>
      <c r="C537" s="4" t="str">
        <f>IFERROR(__xludf.DUMMYFUNCTION("""COMPUTED_VALUE"""),"He was an enthusiast and a desert dweller.")</f>
        <v>He was an enthusiast and a desert dweller.</v>
      </c>
      <c r="D537" s="4" t="str">
        <f>IFERROR(__xludf.DUMMYFUNCTION("""COMPUTED_VALUE""")," ")</f>
        <v> </v>
      </c>
    </row>
    <row r="538">
      <c r="A538" s="5" t="s">
        <v>3935</v>
      </c>
      <c r="B538" s="4" t="str">
        <f>IFERROR(__xludf.DUMMYFUNCTION("SPLIT(A538,"""""")"")"),"( arctic_a0538 ")</f>
        <v>( arctic_a0538 </v>
      </c>
      <c r="C538" s="4" t="str">
        <f>IFERROR(__xludf.DUMMYFUNCTION("""COMPUTED_VALUE"""),"What Pascal glimpsed with the vision of a seer, I have lived.")</f>
        <v>What Pascal glimpsed with the vision of a seer, I have lived.</v>
      </c>
      <c r="D538" s="4" t="str">
        <f>IFERROR(__xludf.DUMMYFUNCTION("""COMPUTED_VALUE""")," ")</f>
        <v> </v>
      </c>
    </row>
    <row r="539">
      <c r="A539" s="5" t="s">
        <v>3936</v>
      </c>
      <c r="B539" s="4" t="str">
        <f>IFERROR(__xludf.DUMMYFUNCTION("SPLIT(A539,"""""")"")"),"( arctic_a0539 ")</f>
        <v>( arctic_a0539 </v>
      </c>
      <c r="C539" s="4" t="str">
        <f>IFERROR(__xludf.DUMMYFUNCTION("""COMPUTED_VALUE"""),"I should like to engage just for one whole life in that.")</f>
        <v>I should like to engage just for one whole life in that.</v>
      </c>
      <c r="D539" s="4" t="str">
        <f>IFERROR(__xludf.DUMMYFUNCTION("""COMPUTED_VALUE""")," ")</f>
        <v> </v>
      </c>
    </row>
    <row r="540">
      <c r="A540" s="5" t="s">
        <v>3937</v>
      </c>
      <c r="B540" s="4" t="str">
        <f>IFERROR(__xludf.DUMMYFUNCTION("SPLIT(A540,"""""")"")"),"( arctic_a0540 ")</f>
        <v>( arctic_a0540 </v>
      </c>
      <c r="C540" s="4" t="str">
        <f>IFERROR(__xludf.DUMMYFUNCTION("""COMPUTED_VALUE"""),"Yea, so are all the lesser animals of today clean.")</f>
        <v>Yea, so are all the lesser animals of today clean.</v>
      </c>
      <c r="D540" s="4" t="str">
        <f>IFERROR(__xludf.DUMMYFUNCTION("""COMPUTED_VALUE""")," ")</f>
        <v> </v>
      </c>
    </row>
    <row r="541">
      <c r="A541" s="5" t="s">
        <v>3938</v>
      </c>
      <c r="B541" s="4" t="str">
        <f>IFERROR(__xludf.DUMMYFUNCTION("SPLIT(A541,"""""")"")"),"( arctic_a0541 ")</f>
        <v>( arctic_a0541 </v>
      </c>
      <c r="C541" s="4" t="str">
        <f>IFERROR(__xludf.DUMMYFUNCTION("""COMPUTED_VALUE"""),"The Warden with a quart of champagne.")</f>
        <v>The Warden with a quart of champagne.</v>
      </c>
      <c r="D541" s="4" t="str">
        <f>IFERROR(__xludf.DUMMYFUNCTION("""COMPUTED_VALUE""")," ")</f>
        <v> </v>
      </c>
    </row>
    <row r="542">
      <c r="A542" s="5" t="s">
        <v>3939</v>
      </c>
      <c r="B542" s="4" t="str">
        <f>IFERROR(__xludf.DUMMYFUNCTION("SPLIT(A542,"""""")"")"),"( arctic_a0542 ")</f>
        <v>( arctic_a0542 </v>
      </c>
      <c r="C542" s="4" t="str">
        <f>IFERROR(__xludf.DUMMYFUNCTION("""COMPUTED_VALUE"""),"Without a doubt, some of them have dinner engagements.")</f>
        <v>Without a doubt, some of them have dinner engagements.</v>
      </c>
      <c r="D542" s="4" t="str">
        <f>IFERROR(__xludf.DUMMYFUNCTION("""COMPUTED_VALUE""")," ")</f>
        <v> </v>
      </c>
    </row>
    <row r="543">
      <c r="A543" s="5" t="s">
        <v>3940</v>
      </c>
      <c r="B543" s="4" t="str">
        <f>IFERROR(__xludf.DUMMYFUNCTION("SPLIT(A543,"""""")"")"),"( arctic_a0543 ")</f>
        <v>( arctic_a0543 </v>
      </c>
      <c r="C543" s="4" t="str">
        <f>IFERROR(__xludf.DUMMYFUNCTION("""COMPUTED_VALUE"""),"I had been born with no organic, chemical predisposition toward alcohol.")</f>
        <v>I had been born with no organic, chemical predisposition toward alcohol.</v>
      </c>
      <c r="D543" s="4" t="str">
        <f>IFERROR(__xludf.DUMMYFUNCTION("""COMPUTED_VALUE""")," ")</f>
        <v> </v>
      </c>
    </row>
    <row r="544">
      <c r="A544" s="5" t="s">
        <v>3941</v>
      </c>
      <c r="B544" s="4" t="str">
        <f>IFERROR(__xludf.DUMMYFUNCTION("SPLIT(A544,"""""")"")"),"( arctic_a0544 ")</f>
        <v>( arctic_a0544 </v>
      </c>
      <c r="C544" s="4" t="str">
        <f>IFERROR(__xludf.DUMMYFUNCTION("""COMPUTED_VALUE"""),"He may anticipate the day of his death.")</f>
        <v>He may anticipate the day of his death.</v>
      </c>
      <c r="D544" s="4" t="str">
        <f>IFERROR(__xludf.DUMMYFUNCTION("""COMPUTED_VALUE""")," ")</f>
        <v> </v>
      </c>
    </row>
    <row r="545">
      <c r="A545" s="5" t="s">
        <v>3942</v>
      </c>
      <c r="B545" s="4" t="str">
        <f>IFERROR(__xludf.DUMMYFUNCTION("SPLIT(A545,"""""")"")"),"( arctic_a0545 ")</f>
        <v>( arctic_a0545 </v>
      </c>
      <c r="C545" s="4" t="str">
        <f>IFERROR(__xludf.DUMMYFUNCTION("""COMPUTED_VALUE"""),"The Italian rancho was a bachelor establishment.")</f>
        <v>The Italian rancho was a bachelor establishment.</v>
      </c>
      <c r="D545" s="4" t="str">
        <f>IFERROR(__xludf.DUMMYFUNCTION("""COMPUTED_VALUE""")," ")</f>
        <v> </v>
      </c>
    </row>
    <row r="546">
      <c r="A546" s="5" t="s">
        <v>3943</v>
      </c>
      <c r="B546" s="4" t="str">
        <f>IFERROR(__xludf.DUMMYFUNCTION("SPLIT(A546,"""""")"")"),"( arctic_a0546 ")</f>
        <v>( arctic_a0546 </v>
      </c>
      <c r="C546" s="4" t="str">
        <f>IFERROR(__xludf.DUMMYFUNCTION("""COMPUTED_VALUE"""),"I lost my balance and pitched head foremost into the ooze.")</f>
        <v>I lost my balance and pitched head foremost into the ooze.</v>
      </c>
      <c r="D546" s="4" t="str">
        <f>IFERROR(__xludf.DUMMYFUNCTION("""COMPUTED_VALUE""")," ")</f>
        <v> </v>
      </c>
    </row>
    <row r="547">
      <c r="A547" s="5" t="s">
        <v>3944</v>
      </c>
      <c r="B547" s="4" t="str">
        <f>IFERROR(__xludf.DUMMYFUNCTION("SPLIT(A547,"""""")"")"),"( arctic_a0547 ")</f>
        <v>( arctic_a0547 </v>
      </c>
      <c r="C547" s="4" t="str">
        <f>IFERROR(__xludf.DUMMYFUNCTION("""COMPUTED_VALUE"""),"Men like Joe Goose dated existence from drunk to drunk.")</f>
        <v>Men like Joe Goose dated existence from drunk to drunk.</v>
      </c>
      <c r="D547" s="4" t="str">
        <f>IFERROR(__xludf.DUMMYFUNCTION("""COMPUTED_VALUE""")," ")</f>
        <v> </v>
      </c>
    </row>
    <row r="548">
      <c r="A548" s="5" t="s">
        <v>3945</v>
      </c>
      <c r="B548" s="4" t="str">
        <f>IFERROR(__xludf.DUMMYFUNCTION("SPLIT(A548,"""""")"")"),"( arctic_a0548 ")</f>
        <v>( arctic_a0548 </v>
      </c>
      <c r="C548" s="4" t="str">
        <f>IFERROR(__xludf.DUMMYFUNCTION("""COMPUTED_VALUE"""),"Also, churches and preachers I had never known.")</f>
        <v>Also, churches and preachers I had never known.</v>
      </c>
      <c r="D548" s="4" t="str">
        <f>IFERROR(__xludf.DUMMYFUNCTION("""COMPUTED_VALUE""")," ")</f>
        <v> </v>
      </c>
    </row>
    <row r="549">
      <c r="A549" s="5" t="s">
        <v>3946</v>
      </c>
      <c r="B549" s="4" t="str">
        <f>IFERROR(__xludf.DUMMYFUNCTION("SPLIT(A549,"""""")"")"),"( arctic_a0549 ")</f>
        <v>( arctic_a0549 </v>
      </c>
      <c r="C549" s="4" t="str">
        <f>IFERROR(__xludf.DUMMYFUNCTION("""COMPUTED_VALUE"""),"Do you know that we weigh every pound of coal we burn.")</f>
        <v>Do you know that we weigh every pound of coal we burn.</v>
      </c>
      <c r="D549" s="4" t="str">
        <f>IFERROR(__xludf.DUMMYFUNCTION("""COMPUTED_VALUE""")," ")</f>
        <v> </v>
      </c>
    </row>
    <row r="550">
      <c r="A550" s="5" t="s">
        <v>3947</v>
      </c>
      <c r="B550" s="4" t="str">
        <f>IFERROR(__xludf.DUMMYFUNCTION("SPLIT(A550,"""""")"")"),"( arctic_a0550 ")</f>
        <v>( arctic_a0550 </v>
      </c>
      <c r="C550" s="4" t="str">
        <f>IFERROR(__xludf.DUMMYFUNCTION("""COMPUTED_VALUE"""),"This also became part of the daily schedule.")</f>
        <v>This also became part of the daily schedule.</v>
      </c>
      <c r="D550" s="4" t="str">
        <f>IFERROR(__xludf.DUMMYFUNCTION("""COMPUTED_VALUE""")," ")</f>
        <v> </v>
      </c>
    </row>
    <row r="551">
      <c r="A551" s="5" t="s">
        <v>3948</v>
      </c>
      <c r="B551" s="4" t="str">
        <f>IFERROR(__xludf.DUMMYFUNCTION("SPLIT(A551,"""""")"")"),"( arctic_a0551 ")</f>
        <v>( arctic_a0551 </v>
      </c>
      <c r="C551" s="4" t="str">
        <f>IFERROR(__xludf.DUMMYFUNCTION("""COMPUTED_VALUE"""),"All an appearance can know is mirage.")</f>
        <v>All an appearance can know is mirage.</v>
      </c>
      <c r="D551" s="4" t="str">
        <f>IFERROR(__xludf.DUMMYFUNCTION("""COMPUTED_VALUE""")," ")</f>
        <v> </v>
      </c>
    </row>
    <row r="552">
      <c r="A552" s="5" t="s">
        <v>3949</v>
      </c>
      <c r="B552" s="4" t="str">
        <f>IFERROR(__xludf.DUMMYFUNCTION("SPLIT(A552,"""""")"")"),"( arctic_a0552 ")</f>
        <v>( arctic_a0552 </v>
      </c>
      <c r="C552" s="4" t="str">
        <f>IFERROR(__xludf.DUMMYFUNCTION("""COMPUTED_VALUE"""),"Yet he dreams he is immortal, I argue feebly.")</f>
        <v>Yet he dreams he is immortal, I argue feebly.</v>
      </c>
      <c r="D552" s="4" t="str">
        <f>IFERROR(__xludf.DUMMYFUNCTION("""COMPUTED_VALUE""")," ")</f>
        <v> </v>
      </c>
    </row>
    <row r="553">
      <c r="A553" s="5" t="s">
        <v>3950</v>
      </c>
      <c r="B553" s="4" t="str">
        <f>IFERROR(__xludf.DUMMYFUNCTION("SPLIT(A553,"""""")"")"),"( arctic_a0553 ")</f>
        <v>( arctic_a0553 </v>
      </c>
      <c r="C553" s="4" t="str">
        <f>IFERROR(__xludf.DUMMYFUNCTION("""COMPUTED_VALUE"""),"I am writing these lines in Honolulu, Hawaii.")</f>
        <v>I am writing these lines in Honolulu, Hawaii.</v>
      </c>
      <c r="D553" s="4" t="str">
        <f>IFERROR(__xludf.DUMMYFUNCTION("""COMPUTED_VALUE""")," ")</f>
        <v> </v>
      </c>
    </row>
    <row r="554">
      <c r="A554" s="5" t="s">
        <v>3951</v>
      </c>
      <c r="B554" s="4" t="str">
        <f>IFERROR(__xludf.DUMMYFUNCTION("SPLIT(A554,"""""")"")"),"( arctic_a0554 ")</f>
        <v>( arctic_a0554 </v>
      </c>
      <c r="C554" s="4" t="str">
        <f>IFERROR(__xludf.DUMMYFUNCTION("""COMPUTED_VALUE"""),"Jack London, Waikiki Beach, Honolulu, Oahu.")</f>
        <v>Jack London, Waikiki Beach, Honolulu, Oahu.</v>
      </c>
      <c r="D554" s="4" t="str">
        <f>IFERROR(__xludf.DUMMYFUNCTION("""COMPUTED_VALUE""")," ")</f>
        <v> </v>
      </c>
    </row>
    <row r="555">
      <c r="A555" s="5" t="s">
        <v>3952</v>
      </c>
      <c r="B555" s="4" t="str">
        <f>IFERROR(__xludf.DUMMYFUNCTION("SPLIT(A555,"""""")"")"),"( arctic_a0555 ")</f>
        <v>( arctic_a0555 </v>
      </c>
      <c r="C555" s="4" t="str">
        <f>IFERROR(__xludf.DUMMYFUNCTION("""COMPUTED_VALUE"""),"Jerry was so secure in his nook that he did not roll away.")</f>
        <v>Jerry was so secure in his nook that he did not roll away.</v>
      </c>
      <c r="D555" s="4" t="str">
        <f>IFERROR(__xludf.DUMMYFUNCTION("""COMPUTED_VALUE""")," ")</f>
        <v> </v>
      </c>
    </row>
    <row r="556">
      <c r="A556" s="5" t="s">
        <v>3953</v>
      </c>
      <c r="B556" s="4" t="str">
        <f>IFERROR(__xludf.DUMMYFUNCTION("SPLIT(A556,"""""")"")"),"( arctic_a0556 ")</f>
        <v>( arctic_a0556 </v>
      </c>
      <c r="C556" s="4" t="str">
        <f>IFERROR(__xludf.DUMMYFUNCTION("""COMPUTED_VALUE"""),"Why, he's bought forty pounds of goods from you already.")</f>
        <v>Why, he's bought forty pounds of goods from you already.</v>
      </c>
      <c r="D556" s="4" t="str">
        <f>IFERROR(__xludf.DUMMYFUNCTION("""COMPUTED_VALUE""")," ")</f>
        <v> </v>
      </c>
    </row>
    <row r="557">
      <c r="A557" s="5" t="s">
        <v>3954</v>
      </c>
      <c r="B557" s="4" t="str">
        <f>IFERROR(__xludf.DUMMYFUNCTION("SPLIT(A557,"""""")"")"),"( arctic_a0557 ")</f>
        <v>( arctic_a0557 </v>
      </c>
      <c r="C557" s="4" t="str">
        <f>IFERROR(__xludf.DUMMYFUNCTION("""COMPUTED_VALUE"""),"The last refugee had passed.")</f>
        <v>The last refugee had passed.</v>
      </c>
      <c r="D557" s="4" t="str">
        <f>IFERROR(__xludf.DUMMYFUNCTION("""COMPUTED_VALUE""")," ")</f>
        <v> </v>
      </c>
    </row>
    <row r="558">
      <c r="A558" s="5" t="s">
        <v>3955</v>
      </c>
      <c r="B558" s="4" t="str">
        <f>IFERROR(__xludf.DUMMYFUNCTION("SPLIT(A558,"""""")"")"),"( arctic_a0558 ")</f>
        <v>( arctic_a0558 </v>
      </c>
      <c r="C558" s="4" t="str">
        <f>IFERROR(__xludf.DUMMYFUNCTION("""COMPUTED_VALUE"""),"And the foundation stone of service, in his case, was obedience.")</f>
        <v>And the foundation stone of service, in his case, was obedience.</v>
      </c>
      <c r="D558" s="4" t="str">
        <f>IFERROR(__xludf.DUMMYFUNCTION("""COMPUTED_VALUE""")," ")</f>
        <v> </v>
      </c>
    </row>
    <row r="559">
      <c r="A559" s="5" t="s">
        <v>3956</v>
      </c>
      <c r="B559" s="4" t="str">
        <f>IFERROR(__xludf.DUMMYFUNCTION("SPLIT(A559,"""""")"")"),"( arctic_a0559 ")</f>
        <v>( arctic_a0559 </v>
      </c>
      <c r="C559" s="4" t="str">
        <f>IFERROR(__xludf.DUMMYFUNCTION("""COMPUTED_VALUE"""),"Peace be unto you and grace before the Lord.")</f>
        <v>Peace be unto you and grace before the Lord.</v>
      </c>
      <c r="D559" s="4" t="str">
        <f>IFERROR(__xludf.DUMMYFUNCTION("""COMPUTED_VALUE""")," ")</f>
        <v> </v>
      </c>
    </row>
    <row r="560">
      <c r="A560" s="5" t="s">
        <v>3957</v>
      </c>
      <c r="B560" s="4" t="str">
        <f>IFERROR(__xludf.DUMMYFUNCTION("SPLIT(A560,"""""")"")"),"( arctic_a0560 ")</f>
        <v>( arctic_a0560 </v>
      </c>
      <c r="C560" s="4" t="str">
        <f>IFERROR(__xludf.DUMMYFUNCTION("""COMPUTED_VALUE"""),"His mouth opened; words shaped vainly on his lips.")</f>
        <v>His mouth opened; words shaped vainly on his lips.</v>
      </c>
      <c r="D560" s="4" t="str">
        <f>IFERROR(__xludf.DUMMYFUNCTION("""COMPUTED_VALUE""")," ")</f>
        <v> </v>
      </c>
    </row>
    <row r="561">
      <c r="A561" s="5" t="s">
        <v>3958</v>
      </c>
      <c r="B561" s="4" t="str">
        <f>IFERROR(__xludf.DUMMYFUNCTION("SPLIT(A561,"""""")"")"),"( arctic_a0561 ")</f>
        <v>( arctic_a0561 </v>
      </c>
      <c r="C561" s="4" t="str">
        <f>IFERROR(__xludf.DUMMYFUNCTION("""COMPUTED_VALUE"""),"Bill lingered, contemplating his work with artistic appreciation.")</f>
        <v>Bill lingered, contemplating his work with artistic appreciation.</v>
      </c>
      <c r="D561" s="4" t="str">
        <f>IFERROR(__xludf.DUMMYFUNCTION("""COMPUTED_VALUE""")," ")</f>
        <v> </v>
      </c>
    </row>
    <row r="562">
      <c r="A562" s="5" t="s">
        <v>3959</v>
      </c>
      <c r="B562" s="4" t="str">
        <f>IFERROR(__xludf.DUMMYFUNCTION("SPLIT(A562,"""""")"")"),"( arctic_a0562 ")</f>
        <v>( arctic_a0562 </v>
      </c>
      <c r="C562" s="4" t="str">
        <f>IFERROR(__xludf.DUMMYFUNCTION("""COMPUTED_VALUE"""),"What the flaming.")</f>
        <v>What the flaming.</v>
      </c>
      <c r="D562" s="4" t="str">
        <f>IFERROR(__xludf.DUMMYFUNCTION("""COMPUTED_VALUE""")," ")</f>
        <v> </v>
      </c>
    </row>
    <row r="563">
      <c r="A563" s="5" t="s">
        <v>3960</v>
      </c>
      <c r="B563" s="4" t="str">
        <f>IFERROR(__xludf.DUMMYFUNCTION("SPLIT(A563,"""""")"")"),"( arctic_a0563 ")</f>
        <v>( arctic_a0563 </v>
      </c>
      <c r="C563" s="4" t="str">
        <f>IFERROR(__xludf.DUMMYFUNCTION("""COMPUTED_VALUE"""),"Mrs McFee's jaws brought together with a snap.")</f>
        <v>Mrs McFee's jaws brought together with a snap.</v>
      </c>
      <c r="D563" s="4" t="str">
        <f>IFERROR(__xludf.DUMMYFUNCTION("""COMPUTED_VALUE""")," ")</f>
        <v> </v>
      </c>
    </row>
    <row r="564">
      <c r="A564" s="5" t="s">
        <v>3961</v>
      </c>
      <c r="B564" s="4" t="str">
        <f>IFERROR(__xludf.DUMMYFUNCTION("SPLIT(A564,"""""")"")"),"( arctic_a0564 ")</f>
        <v>( arctic_a0564 </v>
      </c>
      <c r="C564" s="4" t="str">
        <f>IFERROR(__xludf.DUMMYFUNCTION("""COMPUTED_VALUE"""),"Then it is as I said, Womble announced with finality.")</f>
        <v>Then it is as I said, Womble announced with finality.</v>
      </c>
      <c r="D564" s="4" t="str">
        <f>IFERROR(__xludf.DUMMYFUNCTION("""COMPUTED_VALUE""")," ")</f>
        <v> </v>
      </c>
    </row>
    <row r="565">
      <c r="A565" s="5" t="s">
        <v>3962</v>
      </c>
      <c r="B565" s="4" t="str">
        <f>IFERROR(__xludf.DUMMYFUNCTION("SPLIT(A565,"""""")"")"),"( arctic_a0565 ")</f>
        <v>( arctic_a0565 </v>
      </c>
      <c r="C565" s="4" t="str">
        <f>IFERROR(__xludf.DUMMYFUNCTION("""COMPUTED_VALUE"""),"With them were Indians, also three other men.")</f>
        <v>With them were Indians, also three other men.</v>
      </c>
      <c r="D565" s="4" t="str">
        <f>IFERROR(__xludf.DUMMYFUNCTION("""COMPUTED_VALUE""")," ")</f>
        <v> </v>
      </c>
    </row>
    <row r="566">
      <c r="A566" s="5" t="s">
        <v>3963</v>
      </c>
      <c r="B566" s="4" t="str">
        <f>IFERROR(__xludf.DUMMYFUNCTION("SPLIT(A566,"""""")"")"),"( arctic_a0566 ")</f>
        <v>( arctic_a0566 </v>
      </c>
      <c r="C566" s="4" t="str">
        <f>IFERROR(__xludf.DUMMYFUNCTION("""COMPUTED_VALUE"""),"Dennin's hands were released long enough for him to sign the document.")</f>
        <v>Dennin's hands were released long enough for him to sign the document.</v>
      </c>
      <c r="D566" s="4" t="str">
        <f>IFERROR(__xludf.DUMMYFUNCTION("""COMPUTED_VALUE""")," ")</f>
        <v> </v>
      </c>
    </row>
    <row r="567">
      <c r="A567" s="5" t="s">
        <v>3964</v>
      </c>
      <c r="B567" s="4" t="str">
        <f>IFERROR(__xludf.DUMMYFUNCTION("SPLIT(A567,"""""")"")"),"( arctic_a0567 ")</f>
        <v>( arctic_a0567 </v>
      </c>
      <c r="C567" s="4" t="str">
        <f>IFERROR(__xludf.DUMMYFUNCTION("""COMPUTED_VALUE"""),"Now Irvine was a man of impulse, a poet.")</f>
        <v>Now Irvine was a man of impulse, a poet.</v>
      </c>
      <c r="D567" s="4" t="str">
        <f>IFERROR(__xludf.DUMMYFUNCTION("""COMPUTED_VALUE""")," ")</f>
        <v> </v>
      </c>
    </row>
    <row r="568">
      <c r="A568" s="5" t="s">
        <v>3965</v>
      </c>
      <c r="B568" s="4" t="str">
        <f>IFERROR(__xludf.DUMMYFUNCTION("SPLIT(A568,"""""")"")"),"( arctic_a0568 ")</f>
        <v>( arctic_a0568 </v>
      </c>
      <c r="C568" s="4" t="str">
        <f>IFERROR(__xludf.DUMMYFUNCTION("""COMPUTED_VALUE"""),"He was just bursting with joy, joy over what.")</f>
        <v>He was just bursting with joy, joy over what.</v>
      </c>
      <c r="D568" s="4" t="str">
        <f>IFERROR(__xludf.DUMMYFUNCTION("""COMPUTED_VALUE""")," ")</f>
        <v> </v>
      </c>
    </row>
    <row r="569">
      <c r="A569" s="5" t="s">
        <v>3966</v>
      </c>
      <c r="B569" s="4" t="str">
        <f>IFERROR(__xludf.DUMMYFUNCTION("SPLIT(A569,"""""")"")"),"( arctic_a0569 ")</f>
        <v>( arctic_a0569 </v>
      </c>
      <c r="C569" s="4" t="str">
        <f>IFERROR(__xludf.DUMMYFUNCTION("""COMPUTED_VALUE"""),"At Lake Linderman I had one canoe, very good Peterborough canoe.")</f>
        <v>At Lake Linderman I had one canoe, very good Peterborough canoe.</v>
      </c>
      <c r="D569" s="4" t="str">
        <f>IFERROR(__xludf.DUMMYFUNCTION("""COMPUTED_VALUE""")," ")</f>
        <v> </v>
      </c>
    </row>
    <row r="570">
      <c r="A570" s="5" t="s">
        <v>3967</v>
      </c>
      <c r="B570" s="4" t="str">
        <f>IFERROR(__xludf.DUMMYFUNCTION("SPLIT(A570,"""""")"")"),"( arctic_a0570 ")</f>
        <v>( arctic_a0570 </v>
      </c>
      <c r="C570" s="4" t="str">
        <f>IFERROR(__xludf.DUMMYFUNCTION("""COMPUTED_VALUE"""),"Behind him lay the thousand-years-long road across all Siberia and Russia.")</f>
        <v>Behind him lay the thousand-years-long road across all Siberia and Russia.</v>
      </c>
      <c r="D570" s="4" t="str">
        <f>IFERROR(__xludf.DUMMYFUNCTION("""COMPUTED_VALUE""")," ")</f>
        <v> </v>
      </c>
    </row>
    <row r="571">
      <c r="A571" s="5" t="s">
        <v>3968</v>
      </c>
      <c r="B571" s="4" t="str">
        <f>IFERROR(__xludf.DUMMYFUNCTION("SPLIT(A571,"""""")"")"),"( arctic_a0571 ")</f>
        <v>( arctic_a0571 </v>
      </c>
      <c r="C571" s="4" t="str">
        <f>IFERROR(__xludf.DUMMYFUNCTION("""COMPUTED_VALUE"""),"He had forgotten to build a fire and thaw out.")</f>
        <v>He had forgotten to build a fire and thaw out.</v>
      </c>
      <c r="D571" s="4" t="str">
        <f>IFERROR(__xludf.DUMMYFUNCTION("""COMPUTED_VALUE""")," ")</f>
        <v> </v>
      </c>
    </row>
    <row r="572">
      <c r="A572" s="5" t="s">
        <v>3969</v>
      </c>
      <c r="B572" s="4" t="str">
        <f>IFERROR(__xludf.DUMMYFUNCTION("SPLIT(A572,"""""")"")"),"( arctic_a0572 ")</f>
        <v>( arctic_a0572 </v>
      </c>
      <c r="C572" s="4" t="str">
        <f>IFERROR(__xludf.DUMMYFUNCTION("""COMPUTED_VALUE"""),"I never saw anything like her in my life.")</f>
        <v>I never saw anything like her in my life.</v>
      </c>
      <c r="D572" s="4" t="str">
        <f>IFERROR(__xludf.DUMMYFUNCTION("""COMPUTED_VALUE""")," ")</f>
        <v> </v>
      </c>
    </row>
    <row r="573">
      <c r="A573" s="5" t="s">
        <v>3970</v>
      </c>
      <c r="B573" s="4" t="str">
        <f>IFERROR(__xludf.DUMMYFUNCTION("SPLIT(A573,"""""")"")"),"( arctic_a0573 ")</f>
        <v>( arctic_a0573 </v>
      </c>
      <c r="C573" s="4" t="str">
        <f>IFERROR(__xludf.DUMMYFUNCTION("""COMPUTED_VALUE"""),"There was no law on the Yukon save what they made for themselves.")</f>
        <v>There was no law on the Yukon save what they made for themselves.</v>
      </c>
      <c r="D573" s="4" t="str">
        <f>IFERROR(__xludf.DUMMYFUNCTION("""COMPUTED_VALUE""")," ")</f>
        <v> </v>
      </c>
    </row>
    <row r="574">
      <c r="A574" s="5" t="s">
        <v>3971</v>
      </c>
      <c r="B574" s="4" t="str">
        <f>IFERROR(__xludf.DUMMYFUNCTION("SPLIT(A574,"""""")"")"),"( arctic_a0574 ")</f>
        <v>( arctic_a0574 </v>
      </c>
      <c r="C574" s="4" t="str">
        <f>IFERROR(__xludf.DUMMYFUNCTION("""COMPUTED_VALUE"""),"Good business man, Curly, O'Brien was saying.")</f>
        <v>Good business man, Curly, O'Brien was saying.</v>
      </c>
      <c r="D574" s="4" t="str">
        <f>IFERROR(__xludf.DUMMYFUNCTION("""COMPUTED_VALUE""")," ")</f>
        <v> </v>
      </c>
    </row>
    <row r="575">
      <c r="A575" s="5" t="s">
        <v>3972</v>
      </c>
      <c r="B575" s="4" t="str">
        <f>IFERROR(__xludf.DUMMYFUNCTION("SPLIT(A575,"""""")"")"),"( arctic_a0575 ")</f>
        <v>( arctic_a0575 </v>
      </c>
      <c r="C575" s="4" t="str">
        <f>IFERROR(__xludf.DUMMYFUNCTION("""COMPUTED_VALUE"""),"There weren't any missions, and he was the man to know.")</f>
        <v>There weren't any missions, and he was the man to know.</v>
      </c>
      <c r="D575" s="4" t="str">
        <f>IFERROR(__xludf.DUMMYFUNCTION("""COMPUTED_VALUE""")," ")</f>
        <v> </v>
      </c>
    </row>
    <row r="576">
      <c r="A576" s="5" t="s">
        <v>3973</v>
      </c>
      <c r="B576" s="4" t="str">
        <f>IFERROR(__xludf.DUMMYFUNCTION("SPLIT(A576,"""""")"")"),"( arctic_a0576 ")</f>
        <v>( arctic_a0576 </v>
      </c>
      <c r="C576" s="4" t="str">
        <f>IFERROR(__xludf.DUMMYFUNCTION("""COMPUTED_VALUE"""),"And the big Persian knew of his existence before he did of hers.")</f>
        <v>And the big Persian knew of his existence before he did of hers.</v>
      </c>
      <c r="D576" s="4" t="str">
        <f>IFERROR(__xludf.DUMMYFUNCTION("""COMPUTED_VALUE""")," ")</f>
        <v> </v>
      </c>
    </row>
    <row r="577">
      <c r="A577" s="5" t="s">
        <v>3974</v>
      </c>
      <c r="B577" s="4" t="str">
        <f>IFERROR(__xludf.DUMMYFUNCTION("SPLIT(A577,"""""")"")"),"( arctic_a0577 ")</f>
        <v>( arctic_a0577 </v>
      </c>
      <c r="C577" s="4" t="str">
        <f>IFERROR(__xludf.DUMMYFUNCTION("""COMPUTED_VALUE"""),"Once the jews harp began emitting its barbaric rhythms, Michael was helpless.")</f>
        <v>Once the jews harp began emitting its barbaric rhythms, Michael was helpless.</v>
      </c>
      <c r="D577" s="4" t="str">
        <f>IFERROR(__xludf.DUMMYFUNCTION("""COMPUTED_VALUE""")," ")</f>
        <v> </v>
      </c>
    </row>
    <row r="578">
      <c r="A578" s="5" t="s">
        <v>3975</v>
      </c>
      <c r="B578" s="4" t="str">
        <f>IFERROR(__xludf.DUMMYFUNCTION("SPLIT(A578,"""""")"")"),"( arctic_a0578 ")</f>
        <v>( arctic_a0578 </v>
      </c>
      <c r="C578" s="4" t="str">
        <f>IFERROR(__xludf.DUMMYFUNCTION("""COMPUTED_VALUE"""),"But we'll just postpone this.")</f>
        <v>But we'll just postpone this.</v>
      </c>
      <c r="D578" s="4" t="str">
        <f>IFERROR(__xludf.DUMMYFUNCTION("""COMPUTED_VALUE""")," ")</f>
        <v> </v>
      </c>
    </row>
    <row r="579">
      <c r="A579" s="5" t="s">
        <v>3976</v>
      </c>
      <c r="B579" s="4" t="str">
        <f>IFERROR(__xludf.DUMMYFUNCTION("SPLIT(A579,"""""")"")"),"( arctic_a0579 ")</f>
        <v>( arctic_a0579 </v>
      </c>
      <c r="C579" s="4" t="str">
        <f>IFERROR(__xludf.DUMMYFUNCTION("""COMPUTED_VALUE"""),"There was the Emma Louisa.")</f>
        <v>There was the Emma Louisa.</v>
      </c>
      <c r="D579" s="4" t="str">
        <f>IFERROR(__xludf.DUMMYFUNCTION("""COMPUTED_VALUE""")," ")</f>
        <v> </v>
      </c>
    </row>
    <row r="580">
      <c r="A580" s="5" t="s">
        <v>3977</v>
      </c>
      <c r="B580" s="4" t="str">
        <f>IFERROR(__xludf.DUMMYFUNCTION("SPLIT(A580,"""""")"")"),"( arctic_a0580 ")</f>
        <v>( arctic_a0580 </v>
      </c>
      <c r="C580" s="4" t="str">
        <f>IFERROR(__xludf.DUMMYFUNCTION("""COMPUTED_VALUE"""),"This is my fifth voyage.")</f>
        <v>This is my fifth voyage.</v>
      </c>
      <c r="D580" s="4" t="str">
        <f>IFERROR(__xludf.DUMMYFUNCTION("""COMPUTED_VALUE""")," ")</f>
        <v> </v>
      </c>
    </row>
    <row r="581">
      <c r="A581" s="5" t="s">
        <v>3978</v>
      </c>
      <c r="B581" s="4" t="str">
        <f>IFERROR(__xludf.DUMMYFUNCTION("SPLIT(A581,"""""")"")"),"( arctic_a0581 ")</f>
        <v>( arctic_a0581 </v>
      </c>
      <c r="C581" s="4" t="str">
        <f>IFERROR(__xludf.DUMMYFUNCTION("""COMPUTED_VALUE"""),"It was this proposition that started the big idea in Daughtry's mind.")</f>
        <v>It was this proposition that started the big idea in Daughtry's mind.</v>
      </c>
      <c r="D581" s="4" t="str">
        <f>IFERROR(__xludf.DUMMYFUNCTION("""COMPUTED_VALUE""")," ")</f>
        <v> </v>
      </c>
    </row>
    <row r="582">
      <c r="A582" s="5" t="s">
        <v>3979</v>
      </c>
      <c r="B582" s="4" t="str">
        <f>IFERROR(__xludf.DUMMYFUNCTION("SPLIT(A582,"""""")"")"),"( arctic_a0582 ")</f>
        <v>( arctic_a0582 </v>
      </c>
      <c r="C582" s="4" t="str">
        <f>IFERROR(__xludf.DUMMYFUNCTION("""COMPUTED_VALUE"""),"Daughtry elaborated on the counting trick by bringing Cocky along.")</f>
        <v>Daughtry elaborated on the counting trick by bringing Cocky along.</v>
      </c>
      <c r="D582" s="4" t="str">
        <f>IFERROR(__xludf.DUMMYFUNCTION("""COMPUTED_VALUE""")," ")</f>
        <v> </v>
      </c>
    </row>
    <row r="583">
      <c r="A583" s="5" t="s">
        <v>3980</v>
      </c>
      <c r="B583" s="4" t="str">
        <f>IFERROR(__xludf.DUMMYFUNCTION("SPLIT(A583,"""""")"")"),"( arctic_a0583 ")</f>
        <v>( arctic_a0583 </v>
      </c>
      <c r="C583" s="4" t="str">
        <f>IFERROR(__xludf.DUMMYFUNCTION("""COMPUTED_VALUE"""),"Enjoy it he did, but principally for Steward's sake.")</f>
        <v>Enjoy it he did, but principally for Steward's sake.</v>
      </c>
      <c r="D583" s="4" t="str">
        <f>IFERROR(__xludf.DUMMYFUNCTION("""COMPUTED_VALUE""")," ")</f>
        <v> </v>
      </c>
    </row>
    <row r="584">
      <c r="A584" s="5" t="s">
        <v>3981</v>
      </c>
      <c r="B584" s="4" t="str">
        <f>IFERROR(__xludf.DUMMYFUNCTION("SPLIT(A584,"""""")"")"),"( arctic_a0584 ")</f>
        <v>( arctic_a0584 </v>
      </c>
      <c r="C584" s="4" t="str">
        <f>IFERROR(__xludf.DUMMYFUNCTION("""COMPUTED_VALUE"""),"I have long noted your thirst unquenchable.")</f>
        <v>I have long noted your thirst unquenchable.</v>
      </c>
      <c r="D584" s="4" t="str">
        <f>IFERROR(__xludf.DUMMYFUNCTION("""COMPUTED_VALUE""")," ")</f>
        <v> </v>
      </c>
    </row>
    <row r="585">
      <c r="A585" s="5" t="s">
        <v>3982</v>
      </c>
      <c r="B585" s="4" t="str">
        <f>IFERROR(__xludf.DUMMYFUNCTION("SPLIT(A585,"""""")"")"),"( arctic_a0585 ")</f>
        <v>( arctic_a0585 </v>
      </c>
      <c r="C585" s="4" t="str">
        <f>IFERROR(__xludf.DUMMYFUNCTION("""COMPUTED_VALUE"""),"Wonder if he's a lion dog, Charles suggested.")</f>
        <v>Wonder if he's a lion dog, Charles suggested.</v>
      </c>
      <c r="D585" s="4" t="str">
        <f>IFERROR(__xludf.DUMMYFUNCTION("""COMPUTED_VALUE""")," ")</f>
        <v> </v>
      </c>
    </row>
    <row r="586">
      <c r="A586" s="5" t="s">
        <v>3983</v>
      </c>
      <c r="B586" s="4" t="str">
        <f>IFERROR(__xludf.DUMMYFUNCTION("SPLIT(A586,"""""")"")"),"( arctic_a0586 ")</f>
        <v>( arctic_a0586 </v>
      </c>
      <c r="C586" s="4" t="str">
        <f>IFERROR(__xludf.DUMMYFUNCTION("""COMPUTED_VALUE"""),"We don't see ourselves as foolish.")</f>
        <v>We don't see ourselves as foolish.</v>
      </c>
      <c r="D586" s="4" t="str">
        <f>IFERROR(__xludf.DUMMYFUNCTION("""COMPUTED_VALUE""")," ")</f>
        <v> </v>
      </c>
    </row>
    <row r="587">
      <c r="A587" s="5" t="s">
        <v>3984</v>
      </c>
      <c r="B587" s="4" t="str">
        <f>IFERROR(__xludf.DUMMYFUNCTION("SPLIT(A587,"""""")"")"),"( arctic_a0587 ")</f>
        <v>( arctic_a0587 </v>
      </c>
      <c r="C587" s="4" t="str">
        <f>IFERROR(__xludf.DUMMYFUNCTION("""COMPUTED_VALUE"""),"He had comparatively no advantages at first.")</f>
        <v>He had comparatively no advantages at first.</v>
      </c>
      <c r="D587" s="4" t="str">
        <f>IFERROR(__xludf.DUMMYFUNCTION("""COMPUTED_VALUE""")," ")</f>
        <v> </v>
      </c>
    </row>
    <row r="588">
      <c r="A588" s="5" t="s">
        <v>3985</v>
      </c>
      <c r="B588" s="4" t="str">
        <f>IFERROR(__xludf.DUMMYFUNCTION("SPLIT(A588,"""""")"")"),"( arctic_a0588 ")</f>
        <v>( arctic_a0588 </v>
      </c>
      <c r="C588" s="4" t="str">
        <f>IFERROR(__xludf.DUMMYFUNCTION("""COMPUTED_VALUE"""),"He had proved it today, with his amateurish and sophomoric productions.")</f>
        <v>He had proved it today, with his amateurish and sophomoric productions.</v>
      </c>
      <c r="D588" s="4" t="str">
        <f>IFERROR(__xludf.DUMMYFUNCTION("""COMPUTED_VALUE""")," ")</f>
        <v> </v>
      </c>
    </row>
    <row r="589">
      <c r="A589" s="5" t="s">
        <v>3986</v>
      </c>
      <c r="B589" s="4" t="str">
        <f>IFERROR(__xludf.DUMMYFUNCTION("SPLIT(A589,"""""")"")"),"( arctic_a0589 ")</f>
        <v>( arctic_a0589 </v>
      </c>
      <c r="C589" s="4" t="str">
        <f>IFERROR(__xludf.DUMMYFUNCTION("""COMPUTED_VALUE"""),"I was sick once -- typhoid.")</f>
        <v>I was sick once -- typhoid.</v>
      </c>
      <c r="D589" s="4" t="str">
        <f>IFERROR(__xludf.DUMMYFUNCTION("""COMPUTED_VALUE""")," ")</f>
        <v> </v>
      </c>
    </row>
    <row r="590">
      <c r="A590" s="5" t="s">
        <v>3987</v>
      </c>
      <c r="B590" s="4" t="str">
        <f>IFERROR(__xludf.DUMMYFUNCTION("SPLIT(A590,"""""")"")"),"( arctic_a0590 ")</f>
        <v>( arctic_a0590 </v>
      </c>
      <c r="C590" s="4" t="str">
        <f>IFERROR(__xludf.DUMMYFUNCTION("""COMPUTED_VALUE"""),"In a way he is my protege.")</f>
        <v>In a way he is my protege.</v>
      </c>
      <c r="D590" s="4" t="str">
        <f>IFERROR(__xludf.DUMMYFUNCTION("""COMPUTED_VALUE""")," ")</f>
        <v> </v>
      </c>
    </row>
    <row r="591">
      <c r="A591" s="5" t="s">
        <v>3988</v>
      </c>
      <c r="B591" s="4" t="str">
        <f>IFERROR(__xludf.DUMMYFUNCTION("SPLIT(A591,"""""")"")"),"( arctic_a0591 ")</f>
        <v>( arctic_a0591 </v>
      </c>
      <c r="C591" s="4" t="str">
        <f>IFERROR(__xludf.DUMMYFUNCTION("""COMPUTED_VALUE"""),"We are both children together.")</f>
        <v>We are both children together.</v>
      </c>
      <c r="D591" s="4" t="str">
        <f>IFERROR(__xludf.DUMMYFUNCTION("""COMPUTED_VALUE""")," ")</f>
        <v> </v>
      </c>
    </row>
    <row r="592">
      <c r="A592" s="5" t="s">
        <v>3989</v>
      </c>
      <c r="B592" s="4" t="str">
        <f>IFERROR(__xludf.DUMMYFUNCTION("SPLIT(A592,"""""")"")"),"( arctic_a0592 ")</f>
        <v>( arctic_a0592 </v>
      </c>
      <c r="C592" s="4" t="str">
        <f>IFERROR(__xludf.DUMMYFUNCTION("""COMPUTED_VALUE"""),"It's only his indigestion I find fault with.")</f>
        <v>It's only his indigestion I find fault with.</v>
      </c>
      <c r="D592" s="4" t="str">
        <f>IFERROR(__xludf.DUMMYFUNCTION("""COMPUTED_VALUE""")," ")</f>
        <v> </v>
      </c>
    </row>
    <row r="593">
      <c r="A593" s="5" t="s">
        <v>3990</v>
      </c>
      <c r="B593" s="4" t="str">
        <f>IFERROR(__xludf.DUMMYFUNCTION("SPLIT(A593,"""""")"")"),"( arctic_a0593 ")</f>
        <v>( arctic_a0593 </v>
      </c>
      <c r="C593" s="4" t="str">
        <f>IFERROR(__xludf.DUMMYFUNCTION("""COMPUTED_VALUE"""),"She'd make a good wife for the cashier.")</f>
        <v>She'd make a good wife for the cashier.</v>
      </c>
      <c r="D593" s="4" t="str">
        <f>IFERROR(__xludf.DUMMYFUNCTION("""COMPUTED_VALUE""")," ")</f>
        <v> </v>
      </c>
    </row>
    <row r="594">
      <c r="A594" s="5" t="s">
        <v>3991</v>
      </c>
      <c r="B594" s="4" t="str">
        <f>IFERROR(__xludf.DUMMYFUNCTION("SPLIT(A594,"""""")"")"),"( arctic_b0001 ")</f>
        <v>( arctic_b0001 </v>
      </c>
      <c r="C594" s="4" t="str">
        <f>IFERROR(__xludf.DUMMYFUNCTION("""COMPUTED_VALUE"""),"Gad, do I remember it.")</f>
        <v>Gad, do I remember it.</v>
      </c>
      <c r="D594" s="4" t="str">
        <f>IFERROR(__xludf.DUMMYFUNCTION("""COMPUTED_VALUE""")," ")</f>
        <v> </v>
      </c>
    </row>
    <row r="595">
      <c r="A595" s="5" t="s">
        <v>3992</v>
      </c>
      <c r="B595" s="4" t="str">
        <f>IFERROR(__xludf.DUMMYFUNCTION("SPLIT(A595,"""""")"")"),"( arctic_b0002 ")</f>
        <v>( arctic_b0002 </v>
      </c>
      <c r="C595" s="4" t="str">
        <f>IFERROR(__xludf.DUMMYFUNCTION("""COMPUTED_VALUE"""),"You got out by fighting, and I through a pretty girl.")</f>
        <v>You got out by fighting, and I through a pretty girl.</v>
      </c>
      <c r="D595" s="4" t="str">
        <f>IFERROR(__xludf.DUMMYFUNCTION("""COMPUTED_VALUE""")," ")</f>
        <v> </v>
      </c>
    </row>
    <row r="596">
      <c r="A596" s="5" t="s">
        <v>3993</v>
      </c>
      <c r="B596" s="4" t="str">
        <f>IFERROR(__xludf.DUMMYFUNCTION("SPLIT(A596,"""""")"")"),"( arctic_b0003 ")</f>
        <v>( arctic_b0003 </v>
      </c>
      <c r="C596" s="4" t="str">
        <f>IFERROR(__xludf.DUMMYFUNCTION("""COMPUTED_VALUE"""),"I can see that knife now.")</f>
        <v>I can see that knife now.</v>
      </c>
      <c r="D596" s="4" t="str">
        <f>IFERROR(__xludf.DUMMYFUNCTION("""COMPUTED_VALUE""")," ")</f>
        <v> </v>
      </c>
    </row>
    <row r="597">
      <c r="A597" s="5" t="s">
        <v>3994</v>
      </c>
      <c r="B597" s="4" t="str">
        <f>IFERROR(__xludf.DUMMYFUNCTION("SPLIT(A597,"""""")"")"),"( arctic_b0004 ")</f>
        <v>( arctic_b0004 </v>
      </c>
      <c r="C597" s="4" t="str">
        <f>IFERROR(__xludf.DUMMYFUNCTION("""COMPUTED_VALUE"""),"When I can't see beauty in woman I want to die.")</f>
        <v>When I can't see beauty in woman I want to die.</v>
      </c>
      <c r="D597" s="4" t="str">
        <f>IFERROR(__xludf.DUMMYFUNCTION("""COMPUTED_VALUE""")," ")</f>
        <v> </v>
      </c>
    </row>
    <row r="598">
      <c r="A598" s="5" t="s">
        <v>3995</v>
      </c>
      <c r="B598" s="4" t="str">
        <f>IFERROR(__xludf.DUMMYFUNCTION("SPLIT(A598,"""""")"")"),"( arctic_b0005 ")</f>
        <v>( arctic_b0005 </v>
      </c>
      <c r="C598" s="4" t="str">
        <f>IFERROR(__xludf.DUMMYFUNCTION("""COMPUTED_VALUE"""),"His slim fingers closed like steel about Philip's.")</f>
        <v>His slim fingers closed like steel about Philip's.</v>
      </c>
      <c r="D598" s="4" t="str">
        <f>IFERROR(__xludf.DUMMYFUNCTION("""COMPUTED_VALUE""")," ")</f>
        <v> </v>
      </c>
    </row>
    <row r="599">
      <c r="A599" s="5" t="s">
        <v>3996</v>
      </c>
      <c r="B599" s="4" t="str">
        <f>IFERROR(__xludf.DUMMYFUNCTION("SPLIT(A599,"""""")"")"),"( arctic_b0006 ")</f>
        <v>( arctic_b0006 </v>
      </c>
      <c r="C599" s="4" t="str">
        <f>IFERROR(__xludf.DUMMYFUNCTION("""COMPUTED_VALUE"""),"He seized Gregson by the arm and led him to the door.")</f>
        <v>He seized Gregson by the arm and led him to the door.</v>
      </c>
      <c r="D599" s="4" t="str">
        <f>IFERROR(__xludf.DUMMYFUNCTION("""COMPUTED_VALUE""")," ")</f>
        <v> </v>
      </c>
    </row>
    <row r="600">
      <c r="A600" s="5" t="s">
        <v>3997</v>
      </c>
      <c r="B600" s="4" t="str">
        <f>IFERROR(__xludf.DUMMYFUNCTION("SPLIT(A600,"""""")"")"),"( arctic_b0007 ")</f>
        <v>( arctic_b0007 </v>
      </c>
      <c r="C600" s="4" t="str">
        <f>IFERROR(__xludf.DUMMYFUNCTION("""COMPUTED_VALUE"""),"Hear the Indian dogs wailing down at Churchill.")</f>
        <v>Hear the Indian dogs wailing down at Churchill.</v>
      </c>
      <c r="D600" s="4" t="str">
        <f>IFERROR(__xludf.DUMMYFUNCTION("""COMPUTED_VALUE""")," ")</f>
        <v> </v>
      </c>
    </row>
    <row r="601">
      <c r="A601" s="5" t="s">
        <v>3998</v>
      </c>
      <c r="B601" s="4" t="str">
        <f>IFERROR(__xludf.DUMMYFUNCTION("SPLIT(A601,"""""")"")"),"( arctic_b0008 ")</f>
        <v>( arctic_b0008 </v>
      </c>
      <c r="C601" s="4" t="str">
        <f>IFERROR(__xludf.DUMMYFUNCTION("""COMPUTED_VALUE"""),"Burke himself had criticized it because of the smile.")</f>
        <v>Burke himself had criticized it because of the smile.</v>
      </c>
      <c r="D601" s="4" t="str">
        <f>IFERROR(__xludf.DUMMYFUNCTION("""COMPUTED_VALUE""")," ")</f>
        <v> </v>
      </c>
    </row>
    <row r="602">
      <c r="A602" s="5" t="s">
        <v>3999</v>
      </c>
      <c r="B602" s="4" t="str">
        <f>IFERROR(__xludf.DUMMYFUNCTION("SPLIT(A602,"""""")"")"),"( arctic_b0009 ")</f>
        <v>( arctic_b0009 </v>
      </c>
      <c r="C602" s="4" t="str">
        <f>IFERROR(__xludf.DUMMYFUNCTION("""COMPUTED_VALUE"""),"I'd say there was going to be a glorious scrap.")</f>
        <v>I'd say there was going to be a glorious scrap.</v>
      </c>
      <c r="D602" s="4" t="str">
        <f>IFERROR(__xludf.DUMMYFUNCTION("""COMPUTED_VALUE""")," ")</f>
        <v> </v>
      </c>
    </row>
    <row r="603">
      <c r="A603" s="5" t="s">
        <v>4000</v>
      </c>
      <c r="B603" s="4" t="str">
        <f>IFERROR(__xludf.DUMMYFUNCTION("SPLIT(A603,"""""")"")"),"( arctic_b0010 ")</f>
        <v>( arctic_b0010 </v>
      </c>
      <c r="C603" s="4" t="str">
        <f>IFERROR(__xludf.DUMMYFUNCTION("""COMPUTED_VALUE"""),"He turned the map to Gregson, pointing with his finger.")</f>
        <v>He turned the map to Gregson, pointing with his finger.</v>
      </c>
      <c r="D603" s="4" t="str">
        <f>IFERROR(__xludf.DUMMYFUNCTION("""COMPUTED_VALUE""")," ")</f>
        <v> </v>
      </c>
    </row>
    <row r="604">
      <c r="A604" s="5" t="s">
        <v>4001</v>
      </c>
      <c r="B604" s="4" t="str">
        <f>IFERROR(__xludf.DUMMYFUNCTION("SPLIT(A604,"""""")"")"),"( arctic_b0011 ")</f>
        <v>( arctic_b0011 </v>
      </c>
      <c r="C604" s="4" t="str">
        <f>IFERROR(__xludf.DUMMYFUNCTION("""COMPUTED_VALUE"""),"His eyes never took themselves for an instant from his companion's face.")</f>
        <v>His eyes never took themselves for an instant from his companion's face.</v>
      </c>
      <c r="D604" s="4" t="str">
        <f>IFERROR(__xludf.DUMMYFUNCTION("""COMPUTED_VALUE""")," ")</f>
        <v> </v>
      </c>
    </row>
    <row r="605">
      <c r="A605" s="5" t="s">
        <v>4002</v>
      </c>
      <c r="B605" s="4" t="str">
        <f>IFERROR(__xludf.DUMMYFUNCTION("SPLIT(A605,"""""")"")"),"( arctic_b0012 ")</f>
        <v>( arctic_b0012 </v>
      </c>
      <c r="C605" s="4" t="str">
        <f>IFERROR(__xludf.DUMMYFUNCTION("""COMPUTED_VALUE"""),"Something that Whittemore had not yet said thrilled him.")</f>
        <v>Something that Whittemore had not yet said thrilled him.</v>
      </c>
      <c r="D605" s="4" t="str">
        <f>IFERROR(__xludf.DUMMYFUNCTION("""COMPUTED_VALUE""")," ")</f>
        <v> </v>
      </c>
    </row>
    <row r="606">
      <c r="A606" s="5" t="s">
        <v>4003</v>
      </c>
      <c r="B606" s="4" t="str">
        <f>IFERROR(__xludf.DUMMYFUNCTION("SPLIT(A606,"""""")"")"),"( arctic_b0013 ")</f>
        <v>( arctic_b0013 </v>
      </c>
      <c r="C606" s="4" t="str">
        <f>IFERROR(__xludf.DUMMYFUNCTION("""COMPUTED_VALUE"""),"Lakes and rivers, hundreds of them, thousands of them.")</f>
        <v>Lakes and rivers, hundreds of them, thousands of them.</v>
      </c>
      <c r="D606" s="4" t="str">
        <f>IFERROR(__xludf.DUMMYFUNCTION("""COMPUTED_VALUE""")," ")</f>
        <v> </v>
      </c>
    </row>
    <row r="607">
      <c r="A607" s="5" t="s">
        <v>4004</v>
      </c>
      <c r="B607" s="4" t="str">
        <f>IFERROR(__xludf.DUMMYFUNCTION("SPLIT(A607,"""""")"")"),"( arctic_b0014 ")</f>
        <v>( arctic_b0014 </v>
      </c>
      <c r="C607" s="4" t="str">
        <f>IFERROR(__xludf.DUMMYFUNCTION("""COMPUTED_VALUE"""),"Whitefish, Gregson, whitefish and trout.")</f>
        <v>Whitefish, Gregson, whitefish and trout.</v>
      </c>
      <c r="D607" s="4" t="str">
        <f>IFERROR(__xludf.DUMMYFUNCTION("""COMPUTED_VALUE""")," ")</f>
        <v> </v>
      </c>
    </row>
    <row r="608">
      <c r="A608" s="5" t="s">
        <v>4005</v>
      </c>
      <c r="B608" s="4" t="str">
        <f>IFERROR(__xludf.DUMMYFUNCTION("SPLIT(A608,"""""")"")"),"( arctic_b0015 ")</f>
        <v>( arctic_b0015 </v>
      </c>
      <c r="C608" s="4" t="str">
        <f>IFERROR(__xludf.DUMMYFUNCTION("""COMPUTED_VALUE"""),"They robbed me a few years later.")</f>
        <v>They robbed me a few years later.</v>
      </c>
      <c r="D608" s="4" t="str">
        <f>IFERROR(__xludf.DUMMYFUNCTION("""COMPUTED_VALUE""")," ")</f>
        <v> </v>
      </c>
    </row>
    <row r="609">
      <c r="A609" s="5" t="s">
        <v>4006</v>
      </c>
      <c r="B609" s="4" t="str">
        <f>IFERROR(__xludf.DUMMYFUNCTION("SPLIT(A609,"""""")"")"),"( arctic_b0016 ")</f>
        <v>( arctic_b0016 </v>
      </c>
      <c r="C609" s="4" t="str">
        <f>IFERROR(__xludf.DUMMYFUNCTION("""COMPUTED_VALUE"""),"He chuckled as he pulled out his pipe and began filling it.")</f>
        <v>He chuckled as he pulled out his pipe and began filling it.</v>
      </c>
      <c r="D609" s="4" t="str">
        <f>IFERROR(__xludf.DUMMYFUNCTION("""COMPUTED_VALUE""")," ")</f>
        <v> </v>
      </c>
    </row>
    <row r="610">
      <c r="A610" s="5" t="s">
        <v>4007</v>
      </c>
      <c r="B610" s="4" t="str">
        <f>IFERROR(__xludf.DUMMYFUNCTION("SPLIT(A610,"""""")"")"),"( arctic_b0017 ")</f>
        <v>( arctic_b0017 </v>
      </c>
      <c r="C610" s="4" t="str">
        <f>IFERROR(__xludf.DUMMYFUNCTION("""COMPUTED_VALUE"""),"Everything was working smoothly, better than I had expected.")</f>
        <v>Everything was working smoothly, better than I had expected.</v>
      </c>
      <c r="D610" s="4" t="str">
        <f>IFERROR(__xludf.DUMMYFUNCTION("""COMPUTED_VALUE""")," ")</f>
        <v> </v>
      </c>
    </row>
    <row r="611">
      <c r="A611" s="5" t="s">
        <v>4008</v>
      </c>
      <c r="B611" s="4" t="str">
        <f>IFERROR(__xludf.DUMMYFUNCTION("SPLIT(A611,"""""")"")"),"( arctic_b0018 ")</f>
        <v>( arctic_b0018 </v>
      </c>
      <c r="C611" s="4" t="str">
        <f>IFERROR(__xludf.DUMMYFUNCTION("""COMPUTED_VALUE"""),"I was completely lost in my work.")</f>
        <v>I was completely lost in my work.</v>
      </c>
      <c r="D611" s="4" t="str">
        <f>IFERROR(__xludf.DUMMYFUNCTION("""COMPUTED_VALUE""")," ")</f>
        <v> </v>
      </c>
    </row>
    <row r="612">
      <c r="A612" s="5" t="s">
        <v>4009</v>
      </c>
      <c r="B612" s="4" t="str">
        <f>IFERROR(__xludf.DUMMYFUNCTION("SPLIT(A612,"""""")"")"),"( arctic_b0019 ")</f>
        <v>( arctic_b0019 </v>
      </c>
      <c r="C612" s="4" t="str">
        <f>IFERROR(__xludf.DUMMYFUNCTION("""COMPUTED_VALUE"""),"His slim hands gripped the edges of the table.")</f>
        <v>His slim hands gripped the edges of the table.</v>
      </c>
      <c r="D612" s="4" t="str">
        <f>IFERROR(__xludf.DUMMYFUNCTION("""COMPUTED_VALUE""")," ")</f>
        <v> </v>
      </c>
    </row>
    <row r="613">
      <c r="A613" s="5" t="s">
        <v>4010</v>
      </c>
      <c r="B613" s="4" t="str">
        <f>IFERROR(__xludf.DUMMYFUNCTION("SPLIT(A613,"""""")"")"),"( arctic_b0020 ")</f>
        <v>( arctic_b0020 </v>
      </c>
      <c r="C613" s="4" t="str">
        <f>IFERROR(__xludf.DUMMYFUNCTION("""COMPUTED_VALUE"""),"He made no reply as he waited for Whittemore to continue.")</f>
        <v>He made no reply as he waited for Whittemore to continue.</v>
      </c>
      <c r="D613" s="4" t="str">
        <f>IFERROR(__xludf.DUMMYFUNCTION("""COMPUTED_VALUE""")," ")</f>
        <v> </v>
      </c>
    </row>
    <row r="614">
      <c r="A614" s="5" t="s">
        <v>4011</v>
      </c>
      <c r="B614" s="4" t="str">
        <f>IFERROR(__xludf.DUMMYFUNCTION("SPLIT(A614,"""""")"")"),"( arctic_b0021 ")</f>
        <v>( arctic_b0021 </v>
      </c>
      <c r="C614" s="4" t="str">
        <f>IFERROR(__xludf.DUMMYFUNCTION("""COMPUTED_VALUE"""),"Philip dropped back into his chair.")</f>
        <v>Philip dropped back into his chair.</v>
      </c>
      <c r="D614" s="4" t="str">
        <f>IFERROR(__xludf.DUMMYFUNCTION("""COMPUTED_VALUE""")," ")</f>
        <v> </v>
      </c>
    </row>
    <row r="615">
      <c r="A615" s="5" t="s">
        <v>4012</v>
      </c>
      <c r="B615" s="4" t="str">
        <f>IFERROR(__xludf.DUMMYFUNCTION("SPLIT(A615,"""""")"")"),"( arctic_b0022 ")</f>
        <v>( arctic_b0022 </v>
      </c>
      <c r="C615" s="4" t="str">
        <f>IFERROR(__xludf.DUMMYFUNCTION("""COMPUTED_VALUE"""),"If I was out of the game it would be easily made.")</f>
        <v>If I was out of the game it would be easily made.</v>
      </c>
      <c r="D615" s="4" t="str">
        <f>IFERROR(__xludf.DUMMYFUNCTION("""COMPUTED_VALUE""")," ")</f>
        <v> </v>
      </c>
    </row>
    <row r="616">
      <c r="A616" s="5" t="s">
        <v>4013</v>
      </c>
      <c r="B616" s="4" t="str">
        <f>IFERROR(__xludf.DUMMYFUNCTION("SPLIT(A616,"""""")"")"),"( arctic_b0023 ")</f>
        <v>( arctic_b0023 </v>
      </c>
      <c r="C616" s="4" t="str">
        <f>IFERROR(__xludf.DUMMYFUNCTION("""COMPUTED_VALUE"""),"MacDougall, my engineer, believes it.")</f>
        <v>MacDougall, my engineer, believes it.</v>
      </c>
      <c r="D616" s="4" t="str">
        <f>IFERROR(__xludf.DUMMYFUNCTION("""COMPUTED_VALUE""")," ")</f>
        <v> </v>
      </c>
    </row>
    <row r="617">
      <c r="A617" s="5" t="s">
        <v>4014</v>
      </c>
      <c r="B617" s="4" t="str">
        <f>IFERROR(__xludf.DUMMYFUNCTION("SPLIT(A617,"""""")"")"),"( arctic_b0024 ")</f>
        <v>( arctic_b0024 </v>
      </c>
      <c r="C617" s="4" t="str">
        <f>IFERROR(__xludf.DUMMYFUNCTION("""COMPUTED_VALUE"""),"It is growing, every day, every hour.")</f>
        <v>It is growing, every day, every hour.</v>
      </c>
      <c r="D617" s="4" t="str">
        <f>IFERROR(__xludf.DUMMYFUNCTION("""COMPUTED_VALUE""")," ")</f>
        <v> </v>
      </c>
    </row>
    <row r="618">
      <c r="A618" s="5" t="s">
        <v>4015</v>
      </c>
      <c r="B618" s="4" t="str">
        <f>IFERROR(__xludf.DUMMYFUNCTION("SPLIT(A618,"""""")"")"),"( arctic_b0025 ")</f>
        <v>( arctic_b0025 </v>
      </c>
      <c r="C618" s="4" t="str">
        <f>IFERROR(__xludf.DUMMYFUNCTION("""COMPUTED_VALUE"""),"Now, you understand.")</f>
        <v>Now, you understand.</v>
      </c>
      <c r="D618" s="4" t="str">
        <f>IFERROR(__xludf.DUMMYFUNCTION("""COMPUTED_VALUE""")," ")</f>
        <v> </v>
      </c>
    </row>
    <row r="619">
      <c r="A619" s="5" t="s">
        <v>4016</v>
      </c>
      <c r="B619" s="4" t="str">
        <f>IFERROR(__xludf.DUMMYFUNCTION("SPLIT(A619,"""""")"")"),"( arctic_b0026 ")</f>
        <v>( arctic_b0026 </v>
      </c>
      <c r="C619" s="4" t="str">
        <f>IFERROR(__xludf.DUMMYFUNCTION("""COMPUTED_VALUE"""),"You have associated with some of these men.")</f>
        <v>You have associated with some of these men.</v>
      </c>
      <c r="D619" s="4" t="str">
        <f>IFERROR(__xludf.DUMMYFUNCTION("""COMPUTED_VALUE""")," ")</f>
        <v> </v>
      </c>
    </row>
    <row r="620">
      <c r="A620" s="5" t="s">
        <v>4017</v>
      </c>
      <c r="B620" s="4" t="str">
        <f>IFERROR(__xludf.DUMMYFUNCTION("SPLIT(A620,"""""")"")"),"( arctic_b0027 ")</f>
        <v>( arctic_b0027 </v>
      </c>
      <c r="C620" s="4" t="str">
        <f>IFERROR(__xludf.DUMMYFUNCTION("""COMPUTED_VALUE"""),"And there's no chivalry, no quarter shown in this fight.")</f>
        <v>And there's no chivalry, no quarter shown in this fight.</v>
      </c>
      <c r="D620" s="4" t="str">
        <f>IFERROR(__xludf.DUMMYFUNCTION("""COMPUTED_VALUE""")," ")</f>
        <v> </v>
      </c>
    </row>
    <row r="621">
      <c r="A621" s="5" t="s">
        <v>4018</v>
      </c>
      <c r="B621" s="4" t="str">
        <f>IFERROR(__xludf.DUMMYFUNCTION("SPLIT(A621,"""""")"")"),"( arctic_b0028 ")</f>
        <v>( arctic_b0028 </v>
      </c>
      <c r="C621" s="4" t="str">
        <f>IFERROR(__xludf.DUMMYFUNCTION("""COMPUTED_VALUE"""),"Lord Fitzhugh is the key to the whole situation.")</f>
        <v>Lord Fitzhugh is the key to the whole situation.</v>
      </c>
      <c r="D621" s="4" t="str">
        <f>IFERROR(__xludf.DUMMYFUNCTION("""COMPUTED_VALUE""")," ")</f>
        <v> </v>
      </c>
    </row>
    <row r="622">
      <c r="A622" s="5" t="s">
        <v>4019</v>
      </c>
      <c r="B622" s="4" t="str">
        <f>IFERROR(__xludf.DUMMYFUNCTION("SPLIT(A622,"""""")"")"),"( arctic_b0029 ")</f>
        <v>( arctic_b0029 </v>
      </c>
      <c r="C622" s="4" t="str">
        <f>IFERROR(__xludf.DUMMYFUNCTION("""COMPUTED_VALUE"""),"All operations have been carried on from Montreal and Toronto.")</f>
        <v>All operations have been carried on from Montreal and Toronto.</v>
      </c>
      <c r="D622" s="4" t="str">
        <f>IFERROR(__xludf.DUMMYFUNCTION("""COMPUTED_VALUE""")," ")</f>
        <v> </v>
      </c>
    </row>
    <row r="623">
      <c r="A623" s="5" t="s">
        <v>4020</v>
      </c>
      <c r="B623" s="4" t="str">
        <f>IFERROR(__xludf.DUMMYFUNCTION("SPLIT(A623,"""""")"")"),"( arctic_b0030 ")</f>
        <v>( arctic_b0030 </v>
      </c>
      <c r="C623" s="4" t="str">
        <f>IFERROR(__xludf.DUMMYFUNCTION("""COMPUTED_VALUE"""),"Gregson held a lighted match until it burnt his fingertips.")</f>
        <v>Gregson held a lighted match until it burnt his fingertips.</v>
      </c>
      <c r="D623" s="4" t="str">
        <f>IFERROR(__xludf.DUMMYFUNCTION("""COMPUTED_VALUE""")," ")</f>
        <v> </v>
      </c>
    </row>
    <row r="624">
      <c r="A624" s="5" t="s">
        <v>4021</v>
      </c>
      <c r="B624" s="4" t="str">
        <f>IFERROR(__xludf.DUMMYFUNCTION("SPLIT(A624,"""""")"")"),"( arctic_b0031 ")</f>
        <v>( arctic_b0031 </v>
      </c>
      <c r="C624" s="4" t="str">
        <f>IFERROR(__xludf.DUMMYFUNCTION("""COMPUTED_VALUE"""),"Gregson had seated himself under the lamp and was sharpening a pencil.")</f>
        <v>Gregson had seated himself under the lamp and was sharpening a pencil.</v>
      </c>
      <c r="D624" s="4" t="str">
        <f>IFERROR(__xludf.DUMMYFUNCTION("""COMPUTED_VALUE""")," ")</f>
        <v> </v>
      </c>
    </row>
    <row r="625">
      <c r="A625" s="5" t="s">
        <v>4022</v>
      </c>
      <c r="B625" s="4" t="str">
        <f>IFERROR(__xludf.DUMMYFUNCTION("SPLIT(A625,"""""")"")"),"( arctic_b0032 ")</f>
        <v>( arctic_b0032 </v>
      </c>
      <c r="C625" s="4" t="str">
        <f>IFERROR(__xludf.DUMMYFUNCTION("""COMPUTED_VALUE"""),"He caught himself with a jerk.")</f>
        <v>He caught himself with a jerk.</v>
      </c>
      <c r="D625" s="4" t="str">
        <f>IFERROR(__xludf.DUMMYFUNCTION("""COMPUTED_VALUE""")," ")</f>
        <v> </v>
      </c>
    </row>
    <row r="626">
      <c r="A626" s="5" t="s">
        <v>4023</v>
      </c>
      <c r="B626" s="4" t="str">
        <f>IFERROR(__xludf.DUMMYFUNCTION("SPLIT(A626,"""""")"")"),"( arctic_b0033 ")</f>
        <v>( arctic_b0033 </v>
      </c>
      <c r="C626" s="4" t="str">
        <f>IFERROR(__xludf.DUMMYFUNCTION("""COMPUTED_VALUE"""),"How does your wager look now.")</f>
        <v>How does your wager look now.</v>
      </c>
      <c r="D626" s="4" t="str">
        <f>IFERROR(__xludf.DUMMYFUNCTION("""COMPUTED_VALUE""")," ")</f>
        <v> </v>
      </c>
    </row>
    <row r="627">
      <c r="A627" s="5" t="s">
        <v>4024</v>
      </c>
      <c r="B627" s="4" t="str">
        <f>IFERROR(__xludf.DUMMYFUNCTION("SPLIT(A627,"""""")"")"),"( arctic_b0034 ")</f>
        <v>( arctic_b0034 </v>
      </c>
      <c r="C627" s="4" t="str">
        <f>IFERROR(__xludf.DUMMYFUNCTION("""COMPUTED_VALUE"""),"He confessed that the sketch had startled him.")</f>
        <v>He confessed that the sketch had startled him.</v>
      </c>
      <c r="D627" s="4" t="str">
        <f>IFERROR(__xludf.DUMMYFUNCTION("""COMPUTED_VALUE""")," ")</f>
        <v> </v>
      </c>
    </row>
    <row r="628">
      <c r="A628" s="5" t="s">
        <v>4025</v>
      </c>
      <c r="B628" s="4" t="str">
        <f>IFERROR(__xludf.DUMMYFUNCTION("SPLIT(A628,"""""")"")"),"( arctic_b0035 ")</f>
        <v>( arctic_b0035 </v>
      </c>
      <c r="C628" s="4" t="str">
        <f>IFERROR(__xludf.DUMMYFUNCTION("""COMPUTED_VALUE"""),"After all, the picture was only a resemblance.")</f>
        <v>After all, the picture was only a resemblance.</v>
      </c>
      <c r="D628" s="4" t="str">
        <f>IFERROR(__xludf.DUMMYFUNCTION("""COMPUTED_VALUE""")," ")</f>
        <v> </v>
      </c>
    </row>
    <row r="629">
      <c r="A629" s="5" t="s">
        <v>4026</v>
      </c>
      <c r="B629" s="4" t="str">
        <f>IFERROR(__xludf.DUMMYFUNCTION("SPLIT(A629,"""""")"")"),"( arctic_b0036 ")</f>
        <v>( arctic_b0036 </v>
      </c>
      <c r="C629" s="4" t="str">
        <f>IFERROR(__xludf.DUMMYFUNCTION("""COMPUTED_VALUE"""),"He wondered, too, where Roscoe was.")</f>
        <v>He wondered, too, where Roscoe was.</v>
      </c>
      <c r="D629" s="4" t="str">
        <f>IFERROR(__xludf.DUMMYFUNCTION("""COMPUTED_VALUE""")," ")</f>
        <v> </v>
      </c>
    </row>
    <row r="630">
      <c r="A630" s="5" t="s">
        <v>4027</v>
      </c>
      <c r="B630" s="4" t="str">
        <f>IFERROR(__xludf.DUMMYFUNCTION("SPLIT(A630,"""""")"")"),"( arctic_b0037 ")</f>
        <v>( arctic_b0037 </v>
      </c>
      <c r="C630" s="4" t="str">
        <f>IFERROR(__xludf.DUMMYFUNCTION("""COMPUTED_VALUE"""),"Philip knew that she was not an Indian.")</f>
        <v>Philip knew that she was not an Indian.</v>
      </c>
      <c r="D630" s="4" t="str">
        <f>IFERROR(__xludf.DUMMYFUNCTION("""COMPUTED_VALUE""")," ")</f>
        <v> </v>
      </c>
    </row>
    <row r="631">
      <c r="A631" s="5" t="s">
        <v>4028</v>
      </c>
      <c r="B631" s="4" t="str">
        <f>IFERROR(__xludf.DUMMYFUNCTION("SPLIT(A631,"""""")"")"),"( arctic_b0038 ")</f>
        <v>( arctic_b0038 </v>
      </c>
      <c r="C631" s="4" t="str">
        <f>IFERROR(__xludf.DUMMYFUNCTION("""COMPUTED_VALUE"""),"In her haste to get away she had forgotten these things.")</f>
        <v>In her haste to get away she had forgotten these things.</v>
      </c>
      <c r="D631" s="4" t="str">
        <f>IFERROR(__xludf.DUMMYFUNCTION("""COMPUTED_VALUE""")," ")</f>
        <v> </v>
      </c>
    </row>
    <row r="632">
      <c r="A632" s="5" t="s">
        <v>4029</v>
      </c>
      <c r="B632" s="4" t="str">
        <f>IFERROR(__xludf.DUMMYFUNCTION("SPLIT(A632,"""""")"")"),"( arctic_b0039 ")</f>
        <v>( arctic_b0039 </v>
      </c>
      <c r="C632" s="4" t="str">
        <f>IFERROR(__xludf.DUMMYFUNCTION("""COMPUTED_VALUE"""),"Philip took a step toward Gregson, half determined to awaken him.")</f>
        <v>Philip took a step toward Gregson, half determined to awaken him.</v>
      </c>
      <c r="D632" s="4" t="str">
        <f>IFERROR(__xludf.DUMMYFUNCTION("""COMPUTED_VALUE""")," ")</f>
        <v> </v>
      </c>
    </row>
    <row r="633">
      <c r="A633" s="5" t="s">
        <v>4030</v>
      </c>
      <c r="B633" s="4" t="str">
        <f>IFERROR(__xludf.DUMMYFUNCTION("SPLIT(A633,"""""")"")"),"( arctic_b0040 ")</f>
        <v>( arctic_b0040 </v>
      </c>
      <c r="C633" s="4" t="str">
        <f>IFERROR(__xludf.DUMMYFUNCTION("""COMPUTED_VALUE"""),"The thought set his blood tingling.")</f>
        <v>The thought set his blood tingling.</v>
      </c>
      <c r="D633" s="4" t="str">
        <f>IFERROR(__xludf.DUMMYFUNCTION("""COMPUTED_VALUE""")," ")</f>
        <v> </v>
      </c>
    </row>
    <row r="634">
      <c r="A634" s="5" t="s">
        <v>4031</v>
      </c>
      <c r="B634" s="4" t="str">
        <f>IFERROR(__xludf.DUMMYFUNCTION("SPLIT(A634,"""""")"")"),"( arctic_b0041 ")</f>
        <v>( arctic_b0041 </v>
      </c>
      <c r="C634" s="4" t="str">
        <f>IFERROR(__xludf.DUMMYFUNCTION("""COMPUTED_VALUE"""),"But if Pierre did not return, until tomorrow.")</f>
        <v>But if Pierre did not return, until tomorrow.</v>
      </c>
      <c r="D634" s="4" t="str">
        <f>IFERROR(__xludf.DUMMYFUNCTION("""COMPUTED_VALUE""")," ")</f>
        <v> </v>
      </c>
    </row>
    <row r="635">
      <c r="A635" s="5" t="s">
        <v>4032</v>
      </c>
      <c r="B635" s="4" t="str">
        <f>IFERROR(__xludf.DUMMYFUNCTION("SPLIT(A635,"""""")"")"),"( arctic_b0042 ")</f>
        <v>( arctic_b0042 </v>
      </c>
      <c r="C635" s="4" t="str">
        <f>IFERROR(__xludf.DUMMYFUNCTION("""COMPUTED_VALUE"""),"Ten minutes had not elapsed since he had dropped the handkerchief.")</f>
        <v>Ten minutes had not elapsed since he had dropped the handkerchief.</v>
      </c>
      <c r="D635" s="4" t="str">
        <f>IFERROR(__xludf.DUMMYFUNCTION("""COMPUTED_VALUE""")," ")</f>
        <v> </v>
      </c>
    </row>
    <row r="636">
      <c r="A636" s="5" t="s">
        <v>4033</v>
      </c>
      <c r="B636" s="4" t="str">
        <f>IFERROR(__xludf.DUMMYFUNCTION("SPLIT(A636,"""""")"")"),"( arctic_b0043 ")</f>
        <v>( arctic_b0043 </v>
      </c>
      <c r="C636" s="4" t="str">
        <f>IFERROR(__xludf.DUMMYFUNCTION("""COMPUTED_VALUE"""),"It won't be for sale.")</f>
        <v>It won't be for sale.</v>
      </c>
      <c r="D636" s="4" t="str">
        <f>IFERROR(__xludf.DUMMYFUNCTION("""COMPUTED_VALUE""")," ")</f>
        <v> </v>
      </c>
    </row>
    <row r="637">
      <c r="A637" s="5" t="s">
        <v>4034</v>
      </c>
      <c r="B637" s="4" t="str">
        <f>IFERROR(__xludf.DUMMYFUNCTION("SPLIT(A637,"""""")"")"),"( arctic_b0044 ")</f>
        <v>( arctic_b0044 </v>
      </c>
      <c r="C637" s="4" t="str">
        <f>IFERROR(__xludf.DUMMYFUNCTION("""COMPUTED_VALUE"""),"For a few moments he ate in silence.")</f>
        <v>For a few moments he ate in silence.</v>
      </c>
      <c r="D637" s="4" t="str">
        <f>IFERROR(__xludf.DUMMYFUNCTION("""COMPUTED_VALUE""")," ")</f>
        <v> </v>
      </c>
    </row>
    <row r="638">
      <c r="A638" s="5" t="s">
        <v>4035</v>
      </c>
      <c r="B638" s="4" t="str">
        <f>IFERROR(__xludf.DUMMYFUNCTION("SPLIT(A638,"""""")"")"),"( arctic_b0045 ")</f>
        <v>( arctic_b0045 </v>
      </c>
      <c r="C638" s="4" t="str">
        <f>IFERROR(__xludf.DUMMYFUNCTION("""COMPUTED_VALUE"""),"Philip did not pursue the subject.")</f>
        <v>Philip did not pursue the subject.</v>
      </c>
      <c r="D638" s="4" t="str">
        <f>IFERROR(__xludf.DUMMYFUNCTION("""COMPUTED_VALUE""")," ")</f>
        <v> </v>
      </c>
    </row>
    <row r="639">
      <c r="A639" s="5" t="s">
        <v>4036</v>
      </c>
      <c r="B639" s="4" t="str">
        <f>IFERROR(__xludf.DUMMYFUNCTION("SPLIT(A639,"""""")"")"),"( arctic_b0046 ")</f>
        <v>( arctic_b0046 </v>
      </c>
      <c r="C639" s="4" t="str">
        <f>IFERROR(__xludf.DUMMYFUNCTION("""COMPUTED_VALUE"""),"Philip produced a couple of cigars and took a chair opposite him.")</f>
        <v>Philip produced a couple of cigars and took a chair opposite him.</v>
      </c>
      <c r="D639" s="4" t="str">
        <f>IFERROR(__xludf.DUMMYFUNCTION("""COMPUTED_VALUE""")," ")</f>
        <v> </v>
      </c>
    </row>
    <row r="640">
      <c r="A640" s="5" t="s">
        <v>4037</v>
      </c>
      <c r="B640" s="4" t="str">
        <f>IFERROR(__xludf.DUMMYFUNCTION("SPLIT(A640,"""""")"")"),"( arctic_b0047 ")</f>
        <v>( arctic_b0047 </v>
      </c>
      <c r="C640" s="4" t="str">
        <f>IFERROR(__xludf.DUMMYFUNCTION("""COMPUTED_VALUE"""),"Suppose you saw me at work through the window.")</f>
        <v>Suppose you saw me at work through the window.</v>
      </c>
      <c r="D640" s="4" t="str">
        <f>IFERROR(__xludf.DUMMYFUNCTION("""COMPUTED_VALUE""")," ")</f>
        <v> </v>
      </c>
    </row>
    <row r="641">
      <c r="A641" s="5" t="s">
        <v>4038</v>
      </c>
      <c r="B641" s="4" t="str">
        <f>IFERROR(__xludf.DUMMYFUNCTION("SPLIT(A641,"""""")"")"),"( arctic_b0048 ")</f>
        <v>( arctic_b0048 </v>
      </c>
      <c r="C641" s="4" t="str">
        <f>IFERROR(__xludf.DUMMYFUNCTION("""COMPUTED_VALUE"""),"He looked like one who had passed through an uncomfortable hour or two.")</f>
        <v>He looked like one who had passed through an uncomfortable hour or two.</v>
      </c>
      <c r="D641" s="4" t="str">
        <f>IFERROR(__xludf.DUMMYFUNCTION("""COMPUTED_VALUE""")," ")</f>
        <v> </v>
      </c>
    </row>
    <row r="642">
      <c r="A642" s="5" t="s">
        <v>4039</v>
      </c>
      <c r="B642" s="4" t="str">
        <f>IFERROR(__xludf.DUMMYFUNCTION("SPLIT(A642,"""""")"")"),"( arctic_b0049 ")</f>
        <v>( arctic_b0049 </v>
      </c>
      <c r="C642" s="4" t="str">
        <f>IFERROR(__xludf.DUMMYFUNCTION("""COMPUTED_VALUE"""),"There was nothing more, except a large ink blot under the words.")</f>
        <v>There was nothing more, except a large ink blot under the words.</v>
      </c>
      <c r="D642" s="4" t="str">
        <f>IFERROR(__xludf.DUMMYFUNCTION("""COMPUTED_VALUE""")," ")</f>
        <v> </v>
      </c>
    </row>
    <row r="643">
      <c r="A643" s="5" t="s">
        <v>4040</v>
      </c>
      <c r="B643" s="4" t="str">
        <f>IFERROR(__xludf.DUMMYFUNCTION("SPLIT(A643,"""""")"")"),"( arctic_b0050 ")</f>
        <v>( arctic_b0050 </v>
      </c>
      <c r="C643" s="4" t="str">
        <f>IFERROR(__xludf.DUMMYFUNCTION("""COMPUTED_VALUE"""),"All this day Gregson remained in the cabin.")</f>
        <v>All this day Gregson remained in the cabin.</v>
      </c>
      <c r="D643" s="4" t="str">
        <f>IFERROR(__xludf.DUMMYFUNCTION("""COMPUTED_VALUE""")," ")</f>
        <v> </v>
      </c>
    </row>
    <row r="644">
      <c r="A644" s="5" t="s">
        <v>4041</v>
      </c>
      <c r="B644" s="4" t="str">
        <f>IFERROR(__xludf.DUMMYFUNCTION("SPLIT(A644,"""""")"")"),"( arctic_b0051 ")</f>
        <v>( arctic_b0051 </v>
      </c>
      <c r="C644" s="4" t="str">
        <f>IFERROR(__xludf.DUMMYFUNCTION("""COMPUTED_VALUE"""),"The sixth day he spent in the cabin with Gregson.")</f>
        <v>The sixth day he spent in the cabin with Gregson.</v>
      </c>
      <c r="D644" s="4" t="str">
        <f>IFERROR(__xludf.DUMMYFUNCTION("""COMPUTED_VALUE""")," ")</f>
        <v> </v>
      </c>
    </row>
    <row r="645">
      <c r="A645" s="5" t="s">
        <v>4042</v>
      </c>
      <c r="B645" s="4" t="str">
        <f>IFERROR(__xludf.DUMMYFUNCTION("SPLIT(A645,"""""")"")"),"( arctic_b0052 ")</f>
        <v>( arctic_b0052 </v>
      </c>
      <c r="C645" s="4" t="str">
        <f>IFERROR(__xludf.DUMMYFUNCTION("""COMPUTED_VALUE"""),"The flush was gone from her face.")</f>
        <v>The flush was gone from her face.</v>
      </c>
      <c r="D645" s="4" t="str">
        <f>IFERROR(__xludf.DUMMYFUNCTION("""COMPUTED_VALUE""")," ")</f>
        <v> </v>
      </c>
    </row>
    <row r="646">
      <c r="A646" s="5" t="s">
        <v>4043</v>
      </c>
      <c r="B646" s="4" t="str">
        <f>IFERROR(__xludf.DUMMYFUNCTION("SPLIT(A646,"""""")"")"),"( arctic_b0053 ")</f>
        <v>( arctic_b0053 </v>
      </c>
      <c r="C646" s="4" t="str">
        <f>IFERROR(__xludf.DUMMYFUNCTION("""COMPUTED_VALUE"""),"That is why I am, am rattled, he laughed.")</f>
        <v>That is why I am, am rattled, he laughed.</v>
      </c>
      <c r="D646" s="4" t="str">
        <f>IFERROR(__xludf.DUMMYFUNCTION("""COMPUTED_VALUE""")," ")</f>
        <v> </v>
      </c>
    </row>
    <row r="647">
      <c r="A647" s="5" t="s">
        <v>4044</v>
      </c>
      <c r="B647" s="4" t="str">
        <f>IFERROR(__xludf.DUMMYFUNCTION("SPLIT(A647,"""""")"")"),"( arctic_b0054 ")</f>
        <v>( arctic_b0054 </v>
      </c>
      <c r="C647" s="4" t="str">
        <f>IFERROR(__xludf.DUMMYFUNCTION("""COMPUTED_VALUE"""),"He understood the meaning of the look.")</f>
        <v>He understood the meaning of the look.</v>
      </c>
      <c r="D647" s="4" t="str">
        <f>IFERROR(__xludf.DUMMYFUNCTION("""COMPUTED_VALUE""")," ")</f>
        <v> </v>
      </c>
    </row>
    <row r="648">
      <c r="A648" s="5" t="s">
        <v>4045</v>
      </c>
      <c r="B648" s="4" t="str">
        <f>IFERROR(__xludf.DUMMYFUNCTION("SPLIT(A648,"""""")"")"),"( arctic_b0055 ")</f>
        <v>( arctic_b0055 </v>
      </c>
      <c r="C648" s="4" t="str">
        <f>IFERROR(__xludf.DUMMYFUNCTION("""COMPUTED_VALUE"""),"She was even more beautiful than when I saw her, before.")</f>
        <v>She was even more beautiful than when I saw her, before.</v>
      </c>
      <c r="D648" s="4" t="str">
        <f>IFERROR(__xludf.DUMMYFUNCTION("""COMPUTED_VALUE""")," ")</f>
        <v> </v>
      </c>
    </row>
    <row r="649">
      <c r="A649" s="5" t="s">
        <v>4046</v>
      </c>
      <c r="B649" s="4" t="str">
        <f>IFERROR(__xludf.DUMMYFUNCTION("SPLIT(A649,"""""")"")"),"( arctic_b0056 ")</f>
        <v>( arctic_b0056 </v>
      </c>
      <c r="C649" s="4" t="str">
        <f>IFERROR(__xludf.DUMMYFUNCTION("""COMPUTED_VALUE"""),"I'll give a thousand if you produce her, retorted Gregson.")</f>
        <v>I'll give a thousand if you produce her, retorted Gregson.</v>
      </c>
      <c r="D649" s="4" t="str">
        <f>IFERROR(__xludf.DUMMYFUNCTION("""COMPUTED_VALUE""")," ")</f>
        <v> </v>
      </c>
    </row>
    <row r="650">
      <c r="A650" s="5" t="s">
        <v>4047</v>
      </c>
      <c r="B650" s="4" t="str">
        <f>IFERROR(__xludf.DUMMYFUNCTION("SPLIT(A650,"""""")"")"),"( arctic_b0057 ")</f>
        <v>( arctic_b0057 </v>
      </c>
      <c r="C650" s="4" t="str">
        <f>IFERROR(__xludf.DUMMYFUNCTION("""COMPUTED_VALUE"""),"They have won popular sentiment through the newspapers.")</f>
        <v>They have won popular sentiment through the newspapers.</v>
      </c>
      <c r="D650" s="4" t="str">
        <f>IFERROR(__xludf.DUMMYFUNCTION("""COMPUTED_VALUE""")," ")</f>
        <v> </v>
      </c>
    </row>
    <row r="651">
      <c r="A651" s="5" t="s">
        <v>4048</v>
      </c>
      <c r="B651" s="4" t="str">
        <f>IFERROR(__xludf.DUMMYFUNCTION("SPLIT(A651,"""""")"")"),"( arctic_b0058 ")</f>
        <v>( arctic_b0058 </v>
      </c>
      <c r="C651" s="4" t="str">
        <f>IFERROR(__xludf.DUMMYFUNCTION("""COMPUTED_VALUE"""),"We must achieve our own salvation.")</f>
        <v>We must achieve our own salvation.</v>
      </c>
      <c r="D651" s="4" t="str">
        <f>IFERROR(__xludf.DUMMYFUNCTION("""COMPUTED_VALUE""")," ")</f>
        <v> </v>
      </c>
    </row>
    <row r="652">
      <c r="A652" s="5" t="s">
        <v>4049</v>
      </c>
      <c r="B652" s="4" t="str">
        <f>IFERROR(__xludf.DUMMYFUNCTION("SPLIT(A652,"""""")"")"),"( arctic_b0059 ")</f>
        <v>( arctic_b0059 </v>
      </c>
      <c r="C652" s="4" t="str">
        <f>IFERROR(__xludf.DUMMYFUNCTION("""COMPUTED_VALUE"""),"In moments of mental energy Philip was restless.")</f>
        <v>In moments of mental energy Philip was restless.</v>
      </c>
      <c r="D652" s="4" t="str">
        <f>IFERROR(__xludf.DUMMYFUNCTION("""COMPUTED_VALUE""")," ")</f>
        <v> </v>
      </c>
    </row>
    <row r="653">
      <c r="A653" s="5" t="s">
        <v>4050</v>
      </c>
      <c r="B653" s="4" t="str">
        <f>IFERROR(__xludf.DUMMYFUNCTION("SPLIT(A653,"""""")"")"),"( arctic_b0060 ")</f>
        <v>( arctic_b0060 </v>
      </c>
      <c r="C653" s="4" t="str">
        <f>IFERROR(__xludf.DUMMYFUNCTION("""COMPUTED_VALUE"""),"He would keep his faith with Gregson for the promised day or two.")</f>
        <v>He would keep his faith with Gregson for the promised day or two.</v>
      </c>
      <c r="D653" s="4" t="str">
        <f>IFERROR(__xludf.DUMMYFUNCTION("""COMPUTED_VALUE""")," ")</f>
        <v> </v>
      </c>
    </row>
    <row r="654">
      <c r="A654" s="5" t="s">
        <v>4051</v>
      </c>
      <c r="B654" s="4" t="str">
        <f>IFERROR(__xludf.DUMMYFUNCTION("SPLIT(A654,"""""")"")"),"( arctic_b0061 ")</f>
        <v>( arctic_b0061 </v>
      </c>
      <c r="C654" s="4" t="str">
        <f>IFERROR(__xludf.DUMMYFUNCTION("""COMPUTED_VALUE"""),"Something about it seemed to fascinate him, to challenge his presence.")</f>
        <v>Something about it seemed to fascinate him, to challenge his presence.</v>
      </c>
      <c r="D654" s="4" t="str">
        <f>IFERROR(__xludf.DUMMYFUNCTION("""COMPUTED_VALUE""")," ")</f>
        <v> </v>
      </c>
    </row>
    <row r="655">
      <c r="A655" s="5" t="s">
        <v>4052</v>
      </c>
      <c r="B655" s="4" t="str">
        <f>IFERROR(__xludf.DUMMYFUNCTION("SPLIT(A655,"""""")"")"),"( arctic_b0062 ")</f>
        <v>( arctic_b0062 </v>
      </c>
      <c r="C655" s="4" t="str">
        <f>IFERROR(__xludf.DUMMYFUNCTION("""COMPUTED_VALUE"""),"Now it was missing from the wall.")</f>
        <v>Now it was missing from the wall.</v>
      </c>
      <c r="D655" s="4" t="str">
        <f>IFERROR(__xludf.DUMMYFUNCTION("""COMPUTED_VALUE""")," ")</f>
        <v> </v>
      </c>
    </row>
    <row r="656">
      <c r="A656" s="5" t="s">
        <v>4053</v>
      </c>
      <c r="B656" s="4" t="str">
        <f>IFERROR(__xludf.DUMMYFUNCTION("SPLIT(A656,"""""")"")"),"( arctic_b0063 ")</f>
        <v>( arctic_b0063 </v>
      </c>
      <c r="C656" s="4" t="str">
        <f>IFERROR(__xludf.DUMMYFUNCTION("""COMPUTED_VALUE"""),"He boiled himself some coffee and sat down to wait.")</f>
        <v>He boiled himself some coffee and sat down to wait.</v>
      </c>
      <c r="D656" s="4" t="str">
        <f>IFERROR(__xludf.DUMMYFUNCTION("""COMPUTED_VALUE""")," ")</f>
        <v> </v>
      </c>
    </row>
    <row r="657">
      <c r="A657" s="5" t="s">
        <v>4054</v>
      </c>
      <c r="B657" s="4" t="str">
        <f>IFERROR(__xludf.DUMMYFUNCTION("SPLIT(A657,"""""")"")"),"( arctic_b0064 ")</f>
        <v>( arctic_b0064 </v>
      </c>
      <c r="C657" s="4" t="str">
        <f>IFERROR(__xludf.DUMMYFUNCTION("""COMPUTED_VALUE"""),"I'm going down there with you, and I'm going to fight.")</f>
        <v>I'm going down there with you, and I'm going to fight.</v>
      </c>
      <c r="D657" s="4" t="str">
        <f>IFERROR(__xludf.DUMMYFUNCTION("""COMPUTED_VALUE""")," ")</f>
        <v> </v>
      </c>
    </row>
    <row r="658">
      <c r="A658" s="5" t="s">
        <v>4055</v>
      </c>
      <c r="B658" s="4" t="str">
        <f>IFERROR(__xludf.DUMMYFUNCTION("SPLIT(A658,"""""")"")"),"( arctic_b0065 ")</f>
        <v>( arctic_b0065 </v>
      </c>
      <c r="C658" s="4" t="str">
        <f>IFERROR(__xludf.DUMMYFUNCTION("""COMPUTED_VALUE"""),"Now have you got anything to say against me, Mr Philip.")</f>
        <v>Now have you got anything to say against me, Mr Philip.</v>
      </c>
      <c r="D658" s="4" t="str">
        <f>IFERROR(__xludf.DUMMYFUNCTION("""COMPUTED_VALUE""")," ")</f>
        <v> </v>
      </c>
    </row>
    <row r="659">
      <c r="A659" s="5" t="s">
        <v>4056</v>
      </c>
      <c r="B659" s="4" t="str">
        <f>IFERROR(__xludf.DUMMYFUNCTION("SPLIT(A659,"""""")"")"),"( arctic_b0066 ")</f>
        <v>( arctic_b0066 </v>
      </c>
      <c r="C659" s="4" t="str">
        <f>IFERROR(__xludf.DUMMYFUNCTION("""COMPUTED_VALUE"""),"If I meet her again I shall apologize, said Eileen.")</f>
        <v>If I meet her again I shall apologize, said Eileen.</v>
      </c>
      <c r="D659" s="4" t="str">
        <f>IFERROR(__xludf.DUMMYFUNCTION("""COMPUTED_VALUE""")," ")</f>
        <v> </v>
      </c>
    </row>
    <row r="660">
      <c r="A660" s="5" t="s">
        <v>4057</v>
      </c>
      <c r="B660" s="4" t="str">
        <f>IFERROR(__xludf.DUMMYFUNCTION("SPLIT(A660,"""""")"")"),"( arctic_b0067 ")</f>
        <v>( arctic_b0067 </v>
      </c>
      <c r="C660" s="4" t="str">
        <f>IFERROR(__xludf.DUMMYFUNCTION("""COMPUTED_VALUE"""),"Below him the shadow was broken into a pool of rippling starlight.")</f>
        <v>Below him the shadow was broken into a pool of rippling starlight.</v>
      </c>
      <c r="D660" s="4" t="str">
        <f>IFERROR(__xludf.DUMMYFUNCTION("""COMPUTED_VALUE""")," ")</f>
        <v> </v>
      </c>
    </row>
    <row r="661">
      <c r="A661" s="5" t="s">
        <v>4058</v>
      </c>
      <c r="B661" s="4" t="str">
        <f>IFERROR(__xludf.DUMMYFUNCTION("SPLIT(A661,"""""")"")"),"( arctic_b0068 ")</f>
        <v>( arctic_b0068 </v>
      </c>
      <c r="C661" s="4" t="str">
        <f>IFERROR(__xludf.DUMMYFUNCTION("""COMPUTED_VALUE"""),"Only the chance sound had led him to observe them.")</f>
        <v>Only the chance sound had led him to observe them.</v>
      </c>
      <c r="D661" s="4" t="str">
        <f>IFERROR(__xludf.DUMMYFUNCTION("""COMPUTED_VALUE""")," ")</f>
        <v> </v>
      </c>
    </row>
    <row r="662">
      <c r="A662" s="5" t="s">
        <v>4059</v>
      </c>
      <c r="B662" s="4" t="str">
        <f>IFERROR(__xludf.DUMMYFUNCTION("SPLIT(A662,"""""")"")"),"( arctic_b0069 ")</f>
        <v>( arctic_b0069 </v>
      </c>
      <c r="C662" s="4" t="str">
        <f>IFERROR(__xludf.DUMMYFUNCTION("""COMPUTED_VALUE"""),"Could the incident have anything to do with Jeanne and Pierre.")</f>
        <v>Could the incident have anything to do with Jeanne and Pierre.</v>
      </c>
      <c r="D662" s="4" t="str">
        <f>IFERROR(__xludf.DUMMYFUNCTION("""COMPUTED_VALUE""")," ")</f>
        <v> </v>
      </c>
    </row>
    <row r="663">
      <c r="A663" s="5" t="s">
        <v>4060</v>
      </c>
      <c r="B663" s="4" t="str">
        <f>IFERROR(__xludf.DUMMYFUNCTION("SPLIT(A663,"""""")"")"),"( arctic_b0070 ")</f>
        <v>( arctic_b0070 </v>
      </c>
      <c r="C663" s="4" t="str">
        <f>IFERROR(__xludf.DUMMYFUNCTION("""COMPUTED_VALUE"""),"There was no chance to fire without hitting him.")</f>
        <v>There was no chance to fire without hitting him.</v>
      </c>
      <c r="D663" s="4" t="str">
        <f>IFERROR(__xludf.DUMMYFUNCTION("""COMPUTED_VALUE""")," ")</f>
        <v> </v>
      </c>
    </row>
    <row r="664">
      <c r="A664" s="5" t="s">
        <v>4061</v>
      </c>
      <c r="B664" s="4" t="str">
        <f>IFERROR(__xludf.DUMMYFUNCTION("SPLIT(A664,"""""")"")"),"( arctic_b0071 ")</f>
        <v>( arctic_b0071 </v>
      </c>
      <c r="C664" s="4" t="str">
        <f>IFERROR(__xludf.DUMMYFUNCTION("""COMPUTED_VALUE"""),"There was no answer from the other side.")</f>
        <v>There was no answer from the other side.</v>
      </c>
      <c r="D664" s="4" t="str">
        <f>IFERROR(__xludf.DUMMYFUNCTION("""COMPUTED_VALUE""")," ")</f>
        <v> </v>
      </c>
    </row>
    <row r="665">
      <c r="A665" s="5" t="s">
        <v>4062</v>
      </c>
      <c r="B665" s="4" t="str">
        <f>IFERROR(__xludf.DUMMYFUNCTION("SPLIT(A665,"""""")"")"),"( arctic_b0072 ")</f>
        <v>( arctic_b0072 </v>
      </c>
      <c r="C665" s="4" t="str">
        <f>IFERROR(__xludf.DUMMYFUNCTION("""COMPUTED_VALUE"""),"Then he hastened on, as Pierre had guided him.")</f>
        <v>Then he hastened on, as Pierre had guided him.</v>
      </c>
      <c r="D665" s="4" t="str">
        <f>IFERROR(__xludf.DUMMYFUNCTION("""COMPUTED_VALUE""")," ")</f>
        <v> </v>
      </c>
    </row>
    <row r="666">
      <c r="A666" s="5" t="s">
        <v>4063</v>
      </c>
      <c r="B666" s="4" t="str">
        <f>IFERROR(__xludf.DUMMYFUNCTION("SPLIT(A666,"""""")"")"),"( arctic_b0073 ")</f>
        <v>( arctic_b0073 </v>
      </c>
      <c r="C666" s="4" t="str">
        <f>IFERROR(__xludf.DUMMYFUNCTION("""COMPUTED_VALUE"""),"With these arguments he convinced himself that he should go on alone.")</f>
        <v>With these arguments he convinced himself that he should go on alone.</v>
      </c>
      <c r="D666" s="4" t="str">
        <f>IFERROR(__xludf.DUMMYFUNCTION("""COMPUTED_VALUE""")," ")</f>
        <v> </v>
      </c>
    </row>
    <row r="667">
      <c r="A667" s="5" t="s">
        <v>4064</v>
      </c>
      <c r="B667" s="4" t="str">
        <f>IFERROR(__xludf.DUMMYFUNCTION("SPLIT(A667,"""""")"")"),"( arctic_b0074 ")</f>
        <v>( arctic_b0074 </v>
      </c>
      <c r="C667" s="4" t="str">
        <f>IFERROR(__xludf.DUMMYFUNCTION("""COMPUTED_VALUE"""),"Yet, behind them there was another and more powerful motive.")</f>
        <v>Yet, behind them there was another and more powerful motive.</v>
      </c>
      <c r="D667" s="4" t="str">
        <f>IFERROR(__xludf.DUMMYFUNCTION("""COMPUTED_VALUE""")," ")</f>
        <v> </v>
      </c>
    </row>
    <row r="668">
      <c r="A668" s="5" t="s">
        <v>4065</v>
      </c>
      <c r="B668" s="4" t="str">
        <f>IFERROR(__xludf.DUMMYFUNCTION("SPLIT(A668,"""""")"")"),"( arctic_b0075 ")</f>
        <v>( arctic_b0075 </v>
      </c>
      <c r="C668" s="4" t="str">
        <f>IFERROR(__xludf.DUMMYFUNCTION("""COMPUTED_VALUE"""),"In that case he could not miss them, if he used caution.")</f>
        <v>In that case he could not miss them, if he used caution.</v>
      </c>
      <c r="D668" s="4" t="str">
        <f>IFERROR(__xludf.DUMMYFUNCTION("""COMPUTED_VALUE""")," ")</f>
        <v> </v>
      </c>
    </row>
    <row r="669">
      <c r="A669" s="5" t="s">
        <v>4066</v>
      </c>
      <c r="B669" s="4" t="str">
        <f>IFERROR(__xludf.DUMMYFUNCTION("SPLIT(A669,"""""")"")"),"( arctic_b0076 ")</f>
        <v>( arctic_b0076 </v>
      </c>
      <c r="C669" s="4" t="str">
        <f>IFERROR(__xludf.DUMMYFUNCTION("""COMPUTED_VALUE"""),"Before Philip could recover himself Jeanne's startled guards were upon him.")</f>
        <v>Before Philip could recover himself Jeanne's startled guards were upon him.</v>
      </c>
      <c r="D669" s="4" t="str">
        <f>IFERROR(__xludf.DUMMYFUNCTION("""COMPUTED_VALUE""")," ")</f>
        <v> </v>
      </c>
    </row>
    <row r="670">
      <c r="A670" s="5" t="s">
        <v>4067</v>
      </c>
      <c r="B670" s="4" t="str">
        <f>IFERROR(__xludf.DUMMYFUNCTION("SPLIT(A670,"""""")"")"),"( arctic_b0077 ")</f>
        <v>( arctic_b0077 </v>
      </c>
      <c r="C670" s="4" t="str">
        <f>IFERROR(__xludf.DUMMYFUNCTION("""COMPUTED_VALUE"""),"It is the nearest refuge.")</f>
        <v>It is the nearest refuge.</v>
      </c>
      <c r="D670" s="4" t="str">
        <f>IFERROR(__xludf.DUMMYFUNCTION("""COMPUTED_VALUE""")," ")</f>
        <v> </v>
      </c>
    </row>
    <row r="671">
      <c r="A671" s="5" t="s">
        <v>4068</v>
      </c>
      <c r="B671" s="4" t="str">
        <f>IFERROR(__xludf.DUMMYFUNCTION("SPLIT(A671,"""""")"")"),"( arctic_b0078 ")</f>
        <v>( arctic_b0078 </v>
      </c>
      <c r="C671" s="4" t="str">
        <f>IFERROR(__xludf.DUMMYFUNCTION("""COMPUTED_VALUE"""),"There was pride and strength, the ring of triumph in his voice.")</f>
        <v>There was pride and strength, the ring of triumph in his voice.</v>
      </c>
      <c r="D671" s="4" t="str">
        <f>IFERROR(__xludf.DUMMYFUNCTION("""COMPUTED_VALUE""")," ")</f>
        <v> </v>
      </c>
    </row>
    <row r="672">
      <c r="A672" s="5" t="s">
        <v>4069</v>
      </c>
      <c r="B672" s="4" t="str">
        <f>IFERROR(__xludf.DUMMYFUNCTION("SPLIT(A672,"""""")"")"),"( arctic_b0079 ")</f>
        <v>( arctic_b0079 </v>
      </c>
      <c r="C672" s="4" t="str">
        <f>IFERROR(__xludf.DUMMYFUNCTION("""COMPUTED_VALUE"""),"The truth of it set Jeanne quivering.")</f>
        <v>The truth of it set Jeanne quivering.</v>
      </c>
      <c r="D672" s="4" t="str">
        <f>IFERROR(__xludf.DUMMYFUNCTION("""COMPUTED_VALUE""")," ")</f>
        <v> </v>
      </c>
    </row>
    <row r="673">
      <c r="A673" s="5" t="s">
        <v>4070</v>
      </c>
      <c r="B673" s="4" t="str">
        <f>IFERROR(__xludf.DUMMYFUNCTION("SPLIT(A673,"""""")"")"),"( arctic_b0080 ")</f>
        <v>( arctic_b0080 </v>
      </c>
      <c r="C673" s="4" t="str">
        <f>IFERROR(__xludf.DUMMYFUNCTION("""COMPUTED_VALUE"""),"Tomorrow it will be strong enough for you to stand upon.")</f>
        <v>Tomorrow it will be strong enough for you to stand upon.</v>
      </c>
      <c r="D673" s="4" t="str">
        <f>IFERROR(__xludf.DUMMYFUNCTION("""COMPUTED_VALUE""")," ")</f>
        <v> </v>
      </c>
    </row>
    <row r="674">
      <c r="A674" s="5" t="s">
        <v>4071</v>
      </c>
      <c r="B674" s="4" t="str">
        <f>IFERROR(__xludf.DUMMYFUNCTION("SPLIT(A674,"""""")"")"),"( arctic_b0081 ")</f>
        <v>( arctic_b0081 </v>
      </c>
      <c r="C674" s="4" t="str">
        <f>IFERROR(__xludf.DUMMYFUNCTION("""COMPUTED_VALUE"""),"You were going to leave after you saw me on the rock.")</f>
        <v>You were going to leave after you saw me on the rock.</v>
      </c>
      <c r="D674" s="4" t="str">
        <f>IFERROR(__xludf.DUMMYFUNCTION("""COMPUTED_VALUE""")," ")</f>
        <v> </v>
      </c>
    </row>
    <row r="675">
      <c r="A675" s="5" t="s">
        <v>4072</v>
      </c>
      <c r="B675" s="4" t="str">
        <f>IFERROR(__xludf.DUMMYFUNCTION("SPLIT(A675,"""""")"")"),"( arctic_b0082 ")</f>
        <v>( arctic_b0082 </v>
      </c>
      <c r="C675" s="4" t="str">
        <f>IFERROR(__xludf.DUMMYFUNCTION("""COMPUTED_VALUE"""),"He bit his tongue, and cursed himself at this fresh break.")</f>
        <v>He bit his tongue, and cursed himself at this fresh break.</v>
      </c>
      <c r="D675" s="4" t="str">
        <f>IFERROR(__xludf.DUMMYFUNCTION("""COMPUTED_VALUE""")," ")</f>
        <v> </v>
      </c>
    </row>
    <row r="676">
      <c r="A676" s="5" t="s">
        <v>4073</v>
      </c>
      <c r="B676" s="4" t="str">
        <f>IFERROR(__xludf.DUMMYFUNCTION("SPLIT(A676,"""""")"")"),"( arctic_b0083 ")</f>
        <v>( arctic_b0083 </v>
      </c>
      <c r="C676" s="4" t="str">
        <f>IFERROR(__xludf.DUMMYFUNCTION("""COMPUTED_VALUE"""),"In it there was something that was almost tragedy.")</f>
        <v>In it there was something that was almost tragedy.</v>
      </c>
      <c r="D676" s="4" t="str">
        <f>IFERROR(__xludf.DUMMYFUNCTION("""COMPUTED_VALUE""")," ")</f>
        <v> </v>
      </c>
    </row>
    <row r="677">
      <c r="A677" s="5" t="s">
        <v>4074</v>
      </c>
      <c r="B677" s="4" t="str">
        <f>IFERROR(__xludf.DUMMYFUNCTION("SPLIT(A677,"""""")"")"),"( arctic_b0084 ")</f>
        <v>( arctic_b0084 </v>
      </c>
      <c r="C677" s="4" t="str">
        <f>IFERROR(__xludf.DUMMYFUNCTION("""COMPUTED_VALUE"""),"Your face is red with blood.")</f>
        <v>Your face is red with blood.</v>
      </c>
      <c r="D677" s="4" t="str">
        <f>IFERROR(__xludf.DUMMYFUNCTION("""COMPUTED_VALUE""")," ")</f>
        <v> </v>
      </c>
    </row>
    <row r="678">
      <c r="A678" s="5" t="s">
        <v>4075</v>
      </c>
      <c r="B678" s="4" t="str">
        <f>IFERROR(__xludf.DUMMYFUNCTION("SPLIT(A678,"""""")"")"),"( arctic_b0085 ")</f>
        <v>( arctic_b0085 </v>
      </c>
      <c r="C678" s="4" t="str">
        <f>IFERROR(__xludf.DUMMYFUNCTION("""COMPUTED_VALUE"""),"Her eyes smiled truth at him as he came up the bank.")</f>
        <v>Her eyes smiled truth at him as he came up the bank.</v>
      </c>
      <c r="D678" s="4" t="str">
        <f>IFERROR(__xludf.DUMMYFUNCTION("""COMPUTED_VALUE""")," ")</f>
        <v> </v>
      </c>
    </row>
    <row r="679">
      <c r="A679" s="5" t="s">
        <v>4076</v>
      </c>
      <c r="B679" s="4" t="str">
        <f>IFERROR(__xludf.DUMMYFUNCTION("SPLIT(A679,"""""")"")"),"( arctic_b0086 ")</f>
        <v>( arctic_b0086 </v>
      </c>
      <c r="C679" s="4" t="str">
        <f>IFERROR(__xludf.DUMMYFUNCTION("""COMPUTED_VALUE"""),"He can care for himself.")</f>
        <v>He can care for himself.</v>
      </c>
      <c r="D679" s="4" t="str">
        <f>IFERROR(__xludf.DUMMYFUNCTION("""COMPUTED_VALUE""")," ")</f>
        <v> </v>
      </c>
    </row>
    <row r="680">
      <c r="A680" s="5" t="s">
        <v>4077</v>
      </c>
      <c r="B680" s="4" t="str">
        <f>IFERROR(__xludf.DUMMYFUNCTION("SPLIT(A680,"""""")"")"),"( arctic_b0087 ")</f>
        <v>( arctic_b0087 </v>
      </c>
      <c r="C680" s="4" t="str">
        <f>IFERROR(__xludf.DUMMYFUNCTION("""COMPUTED_VALUE"""),"They will search for us between their camp and Churchill.")</f>
        <v>They will search for us between their camp and Churchill.</v>
      </c>
      <c r="D680" s="4" t="str">
        <f>IFERROR(__xludf.DUMMYFUNCTION("""COMPUTED_VALUE""")," ")</f>
        <v> </v>
      </c>
    </row>
    <row r="681">
      <c r="A681" s="5" t="s">
        <v>4078</v>
      </c>
      <c r="B681" s="4" t="str">
        <f>IFERROR(__xludf.DUMMYFUNCTION("SPLIT(A681,"""""")"")"),"( arctic_b0088 ")</f>
        <v>( arctic_b0088 </v>
      </c>
      <c r="C681" s="4" t="str">
        <f>IFERROR(__xludf.DUMMYFUNCTION("""COMPUTED_VALUE"""),"Until I die, he exclaimed.")</f>
        <v>Until I die, he exclaimed.</v>
      </c>
      <c r="D681" s="4" t="str">
        <f>IFERROR(__xludf.DUMMYFUNCTION("""COMPUTED_VALUE""")," ")</f>
        <v> </v>
      </c>
    </row>
    <row r="682">
      <c r="A682" s="5" t="s">
        <v>4079</v>
      </c>
      <c r="B682" s="4" t="str">
        <f>IFERROR(__xludf.DUMMYFUNCTION("SPLIT(A682,"""""")"")"),"( arctic_b0089 ")</f>
        <v>( arctic_b0089 </v>
      </c>
      <c r="C682" s="4" t="str">
        <f>IFERROR(__xludf.DUMMYFUNCTION("""COMPUTED_VALUE"""),"Her beautiful hair was done up in shining coils.")</f>
        <v>Her beautiful hair was done up in shining coils.</v>
      </c>
      <c r="D682" s="4" t="str">
        <f>IFERROR(__xludf.DUMMYFUNCTION("""COMPUTED_VALUE""")," ")</f>
        <v> </v>
      </c>
    </row>
    <row r="683">
      <c r="A683" s="5" t="s">
        <v>4080</v>
      </c>
      <c r="B683" s="4" t="str">
        <f>IFERROR(__xludf.DUMMYFUNCTION("SPLIT(A683,"""""")"")"),"( arctic_b0090 ")</f>
        <v>( arctic_b0090 </v>
      </c>
      <c r="C683" s="4" t="str">
        <f>IFERROR(__xludf.DUMMYFUNCTION("""COMPUTED_VALUE"""),"The Churchill narrowed and its current became swifter as they progressed.")</f>
        <v>The Churchill narrowed and its current became swifter as they progressed.</v>
      </c>
      <c r="D683" s="4" t="str">
        <f>IFERROR(__xludf.DUMMYFUNCTION("""COMPUTED_VALUE""")," ")</f>
        <v> </v>
      </c>
    </row>
    <row r="684">
      <c r="A684" s="5" t="s">
        <v>4081</v>
      </c>
      <c r="B684" s="4" t="str">
        <f>IFERROR(__xludf.DUMMYFUNCTION("SPLIT(A684,"""""")"")"),"( arctic_b0091 ")</f>
        <v>( arctic_b0091 </v>
      </c>
      <c r="C684" s="4" t="str">
        <f>IFERROR(__xludf.DUMMYFUNCTION("""COMPUTED_VALUE"""),"For a full half minute Jeanne looked at him without speaking.")</f>
        <v>For a full half minute Jeanne looked at him without speaking.</v>
      </c>
      <c r="D684" s="4" t="str">
        <f>IFERROR(__xludf.DUMMYFUNCTION("""COMPUTED_VALUE""")," ")</f>
        <v> </v>
      </c>
    </row>
    <row r="685">
      <c r="A685" s="5" t="s">
        <v>4082</v>
      </c>
      <c r="B685" s="4" t="str">
        <f>IFERROR(__xludf.DUMMYFUNCTION("SPLIT(A685,"""""")"")"),"( arctic_b0092 ")</f>
        <v>( arctic_b0092 </v>
      </c>
      <c r="C685" s="4" t="str">
        <f>IFERROR(__xludf.DUMMYFUNCTION("""COMPUTED_VALUE"""),"I want to die in it.")</f>
        <v>I want to die in it.</v>
      </c>
      <c r="D685" s="4" t="str">
        <f>IFERROR(__xludf.DUMMYFUNCTION("""COMPUTED_VALUE""")," ")</f>
        <v> </v>
      </c>
    </row>
    <row r="686">
      <c r="A686" s="5" t="s">
        <v>4083</v>
      </c>
      <c r="B686" s="4" t="str">
        <f>IFERROR(__xludf.DUMMYFUNCTION("SPLIT(A686,"""""")"")"),"( arctic_b0093 ")</f>
        <v>( arctic_b0093 </v>
      </c>
      <c r="C686" s="4" t="str">
        <f>IFERROR(__xludf.DUMMYFUNCTION("""COMPUTED_VALUE"""),"Darkness hid him from Jeanne.")</f>
        <v>Darkness hid him from Jeanne.</v>
      </c>
      <c r="D686" s="4" t="str">
        <f>IFERROR(__xludf.DUMMYFUNCTION("""COMPUTED_VALUE""")," ")</f>
        <v> </v>
      </c>
    </row>
    <row r="687">
      <c r="A687" s="5" t="s">
        <v>4084</v>
      </c>
      <c r="B687" s="4" t="str">
        <f>IFERROR(__xludf.DUMMYFUNCTION("SPLIT(A687,"""""")"")"),"( arctic_b0094 ")</f>
        <v>( arctic_b0094 </v>
      </c>
      <c r="C687" s="4" t="str">
        <f>IFERROR(__xludf.DUMMYFUNCTION("""COMPUTED_VALUE"""),"And yet if she came he had no words to say.")</f>
        <v>And yet if she came he had no words to say.</v>
      </c>
      <c r="D687" s="4" t="str">
        <f>IFERROR(__xludf.DUMMYFUNCTION("""COMPUTED_VALUE""")," ")</f>
        <v> </v>
      </c>
    </row>
    <row r="688">
      <c r="A688" s="5" t="s">
        <v>4085</v>
      </c>
      <c r="B688" s="4" t="str">
        <f>IFERROR(__xludf.DUMMYFUNCTION("SPLIT(A688,"""""")"")"),"( arctic_b0095 ")</f>
        <v>( arctic_b0095 </v>
      </c>
      <c r="C688" s="4" t="str">
        <f>IFERROR(__xludf.DUMMYFUNCTION("""COMPUTED_VALUE"""),"He heard a sound which brought him quickly into consciousness of day.")</f>
        <v>He heard a sound which brought him quickly into consciousness of day.</v>
      </c>
      <c r="D688" s="4" t="str">
        <f>IFERROR(__xludf.DUMMYFUNCTION("""COMPUTED_VALUE""")," ")</f>
        <v> </v>
      </c>
    </row>
    <row r="689">
      <c r="A689" s="5" t="s">
        <v>4086</v>
      </c>
      <c r="B689" s="4" t="str">
        <f>IFERROR(__xludf.DUMMYFUNCTION("SPLIT(A689,"""""")"")"),"( arctic_b0096 ")</f>
        <v>( arctic_b0096 </v>
      </c>
      <c r="C689" s="4" t="str">
        <f>IFERROR(__xludf.DUMMYFUNCTION("""COMPUTED_VALUE"""),"Within himself he called it no longer his own.")</f>
        <v>Within himself he called it no longer his own.</v>
      </c>
      <c r="D689" s="4" t="str">
        <f>IFERROR(__xludf.DUMMYFUNCTION("""COMPUTED_VALUE""")," ")</f>
        <v> </v>
      </c>
    </row>
    <row r="690">
      <c r="A690" s="5" t="s">
        <v>4087</v>
      </c>
      <c r="B690" s="4" t="str">
        <f>IFERROR(__xludf.DUMMYFUNCTION("SPLIT(A690,"""""")"")"),"( arctic_b0097 ")</f>
        <v>( arctic_b0097 </v>
      </c>
      <c r="C690" s="4" t="str">
        <f>IFERROR(__xludf.DUMMYFUNCTION("""COMPUTED_VALUE"""),"Besides, that noise makes me deaf.")</f>
        <v>Besides, that noise makes me deaf.</v>
      </c>
      <c r="D690" s="4" t="str">
        <f>IFERROR(__xludf.DUMMYFUNCTION("""COMPUTED_VALUE""")," ")</f>
        <v> </v>
      </c>
    </row>
    <row r="691">
      <c r="A691" s="5" t="s">
        <v>4088</v>
      </c>
      <c r="B691" s="4" t="str">
        <f>IFERROR(__xludf.DUMMYFUNCTION("SPLIT(A691,"""""")"")"),"( arctic_b0098 ")</f>
        <v>( arctic_b0098 </v>
      </c>
      <c r="C691" s="4" t="str">
        <f>IFERROR(__xludf.DUMMYFUNCTION("""COMPUTED_VALUE"""),"Philip looked back from the crest and saw Jeanne leaning over the canoe.")</f>
        <v>Philip looked back from the crest and saw Jeanne leaning over the canoe.</v>
      </c>
      <c r="D691" s="4" t="str">
        <f>IFERROR(__xludf.DUMMYFUNCTION("""COMPUTED_VALUE""")," ")</f>
        <v> </v>
      </c>
    </row>
    <row r="692">
      <c r="A692" s="5" t="s">
        <v>4089</v>
      </c>
      <c r="B692" s="4" t="str">
        <f>IFERROR(__xludf.DUMMYFUNCTION("SPLIT(A692,"""""")"")"),"( arctic_b0099 ")</f>
        <v>( arctic_b0099 </v>
      </c>
      <c r="C692" s="4" t="str">
        <f>IFERROR(__xludf.DUMMYFUNCTION("""COMPUTED_VALUE"""),"Fifty yards ahead of her were the first of the rocks.")</f>
        <v>Fifty yards ahead of her were the first of the rocks.</v>
      </c>
      <c r="D692" s="4" t="str">
        <f>IFERROR(__xludf.DUMMYFUNCTION("""COMPUTED_VALUE""")," ")</f>
        <v> </v>
      </c>
    </row>
    <row r="693">
      <c r="A693" s="5" t="s">
        <v>4090</v>
      </c>
      <c r="B693" s="4" t="str">
        <f>IFERROR(__xludf.DUMMYFUNCTION("SPLIT(A693,"""""")"")"),"( arctic_b0100 ")</f>
        <v>( arctic_b0100 </v>
      </c>
      <c r="C693" s="4" t="str">
        <f>IFERROR(__xludf.DUMMYFUNCTION("""COMPUTED_VALUE"""),"There was one chance, and only one, of saving Jeanne.")</f>
        <v>There was one chance, and only one, of saving Jeanne.</v>
      </c>
      <c r="D693" s="4" t="str">
        <f>IFERROR(__xludf.DUMMYFUNCTION("""COMPUTED_VALUE""")," ")</f>
        <v> </v>
      </c>
    </row>
    <row r="694">
      <c r="A694" s="5" t="s">
        <v>4091</v>
      </c>
      <c r="B694" s="4" t="str">
        <f>IFERROR(__xludf.DUMMYFUNCTION("SPLIT(A694,"""""")"")"),"( arctic_b0101 ")</f>
        <v>( arctic_b0101 </v>
      </c>
      <c r="C694" s="4" t="str">
        <f>IFERROR(__xludf.DUMMYFUNCTION("""COMPUTED_VALUE"""),"You're a devil for fighting, and will surely win.")</f>
        <v>You're a devil for fighting, and will surely win.</v>
      </c>
      <c r="D694" s="4" t="str">
        <f>IFERROR(__xludf.DUMMYFUNCTION("""COMPUTED_VALUE""")," ")</f>
        <v> </v>
      </c>
    </row>
    <row r="695">
      <c r="A695" s="5" t="s">
        <v>4092</v>
      </c>
      <c r="B695" s="4" t="str">
        <f>IFERROR(__xludf.DUMMYFUNCTION("SPLIT(A695,"""""")"")"),"( arctic_b0102 ")</f>
        <v>( arctic_b0102 </v>
      </c>
      <c r="C695" s="4" t="str">
        <f>IFERROR(__xludf.DUMMYFUNCTION("""COMPUTED_VALUE"""),"I'll only be in the way.")</f>
        <v>I'll only be in the way.</v>
      </c>
      <c r="D695" s="4" t="str">
        <f>IFERROR(__xludf.DUMMYFUNCTION("""COMPUTED_VALUE""")," ")</f>
        <v> </v>
      </c>
    </row>
    <row r="696">
      <c r="A696" s="5" t="s">
        <v>4093</v>
      </c>
      <c r="B696" s="4" t="str">
        <f>IFERROR(__xludf.DUMMYFUNCTION("SPLIT(A696,"""""")"")"),"( arctic_b0103 ")</f>
        <v>( arctic_b0103 </v>
      </c>
      <c r="C696" s="4" t="str">
        <f>IFERROR(__xludf.DUMMYFUNCTION("""COMPUTED_VALUE"""),"He lifted his eyes, and a strange cry burst from his lips.")</f>
        <v>He lifted his eyes, and a strange cry burst from his lips.</v>
      </c>
      <c r="D696" s="4" t="str">
        <f>IFERROR(__xludf.DUMMYFUNCTION("""COMPUTED_VALUE""")," ")</f>
        <v> </v>
      </c>
    </row>
    <row r="697">
      <c r="A697" s="5" t="s">
        <v>4094</v>
      </c>
      <c r="B697" s="4" t="str">
        <f>IFERROR(__xludf.DUMMYFUNCTION("SPLIT(A697,"""""")"")"),"( arctic_b0104 ")</f>
        <v>( arctic_b0104 </v>
      </c>
      <c r="C697" s="4" t="str">
        <f>IFERROR(__xludf.DUMMYFUNCTION("""COMPUTED_VALUE"""),"Shooting pains passed like flashes of electricity through his body.")</f>
        <v>Shooting pains passed like flashes of electricity through his body.</v>
      </c>
      <c r="D697" s="4" t="str">
        <f>IFERROR(__xludf.DUMMYFUNCTION("""COMPUTED_VALUE""")," ")</f>
        <v> </v>
      </c>
    </row>
    <row r="698">
      <c r="A698" s="5" t="s">
        <v>4095</v>
      </c>
      <c r="B698" s="4" t="str">
        <f>IFERROR(__xludf.DUMMYFUNCTION("SPLIT(A698,"""""")"")"),"( arctic_b0105 ")</f>
        <v>( arctic_b0105 </v>
      </c>
      <c r="C698" s="4" t="str">
        <f>IFERROR(__xludf.DUMMYFUNCTION("""COMPUTED_VALUE"""),"I know that you are in charge there, and Jeanne knows.")</f>
        <v>I know that you are in charge there, and Jeanne knows.</v>
      </c>
      <c r="D698" s="4" t="str">
        <f>IFERROR(__xludf.DUMMYFUNCTION("""COMPUTED_VALUE""")," ")</f>
        <v> </v>
      </c>
    </row>
    <row r="699">
      <c r="A699" s="5" t="s">
        <v>4096</v>
      </c>
      <c r="B699" s="4" t="str">
        <f>IFERROR(__xludf.DUMMYFUNCTION("SPLIT(A699,"""""")"")"),"( arctic_b0106 ")</f>
        <v>( arctic_b0106 </v>
      </c>
      <c r="C699" s="4" t="str">
        <f>IFERROR(__xludf.DUMMYFUNCTION("""COMPUTED_VALUE"""),"For a full minute the two men stared into each other's face.")</f>
        <v>For a full minute the two men stared into each other's face.</v>
      </c>
      <c r="D699" s="4" t="str">
        <f>IFERROR(__xludf.DUMMYFUNCTION("""COMPUTED_VALUE""")," ")</f>
        <v> </v>
      </c>
    </row>
    <row r="700">
      <c r="A700" s="5" t="s">
        <v>4097</v>
      </c>
      <c r="B700" s="4" t="str">
        <f>IFERROR(__xludf.DUMMYFUNCTION("SPLIT(A700,"""""")"")"),"( arctic_b0107 ")</f>
        <v>( arctic_b0107 </v>
      </c>
      <c r="C700" s="4" t="str">
        <f>IFERROR(__xludf.DUMMYFUNCTION("""COMPUTED_VALUE"""),"He was sure, now, of but few things.")</f>
        <v>He was sure, now, of but few things.</v>
      </c>
      <c r="D700" s="4" t="str">
        <f>IFERROR(__xludf.DUMMYFUNCTION("""COMPUTED_VALUE""")," ")</f>
        <v> </v>
      </c>
    </row>
    <row r="701">
      <c r="A701" s="5" t="s">
        <v>4098</v>
      </c>
      <c r="B701" s="4" t="str">
        <f>IFERROR(__xludf.DUMMYFUNCTION("SPLIT(A701,"""""")"")"),"( arctic_b0108 ")</f>
        <v>( arctic_b0108 </v>
      </c>
      <c r="C701" s="4" t="str">
        <f>IFERROR(__xludf.DUMMYFUNCTION("""COMPUTED_VALUE"""),"It was a miracle, and I owe you my life.")</f>
        <v>It was a miracle, and I owe you my life.</v>
      </c>
      <c r="D701" s="4" t="str">
        <f>IFERROR(__xludf.DUMMYFUNCTION("""COMPUTED_VALUE""")," ")</f>
        <v> </v>
      </c>
    </row>
    <row r="702">
      <c r="A702" s="5" t="s">
        <v>4099</v>
      </c>
      <c r="B702" s="4" t="str">
        <f>IFERROR(__xludf.DUMMYFUNCTION("SPLIT(A702,"""""")"")"),"( arctic_b0109 ")</f>
        <v>( arctic_b0109 </v>
      </c>
      <c r="C702" s="4" t="str">
        <f>IFERROR(__xludf.DUMMYFUNCTION("""COMPUTED_VALUE"""),"Philip ate lightly of the food which Pierre had ready for him.")</f>
        <v>Philip ate lightly of the food which Pierre had ready for him.</v>
      </c>
      <c r="D702" s="4" t="str">
        <f>IFERROR(__xludf.DUMMYFUNCTION("""COMPUTED_VALUE""")," ")</f>
        <v> </v>
      </c>
    </row>
    <row r="703">
      <c r="A703" s="5" t="s">
        <v>4100</v>
      </c>
      <c r="B703" s="4" t="str">
        <f>IFERROR(__xludf.DUMMYFUNCTION("SPLIT(A703,"""""")"")"),"( arctic_b0110 ")</f>
        <v>( arctic_b0110 </v>
      </c>
      <c r="C703" s="4" t="str">
        <f>IFERROR(__xludf.DUMMYFUNCTION("""COMPUTED_VALUE"""),"Such men believe, when they come together.")</f>
        <v>Such men believe, when they come together.</v>
      </c>
      <c r="D703" s="4" t="str">
        <f>IFERROR(__xludf.DUMMYFUNCTION("""COMPUTED_VALUE""")," ")</f>
        <v> </v>
      </c>
    </row>
    <row r="704">
      <c r="A704" s="5" t="s">
        <v>4101</v>
      </c>
      <c r="B704" s="4" t="str">
        <f>IFERROR(__xludf.DUMMYFUNCTION("SPLIT(A704,"""""")"")"),"( arctic_b0111 ")</f>
        <v>( arctic_b0111 </v>
      </c>
      <c r="C704" s="4" t="str">
        <f>IFERROR(__xludf.DUMMYFUNCTION("""COMPUTED_VALUE"""),"The journey was continued at dawn.")</f>
        <v>The journey was continued at dawn.</v>
      </c>
      <c r="D704" s="4" t="str">
        <f>IFERROR(__xludf.DUMMYFUNCTION("""COMPUTED_VALUE""")," ")</f>
        <v> </v>
      </c>
    </row>
    <row r="705">
      <c r="A705" s="5" t="s">
        <v>4102</v>
      </c>
      <c r="B705" s="4" t="str">
        <f>IFERROR(__xludf.DUMMYFUNCTION("SPLIT(A705,"""""")"")"),"( arctic_b0112 ")</f>
        <v>( arctic_b0112 </v>
      </c>
      <c r="C705" s="4" t="str">
        <f>IFERROR(__xludf.DUMMYFUNCTION("""COMPUTED_VALUE"""),"Jeanne and Pierre both gazed toward the great rock.")</f>
        <v>Jeanne and Pierre both gazed toward the great rock.</v>
      </c>
      <c r="D705" s="4" t="str">
        <f>IFERROR(__xludf.DUMMYFUNCTION("""COMPUTED_VALUE""")," ")</f>
        <v> </v>
      </c>
    </row>
    <row r="706">
      <c r="A706" s="5" t="s">
        <v>4103</v>
      </c>
      <c r="B706" s="4" t="str">
        <f>IFERROR(__xludf.DUMMYFUNCTION("SPLIT(A706,"""""")"")"),"( arctic_b0113 ")</f>
        <v>( arctic_b0113 </v>
      </c>
      <c r="C706" s="4" t="str">
        <f>IFERROR(__xludf.DUMMYFUNCTION("""COMPUTED_VALUE"""),"There was something pathetic in the girl's attitude now.")</f>
        <v>There was something pathetic in the girl's attitude now.</v>
      </c>
      <c r="D706" s="4" t="str">
        <f>IFERROR(__xludf.DUMMYFUNCTION("""COMPUTED_VALUE""")," ")</f>
        <v> </v>
      </c>
    </row>
    <row r="707">
      <c r="A707" s="5" t="s">
        <v>4104</v>
      </c>
      <c r="B707" s="4" t="str">
        <f>IFERROR(__xludf.DUMMYFUNCTION("SPLIT(A707,"""""")"")"),"( arctic_b0114 ")</f>
        <v>( arctic_b0114 </v>
      </c>
      <c r="C707" s="4" t="str">
        <f>IFERROR(__xludf.DUMMYFUNCTION("""COMPUTED_VALUE"""),"He moved his position, and the illusion was gone.")</f>
        <v>He moved his position, and the illusion was gone.</v>
      </c>
      <c r="D707" s="4" t="str">
        <f>IFERROR(__xludf.DUMMYFUNCTION("""COMPUTED_VALUE""")," ")</f>
        <v> </v>
      </c>
    </row>
    <row r="708">
      <c r="A708" s="5" t="s">
        <v>4105</v>
      </c>
      <c r="B708" s="4" t="str">
        <f>IFERROR(__xludf.DUMMYFUNCTION("SPLIT(A708,"""""")"")"),"( arctic_b0115 ")</f>
        <v>( arctic_b0115 </v>
      </c>
      <c r="C708" s="4" t="str">
        <f>IFERROR(__xludf.DUMMYFUNCTION("""COMPUTED_VALUE"""),"For two hours not a word passed between them.")</f>
        <v>For two hours not a word passed between them.</v>
      </c>
      <c r="D708" s="4" t="str">
        <f>IFERROR(__xludf.DUMMYFUNCTION("""COMPUTED_VALUE""")," ")</f>
        <v> </v>
      </c>
    </row>
    <row r="709">
      <c r="A709" s="5" t="s">
        <v>4106</v>
      </c>
      <c r="B709" s="4" t="str">
        <f>IFERROR(__xludf.DUMMYFUNCTION("SPLIT(A709,"""""")"")"),"( arctic_b0116 ")</f>
        <v>( arctic_b0116 </v>
      </c>
      <c r="C709" s="4" t="str">
        <f>IFERROR(__xludf.DUMMYFUNCTION("""COMPUTED_VALUE"""),"I have hunted along this ridge, replied Philip.")</f>
        <v>I have hunted along this ridge, replied Philip.</v>
      </c>
      <c r="D709" s="4" t="str">
        <f>IFERROR(__xludf.DUMMYFUNCTION("""COMPUTED_VALUE""")," ")</f>
        <v> </v>
      </c>
    </row>
    <row r="710">
      <c r="A710" s="5" t="s">
        <v>4107</v>
      </c>
      <c r="B710" s="4" t="str">
        <f>IFERROR(__xludf.DUMMYFUNCTION("SPLIT(A710,"""""")"")"),"( arctic_b0117 ")</f>
        <v>( arctic_b0117 </v>
      </c>
      <c r="C710" s="4" t="str">
        <f>IFERROR(__xludf.DUMMYFUNCTION("""COMPUTED_VALUE"""),"That's Thorpe's, said the young engineer.")</f>
        <v>That's Thorpe's, said the young engineer.</v>
      </c>
      <c r="D710" s="4" t="str">
        <f>IFERROR(__xludf.DUMMYFUNCTION("""COMPUTED_VALUE""")," ")</f>
        <v> </v>
      </c>
    </row>
    <row r="711">
      <c r="A711" s="5" t="s">
        <v>4108</v>
      </c>
      <c r="B711" s="4" t="str">
        <f>IFERROR(__xludf.DUMMYFUNCTION("SPLIT(A711,"""""")"")"),"( arctic_b0118 ")</f>
        <v>( arctic_b0118 </v>
      </c>
      <c r="C711" s="4" t="str">
        <f>IFERROR(__xludf.DUMMYFUNCTION("""COMPUTED_VALUE"""),"We saw your light, and thought you wouldn't mind a call.")</f>
        <v>We saw your light, and thought you wouldn't mind a call.</v>
      </c>
      <c r="D711" s="4" t="str">
        <f>IFERROR(__xludf.DUMMYFUNCTION("""COMPUTED_VALUE""")," ")</f>
        <v> </v>
      </c>
    </row>
    <row r="712">
      <c r="A712" s="5" t="s">
        <v>4109</v>
      </c>
      <c r="B712" s="4" t="str">
        <f>IFERROR(__xludf.DUMMYFUNCTION("SPLIT(A712,"""""")"")"),"( arctic_b0119 ")</f>
        <v>( arctic_b0119 </v>
      </c>
      <c r="C712" s="4" t="str">
        <f>IFERROR(__xludf.DUMMYFUNCTION("""COMPUTED_VALUE"""),"Billinger may arrive in time.")</f>
        <v>Billinger may arrive in time.</v>
      </c>
      <c r="D712" s="4" t="str">
        <f>IFERROR(__xludf.DUMMYFUNCTION("""COMPUTED_VALUE""")," ")</f>
        <v> </v>
      </c>
    </row>
    <row r="713">
      <c r="A713" s="5" t="s">
        <v>4110</v>
      </c>
      <c r="B713" s="4" t="str">
        <f>IFERROR(__xludf.DUMMYFUNCTION("SPLIT(A713,"""""")"")"),"( arctic_b0120 ")</f>
        <v>( arctic_b0120 </v>
      </c>
      <c r="C713" s="4" t="str">
        <f>IFERROR(__xludf.DUMMYFUNCTION("""COMPUTED_VALUE"""),"There's the hitch, replied Thorpe, rolling a cigarette.")</f>
        <v>There's the hitch, replied Thorpe, rolling a cigarette.</v>
      </c>
      <c r="D713" s="4" t="str">
        <f>IFERROR(__xludf.DUMMYFUNCTION("""COMPUTED_VALUE""")," ")</f>
        <v> </v>
      </c>
    </row>
    <row r="714">
      <c r="A714" s="5" t="s">
        <v>4111</v>
      </c>
      <c r="B714" s="4" t="str">
        <f>IFERROR(__xludf.DUMMYFUNCTION("SPLIT(A714,"""""")"")"),"( arctic_b0121 ")</f>
        <v>( arctic_b0121 </v>
      </c>
      <c r="C714" s="4" t="str">
        <f>IFERROR(__xludf.DUMMYFUNCTION("""COMPUTED_VALUE"""),"I want my men to work by themselves.")</f>
        <v>I want my men to work by themselves.</v>
      </c>
      <c r="D714" s="4" t="str">
        <f>IFERROR(__xludf.DUMMYFUNCTION("""COMPUTED_VALUE""")," ")</f>
        <v> </v>
      </c>
    </row>
    <row r="715">
      <c r="A715" s="5" t="s">
        <v>4112</v>
      </c>
      <c r="B715" s="4" t="str">
        <f>IFERROR(__xludf.DUMMYFUNCTION("SPLIT(A715,"""""")"")"),"( arctic_b0122 ")</f>
        <v>( arctic_b0122 </v>
      </c>
      <c r="C715" s="4" t="str">
        <f>IFERROR(__xludf.DUMMYFUNCTION("""COMPUTED_VALUE"""),"Philip saw MacDougall soon after his short talk with Thorpe.")</f>
        <v>Philip saw MacDougall soon after his short talk with Thorpe.</v>
      </c>
      <c r="D715" s="4" t="str">
        <f>IFERROR(__xludf.DUMMYFUNCTION("""COMPUTED_VALUE""")," ")</f>
        <v> </v>
      </c>
    </row>
    <row r="716">
      <c r="A716" s="5" t="s">
        <v>4113</v>
      </c>
      <c r="B716" s="4" t="str">
        <f>IFERROR(__xludf.DUMMYFUNCTION("SPLIT(A716,"""""")"")"),"( arctic_b0123 ")</f>
        <v>( arctic_b0123 </v>
      </c>
      <c r="C716" s="4" t="str">
        <f>IFERROR(__xludf.DUMMYFUNCTION("""COMPUTED_VALUE"""),"Neither could they understand the growing disaffection among Thorpe's men.")</f>
        <v>Neither could they understand the growing disaffection among Thorpe's men.</v>
      </c>
      <c r="D716" s="4" t="str">
        <f>IFERROR(__xludf.DUMMYFUNCTION("""COMPUTED_VALUE""")," ")</f>
        <v> </v>
      </c>
    </row>
    <row r="717">
      <c r="A717" s="5" t="s">
        <v>4114</v>
      </c>
      <c r="B717" s="4" t="str">
        <f>IFERROR(__xludf.DUMMYFUNCTION("SPLIT(A717,"""""")"")"),"( arctic_b0124 ")</f>
        <v>( arctic_b0124 </v>
      </c>
      <c r="C717" s="4" t="str">
        <f>IFERROR(__xludf.DUMMYFUNCTION("""COMPUTED_VALUE"""),"Two weeks passed, and in that time Thorpe left camp three times.")</f>
        <v>Two weeks passed, and in that time Thorpe left camp three times.</v>
      </c>
      <c r="D717" s="4" t="str">
        <f>IFERROR(__xludf.DUMMYFUNCTION("""COMPUTED_VALUE""")," ")</f>
        <v> </v>
      </c>
    </row>
    <row r="718">
      <c r="A718" s="5" t="s">
        <v>4115</v>
      </c>
      <c r="B718" s="4" t="str">
        <f>IFERROR(__xludf.DUMMYFUNCTION("SPLIT(A718,"""""")"")"),"( arctic_b0125 ")</f>
        <v>( arctic_b0125 </v>
      </c>
      <c r="C718" s="4" t="str">
        <f>IFERROR(__xludf.DUMMYFUNCTION("""COMPUTED_VALUE"""),"It was the third or fourth time that Philip had heard MacDougall swear.")</f>
        <v>It was the third or fourth time that Philip had heard MacDougall swear.</v>
      </c>
      <c r="D718" s="4" t="str">
        <f>IFERROR(__xludf.DUMMYFUNCTION("""COMPUTED_VALUE""")," ")</f>
        <v> </v>
      </c>
    </row>
    <row r="719">
      <c r="A719" s="5" t="s">
        <v>4116</v>
      </c>
      <c r="B719" s="4" t="str">
        <f>IFERROR(__xludf.DUMMYFUNCTION("SPLIT(A719,"""""")"")"),"( arctic_b0126 ")</f>
        <v>( arctic_b0126 </v>
      </c>
      <c r="C719" s="4" t="str">
        <f>IFERROR(__xludf.DUMMYFUNCTION("""COMPUTED_VALUE"""),"Blood was oozing slowly from the wounded man's right breast.")</f>
        <v>Blood was oozing slowly from the wounded man's right breast.</v>
      </c>
      <c r="D719" s="4" t="str">
        <f>IFERROR(__xludf.DUMMYFUNCTION("""COMPUTED_VALUE""")," ")</f>
        <v> </v>
      </c>
    </row>
    <row r="720">
      <c r="A720" s="5" t="s">
        <v>4117</v>
      </c>
      <c r="B720" s="4" t="str">
        <f>IFERROR(__xludf.DUMMYFUNCTION("SPLIT(A720,"""""")"")"),"( arctic_b0127 ")</f>
        <v>( arctic_b0127 </v>
      </c>
      <c r="C720" s="4" t="str">
        <f>IFERROR(__xludf.DUMMYFUNCTION("""COMPUTED_VALUE"""),"He destroyed everything that had belonged to the woman.")</f>
        <v>He destroyed everything that had belonged to the woman.</v>
      </c>
      <c r="D720" s="4" t="str">
        <f>IFERROR(__xludf.DUMMYFUNCTION("""COMPUTED_VALUE""")," ")</f>
        <v> </v>
      </c>
    </row>
    <row r="721">
      <c r="A721" s="5" t="s">
        <v>4118</v>
      </c>
      <c r="B721" s="4" t="str">
        <f>IFERROR(__xludf.DUMMYFUNCTION("SPLIT(A721,"""""")"")"),"( arctic_b0128 ")</f>
        <v>( arctic_b0128 </v>
      </c>
      <c r="C721" s="4" t="str">
        <f>IFERROR(__xludf.DUMMYFUNCTION("""COMPUTED_VALUE"""),"Philip bent low over Pierre.")</f>
        <v>Philip bent low over Pierre.</v>
      </c>
      <c r="D721" s="4" t="str">
        <f>IFERROR(__xludf.DUMMYFUNCTION("""COMPUTED_VALUE""")," ")</f>
        <v> </v>
      </c>
    </row>
    <row r="722">
      <c r="A722" s="5" t="s">
        <v>4119</v>
      </c>
      <c r="B722" s="4" t="str">
        <f>IFERROR(__xludf.DUMMYFUNCTION("SPLIT(A722,"""""")"")"),"( arctic_b0129 ")</f>
        <v>( arctic_b0129 </v>
      </c>
      <c r="C722" s="4" t="str">
        <f>IFERROR(__xludf.DUMMYFUNCTION("""COMPUTED_VALUE"""),"Did Thorpe go to see any one in Churchill.")</f>
        <v>Did Thorpe go to see any one in Churchill.</v>
      </c>
      <c r="D722" s="4" t="str">
        <f>IFERROR(__xludf.DUMMYFUNCTION("""COMPUTED_VALUE""")," ")</f>
        <v> </v>
      </c>
    </row>
    <row r="723">
      <c r="A723" s="5" t="s">
        <v>4120</v>
      </c>
      <c r="B723" s="4" t="str">
        <f>IFERROR(__xludf.DUMMYFUNCTION("SPLIT(A723,"""""")"")"),"( arctic_b0130 ")</f>
        <v>( arctic_b0130 </v>
      </c>
      <c r="C723" s="4" t="str">
        <f>IFERROR(__xludf.DUMMYFUNCTION("""COMPUTED_VALUE"""),"She saw the answer in his face.")</f>
        <v>She saw the answer in his face.</v>
      </c>
      <c r="D723" s="4" t="str">
        <f>IFERROR(__xludf.DUMMYFUNCTION("""COMPUTED_VALUE""")," ")</f>
        <v> </v>
      </c>
    </row>
    <row r="724">
      <c r="A724" s="5" t="s">
        <v>4121</v>
      </c>
      <c r="B724" s="4" t="str">
        <f>IFERROR(__xludf.DUMMYFUNCTION("SPLIT(A724,"""""")"")"),"( arctic_b0131 ")</f>
        <v>( arctic_b0131 </v>
      </c>
      <c r="C724" s="4" t="str">
        <f>IFERROR(__xludf.DUMMYFUNCTION("""COMPUTED_VALUE"""),"Thorpe and his men were to destroy this camp, and kill you.")</f>
        <v>Thorpe and his men were to destroy this camp, and kill you.</v>
      </c>
      <c r="D724" s="4" t="str">
        <f>IFERROR(__xludf.DUMMYFUNCTION("""COMPUTED_VALUE""")," ")</f>
        <v> </v>
      </c>
    </row>
    <row r="725">
      <c r="A725" s="5" t="s">
        <v>4122</v>
      </c>
      <c r="B725" s="4" t="str">
        <f>IFERROR(__xludf.DUMMYFUNCTION("SPLIT(A725,"""""")"")"),"( arctic_b0132 ")</f>
        <v>( arctic_b0132 </v>
      </c>
      <c r="C725" s="4" t="str">
        <f>IFERROR(__xludf.DUMMYFUNCTION("""COMPUTED_VALUE"""),"There is no need of further detail, now -- for you can understand.")</f>
        <v>There is no need of further detail, now -- for you can understand.</v>
      </c>
      <c r="D725" s="4" t="str">
        <f>IFERROR(__xludf.DUMMYFUNCTION("""COMPUTED_VALUE""")," ")</f>
        <v> </v>
      </c>
    </row>
    <row r="726">
      <c r="A726" s="5" t="s">
        <v>4123</v>
      </c>
      <c r="B726" s="4" t="str">
        <f>IFERROR(__xludf.DUMMYFUNCTION("SPLIT(A726,"""""")"")"),"( arctic_b0133 ")</f>
        <v>( arctic_b0133 </v>
      </c>
      <c r="C726" s="4" t="str">
        <f>IFERROR(__xludf.DUMMYFUNCTION("""COMPUTED_VALUE"""),"There followed a roar that shook the earth.")</f>
        <v>There followed a roar that shook the earth.</v>
      </c>
      <c r="D726" s="4" t="str">
        <f>IFERROR(__xludf.DUMMYFUNCTION("""COMPUTED_VALUE""")," ")</f>
        <v> </v>
      </c>
    </row>
    <row r="727">
      <c r="A727" s="5" t="s">
        <v>4124</v>
      </c>
      <c r="B727" s="4" t="str">
        <f>IFERROR(__xludf.DUMMYFUNCTION("SPLIT(A727,"""""")"")"),"( arctic_b0134 ")</f>
        <v>( arctic_b0134 </v>
      </c>
      <c r="C727" s="4" t="str">
        <f>IFERROR(__xludf.DUMMYFUNCTION("""COMPUTED_VALUE"""),"Blind with rage, he darted in.")</f>
        <v>Blind with rage, he darted in.</v>
      </c>
      <c r="D727" s="4" t="str">
        <f>IFERROR(__xludf.DUMMYFUNCTION("""COMPUTED_VALUE""")," ")</f>
        <v> </v>
      </c>
    </row>
    <row r="728">
      <c r="A728" s="5" t="s">
        <v>4125</v>
      </c>
      <c r="B728" s="4" t="str">
        <f>IFERROR(__xludf.DUMMYFUNCTION("SPLIT(A728,"""""")"")"),"( arctic_b0135 ")</f>
        <v>( arctic_b0135 </v>
      </c>
      <c r="C728" s="4" t="str">
        <f>IFERROR(__xludf.DUMMYFUNCTION("""COMPUTED_VALUE"""),"In it was the joy of life.")</f>
        <v>In it was the joy of life.</v>
      </c>
      <c r="D728" s="4" t="str">
        <f>IFERROR(__xludf.DUMMYFUNCTION("""COMPUTED_VALUE""")," ")</f>
        <v> </v>
      </c>
    </row>
    <row r="729">
      <c r="A729" s="5" t="s">
        <v>4126</v>
      </c>
      <c r="B729" s="4" t="str">
        <f>IFERROR(__xludf.DUMMYFUNCTION("SPLIT(A729,"""""")"")"),"( arctic_b0136 ")</f>
        <v>( arctic_b0136 </v>
      </c>
      <c r="C729" s="4" t="str">
        <f>IFERROR(__xludf.DUMMYFUNCTION("""COMPUTED_VALUE"""),"Swiftly his eyes measured the situation.")</f>
        <v>Swiftly his eyes measured the situation.</v>
      </c>
      <c r="D729" s="4" t="str">
        <f>IFERROR(__xludf.DUMMYFUNCTION("""COMPUTED_VALUE""")," ")</f>
        <v> </v>
      </c>
    </row>
    <row r="730">
      <c r="A730" s="5" t="s">
        <v>4127</v>
      </c>
      <c r="B730" s="4" t="str">
        <f>IFERROR(__xludf.DUMMYFUNCTION("SPLIT(A730,"""""")"")"),"( arctic_b0137 ")</f>
        <v>( arctic_b0137 </v>
      </c>
      <c r="C730" s="4" t="str">
        <f>IFERROR(__xludf.DUMMYFUNCTION("""COMPUTED_VALUE"""),"But this little defect did not worry him.")</f>
        <v>But this little defect did not worry him.</v>
      </c>
      <c r="D730" s="4" t="str">
        <f>IFERROR(__xludf.DUMMYFUNCTION("""COMPUTED_VALUE""")," ")</f>
        <v> </v>
      </c>
    </row>
    <row r="731">
      <c r="A731" s="5" t="s">
        <v>4128</v>
      </c>
      <c r="B731" s="4" t="str">
        <f>IFERROR(__xludf.DUMMYFUNCTION("SPLIT(A731,"""""")"")"),"( arctic_b0138 ")</f>
        <v>( arctic_b0138 </v>
      </c>
      <c r="C731" s="4" t="str">
        <f>IFERROR(__xludf.DUMMYFUNCTION("""COMPUTED_VALUE"""),"And then, steadily, he began to chew.")</f>
        <v>And then, steadily, he began to chew.</v>
      </c>
      <c r="D731" s="4" t="str">
        <f>IFERROR(__xludf.DUMMYFUNCTION("""COMPUTED_VALUE""")," ")</f>
        <v> </v>
      </c>
    </row>
    <row r="732">
      <c r="A732" s="5" t="s">
        <v>4129</v>
      </c>
      <c r="B732" s="4" t="str">
        <f>IFERROR(__xludf.DUMMYFUNCTION("SPLIT(A732,"""""")"")"),"( arctic_b0139 ")</f>
        <v>( arctic_b0139 </v>
      </c>
      <c r="C732" s="4" t="str">
        <f>IFERROR(__xludf.DUMMYFUNCTION("""COMPUTED_VALUE"""),"Together they ate the rabbit.")</f>
        <v>Together they ate the rabbit.</v>
      </c>
      <c r="D732" s="4" t="str">
        <f>IFERROR(__xludf.DUMMYFUNCTION("""COMPUTED_VALUE""")," ")</f>
        <v> </v>
      </c>
    </row>
    <row r="733">
      <c r="A733" s="5" t="s">
        <v>4130</v>
      </c>
      <c r="B733" s="4" t="str">
        <f>IFERROR(__xludf.DUMMYFUNCTION("SPLIT(A733,"""""")"")"),"( arctic_b0140 ")</f>
        <v>( arctic_b0140 </v>
      </c>
      <c r="C733" s="4" t="str">
        <f>IFERROR(__xludf.DUMMYFUNCTION("""COMPUTED_VALUE"""),"They edged nearer, and stood shoulder to shoulder facing their world.")</f>
        <v>They edged nearer, and stood shoulder to shoulder facing their world.</v>
      </c>
      <c r="D733" s="4" t="str">
        <f>IFERROR(__xludf.DUMMYFUNCTION("""COMPUTED_VALUE""")," ")</f>
        <v> </v>
      </c>
    </row>
    <row r="734">
      <c r="A734" s="5" t="s">
        <v>4131</v>
      </c>
      <c r="B734" s="4" t="str">
        <f>IFERROR(__xludf.DUMMYFUNCTION("SPLIT(A734,"""""")"")"),"( arctic_b0141 ")</f>
        <v>( arctic_b0141 </v>
      </c>
      <c r="C734" s="4" t="str">
        <f>IFERROR(__xludf.DUMMYFUNCTION("""COMPUTED_VALUE"""),"It was beating and waiting in the ambush of those black pits.")</f>
        <v>It was beating and waiting in the ambush of those black pits.</v>
      </c>
      <c r="D734" s="4" t="str">
        <f>IFERROR(__xludf.DUMMYFUNCTION("""COMPUTED_VALUE""")," ")</f>
        <v> </v>
      </c>
    </row>
    <row r="735">
      <c r="A735" s="5" t="s">
        <v>4132</v>
      </c>
      <c r="B735" s="4" t="str">
        <f>IFERROR(__xludf.DUMMYFUNCTION("SPLIT(A735,"""""")"")"),"( arctic_b0142 ")</f>
        <v>( arctic_b0142 </v>
      </c>
      <c r="C735" s="4" t="str">
        <f>IFERROR(__xludf.DUMMYFUNCTION("""COMPUTED_VALUE"""),"Something vastly more thrilling had come into it now.")</f>
        <v>Something vastly more thrilling had come into it now.</v>
      </c>
      <c r="D735" s="4" t="str">
        <f>IFERROR(__xludf.DUMMYFUNCTION("""COMPUTED_VALUE""")," ")</f>
        <v> </v>
      </c>
    </row>
    <row r="736">
      <c r="A736" s="5" t="s">
        <v>4133</v>
      </c>
      <c r="B736" s="4" t="str">
        <f>IFERROR(__xludf.DUMMYFUNCTION("SPLIT(A736,"""""")"")"),"( arctic_b0143 ")</f>
        <v>( arctic_b0143 </v>
      </c>
      <c r="C736" s="4" t="str">
        <f>IFERROR(__xludf.DUMMYFUNCTION("""COMPUTED_VALUE"""),"It took him half an hour to reach the edge of it.")</f>
        <v>It took him half an hour to reach the edge of it.</v>
      </c>
      <c r="D736" s="4" t="str">
        <f>IFERROR(__xludf.DUMMYFUNCTION("""COMPUTED_VALUE""")," ")</f>
        <v> </v>
      </c>
    </row>
    <row r="737">
      <c r="A737" s="5" t="s">
        <v>4134</v>
      </c>
      <c r="B737" s="4" t="str">
        <f>IFERROR(__xludf.DUMMYFUNCTION("SPLIT(A737,"""""")"")"),"( arctic_b0144 ")</f>
        <v>( arctic_b0144 </v>
      </c>
      <c r="C737" s="4" t="str">
        <f>IFERROR(__xludf.DUMMYFUNCTION("""COMPUTED_VALUE"""),"But there was no longer the mother yearning in his heart.")</f>
        <v>But there was no longer the mother yearning in his heart.</v>
      </c>
      <c r="D737" s="4" t="str">
        <f>IFERROR(__xludf.DUMMYFUNCTION("""COMPUTED_VALUE""")," ")</f>
        <v> </v>
      </c>
    </row>
    <row r="738">
      <c r="A738" s="5" t="s">
        <v>4135</v>
      </c>
      <c r="B738" s="4" t="str">
        <f>IFERROR(__xludf.DUMMYFUNCTION("SPLIT(A738,"""""")"")"),"( arctic_b0145 ")</f>
        <v>( arctic_b0145 </v>
      </c>
      <c r="C738" s="4" t="str">
        <f>IFERROR(__xludf.DUMMYFUNCTION("""COMPUTED_VALUE"""),"Besides, had he not whipped the big owl in the forest.")</f>
        <v>Besides, had he not whipped the big owl in the forest.</v>
      </c>
      <c r="D738" s="4" t="str">
        <f>IFERROR(__xludf.DUMMYFUNCTION("""COMPUTED_VALUE""")," ")</f>
        <v> </v>
      </c>
    </row>
    <row r="739">
      <c r="A739" s="5" t="s">
        <v>4136</v>
      </c>
      <c r="B739" s="4" t="str">
        <f>IFERROR(__xludf.DUMMYFUNCTION("SPLIT(A739,"""""")"")"),"( arctic_b0146 ")</f>
        <v>( arctic_b0146 </v>
      </c>
      <c r="C739" s="4" t="str">
        <f>IFERROR(__xludf.DUMMYFUNCTION("""COMPUTED_VALUE"""),"After all, it was simply a mistake in judgment.")</f>
        <v>After all, it was simply a mistake in judgment.</v>
      </c>
      <c r="D739" s="4" t="str">
        <f>IFERROR(__xludf.DUMMYFUNCTION("""COMPUTED_VALUE""")," ")</f>
        <v> </v>
      </c>
    </row>
    <row r="740">
      <c r="A740" s="5" t="s">
        <v>4137</v>
      </c>
      <c r="B740" s="4" t="str">
        <f>IFERROR(__xludf.DUMMYFUNCTION("SPLIT(A740,"""""")"")"),"( arctic_b0147 ")</f>
        <v>( arctic_b0147 </v>
      </c>
      <c r="C740" s="4" t="str">
        <f>IFERROR(__xludf.DUMMYFUNCTION("""COMPUTED_VALUE"""),"Had it struck squarely it would have killed him.")</f>
        <v>Had it struck squarely it would have killed him.</v>
      </c>
      <c r="D740" s="4" t="str">
        <f>IFERROR(__xludf.DUMMYFUNCTION("""COMPUTED_VALUE""")," ")</f>
        <v> </v>
      </c>
    </row>
    <row r="741">
      <c r="A741" s="5" t="s">
        <v>4138</v>
      </c>
      <c r="B741" s="4" t="str">
        <f>IFERROR(__xludf.DUMMYFUNCTION("SPLIT(A741,"""""")"")"),"( arctic_b0148 ")</f>
        <v>( arctic_b0148 </v>
      </c>
      <c r="C741" s="4" t="str">
        <f>IFERROR(__xludf.DUMMYFUNCTION("""COMPUTED_VALUE"""),"The Indian even poked his stick into the thick ground spruce.")</f>
        <v>The Indian even poked his stick into the thick ground spruce.</v>
      </c>
      <c r="D741" s="4" t="str">
        <f>IFERROR(__xludf.DUMMYFUNCTION("""COMPUTED_VALUE""")," ")</f>
        <v> </v>
      </c>
    </row>
    <row r="742">
      <c r="A742" s="5" t="s">
        <v>4139</v>
      </c>
      <c r="B742" s="4" t="str">
        <f>IFERROR(__xludf.DUMMYFUNCTION("SPLIT(A742,"""""")"")"),"( arctic_b0149 ")</f>
        <v>( arctic_b0149 </v>
      </c>
      <c r="C742" s="4" t="str">
        <f>IFERROR(__xludf.DUMMYFUNCTION("""COMPUTED_VALUE"""),"Pebbles and dirt flew along with hair and fur.")</f>
        <v>Pebbles and dirt flew along with hair and fur.</v>
      </c>
      <c r="D742" s="4" t="str">
        <f>IFERROR(__xludf.DUMMYFUNCTION("""COMPUTED_VALUE""")," ")</f>
        <v> </v>
      </c>
    </row>
    <row r="743">
      <c r="A743" s="5" t="s">
        <v>4140</v>
      </c>
      <c r="B743" s="4" t="str">
        <f>IFERROR(__xludf.DUMMYFUNCTION("SPLIT(A743,"""""")"")"),"( arctic_b0150 ")</f>
        <v>( arctic_b0150 </v>
      </c>
      <c r="C743" s="4" t="str">
        <f>IFERROR(__xludf.DUMMYFUNCTION("""COMPUTED_VALUE"""),"And he was filled with a strange and foreboding fear.")</f>
        <v>And he was filled with a strange and foreboding fear.</v>
      </c>
      <c r="D743" s="4" t="str">
        <f>IFERROR(__xludf.DUMMYFUNCTION("""COMPUTED_VALUE""")," ")</f>
        <v> </v>
      </c>
    </row>
    <row r="744">
      <c r="A744" s="5" t="s">
        <v>4141</v>
      </c>
      <c r="B744" s="4" t="str">
        <f>IFERROR(__xludf.DUMMYFUNCTION("SPLIT(A744,"""""")"")"),"( arctic_b0151 ")</f>
        <v>( arctic_b0151 </v>
      </c>
      <c r="C744" s="4" t="str">
        <f>IFERROR(__xludf.DUMMYFUNCTION("""COMPUTED_VALUE"""),"It was steel, a fisher trap.")</f>
        <v>It was steel, a fisher trap.</v>
      </c>
      <c r="D744" s="4" t="str">
        <f>IFERROR(__xludf.DUMMYFUNCTION("""COMPUTED_VALUE""")," ")</f>
        <v> </v>
      </c>
    </row>
    <row r="745">
      <c r="A745" s="5" t="s">
        <v>4142</v>
      </c>
      <c r="B745" s="4" t="str">
        <f>IFERROR(__xludf.DUMMYFUNCTION("SPLIT(A745,"""""")"")"),"( arctic_b0152 ")</f>
        <v>( arctic_b0152 </v>
      </c>
      <c r="C745" s="4" t="str">
        <f>IFERROR(__xludf.DUMMYFUNCTION("""COMPUTED_VALUE"""),"OW, a wild dog, he growled.")</f>
        <v>OW, a wild dog, he growled.</v>
      </c>
      <c r="D745" s="4" t="str">
        <f>IFERROR(__xludf.DUMMYFUNCTION("""COMPUTED_VALUE""")," ")</f>
        <v> </v>
      </c>
    </row>
    <row r="746">
      <c r="A746" s="5" t="s">
        <v>4143</v>
      </c>
      <c r="B746" s="4" t="str">
        <f>IFERROR(__xludf.DUMMYFUNCTION("SPLIT(A746,"""""")"")"),"( arctic_b0153 ")</f>
        <v>( arctic_b0153 </v>
      </c>
      <c r="C746" s="4" t="str">
        <f>IFERROR(__xludf.DUMMYFUNCTION("""COMPUTED_VALUE"""),"He was a pariah; a wanderer without a friend or a home.")</f>
        <v>He was a pariah; a wanderer without a friend or a home.</v>
      </c>
      <c r="D746" s="4" t="str">
        <f>IFERROR(__xludf.DUMMYFUNCTION("""COMPUTED_VALUE""")," ")</f>
        <v> </v>
      </c>
    </row>
    <row r="747">
      <c r="A747" s="5" t="s">
        <v>4144</v>
      </c>
      <c r="B747" s="4" t="str">
        <f>IFERROR(__xludf.DUMMYFUNCTION("SPLIT(A747,"""""")"")"),"( arctic_b0154 ")</f>
        <v>( arctic_b0154 </v>
      </c>
      <c r="C747" s="4" t="str">
        <f>IFERROR(__xludf.DUMMYFUNCTION("""COMPUTED_VALUE"""),"That is the strange part of it.")</f>
        <v>That is the strange part of it.</v>
      </c>
      <c r="D747" s="4" t="str">
        <f>IFERROR(__xludf.DUMMYFUNCTION("""COMPUTED_VALUE""")," ")</f>
        <v> </v>
      </c>
    </row>
    <row r="748">
      <c r="A748" s="5" t="s">
        <v>4145</v>
      </c>
      <c r="B748" s="4" t="str">
        <f>IFERROR(__xludf.DUMMYFUNCTION("SPLIT(A748,"""""")"")"),"( arctic_b0155 ")</f>
        <v>( arctic_b0155 </v>
      </c>
      <c r="C748" s="4" t="str">
        <f>IFERROR(__xludf.DUMMYFUNCTION("""COMPUTED_VALUE"""),"His freshly caught furs he flung to the floor.")</f>
        <v>His freshly caught furs he flung to the floor.</v>
      </c>
      <c r="D748" s="4" t="str">
        <f>IFERROR(__xludf.DUMMYFUNCTION("""COMPUTED_VALUE""")," ")</f>
        <v> </v>
      </c>
    </row>
    <row r="749">
      <c r="A749" s="5" t="s">
        <v>4146</v>
      </c>
      <c r="B749" s="4" t="str">
        <f>IFERROR(__xludf.DUMMYFUNCTION("SPLIT(A749,"""""")"")"),"( arctic_b0156 ")</f>
        <v>( arctic_b0156 </v>
      </c>
      <c r="C749" s="4" t="str">
        <f>IFERROR(__xludf.DUMMYFUNCTION("""COMPUTED_VALUE"""),"For that reason Le Beau had chosen him to fight the big fight.")</f>
        <v>For that reason Le Beau had chosen him to fight the big fight.</v>
      </c>
      <c r="D749" s="4" t="str">
        <f>IFERROR(__xludf.DUMMYFUNCTION("""COMPUTED_VALUE""")," ")</f>
        <v> </v>
      </c>
    </row>
    <row r="750">
      <c r="A750" s="5" t="s">
        <v>4147</v>
      </c>
      <c r="B750" s="4" t="str">
        <f>IFERROR(__xludf.DUMMYFUNCTION("SPLIT(A750,"""""")"")"),"( arctic_b0157 ")</f>
        <v>( arctic_b0157 </v>
      </c>
      <c r="C750" s="4" t="str">
        <f>IFERROR(__xludf.DUMMYFUNCTION("""COMPUTED_VALUE"""),"In the crib the baby sat up and began to prattle.")</f>
        <v>In the crib the baby sat up and began to prattle.</v>
      </c>
      <c r="D750" s="4" t="str">
        <f>IFERROR(__xludf.DUMMYFUNCTION("""COMPUTED_VALUE""")," ")</f>
        <v> </v>
      </c>
    </row>
    <row r="751">
      <c r="A751" s="5" t="s">
        <v>4148</v>
      </c>
      <c r="B751" s="4" t="str">
        <f>IFERROR(__xludf.DUMMYFUNCTION("SPLIT(A751,"""""")"")"),"( arctic_b0158 ")</f>
        <v>( arctic_b0158 </v>
      </c>
      <c r="C751" s="4" t="str">
        <f>IFERROR(__xludf.DUMMYFUNCTION("""COMPUTED_VALUE"""),"She obeyed, shrinking back with the baby in her arms.")</f>
        <v>She obeyed, shrinking back with the baby in her arms.</v>
      </c>
      <c r="D751" s="4" t="str">
        <f>IFERROR(__xludf.DUMMYFUNCTION("""COMPUTED_VALUE""")," ")</f>
        <v> </v>
      </c>
    </row>
    <row r="752">
      <c r="A752" s="5" t="s">
        <v>4149</v>
      </c>
      <c r="B752" s="4" t="str">
        <f>IFERROR(__xludf.DUMMYFUNCTION("SPLIT(A752,"""""")"")"),"( arctic_b0159 ")</f>
        <v>( arctic_b0159 </v>
      </c>
      <c r="C752" s="4" t="str">
        <f>IFERROR(__xludf.DUMMYFUNCTION("""COMPUTED_VALUE"""),"His teeth shut with a last click.")</f>
        <v>His teeth shut with a last click.</v>
      </c>
      <c r="D752" s="4" t="str">
        <f>IFERROR(__xludf.DUMMYFUNCTION("""COMPUTED_VALUE""")," ")</f>
        <v> </v>
      </c>
    </row>
    <row r="753">
      <c r="A753" s="5" t="s">
        <v>4150</v>
      </c>
      <c r="B753" s="4" t="str">
        <f>IFERROR(__xludf.DUMMYFUNCTION("SPLIT(A753,"""""")"")"),"( arctic_b0160 ")</f>
        <v>( arctic_b0160 </v>
      </c>
      <c r="C753" s="4" t="str">
        <f>IFERROR(__xludf.DUMMYFUNCTION("""COMPUTED_VALUE"""),"It was over when he made his way through the ring of spectators.")</f>
        <v>It was over when he made his way through the ring of spectators.</v>
      </c>
      <c r="D753" s="4" t="str">
        <f>IFERROR(__xludf.DUMMYFUNCTION("""COMPUTED_VALUE""")," ")</f>
        <v> </v>
      </c>
    </row>
    <row r="754">
      <c r="A754" s="5" t="s">
        <v>4151</v>
      </c>
      <c r="B754" s="4" t="str">
        <f>IFERROR(__xludf.DUMMYFUNCTION("SPLIT(A754,"""""")"")"),"( arctic_b0161 ")</f>
        <v>( arctic_b0161 </v>
      </c>
      <c r="C754" s="4" t="str">
        <f>IFERROR(__xludf.DUMMYFUNCTION("""COMPUTED_VALUE"""),"In a flash he was on his feet, facing him.")</f>
        <v>In a flash he was on his feet, facing him.</v>
      </c>
      <c r="D754" s="4" t="str">
        <f>IFERROR(__xludf.DUMMYFUNCTION("""COMPUTED_VALUE""")," ")</f>
        <v> </v>
      </c>
    </row>
    <row r="755">
      <c r="A755" s="5" t="s">
        <v>4152</v>
      </c>
      <c r="B755" s="4" t="str">
        <f>IFERROR(__xludf.DUMMYFUNCTION("SPLIT(A755,"""""")"")"),"( arctic_b0162 ")</f>
        <v>( arctic_b0162 </v>
      </c>
      <c r="C755" s="4" t="str">
        <f>IFERROR(__xludf.DUMMYFUNCTION("""COMPUTED_VALUE"""),"He thought he saw a shudder pass through the Factor's shoulders.")</f>
        <v>He thought he saw a shudder pass through the Factor's shoulders.</v>
      </c>
      <c r="D755" s="4" t="str">
        <f>IFERROR(__xludf.DUMMYFUNCTION("""COMPUTED_VALUE""")," ")</f>
        <v> </v>
      </c>
    </row>
    <row r="756">
      <c r="A756" s="5" t="s">
        <v>4153</v>
      </c>
      <c r="B756" s="4" t="str">
        <f>IFERROR(__xludf.DUMMYFUNCTION("SPLIT(A756,"""""")"")"),"( arctic_b0163 ")</f>
        <v>( arctic_b0163 </v>
      </c>
      <c r="C756" s="4" t="str">
        <f>IFERROR(__xludf.DUMMYFUNCTION("""COMPUTED_VALUE"""),"The moon had already begun its westward decline.")</f>
        <v>The moon had already begun its westward decline.</v>
      </c>
      <c r="D756" s="4" t="str">
        <f>IFERROR(__xludf.DUMMYFUNCTION("""COMPUTED_VALUE""")," ")</f>
        <v> </v>
      </c>
    </row>
    <row r="757">
      <c r="A757" s="5" t="s">
        <v>4154</v>
      </c>
      <c r="B757" s="4" t="str">
        <f>IFERROR(__xludf.DUMMYFUNCTION("SPLIT(A757,"""""")"")"),"( arctic_b0164 ")</f>
        <v>( arctic_b0164 </v>
      </c>
      <c r="C757" s="4" t="str">
        <f>IFERROR(__xludf.DUMMYFUNCTION("""COMPUTED_VALUE"""),"They laughed like two happy children.")</f>
        <v>They laughed like two happy children.</v>
      </c>
      <c r="D757" s="4" t="str">
        <f>IFERROR(__xludf.DUMMYFUNCTION("""COMPUTED_VALUE""")," ")</f>
        <v> </v>
      </c>
    </row>
    <row r="758">
      <c r="A758" s="5" t="s">
        <v>4155</v>
      </c>
      <c r="B758" s="4" t="str">
        <f>IFERROR(__xludf.DUMMYFUNCTION("SPLIT(A758,"""""")"")"),"( arctic_b0165 ")</f>
        <v>( arctic_b0165 </v>
      </c>
      <c r="C758" s="4" t="str">
        <f>IFERROR(__xludf.DUMMYFUNCTION("""COMPUTED_VALUE"""),"He pulled, and the log crashed down to break his back.")</f>
        <v>He pulled, and the log crashed down to break his back.</v>
      </c>
      <c r="D758" s="4" t="str">
        <f>IFERROR(__xludf.DUMMYFUNCTION("""COMPUTED_VALUE""")," ")</f>
        <v> </v>
      </c>
    </row>
    <row r="759">
      <c r="A759" s="5" t="s">
        <v>4156</v>
      </c>
      <c r="B759" s="4" t="str">
        <f>IFERROR(__xludf.DUMMYFUNCTION("SPLIT(A759,"""""")"")"),"( arctic_b0166 ")</f>
        <v>( arctic_b0166 </v>
      </c>
      <c r="C759" s="4" t="str">
        <f>IFERROR(__xludf.DUMMYFUNCTION("""COMPUTED_VALUE"""),"Fast, but endure.")</f>
        <v>Fast, but endure.</v>
      </c>
      <c r="D759" s="4" t="str">
        <f>IFERROR(__xludf.DUMMYFUNCTION("""COMPUTED_VALUE""")," ")</f>
        <v> </v>
      </c>
    </row>
    <row r="760">
      <c r="A760" s="5" t="s">
        <v>4157</v>
      </c>
      <c r="B760" s="4" t="str">
        <f>IFERROR(__xludf.DUMMYFUNCTION("SPLIT(A760,"""""")"")"),"( arctic_b0167 ")</f>
        <v>( arctic_b0167 </v>
      </c>
      <c r="C760" s="4" t="str">
        <f>IFERROR(__xludf.DUMMYFUNCTION("""COMPUTED_VALUE"""),"A little before dawn of the day following, the fire relief came.")</f>
        <v>A little before dawn of the day following, the fire relief came.</v>
      </c>
      <c r="D760" s="4" t="str">
        <f>IFERROR(__xludf.DUMMYFUNCTION("""COMPUTED_VALUE""")," ")</f>
        <v> </v>
      </c>
    </row>
    <row r="761">
      <c r="A761" s="5" t="s">
        <v>4158</v>
      </c>
      <c r="B761" s="4" t="str">
        <f>IFERROR(__xludf.DUMMYFUNCTION("SPLIT(A761,"""""")"")"),"( arctic_b0168 ")</f>
        <v>( arctic_b0168 </v>
      </c>
      <c r="C761" s="4" t="str">
        <f>IFERROR(__xludf.DUMMYFUNCTION("""COMPUTED_VALUE"""),"The Indian felt the worship of her warm in his heart.")</f>
        <v>The Indian felt the worship of her warm in his heart.</v>
      </c>
      <c r="D761" s="4" t="str">
        <f>IFERROR(__xludf.DUMMYFUNCTION("""COMPUTED_VALUE""")," ")</f>
        <v> </v>
      </c>
    </row>
    <row r="762">
      <c r="A762" s="5" t="s">
        <v>4159</v>
      </c>
      <c r="B762" s="4" t="str">
        <f>IFERROR(__xludf.DUMMYFUNCTION("SPLIT(A762,"""""")"")"),"( arctic_b0169 ")</f>
        <v>( arctic_b0169 </v>
      </c>
      <c r="C762" s="4" t="str">
        <f>IFERROR(__xludf.DUMMYFUNCTION("""COMPUTED_VALUE"""),"He drew in a deep breath as he looked at them.")</f>
        <v>He drew in a deep breath as he looked at them.</v>
      </c>
      <c r="D762" s="4" t="str">
        <f>IFERROR(__xludf.DUMMYFUNCTION("""COMPUTED_VALUE""")," ")</f>
        <v> </v>
      </c>
    </row>
    <row r="763">
      <c r="A763" s="5" t="s">
        <v>4160</v>
      </c>
      <c r="B763" s="4" t="str">
        <f>IFERROR(__xludf.DUMMYFUNCTION("SPLIT(A763,"""""")"")"),"( arctic_b0170 ")</f>
        <v>( arctic_b0170 </v>
      </c>
      <c r="C763" s="4" t="str">
        <f>IFERROR(__xludf.DUMMYFUNCTION("""COMPUTED_VALUE"""),"Then he shouted, Shut up.")</f>
        <v>Then he shouted, Shut up.</v>
      </c>
      <c r="D763" s="4" t="str">
        <f>IFERROR(__xludf.DUMMYFUNCTION("""COMPUTED_VALUE""")," ")</f>
        <v> </v>
      </c>
    </row>
    <row r="764">
      <c r="A764" s="5" t="s">
        <v>4161</v>
      </c>
      <c r="B764" s="4" t="str">
        <f>IFERROR(__xludf.DUMMYFUNCTION("SPLIT(A764,"""""")"")"),"( arctic_b0171 ")</f>
        <v>( arctic_b0171 </v>
      </c>
      <c r="C764" s="4" t="str">
        <f>IFERROR(__xludf.DUMMYFUNCTION("""COMPUTED_VALUE"""),"He changed his seat for a steamer reclining chair.")</f>
        <v>He changed his seat for a steamer reclining chair.</v>
      </c>
      <c r="D764" s="4" t="str">
        <f>IFERROR(__xludf.DUMMYFUNCTION("""COMPUTED_VALUE""")," ")</f>
        <v> </v>
      </c>
    </row>
    <row r="765">
      <c r="A765" s="5" t="s">
        <v>4162</v>
      </c>
      <c r="B765" s="4" t="str">
        <f>IFERROR(__xludf.DUMMYFUNCTION("SPLIT(A765,"""""")"")"),"( arctic_b0172 ")</f>
        <v>( arctic_b0172 </v>
      </c>
      <c r="C765" s="4" t="str">
        <f>IFERROR(__xludf.DUMMYFUNCTION("""COMPUTED_VALUE"""),"On the far corner of the compound fence a hawk brooded.")</f>
        <v>On the far corner of the compound fence a hawk brooded.</v>
      </c>
      <c r="D765" s="4" t="str">
        <f>IFERROR(__xludf.DUMMYFUNCTION("""COMPUTED_VALUE""")," ")</f>
        <v> </v>
      </c>
    </row>
    <row r="766">
      <c r="A766" s="5" t="s">
        <v>4163</v>
      </c>
      <c r="B766" s="4" t="str">
        <f>IFERROR(__xludf.DUMMYFUNCTION("SPLIT(A766,"""""")"")"),"( arctic_b0173 ")</f>
        <v>( arctic_b0173 </v>
      </c>
      <c r="C766" s="4" t="str">
        <f>IFERROR(__xludf.DUMMYFUNCTION("""COMPUTED_VALUE"""),"To these he gave castor oil.")</f>
        <v>To these he gave castor oil.</v>
      </c>
      <c r="D766" s="4" t="str">
        <f>IFERROR(__xludf.DUMMYFUNCTION("""COMPUTED_VALUE""")," ")</f>
        <v> </v>
      </c>
    </row>
    <row r="767">
      <c r="A767" s="5" t="s">
        <v>4164</v>
      </c>
      <c r="B767" s="4" t="str">
        <f>IFERROR(__xludf.DUMMYFUNCTION("SPLIT(A767,"""""")"")"),"( arctic_b0174 ")</f>
        <v>( arctic_b0174 </v>
      </c>
      <c r="C767" s="4" t="str">
        <f>IFERROR(__xludf.DUMMYFUNCTION("""COMPUTED_VALUE"""),"Hatred and murder and lust for revenge they possessed to overflowing.")</f>
        <v>Hatred and murder and lust for revenge they possessed to overflowing.</v>
      </c>
      <c r="D767" s="4" t="str">
        <f>IFERROR(__xludf.DUMMYFUNCTION("""COMPUTED_VALUE""")," ")</f>
        <v> </v>
      </c>
    </row>
    <row r="768">
      <c r="A768" s="5" t="s">
        <v>4165</v>
      </c>
      <c r="B768" s="4" t="str">
        <f>IFERROR(__xludf.DUMMYFUNCTION("SPLIT(A768,"""""")"")"),"( arctic_b0175 ")</f>
        <v>( arctic_b0175 </v>
      </c>
      <c r="C768" s="4" t="str">
        <f>IFERROR(__xludf.DUMMYFUNCTION("""COMPUTED_VALUE"""),"Sheldon glanced at the thermometer.")</f>
        <v>Sheldon glanced at the thermometer.</v>
      </c>
      <c r="D768" s="4" t="str">
        <f>IFERROR(__xludf.DUMMYFUNCTION("""COMPUTED_VALUE""")," ")</f>
        <v> </v>
      </c>
    </row>
    <row r="769">
      <c r="A769" s="5" t="s">
        <v>4166</v>
      </c>
      <c r="B769" s="4" t="str">
        <f>IFERROR(__xludf.DUMMYFUNCTION("SPLIT(A769,"""""")"")"),"( arctic_b0176 ")</f>
        <v>( arctic_b0176 </v>
      </c>
      <c r="C769" s="4" t="str">
        <f>IFERROR(__xludf.DUMMYFUNCTION("""COMPUTED_VALUE"""),"I'll see to poor Hughie.")</f>
        <v>I'll see to poor Hughie.</v>
      </c>
      <c r="D769" s="4" t="str">
        <f>IFERROR(__xludf.DUMMYFUNCTION("""COMPUTED_VALUE""")," ")</f>
        <v> </v>
      </c>
    </row>
    <row r="770">
      <c r="A770" s="5" t="s">
        <v>4167</v>
      </c>
      <c r="B770" s="4" t="str">
        <f>IFERROR(__xludf.DUMMYFUNCTION("SPLIT(A770,"""""")"")"),"( arctic_b0177 ")</f>
        <v>( arctic_b0177 </v>
      </c>
      <c r="C770" s="4" t="str">
        <f>IFERROR(__xludf.DUMMYFUNCTION("""COMPUTED_VALUE"""),"Her gray eyes were flashing, and her lips were quivering.")</f>
        <v>Her gray eyes were flashing, and her lips were quivering.</v>
      </c>
      <c r="D770" s="4" t="str">
        <f>IFERROR(__xludf.DUMMYFUNCTION("""COMPUTED_VALUE""")," ")</f>
        <v> </v>
      </c>
    </row>
    <row r="771">
      <c r="A771" s="5" t="s">
        <v>4168</v>
      </c>
      <c r="B771" s="4" t="str">
        <f>IFERROR(__xludf.DUMMYFUNCTION("SPLIT(A771,"""""")"")"),"( arctic_b0178 ")</f>
        <v>( arctic_b0178 </v>
      </c>
      <c r="C771" s="4" t="str">
        <f>IFERROR(__xludf.DUMMYFUNCTION("""COMPUTED_VALUE"""),"Also, I want information.")</f>
        <v>Also, I want information.</v>
      </c>
      <c r="D771" s="4" t="str">
        <f>IFERROR(__xludf.DUMMYFUNCTION("""COMPUTED_VALUE""")," ")</f>
        <v> </v>
      </c>
    </row>
    <row r="772">
      <c r="A772" s="5" t="s">
        <v>4169</v>
      </c>
      <c r="B772" s="4" t="str">
        <f>IFERROR(__xludf.DUMMYFUNCTION("SPLIT(A772,"""""")"")"),"( arctic_b0179 ")</f>
        <v>( arctic_b0179 </v>
      </c>
      <c r="C772" s="4" t="str">
        <f>IFERROR(__xludf.DUMMYFUNCTION("""COMPUTED_VALUE"""),"Let them go out and eat with my boys.")</f>
        <v>Let them go out and eat with my boys.</v>
      </c>
      <c r="D772" s="4" t="str">
        <f>IFERROR(__xludf.DUMMYFUNCTION("""COMPUTED_VALUE""")," ")</f>
        <v> </v>
      </c>
    </row>
    <row r="773">
      <c r="A773" s="5" t="s">
        <v>4170</v>
      </c>
      <c r="B773" s="4" t="str">
        <f>IFERROR(__xludf.DUMMYFUNCTION("SPLIT(A773,"""""")"")"),"( arctic_b0180 ")</f>
        <v>( arctic_b0180 </v>
      </c>
      <c r="C773" s="4" t="str">
        <f>IFERROR(__xludf.DUMMYFUNCTION("""COMPUTED_VALUE"""),"I, I beg pardon, he drawled.")</f>
        <v>I, I beg pardon, he drawled.</v>
      </c>
      <c r="D773" s="4" t="str">
        <f>IFERROR(__xludf.DUMMYFUNCTION("""COMPUTED_VALUE""")," ")</f>
        <v> </v>
      </c>
    </row>
    <row r="774">
      <c r="A774" s="5" t="s">
        <v>4171</v>
      </c>
      <c r="B774" s="4" t="str">
        <f>IFERROR(__xludf.DUMMYFUNCTION("SPLIT(A774,"""""")"")"),"( arctic_b0181 ")</f>
        <v>( arctic_b0181 </v>
      </c>
      <c r="C774" s="4" t="str">
        <f>IFERROR(__xludf.DUMMYFUNCTION("""COMPUTED_VALUE"""),"And you preferred a cannibal isle and a cartridge belt.")</f>
        <v>And you preferred a cannibal isle and a cartridge belt.</v>
      </c>
      <c r="D774" s="4" t="str">
        <f>IFERROR(__xludf.DUMMYFUNCTION("""COMPUTED_VALUE""")," ")</f>
        <v> </v>
      </c>
    </row>
    <row r="775">
      <c r="A775" s="5" t="s">
        <v>4172</v>
      </c>
      <c r="B775" s="4" t="str">
        <f>IFERROR(__xludf.DUMMYFUNCTION("SPLIT(A775,"""""")"")"),"( arctic_b0182 ")</f>
        <v>( arctic_b0182 </v>
      </c>
      <c r="C775" s="4" t="str">
        <f>IFERROR(__xludf.DUMMYFUNCTION("""COMPUTED_VALUE"""),"I was in New York when the crash came.")</f>
        <v>I was in New York when the crash came.</v>
      </c>
      <c r="D775" s="4" t="str">
        <f>IFERROR(__xludf.DUMMYFUNCTION("""COMPUTED_VALUE""")," ")</f>
        <v> </v>
      </c>
    </row>
    <row r="776">
      <c r="A776" s="5" t="s">
        <v>4173</v>
      </c>
      <c r="B776" s="4" t="str">
        <f>IFERROR(__xludf.DUMMYFUNCTION("SPLIT(A776,"""""")"")"),"( arctic_b0183 ")</f>
        <v>( arctic_b0183 </v>
      </c>
      <c r="C776" s="4" t="str">
        <f>IFERROR(__xludf.DUMMYFUNCTION("""COMPUTED_VALUE"""),"No, I did not fall among thieves.")</f>
        <v>No, I did not fall among thieves.</v>
      </c>
      <c r="D776" s="4" t="str">
        <f>IFERROR(__xludf.DUMMYFUNCTION("""COMPUTED_VALUE""")," ")</f>
        <v> </v>
      </c>
    </row>
    <row r="777">
      <c r="A777" s="5" t="s">
        <v>4174</v>
      </c>
      <c r="B777" s="4" t="str">
        <f>IFERROR(__xludf.DUMMYFUNCTION("SPLIT(A777,"""""")"")"),"( arctic_b0184 ")</f>
        <v>( arctic_b0184 </v>
      </c>
      <c r="C777" s="4" t="str">
        <f>IFERROR(__xludf.DUMMYFUNCTION("""COMPUTED_VALUE"""),"Such things in her brain were like so many oaths on her lips.")</f>
        <v>Such things in her brain were like so many oaths on her lips.</v>
      </c>
      <c r="D777" s="4" t="str">
        <f>IFERROR(__xludf.DUMMYFUNCTION("""COMPUTED_VALUE""")," ")</f>
        <v> </v>
      </c>
    </row>
    <row r="778">
      <c r="A778" s="5" t="s">
        <v>4175</v>
      </c>
      <c r="B778" s="4" t="str">
        <f>IFERROR(__xludf.DUMMYFUNCTION("SPLIT(A778,"""""")"")"),"( arctic_b0185 ")</f>
        <v>( arctic_b0185 </v>
      </c>
      <c r="C778" s="4" t="str">
        <f>IFERROR(__xludf.DUMMYFUNCTION("""COMPUTED_VALUE"""),"Your being wrecked here has been a godsend to me.")</f>
        <v>Your being wrecked here has been a godsend to me.</v>
      </c>
      <c r="D778" s="4" t="str">
        <f>IFERROR(__xludf.DUMMYFUNCTION("""COMPUTED_VALUE""")," ")</f>
        <v> </v>
      </c>
    </row>
    <row r="779">
      <c r="A779" s="5" t="s">
        <v>4176</v>
      </c>
      <c r="B779" s="4" t="str">
        <f>IFERROR(__xludf.DUMMYFUNCTION("SPLIT(A779,"""""")"")"),"( arctic_b0186 ")</f>
        <v>( arctic_b0186 </v>
      </c>
      <c r="C779" s="4" t="str">
        <f>IFERROR(__xludf.DUMMYFUNCTION("""COMPUTED_VALUE"""),"I can't go elsewhere, by your own account.")</f>
        <v>I can't go elsewhere, by your own account.</v>
      </c>
      <c r="D779" s="4" t="str">
        <f>IFERROR(__xludf.DUMMYFUNCTION("""COMPUTED_VALUE""")," ")</f>
        <v> </v>
      </c>
    </row>
    <row r="780">
      <c r="A780" s="5" t="s">
        <v>4177</v>
      </c>
      <c r="B780" s="4" t="str">
        <f>IFERROR(__xludf.DUMMYFUNCTION("SPLIT(A780,"""""")"")"),"( arctic_b0187 ")</f>
        <v>( arctic_b0187 </v>
      </c>
      <c r="C780" s="4" t="str">
        <f>IFERROR(__xludf.DUMMYFUNCTION("""COMPUTED_VALUE"""),"Her achievements with cocoanuts were a revelation.")</f>
        <v>Her achievements with cocoanuts were a revelation.</v>
      </c>
      <c r="D780" s="4" t="str">
        <f>IFERROR(__xludf.DUMMYFUNCTION("""COMPUTED_VALUE""")," ")</f>
        <v> </v>
      </c>
    </row>
    <row r="781">
      <c r="A781" s="5" t="s">
        <v>4178</v>
      </c>
      <c r="B781" s="4" t="str">
        <f>IFERROR(__xludf.DUMMYFUNCTION("SPLIT(A781,"""""")"")"),"( arctic_b0188 ")</f>
        <v>( arctic_b0188 </v>
      </c>
      <c r="C781" s="4" t="str">
        <f>IFERROR(__xludf.DUMMYFUNCTION("""COMPUTED_VALUE"""),"He glanced down at her helplessly, and moistened his lips.")</f>
        <v>He glanced down at her helplessly, and moistened his lips.</v>
      </c>
      <c r="D781" s="4" t="str">
        <f>IFERROR(__xludf.DUMMYFUNCTION("""COMPUTED_VALUE""")," ")</f>
        <v> </v>
      </c>
    </row>
    <row r="782">
      <c r="A782" s="5" t="s">
        <v>4179</v>
      </c>
      <c r="B782" s="4" t="str">
        <f>IFERROR(__xludf.DUMMYFUNCTION("SPLIT(A782,"""""")"")"),"( arctic_b0189 ")</f>
        <v>( arctic_b0189 </v>
      </c>
      <c r="C782" s="4" t="str">
        <f>IFERROR(__xludf.DUMMYFUNCTION("""COMPUTED_VALUE"""),"That is what distinguishes all of us from the lower animals.")</f>
        <v>That is what distinguishes all of us from the lower animals.</v>
      </c>
      <c r="D782" s="4" t="str">
        <f>IFERROR(__xludf.DUMMYFUNCTION("""COMPUTED_VALUE""")," ")</f>
        <v> </v>
      </c>
    </row>
    <row r="783">
      <c r="A783" s="5" t="s">
        <v>4180</v>
      </c>
      <c r="B783" s="4" t="str">
        <f>IFERROR(__xludf.DUMMYFUNCTION("SPLIT(A783,"""""")"")"),"( arctic_b0190 ")</f>
        <v>( arctic_b0190 </v>
      </c>
      <c r="C783" s="4" t="str">
        <f>IFERROR(__xludf.DUMMYFUNCTION("""COMPUTED_VALUE"""),"Idealism led him to philosophic anarchy, and his family threw him off.")</f>
        <v>Idealism led him to philosophic anarchy, and his family threw him off.</v>
      </c>
      <c r="D783" s="4" t="str">
        <f>IFERROR(__xludf.DUMMYFUNCTION("""COMPUTED_VALUE""")," ")</f>
        <v> </v>
      </c>
    </row>
    <row r="784">
      <c r="A784" s="5" t="s">
        <v>4181</v>
      </c>
      <c r="B784" s="4" t="str">
        <f>IFERROR(__xludf.DUMMYFUNCTION("SPLIT(A784,"""""")"")"),"( arctic_b0191 ")</f>
        <v>( arctic_b0191 </v>
      </c>
      <c r="C784" s="4" t="str">
        <f>IFERROR(__xludf.DUMMYFUNCTION("""COMPUTED_VALUE"""),"He also contended that better confidence was established by carrying no weapons.")</f>
        <v>He also contended that better confidence was established by carrying no weapons.</v>
      </c>
      <c r="D784" s="4" t="str">
        <f>IFERROR(__xludf.DUMMYFUNCTION("""COMPUTED_VALUE""")," ")</f>
        <v> </v>
      </c>
    </row>
    <row r="785">
      <c r="A785" s="5" t="s">
        <v>4182</v>
      </c>
      <c r="B785" s="4" t="str">
        <f>IFERROR(__xludf.DUMMYFUNCTION("SPLIT(A785,"""""")"")"),"( arctic_b0192 ")</f>
        <v>( arctic_b0192 </v>
      </c>
      <c r="C785" s="4" t="str">
        <f>IFERROR(__xludf.DUMMYFUNCTION("""COMPUTED_VALUE"""),"Outsiders are allowed five minute speeches, the sick man urged.")</f>
        <v>Outsiders are allowed five minute speeches, the sick man urged.</v>
      </c>
      <c r="D785" s="4" t="str">
        <f>IFERROR(__xludf.DUMMYFUNCTION("""COMPUTED_VALUE""")," ")</f>
        <v> </v>
      </c>
    </row>
    <row r="786">
      <c r="A786" s="5" t="s">
        <v>4183</v>
      </c>
      <c r="B786" s="4" t="str">
        <f>IFERROR(__xludf.DUMMYFUNCTION("SPLIT(A786,"""""")"")"),"( arctic_b0193 ")</f>
        <v>( arctic_b0193 </v>
      </c>
      <c r="C786" s="4" t="str">
        <f>IFERROR(__xludf.DUMMYFUNCTION("""COMPUTED_VALUE"""),"So was Packard's finish suicide.")</f>
        <v>So was Packard's finish suicide.</v>
      </c>
      <c r="D786" s="4" t="str">
        <f>IFERROR(__xludf.DUMMYFUNCTION("""COMPUTED_VALUE""")," ")</f>
        <v> </v>
      </c>
    </row>
    <row r="787">
      <c r="A787" s="5" t="s">
        <v>4184</v>
      </c>
      <c r="B787" s="4" t="str">
        <f>IFERROR(__xludf.DUMMYFUNCTION("SPLIT(A787,"""""")"")"),"( arctic_b0194 ")</f>
        <v>( arctic_b0194 </v>
      </c>
      <c r="C787" s="4" t="str">
        <f>IFERROR(__xludf.DUMMYFUNCTION("""COMPUTED_VALUE"""),"Joan cried, with shining eyes.")</f>
        <v>Joan cried, with shining eyes.</v>
      </c>
      <c r="D787" s="4" t="str">
        <f>IFERROR(__xludf.DUMMYFUNCTION("""COMPUTED_VALUE""")," ")</f>
        <v> </v>
      </c>
    </row>
    <row r="788">
      <c r="A788" s="5" t="s">
        <v>4185</v>
      </c>
      <c r="B788" s="4" t="str">
        <f>IFERROR(__xludf.DUMMYFUNCTION("SPLIT(A788,"""""")"")"),"( arctic_b0195 ")</f>
        <v>( arctic_b0195 </v>
      </c>
      <c r="C788" s="4" t="str">
        <f>IFERROR(__xludf.DUMMYFUNCTION("""COMPUTED_VALUE"""),"Nobody knows how the natives got them.")</f>
        <v>Nobody knows how the natives got them.</v>
      </c>
      <c r="D788" s="4" t="str">
        <f>IFERROR(__xludf.DUMMYFUNCTION("""COMPUTED_VALUE""")," ")</f>
        <v> </v>
      </c>
    </row>
    <row r="789">
      <c r="A789" s="5" t="s">
        <v>4186</v>
      </c>
      <c r="B789" s="4" t="str">
        <f>IFERROR(__xludf.DUMMYFUNCTION("SPLIT(A789,"""""")"")"),"( arctic_b0196 ")</f>
        <v>( arctic_b0196 </v>
      </c>
      <c r="C789" s="4" t="str">
        <f>IFERROR(__xludf.DUMMYFUNCTION("""COMPUTED_VALUE"""),"How can you manage all alone, Mr Young.")</f>
        <v>How can you manage all alone, Mr Young.</v>
      </c>
      <c r="D789" s="4" t="str">
        <f>IFERROR(__xludf.DUMMYFUNCTION("""COMPUTED_VALUE""")," ")</f>
        <v> </v>
      </c>
    </row>
    <row r="790">
      <c r="A790" s="5" t="s">
        <v>4187</v>
      </c>
      <c r="B790" s="4" t="str">
        <f>IFERROR(__xludf.DUMMYFUNCTION("SPLIT(A790,"""""")"")"),"( arctic_b0197 ")</f>
        <v>( arctic_b0197 </v>
      </c>
      <c r="C790" s="4" t="str">
        <f>IFERROR(__xludf.DUMMYFUNCTION("""COMPUTED_VALUE"""),"The planters are already considering the matter.")</f>
        <v>The planters are already considering the matter.</v>
      </c>
      <c r="D790" s="4" t="str">
        <f>IFERROR(__xludf.DUMMYFUNCTION("""COMPUTED_VALUE""")," ")</f>
        <v> </v>
      </c>
    </row>
    <row r="791">
      <c r="A791" s="5" t="s">
        <v>4188</v>
      </c>
      <c r="B791" s="4" t="str">
        <f>IFERROR(__xludf.DUMMYFUNCTION("SPLIT(A791,"""""")"")"),"( arctic_b0198 ")</f>
        <v>( arctic_b0198 </v>
      </c>
      <c r="C791" s="4" t="str">
        <f>IFERROR(__xludf.DUMMYFUNCTION("""COMPUTED_VALUE"""),"I use great trouble advisedly.")</f>
        <v>I use great trouble advisedly.</v>
      </c>
      <c r="D791" s="4" t="str">
        <f>IFERROR(__xludf.DUMMYFUNCTION("""COMPUTED_VALUE""")," ")</f>
        <v> </v>
      </c>
    </row>
    <row r="792">
      <c r="A792" s="5" t="s">
        <v>4189</v>
      </c>
      <c r="B792" s="4" t="str">
        <f>IFERROR(__xludf.DUMMYFUNCTION("SPLIT(A792,"""""")"")"),"( arctic_b0199 ")</f>
        <v>( arctic_b0199 </v>
      </c>
      <c r="C792" s="4" t="str">
        <f>IFERROR(__xludf.DUMMYFUNCTION("""COMPUTED_VALUE"""),"Dear Sir, Your second victim has fallen on schedule time.")</f>
        <v>Dear Sir, Your second victim has fallen on schedule time.</v>
      </c>
      <c r="D792" s="4" t="str">
        <f>IFERROR(__xludf.DUMMYFUNCTION("""COMPUTED_VALUE""")," ")</f>
        <v> </v>
      </c>
    </row>
    <row r="793">
      <c r="A793" s="5" t="s">
        <v>4190</v>
      </c>
      <c r="B793" s="4" t="str">
        <f>IFERROR(__xludf.DUMMYFUNCTION("SPLIT(A793,"""""")"")"),"( arctic_b0200 ")</f>
        <v>( arctic_b0200 </v>
      </c>
      <c r="C793" s="4" t="str">
        <f>IFERROR(__xludf.DUMMYFUNCTION("""COMPUTED_VALUE"""),"We leave the eventuality to time and law.")</f>
        <v>We leave the eventuality to time and law.</v>
      </c>
      <c r="D793" s="4" t="str">
        <f>IFERROR(__xludf.DUMMYFUNCTION("""COMPUTED_VALUE""")," ")</f>
        <v> </v>
      </c>
    </row>
    <row r="794">
      <c r="A794" s="5" t="s">
        <v>4191</v>
      </c>
      <c r="B794" s="4" t="str">
        <f>IFERROR(__xludf.DUMMYFUNCTION("SPLIT(A794,"""""")"")"),"( arctic_b0201 ")</f>
        <v>( arctic_b0201 </v>
      </c>
      <c r="C794" s="4" t="str">
        <f>IFERROR(__xludf.DUMMYFUNCTION("""COMPUTED_VALUE"""),"I also understand that similar branch organizations have made their appearance in Europe.")</f>
        <v>I also understand that similar branch organizations have made their appearance in Europe.</v>
      </c>
      <c r="D794" s="4" t="str">
        <f>IFERROR(__xludf.DUMMYFUNCTION("""COMPUTED_VALUE""")," ")</f>
        <v> </v>
      </c>
    </row>
    <row r="795">
      <c r="A795" s="5" t="s">
        <v>4192</v>
      </c>
      <c r="B795" s="4" t="str">
        <f>IFERROR(__xludf.DUMMYFUNCTION("SPLIT(A795,"""""")"")"),"( arctic_b0202 ")</f>
        <v>( arctic_b0202 </v>
      </c>
      <c r="C795" s="4" t="str">
        <f>IFERROR(__xludf.DUMMYFUNCTION("""COMPUTED_VALUE"""),"Society is shaken to its foundations.")</f>
        <v>Society is shaken to its foundations.</v>
      </c>
      <c r="D795" s="4" t="str">
        <f>IFERROR(__xludf.DUMMYFUNCTION("""COMPUTED_VALUE""")," ")</f>
        <v> </v>
      </c>
    </row>
    <row r="796">
      <c r="A796" s="5" t="s">
        <v>4193</v>
      </c>
      <c r="B796" s="4" t="str">
        <f>IFERROR(__xludf.DUMMYFUNCTION("SPLIT(A796,"""""")"")"),"( arctic_b0203 ")</f>
        <v>( arctic_b0203 </v>
      </c>
      <c r="C796" s="4" t="str">
        <f>IFERROR(__xludf.DUMMYFUNCTION("""COMPUTED_VALUE"""),"A month in Australia would finish me.")</f>
        <v>A month in Australia would finish me.</v>
      </c>
      <c r="D796" s="4" t="str">
        <f>IFERROR(__xludf.DUMMYFUNCTION("""COMPUTED_VALUE""")," ")</f>
        <v> </v>
      </c>
    </row>
    <row r="797">
      <c r="A797" s="5" t="s">
        <v>4194</v>
      </c>
      <c r="B797" s="4" t="str">
        <f>IFERROR(__xludf.DUMMYFUNCTION("SPLIT(A797,"""""")"")"),"( arctic_b0204 ")</f>
        <v>( arctic_b0204 </v>
      </c>
      <c r="C797" s="4" t="str">
        <f>IFERROR(__xludf.DUMMYFUNCTION("""COMPUTED_VALUE"""),"Down through the perfume weighted air fluttered the snowy fluffs of the cottonwoods.")</f>
        <v>Down through the perfume weighted air fluttered the snowy fluffs of the cottonwoods.</v>
      </c>
      <c r="D797" s="4" t="str">
        <f>IFERROR(__xludf.DUMMYFUNCTION("""COMPUTED_VALUE""")," ")</f>
        <v> </v>
      </c>
    </row>
    <row r="798">
      <c r="A798" s="5" t="s">
        <v>4195</v>
      </c>
      <c r="B798" s="4" t="str">
        <f>IFERROR(__xludf.DUMMYFUNCTION("SPLIT(A798,"""""")"")"),"( arctic_b0205 ")</f>
        <v>( arctic_b0205 </v>
      </c>
      <c r="C798" s="4" t="str">
        <f>IFERROR(__xludf.DUMMYFUNCTION("""COMPUTED_VALUE"""),"You were destroying my life.")</f>
        <v>You were destroying my life.</v>
      </c>
      <c r="D798" s="4" t="str">
        <f>IFERROR(__xludf.DUMMYFUNCTION("""COMPUTED_VALUE""")," ")</f>
        <v> </v>
      </c>
    </row>
    <row r="799">
      <c r="A799" s="5" t="s">
        <v>4196</v>
      </c>
      <c r="B799" s="4" t="str">
        <f>IFERROR(__xludf.DUMMYFUNCTION("SPLIT(A799,"""""")"")"),"( arctic_b0206 ")</f>
        <v>( arctic_b0206 </v>
      </c>
      <c r="C799" s="4" t="str">
        <f>IFERROR(__xludf.DUMMYFUNCTION("""COMPUTED_VALUE"""),"Horses and rifles had been her toys, camp and trail her nursery.")</f>
        <v>Horses and rifles had been her toys, camp and trail her nursery.</v>
      </c>
      <c r="D799" s="4" t="str">
        <f>IFERROR(__xludf.DUMMYFUNCTION("""COMPUTED_VALUE""")," ")</f>
        <v> </v>
      </c>
    </row>
    <row r="800">
      <c r="A800" s="5" t="s">
        <v>4197</v>
      </c>
      <c r="B800" s="4" t="str">
        <f>IFERROR(__xludf.DUMMYFUNCTION("SPLIT(A800,"""""")"")"),"( arctic_b0207 ")</f>
        <v>( arctic_b0207 </v>
      </c>
      <c r="C800" s="4" t="str">
        <f>IFERROR(__xludf.DUMMYFUNCTION("""COMPUTED_VALUE"""),"I'm as good as a man, she urged.")</f>
        <v>I'm as good as a man, she urged.</v>
      </c>
      <c r="D800" s="4" t="str">
        <f>IFERROR(__xludf.DUMMYFUNCTION("""COMPUTED_VALUE""")," ")</f>
        <v> </v>
      </c>
    </row>
    <row r="801">
      <c r="A801" s="5" t="s">
        <v>4198</v>
      </c>
      <c r="B801" s="4" t="str">
        <f>IFERROR(__xludf.DUMMYFUNCTION("SPLIT(A801,"""""")"")"),"( arctic_b0208 ")</f>
        <v>( arctic_b0208 </v>
      </c>
      <c r="C801" s="4" t="str">
        <f>IFERROR(__xludf.DUMMYFUNCTION("""COMPUTED_VALUE"""),"You read the quotations in today's paper.")</f>
        <v>You read the quotations in today's paper.</v>
      </c>
      <c r="D801" s="4" t="str">
        <f>IFERROR(__xludf.DUMMYFUNCTION("""COMPUTED_VALUE""")," ")</f>
        <v> </v>
      </c>
    </row>
    <row r="802">
      <c r="A802" s="5" t="s">
        <v>4199</v>
      </c>
      <c r="B802" s="4" t="str">
        <f>IFERROR(__xludf.DUMMYFUNCTION("SPLIT(A802,"""""")"")"),"( arctic_b0209 ")</f>
        <v>( arctic_b0209 </v>
      </c>
      <c r="C802" s="4" t="str">
        <f>IFERROR(__xludf.DUMMYFUNCTION("""COMPUTED_VALUE"""),"He's terribly touchy about his black wards, as he calls them.")</f>
        <v>He's terribly touchy about his black wards, as he calls them.</v>
      </c>
      <c r="D802" s="4" t="str">
        <f>IFERROR(__xludf.DUMMYFUNCTION("""COMPUTED_VALUE""")," ")</f>
        <v> </v>
      </c>
    </row>
    <row r="803">
      <c r="A803" s="5" t="s">
        <v>4200</v>
      </c>
      <c r="B803" s="4" t="str">
        <f>IFERROR(__xludf.DUMMYFUNCTION("SPLIT(A803,"""""")"")"),"( arctic_b0210 ")</f>
        <v>( arctic_b0210 </v>
      </c>
      <c r="C803" s="4" t="str">
        <f>IFERROR(__xludf.DUMMYFUNCTION("""COMPUTED_VALUE"""),"Whatever he guessed he locked away in the taboo room of Naomi.")</f>
        <v>Whatever he guessed he locked away in the taboo room of Naomi.</v>
      </c>
      <c r="D803" s="4" t="str">
        <f>IFERROR(__xludf.DUMMYFUNCTION("""COMPUTED_VALUE""")," ")</f>
        <v> </v>
      </c>
    </row>
    <row r="804">
      <c r="A804" s="5" t="s">
        <v>4201</v>
      </c>
      <c r="B804" s="4" t="str">
        <f>IFERROR(__xludf.DUMMYFUNCTION("SPLIT(A804,"""""")"")"),"( arctic_b0211 ")</f>
        <v>( arctic_b0211 </v>
      </c>
      <c r="C804" s="4" t="str">
        <f>IFERROR(__xludf.DUMMYFUNCTION("""COMPUTED_VALUE"""),"This is eighteen eighty.")</f>
        <v>This is eighteen eighty.</v>
      </c>
      <c r="D804" s="4" t="str">
        <f>IFERROR(__xludf.DUMMYFUNCTION("""COMPUTED_VALUE""")," ")</f>
        <v> </v>
      </c>
    </row>
    <row r="805">
      <c r="A805" s="5" t="s">
        <v>4202</v>
      </c>
      <c r="B805" s="4" t="str">
        <f>IFERROR(__xludf.DUMMYFUNCTION("SPLIT(A805,"""""")"")"),"( arctic_b0212 ")</f>
        <v>( arctic_b0212 </v>
      </c>
      <c r="C805" s="4" t="str">
        <f>IFERROR(__xludf.DUMMYFUNCTION("""COMPUTED_VALUE"""),"Death is and has been ever since old Maui died.")</f>
        <v>Death is and has been ever since old Maui died.</v>
      </c>
      <c r="D805" s="4" t="str">
        <f>IFERROR(__xludf.DUMMYFUNCTION("""COMPUTED_VALUE""")," ")</f>
        <v> </v>
      </c>
    </row>
    <row r="806">
      <c r="A806" s="5" t="s">
        <v>4203</v>
      </c>
      <c r="B806" s="4" t="str">
        <f>IFERROR(__xludf.DUMMYFUNCTION("SPLIT(A806,"""""")"")"),"( arctic_b0213 ")</f>
        <v>( arctic_b0213 </v>
      </c>
      <c r="C806" s="4" t="str">
        <f>IFERROR(__xludf.DUMMYFUNCTION("""COMPUTED_VALUE"""),"Some boy, she laughed acquiescence.")</f>
        <v>Some boy, she laughed acquiescence.</v>
      </c>
      <c r="D806" s="4" t="str">
        <f>IFERROR(__xludf.DUMMYFUNCTION("""COMPUTED_VALUE""")," ")</f>
        <v> </v>
      </c>
    </row>
    <row r="807">
      <c r="A807" s="5" t="s">
        <v>4204</v>
      </c>
      <c r="B807" s="4" t="str">
        <f>IFERROR(__xludf.DUMMYFUNCTION("SPLIT(A807,"""""")"")"),"( arctic_b0214 ")</f>
        <v>( arctic_b0214 </v>
      </c>
      <c r="C807" s="4" t="str">
        <f>IFERROR(__xludf.DUMMYFUNCTION("""COMPUTED_VALUE"""),"Let us talk it over and find a way out.")</f>
        <v>Let us talk it over and find a way out.</v>
      </c>
      <c r="D807" s="4" t="str">
        <f>IFERROR(__xludf.DUMMYFUNCTION("""COMPUTED_VALUE""")," ")</f>
        <v> </v>
      </c>
    </row>
    <row r="808">
      <c r="A808" s="5" t="s">
        <v>4205</v>
      </c>
      <c r="B808" s="4" t="str">
        <f>IFERROR(__xludf.DUMMYFUNCTION("SPLIT(A808,"""""")"")"),"( arctic_b0215 ")</f>
        <v>( arctic_b0215 </v>
      </c>
      <c r="C808" s="4" t="str">
        <f>IFERROR(__xludf.DUMMYFUNCTION("""COMPUTED_VALUE"""),"It is a good property, and worth more than that.")</f>
        <v>It is a good property, and worth more than that.</v>
      </c>
      <c r="D808" s="4" t="str">
        <f>IFERROR(__xludf.DUMMYFUNCTION("""COMPUTED_VALUE""")," ")</f>
        <v> </v>
      </c>
    </row>
    <row r="809">
      <c r="A809" s="5" t="s">
        <v>4206</v>
      </c>
      <c r="B809" s="4" t="str">
        <f>IFERROR(__xludf.DUMMYFUNCTION("SPLIT(A809,"""""")"")"),"( arctic_b0216 ")</f>
        <v>( arctic_b0216 </v>
      </c>
      <c r="C809" s="4" t="str">
        <f>IFERROR(__xludf.DUMMYFUNCTION("""COMPUTED_VALUE"""),"I wish you were more adaptable, Joan retorted.")</f>
        <v>I wish you were more adaptable, Joan retorted.</v>
      </c>
      <c r="D809" s="4" t="str">
        <f>IFERROR(__xludf.DUMMYFUNCTION("""COMPUTED_VALUE""")," ")</f>
        <v> </v>
      </c>
    </row>
    <row r="810">
      <c r="A810" s="5" t="s">
        <v>4207</v>
      </c>
      <c r="B810" s="4" t="str">
        <f>IFERROR(__xludf.DUMMYFUNCTION("SPLIT(A810,"""""")"")"),"( arctic_b0217 ")</f>
        <v>( arctic_b0217 </v>
      </c>
      <c r="C810" s="4" t="str">
        <f>IFERROR(__xludf.DUMMYFUNCTION("""COMPUTED_VALUE"""),"Such is my passage engaged on the steamer.")</f>
        <v>Such is my passage engaged on the steamer.</v>
      </c>
      <c r="D810" s="4" t="str">
        <f>IFERROR(__xludf.DUMMYFUNCTION("""COMPUTED_VALUE""")," ")</f>
        <v> </v>
      </c>
    </row>
    <row r="811">
      <c r="A811" s="5" t="s">
        <v>4208</v>
      </c>
      <c r="B811" s="4" t="str">
        <f>IFERROR(__xludf.DUMMYFUNCTION("SPLIT(A811,"""""")"")"),"( arctic_b0218 ")</f>
        <v>( arctic_b0218 </v>
      </c>
      <c r="C811" s="4" t="str">
        <f>IFERROR(__xludf.DUMMYFUNCTION("""COMPUTED_VALUE"""),"The issue was not in doubt.")</f>
        <v>The issue was not in doubt.</v>
      </c>
      <c r="D811" s="4" t="str">
        <f>IFERROR(__xludf.DUMMYFUNCTION("""COMPUTED_VALUE""")," ")</f>
        <v> </v>
      </c>
    </row>
    <row r="812">
      <c r="A812" s="5" t="s">
        <v>4209</v>
      </c>
      <c r="B812" s="4" t="str">
        <f>IFERROR(__xludf.DUMMYFUNCTION("SPLIT(A812,"""""")"")"),"( arctic_b0219 ")</f>
        <v>( arctic_b0219 </v>
      </c>
      <c r="C812" s="4" t="str">
        <f>IFERROR(__xludf.DUMMYFUNCTION("""COMPUTED_VALUE"""),"Well, there are better men in Hawaii, that's all.")</f>
        <v>Well, there are better men in Hawaii, that's all.</v>
      </c>
      <c r="D812" s="4" t="str">
        <f>IFERROR(__xludf.DUMMYFUNCTION("""COMPUTED_VALUE""")," ")</f>
        <v> </v>
      </c>
    </row>
    <row r="813">
      <c r="A813" s="5" t="s">
        <v>4210</v>
      </c>
      <c r="B813" s="4" t="str">
        <f>IFERROR(__xludf.DUMMYFUNCTION("SPLIT(A813,"""""")"")"),"( arctic_b0220 ")</f>
        <v>( arctic_b0220 </v>
      </c>
      <c r="C813" s="4" t="str">
        <f>IFERROR(__xludf.DUMMYFUNCTION("""COMPUTED_VALUE"""),"Harry Bancroft, Dave lied.")</f>
        <v>Harry Bancroft, Dave lied.</v>
      </c>
      <c r="D813" s="4" t="str">
        <f>IFERROR(__xludf.DUMMYFUNCTION("""COMPUTED_VALUE""")," ")</f>
        <v> </v>
      </c>
    </row>
    <row r="814">
      <c r="A814" s="5" t="s">
        <v>4211</v>
      </c>
      <c r="B814" s="4" t="str">
        <f>IFERROR(__xludf.DUMMYFUNCTION("SPLIT(A814,"""""")"")"),"( arctic_b0221 ")</f>
        <v>( arctic_b0221 </v>
      </c>
      <c r="C814" s="4" t="str">
        <f>IFERROR(__xludf.DUMMYFUNCTION("""COMPUTED_VALUE"""),"It's a Yankee, Joan cried.")</f>
        <v>It's a Yankee, Joan cried.</v>
      </c>
      <c r="D814" s="4" t="str">
        <f>IFERROR(__xludf.DUMMYFUNCTION("""COMPUTED_VALUE""")," ")</f>
        <v> </v>
      </c>
    </row>
    <row r="815">
      <c r="A815" s="5" t="s">
        <v>4212</v>
      </c>
      <c r="B815" s="4" t="str">
        <f>IFERROR(__xludf.DUMMYFUNCTION("SPLIT(A815,"""""")"")"),"( arctic_b0222 ")</f>
        <v>( arctic_b0222 </v>
      </c>
      <c r="C815" s="4" t="str">
        <f>IFERROR(__xludf.DUMMYFUNCTION("""COMPUTED_VALUE"""),"He was the leader, and Tudor was his lieutenant.")</f>
        <v>He was the leader, and Tudor was his lieutenant.</v>
      </c>
      <c r="D815" s="4" t="str">
        <f>IFERROR(__xludf.DUMMYFUNCTION("""COMPUTED_VALUE""")," ")</f>
        <v> </v>
      </c>
    </row>
    <row r="816">
      <c r="A816" s="5" t="s">
        <v>4213</v>
      </c>
      <c r="B816" s="4" t="str">
        <f>IFERROR(__xludf.DUMMYFUNCTION("SPLIT(A816,"""""")"")"),"( arctic_b0223 ")</f>
        <v>( arctic_b0223 </v>
      </c>
      <c r="C816" s="4" t="str">
        <f>IFERROR(__xludf.DUMMYFUNCTION("""COMPUTED_VALUE"""),"They likewise are disinclined to being eaten.")</f>
        <v>They likewise are disinclined to being eaten.</v>
      </c>
      <c r="D816" s="4" t="str">
        <f>IFERROR(__xludf.DUMMYFUNCTION("""COMPUTED_VALUE""")," ")</f>
        <v> </v>
      </c>
    </row>
    <row r="817">
      <c r="A817" s="5" t="s">
        <v>4214</v>
      </c>
      <c r="B817" s="4" t="str">
        <f>IFERROR(__xludf.DUMMYFUNCTION("SPLIT(A817,"""""")"")"),"( arctic_b0224 ")</f>
        <v>( arctic_b0224 </v>
      </c>
      <c r="C817" s="4" t="str">
        <f>IFERROR(__xludf.DUMMYFUNCTION("""COMPUTED_VALUE"""),"But to culture the Revolution thus far had exhausted the Junta.")</f>
        <v>But to culture the Revolution thus far had exhausted the Junta.</v>
      </c>
      <c r="D817" s="4" t="str">
        <f>IFERROR(__xludf.DUMMYFUNCTION("""COMPUTED_VALUE""")," ")</f>
        <v> </v>
      </c>
    </row>
    <row r="818">
      <c r="A818" s="5" t="s">
        <v>4215</v>
      </c>
      <c r="B818" s="4" t="str">
        <f>IFERROR(__xludf.DUMMYFUNCTION("SPLIT(A818,"""""")"")"),"( arctic_b0225 ")</f>
        <v>( arctic_b0225 </v>
      </c>
      <c r="C818" s="4" t="str">
        <f>IFERROR(__xludf.DUMMYFUNCTION("""COMPUTED_VALUE"""),"The President of the United States was his friend.")</f>
        <v>The President of the United States was his friend.</v>
      </c>
      <c r="D818" s="4" t="str">
        <f>IFERROR(__xludf.DUMMYFUNCTION("""COMPUTED_VALUE""")," ")</f>
        <v> </v>
      </c>
    </row>
    <row r="819">
      <c r="A819" s="5" t="s">
        <v>4216</v>
      </c>
      <c r="B819" s="4" t="str">
        <f>IFERROR(__xludf.DUMMYFUNCTION("SPLIT(A819,"""""")"")"),"( arctic_b0226 ")</f>
        <v>( arctic_b0226 </v>
      </c>
      <c r="C819" s="4" t="str">
        <f>IFERROR(__xludf.DUMMYFUNCTION("""COMPUTED_VALUE"""),"Your face was the personification of duplicity.")</f>
        <v>Your face was the personification of duplicity.</v>
      </c>
      <c r="D819" s="4" t="str">
        <f>IFERROR(__xludf.DUMMYFUNCTION("""COMPUTED_VALUE""")," ")</f>
        <v> </v>
      </c>
    </row>
    <row r="820">
      <c r="A820" s="5" t="s">
        <v>4217</v>
      </c>
      <c r="B820" s="4" t="str">
        <f>IFERROR(__xludf.DUMMYFUNCTION("SPLIT(A820,"""""")"")"),"( arctic_b0227 ")</f>
        <v>( arctic_b0227 </v>
      </c>
      <c r="C820" s="4" t="str">
        <f>IFERROR(__xludf.DUMMYFUNCTION("""COMPUTED_VALUE"""),"Shorty turned to their employers.")</f>
        <v>Shorty turned to their employers.</v>
      </c>
      <c r="D820" s="4" t="str">
        <f>IFERROR(__xludf.DUMMYFUNCTION("""COMPUTED_VALUE""")," ")</f>
        <v> </v>
      </c>
    </row>
    <row r="821">
      <c r="A821" s="5" t="s">
        <v>4218</v>
      </c>
      <c r="B821" s="4" t="str">
        <f>IFERROR(__xludf.DUMMYFUNCTION("SPLIT(A821,"""""")"")"),"( arctic_b0228 ")</f>
        <v>( arctic_b0228 </v>
      </c>
      <c r="C821" s="4" t="str">
        <f>IFERROR(__xludf.DUMMYFUNCTION("""COMPUTED_VALUE"""),"You were engaged.")</f>
        <v>You were engaged.</v>
      </c>
      <c r="D821" s="4" t="str">
        <f>IFERROR(__xludf.DUMMYFUNCTION("""COMPUTED_VALUE""")," ")</f>
        <v> </v>
      </c>
    </row>
    <row r="822">
      <c r="A822" s="5" t="s">
        <v>4219</v>
      </c>
      <c r="B822" s="4" t="str">
        <f>IFERROR(__xludf.DUMMYFUNCTION("SPLIT(A822,"""""")"")"),"( arctic_b0229 ")</f>
        <v>( arctic_b0229 </v>
      </c>
      <c r="C822" s="4" t="str">
        <f>IFERROR(__xludf.DUMMYFUNCTION("""COMPUTED_VALUE"""),"I saw it all myself, and it was splendid.")</f>
        <v>I saw it all myself, and it was splendid.</v>
      </c>
      <c r="D822" s="4" t="str">
        <f>IFERROR(__xludf.DUMMYFUNCTION("""COMPUTED_VALUE""")," ")</f>
        <v> </v>
      </c>
    </row>
    <row r="823">
      <c r="A823" s="5" t="s">
        <v>4220</v>
      </c>
      <c r="B823" s="4" t="str">
        <f>IFERROR(__xludf.DUMMYFUNCTION("SPLIT(A823,"""""")"")"),"( arctic_b0230 ")</f>
        <v>( arctic_b0230 </v>
      </c>
      <c r="C823" s="4" t="str">
        <f>IFERROR(__xludf.DUMMYFUNCTION("""COMPUTED_VALUE"""),"Now run along, and tell them to hurry.")</f>
        <v>Now run along, and tell them to hurry.</v>
      </c>
      <c r="D823" s="4" t="str">
        <f>IFERROR(__xludf.DUMMYFUNCTION("""COMPUTED_VALUE""")," ")</f>
        <v> </v>
      </c>
    </row>
    <row r="824">
      <c r="A824" s="5" t="s">
        <v>4221</v>
      </c>
      <c r="B824" s="4" t="str">
        <f>IFERROR(__xludf.DUMMYFUNCTION("SPLIT(A824,"""""")"")"),"( arctic_b0231 ")</f>
        <v>( arctic_b0231 </v>
      </c>
      <c r="C824" s="4" t="str">
        <f>IFERROR(__xludf.DUMMYFUNCTION("""COMPUTED_VALUE"""),"What's that grub-thief got to do with it.")</f>
        <v>What's that grub-thief got to do with it.</v>
      </c>
      <c r="D824" s="4" t="str">
        <f>IFERROR(__xludf.DUMMYFUNCTION("""COMPUTED_VALUE""")," ")</f>
        <v> </v>
      </c>
    </row>
    <row r="825">
      <c r="A825" s="5" t="s">
        <v>4222</v>
      </c>
      <c r="B825" s="4" t="str">
        <f>IFERROR(__xludf.DUMMYFUNCTION("SPLIT(A825,"""""")"")"),"( arctic_b0232 ")</f>
        <v>( arctic_b0232 </v>
      </c>
      <c r="C825" s="4" t="str">
        <f>IFERROR(__xludf.DUMMYFUNCTION("""COMPUTED_VALUE"""),"It was a superb picture.")</f>
        <v>It was a superb picture.</v>
      </c>
      <c r="D825" s="4" t="str">
        <f>IFERROR(__xludf.DUMMYFUNCTION("""COMPUTED_VALUE""")," ")</f>
        <v> </v>
      </c>
    </row>
    <row r="826">
      <c r="A826" s="5" t="s">
        <v>4223</v>
      </c>
      <c r="B826" s="4" t="str">
        <f>IFERROR(__xludf.DUMMYFUNCTION("SPLIT(A826,"""""")"")"),"( arctic_b0233 ")</f>
        <v>( arctic_b0233 </v>
      </c>
      <c r="C826" s="4" t="str">
        <f>IFERROR(__xludf.DUMMYFUNCTION("""COMPUTED_VALUE"""),"So she said, the irate skipper dashed on.")</f>
        <v>So she said, the irate skipper dashed on.</v>
      </c>
      <c r="D826" s="4" t="str">
        <f>IFERROR(__xludf.DUMMYFUNCTION("""COMPUTED_VALUE""")," ")</f>
        <v> </v>
      </c>
    </row>
    <row r="827">
      <c r="A827" s="5" t="s">
        <v>4224</v>
      </c>
      <c r="B827" s="4" t="str">
        <f>IFERROR(__xludf.DUMMYFUNCTION("SPLIT(A827,"""""")"")"),"( arctic_b0234 ")</f>
        <v>( arctic_b0234 </v>
      </c>
      <c r="C827" s="4" t="str">
        <f>IFERROR(__xludf.DUMMYFUNCTION("""COMPUTED_VALUE"""),"And watch out for wet feet, was his parting advice.")</f>
        <v>And watch out for wet feet, was his parting advice.</v>
      </c>
      <c r="D827" s="4" t="str">
        <f>IFERROR(__xludf.DUMMYFUNCTION("""COMPUTED_VALUE""")," ")</f>
        <v> </v>
      </c>
    </row>
    <row r="828">
      <c r="A828" s="5" t="s">
        <v>4225</v>
      </c>
      <c r="B828" s="4" t="str">
        <f>IFERROR(__xludf.DUMMYFUNCTION("SPLIT(A828,"""""")"")"),"( arctic_b0235 ")</f>
        <v>( arctic_b0235 </v>
      </c>
      <c r="C828" s="4" t="str">
        <f>IFERROR(__xludf.DUMMYFUNCTION("""COMPUTED_VALUE"""),"Raoul yelled, in order to make himself heard.")</f>
        <v>Raoul yelled, in order to make himself heard.</v>
      </c>
      <c r="D828" s="4" t="str">
        <f>IFERROR(__xludf.DUMMYFUNCTION("""COMPUTED_VALUE""")," ")</f>
        <v> </v>
      </c>
    </row>
    <row r="829">
      <c r="A829" s="5" t="s">
        <v>4226</v>
      </c>
      <c r="B829" s="4" t="str">
        <f>IFERROR(__xludf.DUMMYFUNCTION("SPLIT(A829,"""""")"")"),"( arctic_b0236 ")</f>
        <v>( arctic_b0236 </v>
      </c>
      <c r="C829" s="4" t="str">
        <f>IFERROR(__xludf.DUMMYFUNCTION("""COMPUTED_VALUE"""),"Oolong was two hundred and fifty miles from the nearest land.")</f>
        <v>Oolong was two hundred and fifty miles from the nearest land.</v>
      </c>
      <c r="D829" s="4" t="str">
        <f>IFERROR(__xludf.DUMMYFUNCTION("""COMPUTED_VALUE""")," ")</f>
        <v> </v>
      </c>
    </row>
    <row r="830">
      <c r="A830" s="5" t="s">
        <v>4227</v>
      </c>
      <c r="B830" s="4" t="str">
        <f>IFERROR(__xludf.DUMMYFUNCTION("SPLIT(A830,"""""")"")"),"( arctic_b0237 ")</f>
        <v>( arctic_b0237 </v>
      </c>
      <c r="C830" s="4" t="str">
        <f>IFERROR(__xludf.DUMMYFUNCTION("""COMPUTED_VALUE"""),"They just lay off in the bush and plugged away.")</f>
        <v>They just lay off in the bush and plugged away.</v>
      </c>
      <c r="D830" s="4" t="str">
        <f>IFERROR(__xludf.DUMMYFUNCTION("""COMPUTED_VALUE""")," ")</f>
        <v> </v>
      </c>
    </row>
    <row r="831">
      <c r="A831" s="5" t="s">
        <v>4228</v>
      </c>
      <c r="B831" s="4" t="str">
        <f>IFERROR(__xludf.DUMMYFUNCTION("SPLIT(A831,"""""")"")"),"( arctic_b0238 ")</f>
        <v>( arctic_b0238 </v>
      </c>
      <c r="C831" s="4" t="str">
        <f>IFERROR(__xludf.DUMMYFUNCTION("""COMPUTED_VALUE"""),"The very thought of the effort to swim over was nauseating.")</f>
        <v>The very thought of the effort to swim over was nauseating.</v>
      </c>
      <c r="D831" s="4" t="str">
        <f>IFERROR(__xludf.DUMMYFUNCTION("""COMPUTED_VALUE""")," ")</f>
        <v> </v>
      </c>
    </row>
    <row r="832">
      <c r="A832" s="5" t="s">
        <v>4229</v>
      </c>
      <c r="B832" s="4" t="str">
        <f>IFERROR(__xludf.DUMMYFUNCTION("SPLIT(A832,"""""")"")"),"( arctic_b0239 ")</f>
        <v>( arctic_b0239 </v>
      </c>
      <c r="C832" s="4" t="str">
        <f>IFERROR(__xludf.DUMMYFUNCTION("""COMPUTED_VALUE"""),"And there was a dog that barked.")</f>
        <v>And there was a dog that barked.</v>
      </c>
      <c r="D832" s="4" t="str">
        <f>IFERROR(__xludf.DUMMYFUNCTION("""COMPUTED_VALUE""")," ")</f>
        <v> </v>
      </c>
    </row>
    <row r="833">
      <c r="A833" s="5" t="s">
        <v>4230</v>
      </c>
      <c r="B833" s="4" t="str">
        <f>IFERROR(__xludf.DUMMYFUNCTION("SPLIT(A833,"""""")"")"),"( arctic_b0240 ")</f>
        <v>( arctic_b0240 </v>
      </c>
      <c r="C833" s="4" t="str">
        <f>IFERROR(__xludf.DUMMYFUNCTION("""COMPUTED_VALUE"""),"There are four, all low, McCoy answered.")</f>
        <v>There are four, all low, McCoy answered.</v>
      </c>
      <c r="D833" s="4" t="str">
        <f>IFERROR(__xludf.DUMMYFUNCTION("""COMPUTED_VALUE""")," ")</f>
        <v> </v>
      </c>
    </row>
    <row r="834">
      <c r="A834" s="5" t="s">
        <v>4231</v>
      </c>
      <c r="B834" s="4" t="str">
        <f>IFERROR(__xludf.DUMMYFUNCTION("SPLIT(A834,"""""")"")"),"( arctic_b0241 ")</f>
        <v>( arctic_b0241 </v>
      </c>
      <c r="C834" s="4" t="str">
        <f>IFERROR(__xludf.DUMMYFUNCTION("""COMPUTED_VALUE"""),"The women they carried away with them to the Big Valley.")</f>
        <v>The women they carried away with them to the Big Valley.</v>
      </c>
      <c r="D834" s="4" t="str">
        <f>IFERROR(__xludf.DUMMYFUNCTION("""COMPUTED_VALUE""")," ")</f>
        <v> </v>
      </c>
    </row>
    <row r="835">
      <c r="A835" s="5" t="s">
        <v>4232</v>
      </c>
      <c r="B835" s="4" t="str">
        <f>IFERROR(__xludf.DUMMYFUNCTION("SPLIT(A835,"""""")"")"),"( arctic_b0242 ")</f>
        <v>( arctic_b0242 </v>
      </c>
      <c r="C835" s="4" t="str">
        <f>IFERROR(__xludf.DUMMYFUNCTION("""COMPUTED_VALUE"""),"The Japanese understood as we could never school ourselves or hope to understand.")</f>
        <v>The Japanese understood as we could never school ourselves or hope to understand.</v>
      </c>
      <c r="D835" s="4" t="str">
        <f>IFERROR(__xludf.DUMMYFUNCTION("""COMPUTED_VALUE""")," ")</f>
        <v> </v>
      </c>
    </row>
    <row r="836">
      <c r="A836" s="5" t="s">
        <v>4233</v>
      </c>
      <c r="B836" s="4" t="str">
        <f>IFERROR(__xludf.DUMMYFUNCTION("SPLIT(A836,"""""")"")"),"( arctic_b0243 ")</f>
        <v>( arctic_b0243 </v>
      </c>
      <c r="C836" s="4" t="str">
        <f>IFERROR(__xludf.DUMMYFUNCTION("""COMPUTED_VALUE"""),"They had been on the same lay as ourselves.")</f>
        <v>They had been on the same lay as ourselves.</v>
      </c>
      <c r="D836" s="4" t="str">
        <f>IFERROR(__xludf.DUMMYFUNCTION("""COMPUTED_VALUE""")," ")</f>
        <v> </v>
      </c>
    </row>
    <row r="837">
      <c r="A837" s="5" t="s">
        <v>4234</v>
      </c>
      <c r="B837" s="4" t="str">
        <f>IFERROR(__xludf.DUMMYFUNCTION("SPLIT(A837,"""""")"")"),"( arctic_b0244 ")</f>
        <v>( arctic_b0244 </v>
      </c>
      <c r="C837" s="4" t="str">
        <f>IFERROR(__xludf.DUMMYFUNCTION("""COMPUTED_VALUE"""),"You are positively soulless, he said savagely.")</f>
        <v>You are positively soulless, he said savagely.</v>
      </c>
      <c r="D837" s="4" t="str">
        <f>IFERROR(__xludf.DUMMYFUNCTION("""COMPUTED_VALUE""")," ")</f>
        <v> </v>
      </c>
    </row>
    <row r="838">
      <c r="A838" s="5" t="s">
        <v>4235</v>
      </c>
      <c r="B838" s="4" t="str">
        <f>IFERROR(__xludf.DUMMYFUNCTION("SPLIT(A838,"""""")"")"),"( arctic_b0245 ")</f>
        <v>( arctic_b0245 </v>
      </c>
      <c r="C838" s="4" t="str">
        <f>IFERROR(__xludf.DUMMYFUNCTION("""COMPUTED_VALUE"""),"Harrison is still my chauffeur.")</f>
        <v>Harrison is still my chauffeur.</v>
      </c>
      <c r="D838" s="4" t="str">
        <f>IFERROR(__xludf.DUMMYFUNCTION("""COMPUTED_VALUE""")," ")</f>
        <v> </v>
      </c>
    </row>
    <row r="839">
      <c r="A839" s="5" t="s">
        <v>4236</v>
      </c>
      <c r="B839" s="4" t="str">
        <f>IFERROR(__xludf.DUMMYFUNCTION("SPLIT(A839,"""""")"")"),"( arctic_b0246 ")</f>
        <v>( arctic_b0246 </v>
      </c>
      <c r="C839" s="4" t="str">
        <f>IFERROR(__xludf.DUMMYFUNCTION("""COMPUTED_VALUE"""),"The boy grew and prospered.")</f>
        <v>The boy grew and prospered.</v>
      </c>
      <c r="D839" s="4" t="str">
        <f>IFERROR(__xludf.DUMMYFUNCTION("""COMPUTED_VALUE""")," ")</f>
        <v> </v>
      </c>
    </row>
    <row r="840">
      <c r="A840" s="5" t="s">
        <v>4237</v>
      </c>
      <c r="B840" s="4" t="str">
        <f>IFERROR(__xludf.DUMMYFUNCTION("SPLIT(A840,"""""")"")"),"( arctic_b0247 ")</f>
        <v>( arctic_b0247 </v>
      </c>
      <c r="C840" s="4" t="str">
        <f>IFERROR(__xludf.DUMMYFUNCTION("""COMPUTED_VALUE"""),"He wanted to give the finish to this foe already so far gone.")</f>
        <v>He wanted to give the finish to this foe already so far gone.</v>
      </c>
      <c r="D840" s="4" t="str">
        <f>IFERROR(__xludf.DUMMYFUNCTION("""COMPUTED_VALUE""")," ")</f>
        <v> </v>
      </c>
    </row>
    <row r="841">
      <c r="A841" s="5" t="s">
        <v>4238</v>
      </c>
      <c r="B841" s="4" t="str">
        <f>IFERROR(__xludf.DUMMYFUNCTION("SPLIT(A841,"""""")"")"),"( arctic_b0248 ")</f>
        <v>( arctic_b0248 </v>
      </c>
      <c r="C841" s="4" t="str">
        <f>IFERROR(__xludf.DUMMYFUNCTION("""COMPUTED_VALUE"""),"Exciting times are the lot of the fish patrol.")</f>
        <v>Exciting times are the lot of the fish patrol.</v>
      </c>
      <c r="D841" s="4" t="str">
        <f>IFERROR(__xludf.DUMMYFUNCTION("""COMPUTED_VALUE""")," ")</f>
        <v> </v>
      </c>
    </row>
    <row r="842">
      <c r="A842" s="5" t="s">
        <v>4239</v>
      </c>
      <c r="B842" s="4" t="str">
        <f>IFERROR(__xludf.DUMMYFUNCTION("SPLIT(A842,"""""")"")"),"( arctic_b0249 ")</f>
        <v>( arctic_b0249 </v>
      </c>
      <c r="C842" s="4" t="str">
        <f>IFERROR(__xludf.DUMMYFUNCTION("""COMPUTED_VALUE"""),"I know they are my oysters.")</f>
        <v>I know they are my oysters.</v>
      </c>
      <c r="D842" s="4" t="str">
        <f>IFERROR(__xludf.DUMMYFUNCTION("""COMPUTED_VALUE""")," ")</f>
        <v> </v>
      </c>
    </row>
    <row r="843">
      <c r="A843" s="5" t="s">
        <v>4240</v>
      </c>
      <c r="B843" s="4" t="str">
        <f>IFERROR(__xludf.DUMMYFUNCTION("SPLIT(A843,"""""")"")"),"( arctic_b0250 ")</f>
        <v>( arctic_b0250 </v>
      </c>
      <c r="C843" s="4" t="str">
        <f>IFERROR(__xludf.DUMMYFUNCTION("""COMPUTED_VALUE"""),"By this time Charley was as enraged as the Greek.")</f>
        <v>By this time Charley was as enraged as the Greek.</v>
      </c>
      <c r="D843" s="4" t="str">
        <f>IFERROR(__xludf.DUMMYFUNCTION("""COMPUTED_VALUE""")," ")</f>
        <v> </v>
      </c>
    </row>
    <row r="844">
      <c r="A844" s="5" t="s">
        <v>4241</v>
      </c>
      <c r="B844" s="4" t="str">
        <f>IFERROR(__xludf.DUMMYFUNCTION("SPLIT(A844,"""""")"")"),"( arctic_b0251 ")</f>
        <v>( arctic_b0251 </v>
      </c>
      <c r="C844" s="4" t="str">
        <f>IFERROR(__xludf.DUMMYFUNCTION("""COMPUTED_VALUE"""),"They must have been swept away by the chaotic currents.")</f>
        <v>They must have been swept away by the chaotic currents.</v>
      </c>
      <c r="D844" s="4" t="str">
        <f>IFERROR(__xludf.DUMMYFUNCTION("""COMPUTED_VALUE""")," ")</f>
        <v> </v>
      </c>
    </row>
    <row r="845">
      <c r="A845" s="5" t="s">
        <v>4242</v>
      </c>
      <c r="B845" s="4" t="str">
        <f>IFERROR(__xludf.DUMMYFUNCTION("SPLIT(A845,"""""")"")"),"( arctic_b0252 ")</f>
        <v>( arctic_b0252 </v>
      </c>
      <c r="C845" s="4" t="str">
        <f>IFERROR(__xludf.DUMMYFUNCTION("""COMPUTED_VALUE"""),"It resembled tea less than lager beer resembles champagne.")</f>
        <v>It resembled tea less than lager beer resembles champagne.</v>
      </c>
      <c r="D845" s="4" t="str">
        <f>IFERROR(__xludf.DUMMYFUNCTION("""COMPUTED_VALUE""")," ")</f>
        <v> </v>
      </c>
    </row>
    <row r="846">
      <c r="A846" s="5" t="s">
        <v>4243</v>
      </c>
      <c r="B846" s="4" t="str">
        <f>IFERROR(__xludf.DUMMYFUNCTION("SPLIT(A846,"""""")"")"),"( arctic_b0253 ")</f>
        <v>( arctic_b0253 </v>
      </c>
      <c r="C846" s="4" t="str">
        <f>IFERROR(__xludf.DUMMYFUNCTION("""COMPUTED_VALUE"""),"The very opposite is true; they are discouraged vagabonds.")</f>
        <v>The very opposite is true; they are discouraged vagabonds.</v>
      </c>
      <c r="D846" s="4" t="str">
        <f>IFERROR(__xludf.DUMMYFUNCTION("""COMPUTED_VALUE""")," ")</f>
        <v> </v>
      </c>
    </row>
    <row r="847">
      <c r="A847" s="5" t="s">
        <v>4244</v>
      </c>
      <c r="B847" s="4" t="str">
        <f>IFERROR(__xludf.DUMMYFUNCTION("SPLIT(A847,"""""")"")"),"( arctic_b0254 ")</f>
        <v>( arctic_b0254 </v>
      </c>
      <c r="C847" s="4" t="str">
        <f>IFERROR(__xludf.DUMMYFUNCTION("""COMPUTED_VALUE"""),"At the same time spears and arrows began to fall among the invaders.")</f>
        <v>At the same time spears and arrows began to fall among the invaders.</v>
      </c>
      <c r="D847" s="4" t="str">
        <f>IFERROR(__xludf.DUMMYFUNCTION("""COMPUTED_VALUE""")," ")</f>
        <v> </v>
      </c>
    </row>
    <row r="848">
      <c r="A848" s="5" t="s">
        <v>4245</v>
      </c>
      <c r="B848" s="4" t="str">
        <f>IFERROR(__xludf.DUMMYFUNCTION("SPLIT(A848,"""""")"")"),"( arctic_b0255 ")</f>
        <v>( arctic_b0255 </v>
      </c>
      <c r="C848" s="4" t="str">
        <f>IFERROR(__xludf.DUMMYFUNCTION("""COMPUTED_VALUE"""),"Then, again, Tudor had such an irritating way about him.")</f>
        <v>Then, again, Tudor had such an irritating way about him.</v>
      </c>
      <c r="D848" s="4" t="str">
        <f>IFERROR(__xludf.DUMMYFUNCTION("""COMPUTED_VALUE""")," ")</f>
        <v> </v>
      </c>
    </row>
    <row r="849">
      <c r="A849" s="5" t="s">
        <v>4246</v>
      </c>
      <c r="B849" s="4" t="str">
        <f>IFERROR(__xludf.DUMMYFUNCTION("SPLIT(A849,"""""")"")"),"( arctic_b0256 ")</f>
        <v>( arctic_b0256 </v>
      </c>
      <c r="C849" s="4" t="str">
        <f>IFERROR(__xludf.DUMMYFUNCTION("""COMPUTED_VALUE"""),"Outwardly, he maintained a calm and smiling aspect.")</f>
        <v>Outwardly, he maintained a calm and smiling aspect.</v>
      </c>
      <c r="D849" s="4" t="str">
        <f>IFERROR(__xludf.DUMMYFUNCTION("""COMPUTED_VALUE""")," ")</f>
        <v> </v>
      </c>
    </row>
    <row r="850">
      <c r="A850" s="5" t="s">
        <v>4247</v>
      </c>
      <c r="B850" s="4" t="str">
        <f>IFERROR(__xludf.DUMMYFUNCTION("SPLIT(A850,"""""")"")"),"( arctic_b0257 ")</f>
        <v>( arctic_b0257 </v>
      </c>
      <c r="C850" s="4" t="str">
        <f>IFERROR(__xludf.DUMMYFUNCTION("""COMPUTED_VALUE"""),"Tudor surveyed him with withering disgust.")</f>
        <v>Tudor surveyed him with withering disgust.</v>
      </c>
      <c r="D850" s="4" t="str">
        <f>IFERROR(__xludf.DUMMYFUNCTION("""COMPUTED_VALUE""")," ")</f>
        <v> </v>
      </c>
    </row>
    <row r="851">
      <c r="A851" s="5" t="s">
        <v>4248</v>
      </c>
      <c r="B851" s="4" t="str">
        <f>IFERROR(__xludf.DUMMYFUNCTION("SPLIT(A851,"""""")"")"),"( arctic_b0258 ")</f>
        <v>( arctic_b0258 </v>
      </c>
      <c r="C851" s="4" t="str">
        <f>IFERROR(__xludf.DUMMYFUNCTION("""COMPUTED_VALUE"""),"You fired me out of your house, in short.")</f>
        <v>You fired me out of your house, in short.</v>
      </c>
      <c r="D851" s="4" t="str">
        <f>IFERROR(__xludf.DUMMYFUNCTION("""COMPUTED_VALUE""")," ")</f>
        <v> </v>
      </c>
    </row>
    <row r="852">
      <c r="A852" s="5" t="s">
        <v>4249</v>
      </c>
      <c r="B852" s="4" t="str">
        <f>IFERROR(__xludf.DUMMYFUNCTION("SPLIT(A852,"""""")"")"),"( arctic_b0259 ")</f>
        <v>( arctic_b0259 </v>
      </c>
      <c r="C852" s="4" t="str">
        <f>IFERROR(__xludf.DUMMYFUNCTION("""COMPUTED_VALUE"""),"Her mouth opened, but instead of speaking she drew a long sigh.")</f>
        <v>Her mouth opened, but instead of speaking she drew a long sigh.</v>
      </c>
      <c r="D852" s="4" t="str">
        <f>IFERROR(__xludf.DUMMYFUNCTION("""COMPUTED_VALUE""")," ")</f>
        <v> </v>
      </c>
    </row>
    <row r="853">
      <c r="A853" s="5" t="s">
        <v>4250</v>
      </c>
      <c r="B853" s="4" t="str">
        <f>IFERROR(__xludf.DUMMYFUNCTION("SPLIT(A853,"""""")"")"),"( arctic_b0260 ")</f>
        <v>( arctic_b0260 </v>
      </c>
      <c r="C853" s="4" t="str">
        <f>IFERROR(__xludf.DUMMYFUNCTION("""COMPUTED_VALUE"""),"It's worth eight dollars.")</f>
        <v>It's worth eight dollars.</v>
      </c>
      <c r="D853" s="4" t="str">
        <f>IFERROR(__xludf.DUMMYFUNCTION("""COMPUTED_VALUE""")," ")</f>
        <v> </v>
      </c>
    </row>
    <row r="854">
      <c r="A854" s="5" t="s">
        <v>4251</v>
      </c>
      <c r="B854" s="4" t="str">
        <f>IFERROR(__xludf.DUMMYFUNCTION("SPLIT(A854,"""""")"")"),"( arctic_b0261 ")</f>
        <v>( arctic_b0261 </v>
      </c>
      <c r="C854" s="4" t="str">
        <f>IFERROR(__xludf.DUMMYFUNCTION("""COMPUTED_VALUE"""),"And he did hurt my arm.")</f>
        <v>And he did hurt my arm.</v>
      </c>
      <c r="D854" s="4" t="str">
        <f>IFERROR(__xludf.DUMMYFUNCTION("""COMPUTED_VALUE""")," ")</f>
        <v> </v>
      </c>
    </row>
    <row r="855">
      <c r="A855" s="5" t="s">
        <v>4252</v>
      </c>
      <c r="B855" s="4" t="str">
        <f>IFERROR(__xludf.DUMMYFUNCTION("SPLIT(A855,"""""")"")"),"( arctic_b0262 ")</f>
        <v>( arctic_b0262 </v>
      </c>
      <c r="C855" s="4" t="str">
        <f>IFERROR(__xludf.DUMMYFUNCTION("""COMPUTED_VALUE"""),"Saxon's onto her job.")</f>
        <v>Saxon's onto her job.</v>
      </c>
      <c r="D855" s="4" t="str">
        <f>IFERROR(__xludf.DUMMYFUNCTION("""COMPUTED_VALUE""")," ")</f>
        <v> </v>
      </c>
    </row>
    <row r="856">
      <c r="A856" s="5" t="s">
        <v>4253</v>
      </c>
      <c r="B856" s="4" t="str">
        <f>IFERROR(__xludf.DUMMYFUNCTION("SPLIT(A856,"""""")"")"),"( arctic_b0263 ")</f>
        <v>( arctic_b0263 </v>
      </c>
      <c r="C856" s="4" t="str">
        <f>IFERROR(__xludf.DUMMYFUNCTION("""COMPUTED_VALUE"""),"Only once did I confide the strangeness of it all to another.")</f>
        <v>Only once did I confide the strangeness of it all to another.</v>
      </c>
      <c r="D856" s="4" t="str">
        <f>IFERROR(__xludf.DUMMYFUNCTION("""COMPUTED_VALUE""")," ")</f>
        <v> </v>
      </c>
    </row>
    <row r="857">
      <c r="A857" s="5" t="s">
        <v>4254</v>
      </c>
      <c r="B857" s="4" t="str">
        <f>IFERROR(__xludf.DUMMYFUNCTION("SPLIT(A857,"""""")"")"),"( arctic_b0264 ")</f>
        <v>( arctic_b0264 </v>
      </c>
      <c r="C857" s="4" t="str">
        <f>IFERROR(__xludf.DUMMYFUNCTION("""COMPUTED_VALUE"""),"But this time it was Saxon who rebelled.")</f>
        <v>But this time it was Saxon who rebelled.</v>
      </c>
      <c r="D857" s="4" t="str">
        <f>IFERROR(__xludf.DUMMYFUNCTION("""COMPUTED_VALUE""")," ")</f>
        <v> </v>
      </c>
    </row>
    <row r="858">
      <c r="A858" s="5" t="s">
        <v>4255</v>
      </c>
      <c r="B858" s="4" t="str">
        <f>IFERROR(__xludf.DUMMYFUNCTION("SPLIT(A858,"""""")"")"),"( arctic_b0265 ")</f>
        <v>( arctic_b0265 </v>
      </c>
      <c r="C858" s="4" t="str">
        <f>IFERROR(__xludf.DUMMYFUNCTION("""COMPUTED_VALUE"""),"I was not to cry out in the face of fear.")</f>
        <v>I was not to cry out in the face of fear.</v>
      </c>
      <c r="D858" s="4" t="str">
        <f>IFERROR(__xludf.DUMMYFUNCTION("""COMPUTED_VALUE""")," ")</f>
        <v> </v>
      </c>
    </row>
    <row r="859">
      <c r="A859" s="5" t="s">
        <v>4256</v>
      </c>
      <c r="B859" s="4" t="str">
        <f>IFERROR(__xludf.DUMMYFUNCTION("SPLIT(A859,"""""")"")"),"( arctic_b0266 ")</f>
        <v>( arctic_b0266 </v>
      </c>
      <c r="C859" s="4" t="str">
        <f>IFERROR(__xludf.DUMMYFUNCTION("""COMPUTED_VALUE"""),"And now put yourself in my place for a moment.")</f>
        <v>And now put yourself in my place for a moment.</v>
      </c>
      <c r="D859" s="4" t="str">
        <f>IFERROR(__xludf.DUMMYFUNCTION("""COMPUTED_VALUE""")," ")</f>
        <v> </v>
      </c>
    </row>
    <row r="860">
      <c r="A860" s="5" t="s">
        <v>4257</v>
      </c>
      <c r="B860" s="4" t="str">
        <f>IFERROR(__xludf.DUMMYFUNCTION("SPLIT(A860,"""""")"")"),"( arctic_b0267 ")</f>
        <v>( arctic_b0267 </v>
      </c>
      <c r="C860" s="4" t="str">
        <f>IFERROR(__xludf.DUMMYFUNCTION("""COMPUTED_VALUE"""),"The boy threw back his head with pride.")</f>
        <v>The boy threw back his head with pride.</v>
      </c>
      <c r="D860" s="4" t="str">
        <f>IFERROR(__xludf.DUMMYFUNCTION("""COMPUTED_VALUE""")," ")</f>
        <v> </v>
      </c>
    </row>
    <row r="861">
      <c r="A861" s="5" t="s">
        <v>4258</v>
      </c>
      <c r="B861" s="4" t="str">
        <f>IFERROR(__xludf.DUMMYFUNCTION("SPLIT(A861,"""""")"")"),"( arctic_b0268 ")</f>
        <v>( arctic_b0268 </v>
      </c>
      <c r="C861" s="4" t="str">
        <f>IFERROR(__xludf.DUMMYFUNCTION("""COMPUTED_VALUE"""),"Saxon nodded, and the boy frowned.")</f>
        <v>Saxon nodded, and the boy frowned.</v>
      </c>
      <c r="D861" s="4" t="str">
        <f>IFERROR(__xludf.DUMMYFUNCTION("""COMPUTED_VALUE""")," ")</f>
        <v> </v>
      </c>
    </row>
    <row r="862">
      <c r="A862" s="5" t="s">
        <v>4259</v>
      </c>
      <c r="B862" s="4" t="str">
        <f>IFERROR(__xludf.DUMMYFUNCTION("SPLIT(A862,"""""")"")"),"( arctic_b0269 ")</f>
        <v>( arctic_b0269 </v>
      </c>
      <c r="C862" s="4" t="str">
        <f>IFERROR(__xludf.DUMMYFUNCTION("""COMPUTED_VALUE"""),"Why not like any railroad station or ferry depot.")</f>
        <v>Why not like any railroad station or ferry depot.</v>
      </c>
      <c r="D862" s="4" t="str">
        <f>IFERROR(__xludf.DUMMYFUNCTION("""COMPUTED_VALUE""")," ")</f>
        <v> </v>
      </c>
    </row>
    <row r="863">
      <c r="A863" s="5" t="s">
        <v>4260</v>
      </c>
      <c r="B863" s="4" t="str">
        <f>IFERROR(__xludf.DUMMYFUNCTION("SPLIT(A863,"""""")"")"),"( arctic_b0270 ")</f>
        <v>( arctic_b0270 </v>
      </c>
      <c r="C863" s="4" t="str">
        <f>IFERROR(__xludf.DUMMYFUNCTION("""COMPUTED_VALUE"""),"We could throw stones with our feet.")</f>
        <v>We could throw stones with our feet.</v>
      </c>
      <c r="D863" s="4" t="str">
        <f>IFERROR(__xludf.DUMMYFUNCTION("""COMPUTED_VALUE""")," ")</f>
        <v> </v>
      </c>
    </row>
    <row r="864">
      <c r="A864" s="5" t="s">
        <v>4261</v>
      </c>
      <c r="B864" s="4" t="str">
        <f>IFERROR(__xludf.DUMMYFUNCTION("SPLIT(A864,"""""")"")"),"( arctic_b0271 ")</f>
        <v>( arctic_b0271 </v>
      </c>
      <c r="C864" s="4" t="str">
        <f>IFERROR(__xludf.DUMMYFUNCTION("""COMPUTED_VALUE"""),"It was put together in a casual, helter-skelter sort of way.")</f>
        <v>It was put together in a casual, helter-skelter sort of way.</v>
      </c>
      <c r="D864" s="4" t="str">
        <f>IFERROR(__xludf.DUMMYFUNCTION("""COMPUTED_VALUE""")," ")</f>
        <v> </v>
      </c>
    </row>
    <row r="865">
      <c r="A865" s="5" t="s">
        <v>4262</v>
      </c>
      <c r="B865" s="4" t="str">
        <f>IFERROR(__xludf.DUMMYFUNCTION("SPLIT(A865,"""""")"")"),"( arctic_b0272 ")</f>
        <v>( arctic_b0272 </v>
      </c>
      <c r="C865" s="4" t="str">
        <f>IFERROR(__xludf.DUMMYFUNCTION("""COMPUTED_VALUE"""),"These were merely stout sticks an inch or so in diameter.")</f>
        <v>These were merely stout sticks an inch or so in diameter.</v>
      </c>
      <c r="D865" s="4" t="str">
        <f>IFERROR(__xludf.DUMMYFUNCTION("""COMPUTED_VALUE""")," ")</f>
        <v> </v>
      </c>
    </row>
    <row r="866">
      <c r="A866" s="5" t="s">
        <v>4263</v>
      </c>
      <c r="B866" s="4" t="str">
        <f>IFERROR(__xludf.DUMMYFUNCTION("SPLIT(A866,"""""")"")"),"( arctic_b0273 ")</f>
        <v>( arctic_b0273 </v>
      </c>
      <c r="C866" s="4" t="str">
        <f>IFERROR(__xludf.DUMMYFUNCTION("""COMPUTED_VALUE"""),"Then it was that a strange thing happened.")</f>
        <v>Then it was that a strange thing happened.</v>
      </c>
      <c r="D866" s="4" t="str">
        <f>IFERROR(__xludf.DUMMYFUNCTION("""COMPUTED_VALUE""")," ")</f>
        <v> </v>
      </c>
    </row>
    <row r="867">
      <c r="A867" s="5" t="s">
        <v>4264</v>
      </c>
      <c r="B867" s="4" t="str">
        <f>IFERROR(__xludf.DUMMYFUNCTION("SPLIT(A867,"""""")"")"),"( arctic_b0274 ")</f>
        <v>( arctic_b0274 </v>
      </c>
      <c r="C867" s="4" t="str">
        <f>IFERROR(__xludf.DUMMYFUNCTION("""COMPUTED_VALUE"""),"From the source of light a harsh voice said.")</f>
        <v>From the source of light a harsh voice said.</v>
      </c>
      <c r="D867" s="4" t="str">
        <f>IFERROR(__xludf.DUMMYFUNCTION("""COMPUTED_VALUE""")," ")</f>
        <v> </v>
      </c>
    </row>
    <row r="868">
      <c r="A868" s="5" t="s">
        <v>4265</v>
      </c>
      <c r="B868" s="4" t="str">
        <f>IFERROR(__xludf.DUMMYFUNCTION("SPLIT(A868,"""""")"")"),"( arctic_b0275 ")</f>
        <v>( arctic_b0275 </v>
      </c>
      <c r="C868" s="4" t="str">
        <f>IFERROR(__xludf.DUMMYFUNCTION("""COMPUTED_VALUE"""),"But I did not enjoy it long.")</f>
        <v>But I did not enjoy it long.</v>
      </c>
      <c r="D868" s="4" t="str">
        <f>IFERROR(__xludf.DUMMYFUNCTION("""COMPUTED_VALUE""")," ")</f>
        <v> </v>
      </c>
    </row>
    <row r="869">
      <c r="A869" s="5" t="s">
        <v>4266</v>
      </c>
      <c r="B869" s="4" t="str">
        <f>IFERROR(__xludf.DUMMYFUNCTION("SPLIT(A869,"""""")"")"),"( arctic_b0276 ")</f>
        <v>( arctic_b0276 </v>
      </c>
      <c r="C869" s="4" t="str">
        <f>IFERROR(__xludf.DUMMYFUNCTION("""COMPUTED_VALUE"""),"We were now good friends.")</f>
        <v>We were now good friends.</v>
      </c>
      <c r="D869" s="4" t="str">
        <f>IFERROR(__xludf.DUMMYFUNCTION("""COMPUTED_VALUE""")," ")</f>
        <v> </v>
      </c>
    </row>
    <row r="870">
      <c r="A870" s="5" t="s">
        <v>4267</v>
      </c>
      <c r="B870" s="4" t="str">
        <f>IFERROR(__xludf.DUMMYFUNCTION("SPLIT(A870,"""""")"")"),"( arctic_b0277 ")</f>
        <v>( arctic_b0277 </v>
      </c>
      <c r="C870" s="4" t="str">
        <f>IFERROR(__xludf.DUMMYFUNCTION("""COMPUTED_VALUE"""),"Two of the Folk were already up.")</f>
        <v>Two of the Folk were already up.</v>
      </c>
      <c r="D870" s="4" t="str">
        <f>IFERROR(__xludf.DUMMYFUNCTION("""COMPUTED_VALUE""")," ")</f>
        <v> </v>
      </c>
    </row>
    <row r="871">
      <c r="A871" s="5" t="s">
        <v>4268</v>
      </c>
      <c r="B871" s="4" t="str">
        <f>IFERROR(__xludf.DUMMYFUNCTION("SPLIT(A871,"""""")"")"),"( arctic_b0278 ")</f>
        <v>( arctic_b0278 </v>
      </c>
      <c r="C871" s="4" t="str">
        <f>IFERROR(__xludf.DUMMYFUNCTION("""COMPUTED_VALUE"""),"Now animals do not like mockery.")</f>
        <v>Now animals do not like mockery.</v>
      </c>
      <c r="D871" s="4" t="str">
        <f>IFERROR(__xludf.DUMMYFUNCTION("""COMPUTED_VALUE""")," ")</f>
        <v> </v>
      </c>
    </row>
    <row r="872">
      <c r="A872" s="5" t="s">
        <v>4269</v>
      </c>
      <c r="B872" s="4" t="str">
        <f>IFERROR(__xludf.DUMMYFUNCTION("SPLIT(A872,"""""")"")"),"( arctic_b0279 ")</f>
        <v>( arctic_b0279 </v>
      </c>
      <c r="C872" s="4" t="str">
        <f>IFERROR(__xludf.DUMMYFUNCTION("""COMPUTED_VALUE"""),"He gave one last snarl and slid from view among the trees.")</f>
        <v>He gave one last snarl and slid from view among the trees.</v>
      </c>
      <c r="D872" s="4" t="str">
        <f>IFERROR(__xludf.DUMMYFUNCTION("""COMPUTED_VALUE""")," ")</f>
        <v> </v>
      </c>
    </row>
    <row r="873">
      <c r="A873" s="5" t="s">
        <v>4270</v>
      </c>
      <c r="B873" s="4" t="str">
        <f>IFERROR(__xludf.DUMMYFUNCTION("SPLIT(A873,"""""")"")"),"( arctic_b0280 ")</f>
        <v>( arctic_b0280 </v>
      </c>
      <c r="C873" s="4" t="str">
        <f>IFERROR(__xludf.DUMMYFUNCTION("""COMPUTED_VALUE"""),"Again the girls applauded, and Mrs Hall cried.")</f>
        <v>Again the girls applauded, and Mrs Hall cried.</v>
      </c>
      <c r="D873" s="4" t="str">
        <f>IFERROR(__xludf.DUMMYFUNCTION("""COMPUTED_VALUE""")," ")</f>
        <v> </v>
      </c>
    </row>
    <row r="874">
      <c r="A874" s="5" t="s">
        <v>4271</v>
      </c>
      <c r="B874" s="4" t="str">
        <f>IFERROR(__xludf.DUMMYFUNCTION("SPLIT(A874,"""""")"")"),"( arctic_b0281 ")</f>
        <v>( arctic_b0281 </v>
      </c>
      <c r="C874" s="4" t="str">
        <f>IFERROR(__xludf.DUMMYFUNCTION("""COMPUTED_VALUE"""),"Just the same I'd sooner be myself than have book indigestion.")</f>
        <v>Just the same I'd sooner be myself than have book indigestion.</v>
      </c>
      <c r="D874" s="4" t="str">
        <f>IFERROR(__xludf.DUMMYFUNCTION("""COMPUTED_VALUE""")," ")</f>
        <v> </v>
      </c>
    </row>
    <row r="875">
      <c r="A875" s="5" t="s">
        <v>4272</v>
      </c>
      <c r="B875" s="4" t="str">
        <f>IFERROR(__xludf.DUMMYFUNCTION("SPLIT(A875,"""""")"")"),"( arctic_b0282 ")</f>
        <v>( arctic_b0282 </v>
      </c>
      <c r="C875" s="4" t="str">
        <f>IFERROR(__xludf.DUMMYFUNCTION("""COMPUTED_VALUE"""),"Some of the smaller veins had doubtless been ruptured.")</f>
        <v>Some of the smaller veins had doubtless been ruptured.</v>
      </c>
      <c r="D875" s="4" t="str">
        <f>IFERROR(__xludf.DUMMYFUNCTION("""COMPUTED_VALUE""")," ")</f>
        <v> </v>
      </c>
    </row>
    <row r="876">
      <c r="A876" s="5" t="s">
        <v>4273</v>
      </c>
      <c r="B876" s="4" t="str">
        <f>IFERROR(__xludf.DUMMYFUNCTION("SPLIT(A876,"""""")"")"),"( arctic_b0283 ")</f>
        <v>( arctic_b0283 </v>
      </c>
      <c r="C876" s="4" t="str">
        <f>IFERROR(__xludf.DUMMYFUNCTION("""COMPUTED_VALUE"""),"But we were without this momentum.")</f>
        <v>But we were without this momentum.</v>
      </c>
      <c r="D876" s="4" t="str">
        <f>IFERROR(__xludf.DUMMYFUNCTION("""COMPUTED_VALUE""")," ")</f>
        <v> </v>
      </c>
    </row>
    <row r="877">
      <c r="A877" s="5" t="s">
        <v>4274</v>
      </c>
      <c r="B877" s="4" t="str">
        <f>IFERROR(__xludf.DUMMYFUNCTION("SPLIT(A877,"""""")"")"),"( arctic_b0284 ")</f>
        <v>( arctic_b0284 </v>
      </c>
      <c r="C877" s="4" t="str">
        <f>IFERROR(__xludf.DUMMYFUNCTION("""COMPUTED_VALUE"""),"There was one difficulty, however.")</f>
        <v>There was one difficulty, however.</v>
      </c>
      <c r="D877" s="4" t="str">
        <f>IFERROR(__xludf.DUMMYFUNCTION("""COMPUTED_VALUE""")," ")</f>
        <v> </v>
      </c>
    </row>
    <row r="878">
      <c r="A878" s="5" t="s">
        <v>4275</v>
      </c>
      <c r="B878" s="4" t="str">
        <f>IFERROR(__xludf.DUMMYFUNCTION("SPLIT(A878,"""""")"")"),"( arctic_b0285 ")</f>
        <v>( arctic_b0285 </v>
      </c>
      <c r="C878" s="4" t="str">
        <f>IFERROR(__xludf.DUMMYFUNCTION("""COMPUTED_VALUE"""),"The hyena proceeded to dine.")</f>
        <v>The hyena proceeded to dine.</v>
      </c>
      <c r="D878" s="4" t="str">
        <f>IFERROR(__xludf.DUMMYFUNCTION("""COMPUTED_VALUE""")," ")</f>
        <v> </v>
      </c>
    </row>
    <row r="879">
      <c r="A879" s="5" t="s">
        <v>4276</v>
      </c>
      <c r="B879" s="4" t="str">
        <f>IFERROR(__xludf.DUMMYFUNCTION("SPLIT(A879,"""""")"")"),"( arctic_b0286 ")</f>
        <v>( arctic_b0286 </v>
      </c>
      <c r="C879" s="4" t="str">
        <f>IFERROR(__xludf.DUMMYFUNCTION("""COMPUTED_VALUE"""),"The time was considered auspicious.")</f>
        <v>The time was considered auspicious.</v>
      </c>
      <c r="D879" s="4" t="str">
        <f>IFERROR(__xludf.DUMMYFUNCTION("""COMPUTED_VALUE""")," ")</f>
        <v> </v>
      </c>
    </row>
    <row r="880">
      <c r="A880" s="5" t="s">
        <v>4277</v>
      </c>
      <c r="B880" s="4" t="str">
        <f>IFERROR(__xludf.DUMMYFUNCTION("SPLIT(A880,"""""")"")"),"( arctic_b0287 ")</f>
        <v>( arctic_b0287 </v>
      </c>
      <c r="C880" s="4" t="str">
        <f>IFERROR(__xludf.DUMMYFUNCTION("""COMPUTED_VALUE"""),"Or have they already devised one.")</f>
        <v>Or have they already devised one.</v>
      </c>
      <c r="D880" s="4" t="str">
        <f>IFERROR(__xludf.DUMMYFUNCTION("""COMPUTED_VALUE""")," ")</f>
        <v> </v>
      </c>
    </row>
    <row r="881">
      <c r="A881" s="5" t="s">
        <v>4278</v>
      </c>
      <c r="B881" s="4" t="str">
        <f>IFERROR(__xludf.DUMMYFUNCTION("SPLIT(A881,"""""")"")"),"( arctic_b0288 ")</f>
        <v>( arctic_b0288 </v>
      </c>
      <c r="C881" s="4" t="str">
        <f>IFERROR(__xludf.DUMMYFUNCTION("""COMPUTED_VALUE"""),"We would not spend another such night.")</f>
        <v>We would not spend another such night.</v>
      </c>
      <c r="D881" s="4" t="str">
        <f>IFERROR(__xludf.DUMMYFUNCTION("""COMPUTED_VALUE""")," ")</f>
        <v> </v>
      </c>
    </row>
    <row r="882">
      <c r="A882" s="5" t="s">
        <v>4279</v>
      </c>
      <c r="B882" s="4" t="str">
        <f>IFERROR(__xludf.DUMMYFUNCTION("SPLIT(A882,"""""")"")"),"( arctic_b0289 ")</f>
        <v>( arctic_b0289 </v>
      </c>
      <c r="C882" s="4" t="str">
        <f>IFERROR(__xludf.DUMMYFUNCTION("""COMPUTED_VALUE"""),"At first his progress was slow and erratic.")</f>
        <v>At first his progress was slow and erratic.</v>
      </c>
      <c r="D882" s="4" t="str">
        <f>IFERROR(__xludf.DUMMYFUNCTION("""COMPUTED_VALUE""")," ")</f>
        <v> </v>
      </c>
    </row>
    <row r="883">
      <c r="A883" s="5" t="s">
        <v>4280</v>
      </c>
      <c r="B883" s="4" t="str">
        <f>IFERROR(__xludf.DUMMYFUNCTION("SPLIT(A883,"""""")"")"),"( arctic_b0290 ")</f>
        <v>( arctic_b0290 </v>
      </c>
      <c r="C883" s="4" t="str">
        <f>IFERROR(__xludf.DUMMYFUNCTION("""COMPUTED_VALUE"""),"He placed his paw on one, and its movements were accelerated.")</f>
        <v>He placed his paw on one, and its movements were accelerated.</v>
      </c>
      <c r="D883" s="4" t="str">
        <f>IFERROR(__xludf.DUMMYFUNCTION("""COMPUTED_VALUE""")," ")</f>
        <v> </v>
      </c>
    </row>
    <row r="884">
      <c r="A884" s="5" t="s">
        <v>4281</v>
      </c>
      <c r="B884" s="4" t="str">
        <f>IFERROR(__xludf.DUMMYFUNCTION("SPLIT(A884,"""""")"")"),"( arctic_b0291 ")</f>
        <v>( arctic_b0291 </v>
      </c>
      <c r="C884" s="4" t="str">
        <f>IFERROR(__xludf.DUMMYFUNCTION("""COMPUTED_VALUE"""),"The awe of man rushed over him again.")</f>
        <v>The awe of man rushed over him again.</v>
      </c>
      <c r="D884" s="4" t="str">
        <f>IFERROR(__xludf.DUMMYFUNCTION("""COMPUTED_VALUE""")," ")</f>
        <v> </v>
      </c>
    </row>
    <row r="885">
      <c r="A885" s="5" t="s">
        <v>4282</v>
      </c>
      <c r="B885" s="4" t="str">
        <f>IFERROR(__xludf.DUMMYFUNCTION("SPLIT(A885,"""""")"")"),"( arctic_b0292 ")</f>
        <v>( arctic_b0292 </v>
      </c>
      <c r="C885" s="4" t="str">
        <f>IFERROR(__xludf.DUMMYFUNCTION("""COMPUTED_VALUE"""),"The Fire-Men wore animal skins around their waists and across their shoulders.")</f>
        <v>The Fire-Men wore animal skins around their waists and across their shoulders.</v>
      </c>
      <c r="D885" s="4" t="str">
        <f>IFERROR(__xludf.DUMMYFUNCTION("""COMPUTED_VALUE""")," ")</f>
        <v> </v>
      </c>
    </row>
    <row r="886">
      <c r="A886" s="5" t="s">
        <v>4283</v>
      </c>
      <c r="B886" s="4" t="str">
        <f>IFERROR(__xludf.DUMMYFUNCTION("SPLIT(A886,"""""")"")"),"( arctic_b0293 ")</f>
        <v>( arctic_b0293 </v>
      </c>
      <c r="C886" s="4" t="str">
        <f>IFERROR(__xludf.DUMMYFUNCTION("""COMPUTED_VALUE"""),"Between him and all domestic animals there must be no hostilities.")</f>
        <v>Between him and all domestic animals there must be no hostilities.</v>
      </c>
      <c r="D886" s="4" t="str">
        <f>IFERROR(__xludf.DUMMYFUNCTION("""COMPUTED_VALUE""")," ")</f>
        <v> </v>
      </c>
    </row>
    <row r="887">
      <c r="A887" s="5" t="s">
        <v>4284</v>
      </c>
      <c r="B887" s="4" t="str">
        <f>IFERROR(__xludf.DUMMYFUNCTION("SPLIT(A887,"""""")"")"),"( arctic_b0294 ")</f>
        <v>( arctic_b0294 </v>
      </c>
      <c r="C887" s="4" t="str">
        <f>IFERROR(__xludf.DUMMYFUNCTION("""COMPUTED_VALUE"""),"For a much longer time Lop-Ear and I remained and watched.")</f>
        <v>For a much longer time Lop-Ear and I remained and watched.</v>
      </c>
      <c r="D887" s="4" t="str">
        <f>IFERROR(__xludf.DUMMYFUNCTION("""COMPUTED_VALUE""")," ")</f>
        <v> </v>
      </c>
    </row>
    <row r="888">
      <c r="A888" s="5" t="s">
        <v>4285</v>
      </c>
      <c r="B888" s="4" t="str">
        <f>IFERROR(__xludf.DUMMYFUNCTION("SPLIT(A888,"""""")"")"),"( arctic_b0295 ")</f>
        <v>( arctic_b0295 </v>
      </c>
      <c r="C888" s="4" t="str">
        <f>IFERROR(__xludf.DUMMYFUNCTION("""COMPUTED_VALUE"""),"All right, Sir, replied Jock with great regret.")</f>
        <v>All right, Sir, replied Jock with great regret.</v>
      </c>
      <c r="D888" s="4" t="str">
        <f>IFERROR(__xludf.DUMMYFUNCTION("""COMPUTED_VALUE""")," ")</f>
        <v> </v>
      </c>
    </row>
    <row r="889">
      <c r="A889" s="5" t="s">
        <v>4286</v>
      </c>
      <c r="B889" s="4" t="str">
        <f>IFERROR(__xludf.DUMMYFUNCTION("SPLIT(A889,"""""")"")"),"( arctic_b0296 ")</f>
        <v>( arctic_b0296 </v>
      </c>
      <c r="C889" s="4" t="str">
        <f>IFERROR(__xludf.DUMMYFUNCTION("""COMPUTED_VALUE"""),"At times I wondered where Sir Archibald got his style.")</f>
        <v>At times I wondered where Sir Archibald got his style.</v>
      </c>
      <c r="D889" s="4" t="str">
        <f>IFERROR(__xludf.DUMMYFUNCTION("""COMPUTED_VALUE""")," ")</f>
        <v> </v>
      </c>
    </row>
    <row r="890">
      <c r="A890" s="5" t="s">
        <v>4287</v>
      </c>
      <c r="B890" s="4" t="str">
        <f>IFERROR(__xludf.DUMMYFUNCTION("SPLIT(A890,"""""")"")"),"( arctic_b0297 ")</f>
        <v>( arctic_b0297 </v>
      </c>
      <c r="C890" s="4" t="str">
        <f>IFERROR(__xludf.DUMMYFUNCTION("""COMPUTED_VALUE"""),"Why should a fellow throw up the sponge after the first round.")</f>
        <v>Why should a fellow throw up the sponge after the first round.</v>
      </c>
      <c r="D890" s="4" t="str">
        <f>IFERROR(__xludf.DUMMYFUNCTION("""COMPUTED_VALUE""")," ")</f>
        <v> </v>
      </c>
    </row>
    <row r="891">
      <c r="A891" s="5" t="s">
        <v>4288</v>
      </c>
      <c r="B891" s="4" t="str">
        <f>IFERROR(__xludf.DUMMYFUNCTION("SPLIT(A891,"""""")"")"),"( arctic_b0298 ")</f>
        <v>( arctic_b0298 </v>
      </c>
      <c r="C891" s="4" t="str">
        <f>IFERROR(__xludf.DUMMYFUNCTION("""COMPUTED_VALUE"""),"His hand shot out and clutched Crooked-Leg by the neck.")</f>
        <v>His hand shot out and clutched Crooked-Leg by the neck.</v>
      </c>
      <c r="D891" s="4" t="str">
        <f>IFERROR(__xludf.DUMMYFUNCTION("""COMPUTED_VALUE""")," ")</f>
        <v> </v>
      </c>
    </row>
    <row r="892">
      <c r="A892" s="5" t="s">
        <v>4289</v>
      </c>
      <c r="B892" s="4" t="str">
        <f>IFERROR(__xludf.DUMMYFUNCTION("SPLIT(A892,"""""")"")"),"( arctic_b0299 ")</f>
        <v>( arctic_b0299 </v>
      </c>
      <c r="C892" s="4" t="str">
        <f>IFERROR(__xludf.DUMMYFUNCTION("""COMPUTED_VALUE"""),"Miss Brodie's smile was slightly sarcastic.")</f>
        <v>Miss Brodie's smile was slightly sarcastic.</v>
      </c>
      <c r="D892" s="4" t="str">
        <f>IFERROR(__xludf.DUMMYFUNCTION("""COMPUTED_VALUE""")," ")</f>
        <v> </v>
      </c>
    </row>
    <row r="893">
      <c r="A893" s="5" t="s">
        <v>4290</v>
      </c>
      <c r="B893" s="4" t="str">
        <f>IFERROR(__xludf.DUMMYFUNCTION("SPLIT(A893,"""""")"")"),"( arctic_b0300 ")</f>
        <v>( arctic_b0300 </v>
      </c>
      <c r="C893" s="4" t="str">
        <f>IFERROR(__xludf.DUMMYFUNCTION("""COMPUTED_VALUE"""),"Does the old boy often go off at half-cock that way.")</f>
        <v>Does the old boy often go off at half-cock that way.</v>
      </c>
      <c r="D893" s="4" t="str">
        <f>IFERROR(__xludf.DUMMYFUNCTION("""COMPUTED_VALUE""")," ")</f>
        <v> </v>
      </c>
    </row>
    <row r="894">
      <c r="A894" s="5" t="s">
        <v>4291</v>
      </c>
      <c r="B894" s="4" t="str">
        <f>IFERROR(__xludf.DUMMYFUNCTION("SPLIT(A894,"""""")"")"),"( arctic_b0301 ")</f>
        <v>( arctic_b0301 </v>
      </c>
      <c r="C894" s="4" t="str">
        <f>IFERROR(__xludf.DUMMYFUNCTION("""COMPUTED_VALUE"""),"A flying arrow passed between us.")</f>
        <v>A flying arrow passed between us.</v>
      </c>
      <c r="D894" s="4" t="str">
        <f>IFERROR(__xludf.DUMMYFUNCTION("""COMPUTED_VALUE""")," ")</f>
        <v> </v>
      </c>
    </row>
    <row r="895">
      <c r="A895" s="5" t="s">
        <v>4292</v>
      </c>
      <c r="B895" s="4" t="str">
        <f>IFERROR(__xludf.DUMMYFUNCTION("SPLIT(A895,"""""")"")"),"( arctic_b0302 ")</f>
        <v>( arctic_b0302 </v>
      </c>
      <c r="C895" s="4" t="str">
        <f>IFERROR(__xludf.DUMMYFUNCTION("""COMPUTED_VALUE"""),"I pulled, suddenly, with all my might.")</f>
        <v>I pulled, suddenly, with all my might.</v>
      </c>
      <c r="D895" s="4" t="str">
        <f>IFERROR(__xludf.DUMMYFUNCTION("""COMPUTED_VALUE""")," ")</f>
        <v> </v>
      </c>
    </row>
    <row r="896">
      <c r="A896" s="5" t="s">
        <v>4293</v>
      </c>
      <c r="B896" s="4" t="str">
        <f>IFERROR(__xludf.DUMMYFUNCTION("SPLIT(A896,"""""")"")"),"( arctic_b0303 ")</f>
        <v>( arctic_b0303 </v>
      </c>
      <c r="C896" s="4" t="str">
        <f>IFERROR(__xludf.DUMMYFUNCTION("""COMPUTED_VALUE"""),"Here we allow our solicitors to look after our legal work.")</f>
        <v>Here we allow our solicitors to look after our legal work.</v>
      </c>
      <c r="D896" s="4" t="str">
        <f>IFERROR(__xludf.DUMMYFUNCTION("""COMPUTED_VALUE""")," ")</f>
        <v> </v>
      </c>
    </row>
    <row r="897">
      <c r="A897" s="5" t="s">
        <v>4294</v>
      </c>
      <c r="B897" s="4" t="str">
        <f>IFERROR(__xludf.DUMMYFUNCTION("SPLIT(A897,"""""")"")"),"( arctic_b0304 ")</f>
        <v>( arctic_b0304 </v>
      </c>
      <c r="C897" s="4" t="str">
        <f>IFERROR(__xludf.DUMMYFUNCTION("""COMPUTED_VALUE"""),"His previous wives had never lived long enough to bear him children.")</f>
        <v>His previous wives had never lived long enough to bear him children.</v>
      </c>
      <c r="D897" s="4" t="str">
        <f>IFERROR(__xludf.DUMMYFUNCTION("""COMPUTED_VALUE""")," ")</f>
        <v> </v>
      </c>
    </row>
    <row r="898">
      <c r="A898" s="5" t="s">
        <v>4295</v>
      </c>
      <c r="B898" s="4" t="str">
        <f>IFERROR(__xludf.DUMMYFUNCTION("SPLIT(A898,"""""")"")"),"( arctic_b0305 ")</f>
        <v>( arctic_b0305 </v>
      </c>
      <c r="C898" s="4" t="str">
        <f>IFERROR(__xludf.DUMMYFUNCTION("""COMPUTED_VALUE"""),"It was our river emerging like ourselves from the great swamp.")</f>
        <v>It was our river emerging like ourselves from the great swamp.</v>
      </c>
      <c r="D898" s="4" t="str">
        <f>IFERROR(__xludf.DUMMYFUNCTION("""COMPUTED_VALUE""")," ")</f>
        <v> </v>
      </c>
    </row>
    <row r="899">
      <c r="A899" s="5" t="s">
        <v>4296</v>
      </c>
      <c r="B899" s="4" t="str">
        <f>IFERROR(__xludf.DUMMYFUNCTION("SPLIT(A899,"""""")"")"),"( arctic_b0306 ")</f>
        <v>( arctic_b0306 </v>
      </c>
      <c r="C899" s="4" t="str">
        <f>IFERROR(__xludf.DUMMYFUNCTION("""COMPUTED_VALUE"""),"Cameron looked at his hands with their long, sinewy fingers.")</f>
        <v>Cameron looked at his hands with their long, sinewy fingers.</v>
      </c>
      <c r="D899" s="4" t="str">
        <f>IFERROR(__xludf.DUMMYFUNCTION("""COMPUTED_VALUE""")," ")</f>
        <v> </v>
      </c>
    </row>
    <row r="900">
      <c r="A900" s="5" t="s">
        <v>4297</v>
      </c>
      <c r="B900" s="4" t="str">
        <f>IFERROR(__xludf.DUMMYFUNCTION("SPLIT(A900,"""""")"")"),"( arctic_b0307 ")</f>
        <v>( arctic_b0307 </v>
      </c>
      <c r="C900" s="4" t="str">
        <f>IFERROR(__xludf.DUMMYFUNCTION("""COMPUTED_VALUE"""),"We got few vegetables and fruits, and became fish eaters.")</f>
        <v>We got few vegetables and fruits, and became fish eaters.</v>
      </c>
      <c r="D900" s="4" t="str">
        <f>IFERROR(__xludf.DUMMYFUNCTION("""COMPUTED_VALUE""")," ")</f>
        <v> </v>
      </c>
    </row>
    <row r="901">
      <c r="A901" s="5" t="s">
        <v>4298</v>
      </c>
      <c r="B901" s="4" t="str">
        <f>IFERROR(__xludf.DUMMYFUNCTION("SPLIT(A901,"""""")"")"),"( arctic_b0308 ")</f>
        <v>( arctic_b0308 </v>
      </c>
      <c r="C901" s="4" t="str">
        <f>IFERROR(__xludf.DUMMYFUNCTION("""COMPUTED_VALUE"""),"We never made another migration.")</f>
        <v>We never made another migration.</v>
      </c>
      <c r="D901" s="4" t="str">
        <f>IFERROR(__xludf.DUMMYFUNCTION("""COMPUTED_VALUE""")," ")</f>
        <v> </v>
      </c>
    </row>
    <row r="902">
      <c r="A902" s="5" t="s">
        <v>4299</v>
      </c>
      <c r="B902" s="4" t="str">
        <f>IFERROR(__xludf.DUMMYFUNCTION("SPLIT(A902,"""""")"")"),"( arctic_b0309 ")</f>
        <v>( arctic_b0309 </v>
      </c>
      <c r="C902" s="4" t="str">
        <f>IFERROR(__xludf.DUMMYFUNCTION("""COMPUTED_VALUE"""),"Nor was Elam Harnish an exception.")</f>
        <v>Nor was Elam Harnish an exception.</v>
      </c>
      <c r="D902" s="4" t="str">
        <f>IFERROR(__xludf.DUMMYFUNCTION("""COMPUTED_VALUE""")," ")</f>
        <v> </v>
      </c>
    </row>
    <row r="903">
      <c r="A903" s="5" t="s">
        <v>4300</v>
      </c>
      <c r="B903" s="4" t="str">
        <f>IFERROR(__xludf.DUMMYFUNCTION("SPLIT(A903,"""""")"")"),"( arctic_b0310 ")</f>
        <v>( arctic_b0310 </v>
      </c>
      <c r="C903" s="4" t="str">
        <f>IFERROR(__xludf.DUMMYFUNCTION("""COMPUTED_VALUE"""),"A little treatment, massage, with some help from the doctor.")</f>
        <v>A little treatment, massage, with some help from the doctor.</v>
      </c>
      <c r="D903" s="4" t="str">
        <f>IFERROR(__xludf.DUMMYFUNCTION("""COMPUTED_VALUE""")," ")</f>
        <v> </v>
      </c>
    </row>
    <row r="904">
      <c r="A904" s="5" t="s">
        <v>4301</v>
      </c>
      <c r="B904" s="4" t="str">
        <f>IFERROR(__xludf.DUMMYFUNCTION("SPLIT(A904,"""""")"")"),"( arctic_b0311 ")</f>
        <v>( arctic_b0311 </v>
      </c>
      <c r="C904" s="4" t="str">
        <f>IFERROR(__xludf.DUMMYFUNCTION("""COMPUTED_VALUE"""),"The 29th very foggy.")</f>
        <v>The 29th very foggy.</v>
      </c>
      <c r="D904" s="4" t="str">
        <f>IFERROR(__xludf.DUMMYFUNCTION("""COMPUTED_VALUE""")," ")</f>
        <v> </v>
      </c>
    </row>
    <row r="905">
      <c r="A905" s="5" t="s">
        <v>4302</v>
      </c>
      <c r="B905" s="4" t="str">
        <f>IFERROR(__xludf.DUMMYFUNCTION("SPLIT(A905,"""""")"")"),"( arctic_b0312 ")</f>
        <v>( arctic_b0312 </v>
      </c>
      <c r="C905" s="4" t="str">
        <f>IFERROR(__xludf.DUMMYFUNCTION("""COMPUTED_VALUE"""),"Dig in; you're sure good, was Daylight's answer.")</f>
        <v>Dig in; you're sure good, was Daylight's answer.</v>
      </c>
      <c r="D905" s="4" t="str">
        <f>IFERROR(__xludf.DUMMYFUNCTION("""COMPUTED_VALUE""")," ")</f>
        <v> </v>
      </c>
    </row>
    <row r="906">
      <c r="A906" s="5" t="s">
        <v>4303</v>
      </c>
      <c r="B906" s="4" t="str">
        <f>IFERROR(__xludf.DUMMYFUNCTION("SPLIT(A906,"""""")"")"),"( arctic_b0313 ")</f>
        <v>( arctic_b0313 </v>
      </c>
      <c r="C906" s="4" t="str">
        <f>IFERROR(__xludf.DUMMYFUNCTION("""COMPUTED_VALUE"""),"The apron string loomed near and he shied like an unbroken colt.")</f>
        <v>The apron string loomed near and he shied like an unbroken colt.</v>
      </c>
      <c r="D906" s="4" t="str">
        <f>IFERROR(__xludf.DUMMYFUNCTION("""COMPUTED_VALUE""")," ")</f>
        <v> </v>
      </c>
    </row>
    <row r="907">
      <c r="A907" s="5" t="s">
        <v>4304</v>
      </c>
      <c r="B907" s="4" t="str">
        <f>IFERROR(__xludf.DUMMYFUNCTION("SPLIT(A907,"""""")"")"),"( arctic_b0314 ")</f>
        <v>( arctic_b0314 </v>
      </c>
      <c r="C907" s="4" t="str">
        <f>IFERROR(__xludf.DUMMYFUNCTION("""COMPUTED_VALUE"""),"He had been born with this endowment.")</f>
        <v>He had been born with this endowment.</v>
      </c>
      <c r="D907" s="4" t="str">
        <f>IFERROR(__xludf.DUMMYFUNCTION("""COMPUTED_VALUE""")," ")</f>
        <v> </v>
      </c>
    </row>
    <row r="908">
      <c r="A908" s="5" t="s">
        <v>4305</v>
      </c>
      <c r="B908" s="4" t="str">
        <f>IFERROR(__xludf.DUMMYFUNCTION("SPLIT(A908,"""""")"")"),"( arctic_b0315 ")</f>
        <v>( arctic_b0315 </v>
      </c>
      <c r="C908" s="4" t="str">
        <f>IFERROR(__xludf.DUMMYFUNCTION("""COMPUTED_VALUE"""),"And this was their sole conversation throughout the meal.")</f>
        <v>And this was their sole conversation throughout the meal.</v>
      </c>
      <c r="D908" s="4" t="str">
        <f>IFERROR(__xludf.DUMMYFUNCTION("""COMPUTED_VALUE""")," ")</f>
        <v> </v>
      </c>
    </row>
    <row r="909">
      <c r="A909" s="5" t="s">
        <v>4306</v>
      </c>
      <c r="B909" s="4" t="str">
        <f>IFERROR(__xludf.DUMMYFUNCTION("SPLIT(A909,"""""")"")"),"( arctic_b0316 ")</f>
        <v>( arctic_b0316 </v>
      </c>
      <c r="C909" s="4" t="str">
        <f>IFERROR(__xludf.DUMMYFUNCTION("""COMPUTED_VALUE"""),"Though the aurora still flamed, another day had begun.")</f>
        <v>Though the aurora still flamed, another day had begun.</v>
      </c>
      <c r="D909" s="4" t="str">
        <f>IFERROR(__xludf.DUMMYFUNCTION("""COMPUTED_VALUE""")," ")</f>
        <v> </v>
      </c>
    </row>
    <row r="910">
      <c r="A910" s="5" t="s">
        <v>4307</v>
      </c>
      <c r="B910" s="4" t="str">
        <f>IFERROR(__xludf.DUMMYFUNCTION("SPLIT(A910,"""""")"")"),"( arctic_b0317 ")</f>
        <v>( arctic_b0317 </v>
      </c>
      <c r="C910" s="4" t="str">
        <f>IFERROR(__xludf.DUMMYFUNCTION("""COMPUTED_VALUE"""),"He did not believe in the burning of daylight for such a luxury.")</f>
        <v>He did not believe in the burning of daylight for such a luxury.</v>
      </c>
      <c r="D910" s="4" t="str">
        <f>IFERROR(__xludf.DUMMYFUNCTION("""COMPUTED_VALUE""")," ")</f>
        <v> </v>
      </c>
    </row>
    <row r="911">
      <c r="A911" s="5" t="s">
        <v>4308</v>
      </c>
      <c r="B911" s="4" t="str">
        <f>IFERROR(__xludf.DUMMYFUNCTION("SPLIT(A911,"""""")"")"),"( arctic_b0318 ")</f>
        <v>( arctic_b0318 </v>
      </c>
      <c r="C911" s="4" t="str">
        <f>IFERROR(__xludf.DUMMYFUNCTION("""COMPUTED_VALUE"""),"Again he had done the big thing.")</f>
        <v>Again he had done the big thing.</v>
      </c>
      <c r="D911" s="4" t="str">
        <f>IFERROR(__xludf.DUMMYFUNCTION("""COMPUTED_VALUE""")," ")</f>
        <v> </v>
      </c>
    </row>
    <row r="912">
      <c r="A912" s="5" t="s">
        <v>4309</v>
      </c>
      <c r="B912" s="4" t="str">
        <f>IFERROR(__xludf.DUMMYFUNCTION("SPLIT(A912,"""""")"")"),"( arctic_b0319 ")</f>
        <v>( arctic_b0319 </v>
      </c>
      <c r="C912" s="4" t="str">
        <f>IFERROR(__xludf.DUMMYFUNCTION("""COMPUTED_VALUE"""),"Daylight was tired, profoundly tired.")</f>
        <v>Daylight was tired, profoundly tired.</v>
      </c>
      <c r="D912" s="4" t="str">
        <f>IFERROR(__xludf.DUMMYFUNCTION("""COMPUTED_VALUE""")," ")</f>
        <v> </v>
      </c>
    </row>
    <row r="913">
      <c r="A913" s="5" t="s">
        <v>4310</v>
      </c>
      <c r="B913" s="4" t="str">
        <f>IFERROR(__xludf.DUMMYFUNCTION("SPLIT(A913,"""""")"")"),"( arctic_b0320 ")</f>
        <v>( arctic_b0320 </v>
      </c>
      <c r="C913" s="4" t="str">
        <f>IFERROR(__xludf.DUMMYFUNCTION("""COMPUTED_VALUE"""),"The regret in his voice was provocative of a second burst of laughter.")</f>
        <v>The regret in his voice was provocative of a second burst of laughter.</v>
      </c>
      <c r="D913" s="4" t="str">
        <f>IFERROR(__xludf.DUMMYFUNCTION("""COMPUTED_VALUE""")," ")</f>
        <v> </v>
      </c>
    </row>
    <row r="914">
      <c r="A914" s="5" t="s">
        <v>4311</v>
      </c>
      <c r="B914" s="4" t="str">
        <f>IFERROR(__xludf.DUMMYFUNCTION("SPLIT(A914,"""""")"")"),"( arctic_b0321 ")</f>
        <v>( arctic_b0321 </v>
      </c>
      <c r="C914" s="4" t="str">
        <f>IFERROR(__xludf.DUMMYFUNCTION("""COMPUTED_VALUE"""),"Instead, he arrived on the night of the second day.")</f>
        <v>Instead, he arrived on the night of the second day.</v>
      </c>
      <c r="D914" s="4" t="str">
        <f>IFERROR(__xludf.DUMMYFUNCTION("""COMPUTED_VALUE""")," ")</f>
        <v> </v>
      </c>
    </row>
    <row r="915">
      <c r="A915" s="5" t="s">
        <v>4312</v>
      </c>
      <c r="B915" s="4" t="str">
        <f>IFERROR(__xludf.DUMMYFUNCTION("SPLIT(A915,"""""")"")"),"( arctic_b0322 ")</f>
        <v>( arctic_b0322 </v>
      </c>
      <c r="C915" s="4" t="str">
        <f>IFERROR(__xludf.DUMMYFUNCTION("""COMPUTED_VALUE"""),"Their supply of grub was gone.")</f>
        <v>Their supply of grub was gone.</v>
      </c>
      <c r="D915" s="4" t="str">
        <f>IFERROR(__xludf.DUMMYFUNCTION("""COMPUTED_VALUE""")," ")</f>
        <v> </v>
      </c>
    </row>
    <row r="916">
      <c r="A916" s="5" t="s">
        <v>4313</v>
      </c>
      <c r="B916" s="4" t="str">
        <f>IFERROR(__xludf.DUMMYFUNCTION("SPLIT(A916,"""""")"")"),"( arctic_b0323 ")</f>
        <v>( arctic_b0323 </v>
      </c>
      <c r="C916" s="4" t="str">
        <f>IFERROR(__xludf.DUMMYFUNCTION("""COMPUTED_VALUE"""),"Crickets began to chirp, and more geese and ducks flew overhead.")</f>
        <v>Crickets began to chirp, and more geese and ducks flew overhead.</v>
      </c>
      <c r="D916" s="4" t="str">
        <f>IFERROR(__xludf.DUMMYFUNCTION("""COMPUTED_VALUE""")," ")</f>
        <v> </v>
      </c>
    </row>
    <row r="917">
      <c r="A917" s="5" t="s">
        <v>4314</v>
      </c>
      <c r="B917" s="4" t="str">
        <f>IFERROR(__xludf.DUMMYFUNCTION("SPLIT(A917,"""""")"")"),"( arctic_b0324 ")</f>
        <v>( arctic_b0324 </v>
      </c>
      <c r="C917" s="4" t="str">
        <f>IFERROR(__xludf.DUMMYFUNCTION("""COMPUTED_VALUE"""),"Not till the twentieth of May did the river break.")</f>
        <v>Not till the twentieth of May did the river break.</v>
      </c>
      <c r="D917" s="4" t="str">
        <f>IFERROR(__xludf.DUMMYFUNCTION("""COMPUTED_VALUE""")," ")</f>
        <v> </v>
      </c>
    </row>
    <row r="918">
      <c r="A918" s="5" t="s">
        <v>4315</v>
      </c>
      <c r="B918" s="4" t="str">
        <f>IFERROR(__xludf.DUMMYFUNCTION("SPLIT(A918,"""""")"")"),"( arctic_b0325 ")</f>
        <v>( arctic_b0325 </v>
      </c>
      <c r="C918" s="4" t="str">
        <f>IFERROR(__xludf.DUMMYFUNCTION("""COMPUTED_VALUE"""),"It was a gigantic inadequacy.")</f>
        <v>It was a gigantic inadequacy.</v>
      </c>
      <c r="D918" s="4" t="str">
        <f>IFERROR(__xludf.DUMMYFUNCTION("""COMPUTED_VALUE""")," ")</f>
        <v> </v>
      </c>
    </row>
    <row r="919">
      <c r="A919" s="5" t="s">
        <v>4316</v>
      </c>
      <c r="B919" s="4" t="str">
        <f>IFERROR(__xludf.DUMMYFUNCTION("SPLIT(A919,"""""")"")"),"( arctic_b0326 ")</f>
        <v>( arctic_b0326 </v>
      </c>
      <c r="C919" s="4" t="str">
        <f>IFERROR(__xludf.DUMMYFUNCTION("""COMPUTED_VALUE"""),"Our Mr Howison will call upon you at your hotel.")</f>
        <v>Our Mr Howison will call upon you at your hotel.</v>
      </c>
      <c r="D919" s="4" t="str">
        <f>IFERROR(__xludf.DUMMYFUNCTION("""COMPUTED_VALUE""")," ")</f>
        <v> </v>
      </c>
    </row>
    <row r="920">
      <c r="A920" s="5" t="s">
        <v>4317</v>
      </c>
      <c r="B920" s="4" t="str">
        <f>IFERROR(__xludf.DUMMYFUNCTION("SPLIT(A920,"""""")"")"),"( arctic_b0327 ")</f>
        <v>( arctic_b0327 </v>
      </c>
      <c r="C920" s="4" t="str">
        <f>IFERROR(__xludf.DUMMYFUNCTION("""COMPUTED_VALUE"""),"He had been so easy.")</f>
        <v>He had been so easy.</v>
      </c>
      <c r="D920" s="4" t="str">
        <f>IFERROR(__xludf.DUMMYFUNCTION("""COMPUTED_VALUE""")," ")</f>
        <v> </v>
      </c>
    </row>
    <row r="921">
      <c r="A921" s="5" t="s">
        <v>4318</v>
      </c>
      <c r="B921" s="4" t="str">
        <f>IFERROR(__xludf.DUMMYFUNCTION("SPLIT(A921,"""""")"")"),"( arctic_b0328 ")</f>
        <v>( arctic_b0328 </v>
      </c>
      <c r="C921" s="4" t="str">
        <f>IFERROR(__xludf.DUMMYFUNCTION("""COMPUTED_VALUE"""),"Change chairs, Daylight commanded.")</f>
        <v>Change chairs, Daylight commanded.</v>
      </c>
      <c r="D921" s="4" t="str">
        <f>IFERROR(__xludf.DUMMYFUNCTION("""COMPUTED_VALUE""")," ")</f>
        <v> </v>
      </c>
    </row>
    <row r="922">
      <c r="A922" s="5" t="s">
        <v>4319</v>
      </c>
      <c r="B922" s="4" t="str">
        <f>IFERROR(__xludf.DUMMYFUNCTION("SPLIT(A922,"""""")"")"),"( arctic_b0329 ")</f>
        <v>( arctic_b0329 </v>
      </c>
      <c r="C922" s="4" t="str">
        <f>IFERROR(__xludf.DUMMYFUNCTION("""COMPUTED_VALUE"""),"I'd sooner have my chips back.")</f>
        <v>I'd sooner have my chips back.</v>
      </c>
      <c r="D922" s="4" t="str">
        <f>IFERROR(__xludf.DUMMYFUNCTION("""COMPUTED_VALUE""")," ")</f>
        <v> </v>
      </c>
    </row>
    <row r="923">
      <c r="A923" s="5" t="s">
        <v>4320</v>
      </c>
      <c r="B923" s="4" t="str">
        <f>IFERROR(__xludf.DUMMYFUNCTION("SPLIT(A923,"""""")"")"),"( arctic_b0330 ")</f>
        <v>( arctic_b0330 </v>
      </c>
      <c r="C923" s="4" t="str">
        <f>IFERROR(__xludf.DUMMYFUNCTION("""COMPUTED_VALUE"""),"They only had a little thirty thousand dollar fire.")</f>
        <v>They only had a little thirty thousand dollar fire.</v>
      </c>
      <c r="D923" s="4" t="str">
        <f>IFERROR(__xludf.DUMMYFUNCTION("""COMPUTED_VALUE""")," ")</f>
        <v> </v>
      </c>
    </row>
    <row r="924">
      <c r="A924" s="5" t="s">
        <v>4321</v>
      </c>
      <c r="B924" s="4" t="str">
        <f>IFERROR(__xludf.DUMMYFUNCTION("SPLIT(A924,"""""")"")"),"( arctic_b0331 ")</f>
        <v>( arctic_b0331 </v>
      </c>
      <c r="C924" s="4" t="str">
        <f>IFERROR(__xludf.DUMMYFUNCTION("""COMPUTED_VALUE"""),"His partners had starved and died on the Stewart.")</f>
        <v>His partners had starved and died on the Stewart.</v>
      </c>
      <c r="D924" s="4" t="str">
        <f>IFERROR(__xludf.DUMMYFUNCTION("""COMPUTED_VALUE""")," ")</f>
        <v> </v>
      </c>
    </row>
    <row r="925">
      <c r="A925" s="5" t="s">
        <v>4322</v>
      </c>
      <c r="B925" s="4" t="str">
        <f>IFERROR(__xludf.DUMMYFUNCTION("SPLIT(A925,"""""")"")"),"( arctic_b0332 ")</f>
        <v>( arctic_b0332 </v>
      </c>
      <c r="C925" s="4" t="str">
        <f>IFERROR(__xludf.DUMMYFUNCTION("""COMPUTED_VALUE"""),"As to how she dressed, he had no ideas at all.")</f>
        <v>As to how she dressed, he had no ideas at all.</v>
      </c>
      <c r="D925" s="4" t="str">
        <f>IFERROR(__xludf.DUMMYFUNCTION("""COMPUTED_VALUE""")," ")</f>
        <v> </v>
      </c>
    </row>
    <row r="926">
      <c r="A926" s="5" t="s">
        <v>4323</v>
      </c>
      <c r="B926" s="4" t="str">
        <f>IFERROR(__xludf.DUMMYFUNCTION("SPLIT(A926,"""""")"")"),"( arctic_b0333 ")</f>
        <v>( arctic_b0333 </v>
      </c>
      <c r="C926" s="4" t="str">
        <f>IFERROR(__xludf.DUMMYFUNCTION("""COMPUTED_VALUE"""),"It does, was her audacious answer.")</f>
        <v>It does, was her audacious answer.</v>
      </c>
      <c r="D926" s="4" t="str">
        <f>IFERROR(__xludf.DUMMYFUNCTION("""COMPUTED_VALUE""")," ")</f>
        <v> </v>
      </c>
    </row>
    <row r="927">
      <c r="A927" s="5" t="s">
        <v>4324</v>
      </c>
      <c r="B927" s="4" t="str">
        <f>IFERROR(__xludf.DUMMYFUNCTION("SPLIT(A927,"""""")"")"),"( arctic_b0334 ")</f>
        <v>( arctic_b0334 </v>
      </c>
      <c r="C927" s="4" t="str">
        <f>IFERROR(__xludf.DUMMYFUNCTION("""COMPUTED_VALUE"""),"Oh, it's just a novel, a love story.")</f>
        <v>Oh, it's just a novel, a love story.</v>
      </c>
      <c r="D927" s="4" t="str">
        <f>IFERROR(__xludf.DUMMYFUNCTION("""COMPUTED_VALUE""")," ")</f>
        <v> </v>
      </c>
    </row>
    <row r="928">
      <c r="A928" s="5" t="s">
        <v>4325</v>
      </c>
      <c r="B928" s="4" t="str">
        <f>IFERROR(__xludf.DUMMYFUNCTION("SPLIT(A928,"""""")"")"),"( arctic_b0335 ")</f>
        <v>( arctic_b0335 </v>
      </c>
      <c r="C928" s="4" t="str">
        <f>IFERROR(__xludf.DUMMYFUNCTION("""COMPUTED_VALUE"""),"Whoever lived on the ranch did that.")</f>
        <v>Whoever lived on the ranch did that.</v>
      </c>
      <c r="D928" s="4" t="str">
        <f>IFERROR(__xludf.DUMMYFUNCTION("""COMPUTED_VALUE""")," ")</f>
        <v> </v>
      </c>
    </row>
    <row r="929">
      <c r="A929" s="5" t="s">
        <v>4326</v>
      </c>
      <c r="B929" s="4" t="str">
        <f>IFERROR(__xludf.DUMMYFUNCTION("SPLIT(A929,"""""")"")"),"( arctic_b0336 ")</f>
        <v>( arctic_b0336 </v>
      </c>
      <c r="C929" s="4" t="str">
        <f>IFERROR(__xludf.DUMMYFUNCTION("""COMPUTED_VALUE"""),"How old are you, mother.")</f>
        <v>How old are you, mother.</v>
      </c>
      <c r="D929" s="4" t="str">
        <f>IFERROR(__xludf.DUMMYFUNCTION("""COMPUTED_VALUE""")," ")</f>
        <v> </v>
      </c>
    </row>
    <row r="930">
      <c r="A930" s="5" t="s">
        <v>4327</v>
      </c>
      <c r="B930" s="4" t="str">
        <f>IFERROR(__xludf.DUMMYFUNCTION("SPLIT(A930,"""""")"")"),"( arctic_b0337 ")</f>
        <v>( arctic_b0337 </v>
      </c>
      <c r="C930" s="4" t="str">
        <f>IFERROR(__xludf.DUMMYFUNCTION("""COMPUTED_VALUE"""),"Here he got a fresh thrill.")</f>
        <v>Here he got a fresh thrill.</v>
      </c>
      <c r="D930" s="4" t="str">
        <f>IFERROR(__xludf.DUMMYFUNCTION("""COMPUTED_VALUE""")," ")</f>
        <v> </v>
      </c>
    </row>
    <row r="931">
      <c r="A931" s="5" t="s">
        <v>4328</v>
      </c>
      <c r="B931" s="4" t="str">
        <f>IFERROR(__xludf.DUMMYFUNCTION("SPLIT(A931,"""""")"")"),"( arctic_b0338 ")</f>
        <v>( arctic_b0338 </v>
      </c>
      <c r="C931" s="4" t="str">
        <f>IFERROR(__xludf.DUMMYFUNCTION("""COMPUTED_VALUE"""),"It was unobtrusive, yet it was there.")</f>
        <v>It was unobtrusive, yet it was there.</v>
      </c>
      <c r="D931" s="4" t="str">
        <f>IFERROR(__xludf.DUMMYFUNCTION("""COMPUTED_VALUE""")," ")</f>
        <v> </v>
      </c>
    </row>
    <row r="932">
      <c r="A932" s="5" t="s">
        <v>4329</v>
      </c>
      <c r="B932" s="4" t="str">
        <f>IFERROR(__xludf.DUMMYFUNCTION("SPLIT(A932,"""""")"")"),"( arctic_b0339 ")</f>
        <v>( arctic_b0339 </v>
      </c>
      <c r="C932" s="4" t="str">
        <f>IFERROR(__xludf.DUMMYFUNCTION("""COMPUTED_VALUE"""),"Well, I'll be plumb gosh darned.")</f>
        <v>Well, I'll be plumb gosh darned.</v>
      </c>
      <c r="D932" s="4" t="str">
        <f>IFERROR(__xludf.DUMMYFUNCTION("""COMPUTED_VALUE""")," ")</f>
        <v> </v>
      </c>
    </row>
    <row r="933">
      <c r="A933" s="5" t="s">
        <v>4330</v>
      </c>
      <c r="B933" s="4" t="str">
        <f>IFERROR(__xludf.DUMMYFUNCTION("SPLIT(A933,"""""")"")"),"( arctic_b0340 ")</f>
        <v>( arctic_b0340 </v>
      </c>
      <c r="C933" s="4" t="str">
        <f>IFERROR(__xludf.DUMMYFUNCTION("""COMPUTED_VALUE"""),"These quick little joys of hers were sources of joy to him.")</f>
        <v>These quick little joys of hers were sources of joy to him.</v>
      </c>
      <c r="D933" s="4" t="str">
        <f>IFERROR(__xludf.DUMMYFUNCTION("""COMPUTED_VALUE""")," ")</f>
        <v> </v>
      </c>
    </row>
    <row r="934">
      <c r="A934" s="5" t="s">
        <v>4331</v>
      </c>
      <c r="B934" s="4" t="str">
        <f>IFERROR(__xludf.DUMMYFUNCTION("SPLIT(A934,"""""")"")"),"( arctic_b0341 ")</f>
        <v>( arctic_b0341 </v>
      </c>
      <c r="C934" s="4" t="str">
        <f>IFERROR(__xludf.DUMMYFUNCTION("""COMPUTED_VALUE"""),"I play that choice wide open to win.")</f>
        <v>I play that choice wide open to win.</v>
      </c>
      <c r="D934" s="4" t="str">
        <f>IFERROR(__xludf.DUMMYFUNCTION("""COMPUTED_VALUE""")," ")</f>
        <v> </v>
      </c>
    </row>
    <row r="935">
      <c r="A935" s="5" t="s">
        <v>4332</v>
      </c>
      <c r="B935" s="4" t="str">
        <f>IFERROR(__xludf.DUMMYFUNCTION("SPLIT(A935,"""""")"")"),"( arctic_b0342 ")</f>
        <v>( arctic_b0342 </v>
      </c>
      <c r="C935" s="4" t="str">
        <f>IFERROR(__xludf.DUMMYFUNCTION("""COMPUTED_VALUE"""),"Each improvement makes the value of everything else pump up.")</f>
        <v>Each improvement makes the value of everything else pump up.</v>
      </c>
      <c r="D935" s="4" t="str">
        <f>IFERROR(__xludf.DUMMYFUNCTION("""COMPUTED_VALUE""")," ")</f>
        <v> </v>
      </c>
    </row>
    <row r="936">
      <c r="A936" s="5" t="s">
        <v>4333</v>
      </c>
      <c r="B936" s="4" t="str">
        <f>IFERROR(__xludf.DUMMYFUNCTION("SPLIT(A936,"""""")"")"),"( arctic_b0343 ")</f>
        <v>( arctic_b0343 </v>
      </c>
      <c r="C936" s="4" t="str">
        <f>IFERROR(__xludf.DUMMYFUNCTION("""COMPUTED_VALUE"""),"But how are you going to do it.")</f>
        <v>But how are you going to do it.</v>
      </c>
      <c r="D936" s="4" t="str">
        <f>IFERROR(__xludf.DUMMYFUNCTION("""COMPUTED_VALUE""")," ")</f>
        <v> </v>
      </c>
    </row>
    <row r="937">
      <c r="A937" s="5" t="s">
        <v>4334</v>
      </c>
      <c r="B937" s="4" t="str">
        <f>IFERROR(__xludf.DUMMYFUNCTION("SPLIT(A937,"""""")"")"),"( arctic_b0344 ")</f>
        <v>( arctic_b0344 </v>
      </c>
      <c r="C937" s="4" t="str">
        <f>IFERROR(__xludf.DUMMYFUNCTION("""COMPUTED_VALUE"""),"Lots of men take women buggy riding.")</f>
        <v>Lots of men take women buggy riding.</v>
      </c>
      <c r="D937" s="4" t="str">
        <f>IFERROR(__xludf.DUMMYFUNCTION("""COMPUTED_VALUE""")," ")</f>
        <v> </v>
      </c>
    </row>
    <row r="938">
      <c r="A938" s="5" t="s">
        <v>4335</v>
      </c>
      <c r="B938" s="4" t="str">
        <f>IFERROR(__xludf.DUMMYFUNCTION("SPLIT(A938,"""""")"")"),"( arctic_b0345 ")</f>
        <v>( arctic_b0345 </v>
      </c>
      <c r="C938" s="4" t="str">
        <f>IFERROR(__xludf.DUMMYFUNCTION("""COMPUTED_VALUE"""),"Daylight made no answer, and the door closed behind him.")</f>
        <v>Daylight made no answer, and the door closed behind him.</v>
      </c>
      <c r="D938" s="4" t="str">
        <f>IFERROR(__xludf.DUMMYFUNCTION("""COMPUTED_VALUE""")," ")</f>
        <v> </v>
      </c>
    </row>
    <row r="939">
      <c r="A939" s="5" t="s">
        <v>4336</v>
      </c>
      <c r="B939" s="4" t="str">
        <f>IFERROR(__xludf.DUMMYFUNCTION("SPLIT(A939,"""""")"")"),"( arctic_b0346 ")</f>
        <v>( arctic_b0346 </v>
      </c>
      <c r="C939" s="4" t="str">
        <f>IFERROR(__xludf.DUMMYFUNCTION("""COMPUTED_VALUE"""),"There's not an iota of truth in it.")</f>
        <v>There's not an iota of truth in it.</v>
      </c>
      <c r="D939" s="4" t="str">
        <f>IFERROR(__xludf.DUMMYFUNCTION("""COMPUTED_VALUE""")," ")</f>
        <v> </v>
      </c>
    </row>
    <row r="940">
      <c r="A940" s="5" t="s">
        <v>4337</v>
      </c>
      <c r="B940" s="4" t="str">
        <f>IFERROR(__xludf.DUMMYFUNCTION("SPLIT(A940,"""""")"")"),"( arctic_b0347 ")</f>
        <v>( arctic_b0347 </v>
      </c>
      <c r="C940" s="4" t="str">
        <f>IFERROR(__xludf.DUMMYFUNCTION("""COMPUTED_VALUE"""),"But ever his gaze returned to that Crouched Venus on the piano.")</f>
        <v>But ever his gaze returned to that Crouched Venus on the piano.</v>
      </c>
      <c r="D940" s="4" t="str">
        <f>IFERROR(__xludf.DUMMYFUNCTION("""COMPUTED_VALUE""")," ")</f>
        <v> </v>
      </c>
    </row>
    <row r="941">
      <c r="A941" s="5" t="s">
        <v>4338</v>
      </c>
      <c r="B941" s="4" t="str">
        <f>IFERROR(__xludf.DUMMYFUNCTION("SPLIT(A941,"""""")"")"),"( arctic_b0348 ")</f>
        <v>( arctic_b0348 </v>
      </c>
      <c r="C941" s="4" t="str">
        <f>IFERROR(__xludf.DUMMYFUNCTION("""COMPUTED_VALUE"""),"Would you be satisfied with that one hundredth part of me.")</f>
        <v>Would you be satisfied with that one hundredth part of me.</v>
      </c>
      <c r="D941" s="4" t="str">
        <f>IFERROR(__xludf.DUMMYFUNCTION("""COMPUTED_VALUE""")," ")</f>
        <v> </v>
      </c>
    </row>
    <row r="942">
      <c r="A942" s="5" t="s">
        <v>4339</v>
      </c>
      <c r="B942" s="4" t="str">
        <f>IFERROR(__xludf.DUMMYFUNCTION("SPLIT(A942,"""""")"")"),"( arctic_b0349 ")</f>
        <v>( arctic_b0349 </v>
      </c>
      <c r="C942" s="4" t="str">
        <f>IFERROR(__xludf.DUMMYFUNCTION("""COMPUTED_VALUE"""),"In such a tumbling of values was no time to sell.")</f>
        <v>In such a tumbling of values was no time to sell.</v>
      </c>
      <c r="D942" s="4" t="str">
        <f>IFERROR(__xludf.DUMMYFUNCTION("""COMPUTED_VALUE""")," ")</f>
        <v> </v>
      </c>
    </row>
    <row r="943">
      <c r="A943" s="5" t="s">
        <v>4340</v>
      </c>
      <c r="B943" s="4" t="str">
        <f>IFERROR(__xludf.DUMMYFUNCTION("SPLIT(A943,"""""")"")"),"( arctic_b0350 ")</f>
        <v>( arctic_b0350 </v>
      </c>
      <c r="C943" s="4" t="str">
        <f>IFERROR(__xludf.DUMMYFUNCTION("""COMPUTED_VALUE"""),"Stand off butcher and baker and all the rest.")</f>
        <v>Stand off butcher and baker and all the rest.</v>
      </c>
      <c r="D943" s="4" t="str">
        <f>IFERROR(__xludf.DUMMYFUNCTION("""COMPUTED_VALUE""")," ")</f>
        <v> </v>
      </c>
    </row>
    <row r="944">
      <c r="A944" s="5" t="s">
        <v>4341</v>
      </c>
      <c r="B944" s="4" t="str">
        <f>IFERROR(__xludf.DUMMYFUNCTION("SPLIT(A944,"""""")"")"),"( arctic_b0351 ")</f>
        <v>( arctic_b0351 </v>
      </c>
      <c r="C944" s="4" t="str">
        <f>IFERROR(__xludf.DUMMYFUNCTION("""COMPUTED_VALUE"""),"Matthewson, who's this bookkeeper, Rogers.")</f>
        <v>Matthewson, who's this bookkeeper, Rogers.</v>
      </c>
      <c r="D944" s="4" t="str">
        <f>IFERROR(__xludf.DUMMYFUNCTION("""COMPUTED_VALUE""")," ")</f>
        <v> </v>
      </c>
    </row>
    <row r="945">
      <c r="A945" s="5" t="s">
        <v>4342</v>
      </c>
      <c r="B945" s="4" t="str">
        <f>IFERROR(__xludf.DUMMYFUNCTION("SPLIT(A945,"""""")"")"),"( arctic_b0352 ")</f>
        <v>( arctic_b0352 </v>
      </c>
      <c r="C945" s="4" t="str">
        <f>IFERROR(__xludf.DUMMYFUNCTION("""COMPUTED_VALUE"""),"Now just what do you want to know.")</f>
        <v>Now just what do you want to know.</v>
      </c>
      <c r="D945" s="4" t="str">
        <f>IFERROR(__xludf.DUMMYFUNCTION("""COMPUTED_VALUE""")," ")</f>
        <v> </v>
      </c>
    </row>
    <row r="946">
      <c r="A946" s="5" t="s">
        <v>4343</v>
      </c>
      <c r="B946" s="4" t="str">
        <f>IFERROR(__xludf.DUMMYFUNCTION("SPLIT(A946,"""""")"")"),"( arctic_b0353 ")</f>
        <v>( arctic_b0353 </v>
      </c>
      <c r="C946" s="4" t="str">
        <f>IFERROR(__xludf.DUMMYFUNCTION("""COMPUTED_VALUE"""),"I want to know how all this is possible.")</f>
        <v>I want to know how all this is possible.</v>
      </c>
      <c r="D946" s="4" t="str">
        <f>IFERROR(__xludf.DUMMYFUNCTION("""COMPUTED_VALUE""")," ")</f>
        <v> </v>
      </c>
    </row>
    <row r="947">
      <c r="A947" s="5" t="s">
        <v>4344</v>
      </c>
      <c r="B947" s="4" t="str">
        <f>IFERROR(__xludf.DUMMYFUNCTION("SPLIT(A947,"""""")"")"),"( arctic_b0354 ")</f>
        <v>( arctic_b0354 </v>
      </c>
      <c r="C947" s="4" t="str">
        <f>IFERROR(__xludf.DUMMYFUNCTION("""COMPUTED_VALUE"""),"It's that much junk.")</f>
        <v>It's that much junk.</v>
      </c>
      <c r="D947" s="4" t="str">
        <f>IFERROR(__xludf.DUMMYFUNCTION("""COMPUTED_VALUE""")," ")</f>
        <v> </v>
      </c>
    </row>
    <row r="948">
      <c r="A948" s="5" t="s">
        <v>4345</v>
      </c>
      <c r="B948" s="4" t="str">
        <f>IFERROR(__xludf.DUMMYFUNCTION("SPLIT(A948,"""""")"")"),"( arctic_b0355 ")</f>
        <v>( arctic_b0355 </v>
      </c>
      <c r="C948" s="4" t="str">
        <f>IFERROR(__xludf.DUMMYFUNCTION("""COMPUTED_VALUE"""),"There was proper division of labor in the work they individually performed.")</f>
        <v>There was proper division of labor in the work they individually performed.</v>
      </c>
      <c r="D948" s="4" t="str">
        <f>IFERROR(__xludf.DUMMYFUNCTION("""COMPUTED_VALUE""")," ")</f>
        <v> </v>
      </c>
    </row>
    <row r="949">
      <c r="A949" s="5" t="s">
        <v>4346</v>
      </c>
      <c r="B949" s="4" t="str">
        <f>IFERROR(__xludf.DUMMYFUNCTION("SPLIT(A949,"""""")"")"),"( arctic_b0356 ")</f>
        <v>( arctic_b0356 </v>
      </c>
      <c r="C949" s="4" t="str">
        <f>IFERROR(__xludf.DUMMYFUNCTION("""COMPUTED_VALUE"""),"He loved to play Chinese lottery.")</f>
        <v>He loved to play Chinese lottery.</v>
      </c>
      <c r="D949" s="4" t="str">
        <f>IFERROR(__xludf.DUMMYFUNCTION("""COMPUTED_VALUE""")," ")</f>
        <v> </v>
      </c>
    </row>
    <row r="950">
      <c r="A950" s="5" t="s">
        <v>4347</v>
      </c>
      <c r="B950" s="4" t="str">
        <f>IFERROR(__xludf.DUMMYFUNCTION("SPLIT(A950,"""""")"")"),"( arctic_b0357 ")</f>
        <v>( arctic_b0357 </v>
      </c>
      <c r="C950" s="4" t="str">
        <f>IFERROR(__xludf.DUMMYFUNCTION("""COMPUTED_VALUE"""),"The Law of Club and Fang")</f>
        <v>The Law of Club and Fang</v>
      </c>
      <c r="D950" s="4" t="str">
        <f>IFERROR(__xludf.DUMMYFUNCTION("""COMPUTED_VALUE""")," ")</f>
        <v> </v>
      </c>
    </row>
    <row r="951">
      <c r="A951" s="5" t="s">
        <v>4348</v>
      </c>
      <c r="B951" s="4" t="str">
        <f>IFERROR(__xludf.DUMMYFUNCTION("SPLIT(A951,"""""")"")"),"( arctic_b0358 ")</f>
        <v>( arctic_b0358 </v>
      </c>
      <c r="C951" s="4" t="str">
        <f>IFERROR(__xludf.DUMMYFUNCTION("""COMPUTED_VALUE"""),"The temperature dropped to fifty below zero and remained there the whole trip.")</f>
        <v>The temperature dropped to fifty below zero and remained there the whole trip.</v>
      </c>
      <c r="D951" s="4" t="str">
        <f>IFERROR(__xludf.DUMMYFUNCTION("""COMPUTED_VALUE""")," ")</f>
        <v> </v>
      </c>
    </row>
    <row r="952">
      <c r="A952" s="5" t="s">
        <v>4349</v>
      </c>
      <c r="B952" s="4" t="str">
        <f>IFERROR(__xludf.DUMMYFUNCTION("SPLIT(A952,"""""")"")"),"( arctic_b0359 ")</f>
        <v>( arctic_b0359 </v>
      </c>
      <c r="C952" s="4" t="str">
        <f>IFERROR(__xludf.DUMMYFUNCTION("""COMPUTED_VALUE"""),"And as never before, he was ready to obey.")</f>
        <v>And as never before, he was ready to obey.</v>
      </c>
      <c r="D952" s="4" t="str">
        <f>IFERROR(__xludf.DUMMYFUNCTION("""COMPUTED_VALUE""")," ")</f>
        <v> </v>
      </c>
    </row>
    <row r="953">
      <c r="A953" s="5" t="s">
        <v>4350</v>
      </c>
      <c r="B953" s="4" t="str">
        <f>IFERROR(__xludf.DUMMYFUNCTION("SPLIT(A953,"""""")"")"),"( arctic_b0360 ")</f>
        <v>( arctic_b0360 </v>
      </c>
      <c r="C953" s="4" t="str">
        <f>IFERROR(__xludf.DUMMYFUNCTION("""COMPUTED_VALUE"""),"This state of mind comes of an undue prominence of the ego.")</f>
        <v>This state of mind comes of an undue prominence of the ego.</v>
      </c>
      <c r="D953" s="4" t="str">
        <f>IFERROR(__xludf.DUMMYFUNCTION("""COMPUTED_VALUE""")," ")</f>
        <v> </v>
      </c>
    </row>
    <row r="954">
      <c r="A954" s="5" t="s">
        <v>4351</v>
      </c>
      <c r="B954" s="4" t="str">
        <f>IFERROR(__xludf.DUMMYFUNCTION("SPLIT(A954,"""""")"")"),"( arctic_b0361 ")</f>
        <v>( arctic_b0361 </v>
      </c>
      <c r="C954" s="4" t="str">
        <f>IFERROR(__xludf.DUMMYFUNCTION("""COMPUTED_VALUE"""),"There are the canals of China, and the Yang-tse River.")</f>
        <v>There are the canals of China, and the Yang-tse River.</v>
      </c>
      <c r="D954" s="4" t="str">
        <f>IFERROR(__xludf.DUMMYFUNCTION("""COMPUTED_VALUE""")," ")</f>
        <v> </v>
      </c>
    </row>
    <row r="955">
      <c r="A955" s="5" t="s">
        <v>4352</v>
      </c>
      <c r="B955" s="4" t="str">
        <f>IFERROR(__xludf.DUMMYFUNCTION("SPLIT(A955,"""""")"")"),"( arctic_b0362 ")</f>
        <v>( arctic_b0362 </v>
      </c>
      <c r="C955" s="4" t="str">
        <f>IFERROR(__xludf.DUMMYFUNCTION("""COMPUTED_VALUE"""),"We threaten to be of the one mind before the voyage is completed.")</f>
        <v>We threaten to be of the one mind before the voyage is completed.</v>
      </c>
      <c r="D955" s="4" t="str">
        <f>IFERROR(__xludf.DUMMYFUNCTION("""COMPUTED_VALUE""")," ")</f>
        <v> </v>
      </c>
    </row>
    <row r="956">
      <c r="A956" s="5" t="s">
        <v>4353</v>
      </c>
      <c r="B956" s="4" t="str">
        <f>IFERROR(__xludf.DUMMYFUNCTION("SPLIT(A956,"""""")"")"),"( arctic_b0363 ")</f>
        <v>( arctic_b0363 </v>
      </c>
      <c r="C956" s="4" t="str">
        <f>IFERROR(__xludf.DUMMYFUNCTION("""COMPUTED_VALUE"""),"She was built primarily to sail.")</f>
        <v>She was built primarily to sail.</v>
      </c>
      <c r="D956" s="4" t="str">
        <f>IFERROR(__xludf.DUMMYFUNCTION("""COMPUTED_VALUE""")," ")</f>
        <v> </v>
      </c>
    </row>
    <row r="957">
      <c r="A957" s="5" t="s">
        <v>4354</v>
      </c>
      <c r="B957" s="4" t="str">
        <f>IFERROR(__xludf.DUMMYFUNCTION("SPLIT(A957,"""""")"")"),"( arctic_b0364 ")</f>
        <v>( arctic_b0364 </v>
      </c>
      <c r="C957" s="4" t="str">
        <f>IFERROR(__xludf.DUMMYFUNCTION("""COMPUTED_VALUE"""),"In the Bohemian Club of San Francisco there are some crack sailors.")</f>
        <v>In the Bohemian Club of San Francisco there are some crack sailors.</v>
      </c>
      <c r="D957" s="4" t="str">
        <f>IFERROR(__xludf.DUMMYFUNCTION("""COMPUTED_VALUE""")," ")</f>
        <v> </v>
      </c>
    </row>
    <row r="958">
      <c r="A958" s="5" t="s">
        <v>4355</v>
      </c>
      <c r="B958" s="4" t="str">
        <f>IFERROR(__xludf.DUMMYFUNCTION("SPLIT(A958,"""""")"")"),"( arctic_b0365 ")</f>
        <v>( arctic_b0365 </v>
      </c>
      <c r="C958" s="4" t="str">
        <f>IFERROR(__xludf.DUMMYFUNCTION("""COMPUTED_VALUE"""),"My age, in years, is twenty two.")</f>
        <v>My age, in years, is twenty two.</v>
      </c>
      <c r="D958" s="4" t="str">
        <f>IFERROR(__xludf.DUMMYFUNCTION("""COMPUTED_VALUE""")," ")</f>
        <v> </v>
      </c>
    </row>
    <row r="959">
      <c r="A959" s="5" t="s">
        <v>4356</v>
      </c>
      <c r="B959" s="4" t="str">
        <f>IFERROR(__xludf.DUMMYFUNCTION("SPLIT(A959,"""""")"")"),"( arctic_b0366 ")</f>
        <v>( arctic_b0366 </v>
      </c>
      <c r="C959" s="4" t="str">
        <f>IFERROR(__xludf.DUMMYFUNCTION("""COMPUTED_VALUE"""),"I forgot how easily I had taught myself from the printed page.")</f>
        <v>I forgot how easily I had taught myself from the printed page.</v>
      </c>
      <c r="D959" s="4" t="str">
        <f>IFERROR(__xludf.DUMMYFUNCTION("""COMPUTED_VALUE""")," ")</f>
        <v> </v>
      </c>
    </row>
    <row r="960">
      <c r="A960" s="5" t="s">
        <v>4357</v>
      </c>
      <c r="B960" s="4" t="str">
        <f>IFERROR(__xludf.DUMMYFUNCTION("SPLIT(A960,"""""")"")"),"( arctic_b0367 ")</f>
        <v>( arctic_b0367 </v>
      </c>
      <c r="C960" s="4" t="str">
        <f>IFERROR(__xludf.DUMMYFUNCTION("""COMPUTED_VALUE"""),"Any average young fellow can teach himself in a week.")</f>
        <v>Any average young fellow can teach himself in a week.</v>
      </c>
      <c r="D960" s="4" t="str">
        <f>IFERROR(__xludf.DUMMYFUNCTION("""COMPUTED_VALUE""")," ")</f>
        <v> </v>
      </c>
    </row>
    <row r="961">
      <c r="A961" s="5" t="s">
        <v>4358</v>
      </c>
      <c r="B961" s="4" t="str">
        <f>IFERROR(__xludf.DUMMYFUNCTION("SPLIT(A961,"""""")"")"),"( arctic_b0368 ")</f>
        <v>( arctic_b0368 </v>
      </c>
      <c r="C961" s="4" t="str">
        <f>IFERROR(__xludf.DUMMYFUNCTION("""COMPUTED_VALUE"""),"Please do not think that I already know it all.")</f>
        <v>Please do not think that I already know it all.</v>
      </c>
      <c r="D961" s="4" t="str">
        <f>IFERROR(__xludf.DUMMYFUNCTION("""COMPUTED_VALUE""")," ")</f>
        <v> </v>
      </c>
    </row>
    <row r="962">
      <c r="A962" s="5" t="s">
        <v>4359</v>
      </c>
      <c r="B962" s="4" t="str">
        <f>IFERROR(__xludf.DUMMYFUNCTION("SPLIT(A962,"""""")"")"),"( arctic_b0369 ")</f>
        <v>( arctic_b0369 </v>
      </c>
      <c r="C962" s="4" t="str">
        <f>IFERROR(__xludf.DUMMYFUNCTION("""COMPUTED_VALUE"""),"You see, we were teaching ourselves.")</f>
        <v>You see, we were teaching ourselves.</v>
      </c>
      <c r="D962" s="4" t="str">
        <f>IFERROR(__xludf.DUMMYFUNCTION("""COMPUTED_VALUE""")," ")</f>
        <v> </v>
      </c>
    </row>
    <row r="963">
      <c r="A963" s="5" t="s">
        <v>4360</v>
      </c>
      <c r="B963" s="4" t="str">
        <f>IFERROR(__xludf.DUMMYFUNCTION("SPLIT(A963,"""""")"")"),"( arctic_b0370 ")</f>
        <v>( arctic_b0370 </v>
      </c>
      <c r="C963" s="4" t="str">
        <f>IFERROR(__xludf.DUMMYFUNCTION("""COMPUTED_VALUE"""),"And now behold the perversity of things.")</f>
        <v>And now behold the perversity of things.</v>
      </c>
      <c r="D963" s="4" t="str">
        <f>IFERROR(__xludf.DUMMYFUNCTION("""COMPUTED_VALUE""")," ")</f>
        <v> </v>
      </c>
    </row>
    <row r="964">
      <c r="A964" s="5" t="s">
        <v>4361</v>
      </c>
      <c r="B964" s="4" t="str">
        <f>IFERROR(__xludf.DUMMYFUNCTION("SPLIT(A964,"""""")"")"),"( arctic_b0371 ")</f>
        <v>( arctic_b0371 </v>
      </c>
      <c r="C964" s="4" t="str">
        <f>IFERROR(__xludf.DUMMYFUNCTION("""COMPUTED_VALUE"""),"Yield yourself to the waters that are ripping and tearing at you.")</f>
        <v>Yield yourself to the waters that are ripping and tearing at you.</v>
      </c>
      <c r="D964" s="4" t="str">
        <f>IFERROR(__xludf.DUMMYFUNCTION("""COMPUTED_VALUE""")," ")</f>
        <v> </v>
      </c>
    </row>
    <row r="965">
      <c r="A965" s="5" t="s">
        <v>4362</v>
      </c>
      <c r="B965" s="4" t="str">
        <f>IFERROR(__xludf.DUMMYFUNCTION("SPLIT(A965,"""""")"")"),"( arctic_b0372 ")</f>
        <v>( arctic_b0372 </v>
      </c>
      <c r="C965" s="4" t="str">
        <f>IFERROR(__xludf.DUMMYFUNCTION("""COMPUTED_VALUE"""),"Mr McVeigh told me about him.")</f>
        <v>Mr McVeigh told me about him.</v>
      </c>
      <c r="D965" s="4" t="str">
        <f>IFERROR(__xludf.DUMMYFUNCTION("""COMPUTED_VALUE""")," ")</f>
        <v> </v>
      </c>
    </row>
    <row r="966">
      <c r="A966" s="5" t="s">
        <v>4363</v>
      </c>
      <c r="B966" s="4" t="str">
        <f>IFERROR(__xludf.DUMMYFUNCTION("SPLIT(A966,"""""")"")"),"( arctic_b0373 ")</f>
        <v>( arctic_b0373 </v>
      </c>
      <c r="C966" s="4" t="str">
        <f>IFERROR(__xludf.DUMMYFUNCTION("""COMPUTED_VALUE"""),"Unlike Joshua, he stood in no need of divine assistance.")</f>
        <v>Unlike Joshua, he stood in no need of divine assistance.</v>
      </c>
      <c r="D966" s="4" t="str">
        <f>IFERROR(__xludf.DUMMYFUNCTION("""COMPUTED_VALUE""")," ")</f>
        <v> </v>
      </c>
    </row>
    <row r="967">
      <c r="A967" s="5" t="s">
        <v>4364</v>
      </c>
      <c r="B967" s="4" t="str">
        <f>IFERROR(__xludf.DUMMYFUNCTION("SPLIT(A967,"""""")"")"),"( arctic_b0374 ")</f>
        <v>( arctic_b0374 </v>
      </c>
      <c r="C967" s="4" t="str">
        <f>IFERROR(__xludf.DUMMYFUNCTION("""COMPUTED_VALUE"""),"To say the least, Captain Cook was a rather thorough going empiricist.")</f>
        <v>To say the least, Captain Cook was a rather thorough going empiricist.</v>
      </c>
      <c r="D967" s="4" t="str">
        <f>IFERROR(__xludf.DUMMYFUNCTION("""COMPUTED_VALUE""")," ")</f>
        <v> </v>
      </c>
    </row>
    <row r="968">
      <c r="A968" s="5" t="s">
        <v>4365</v>
      </c>
      <c r="B968" s="4" t="str">
        <f>IFERROR(__xludf.DUMMYFUNCTION("SPLIT(A968,"""""")"")"),"( arctic_b0375 ")</f>
        <v>( arctic_b0375 </v>
      </c>
      <c r="C968" s="4" t="str">
        <f>IFERROR(__xludf.DUMMYFUNCTION("""COMPUTED_VALUE"""),"Man could not conquer them.")</f>
        <v>Man could not conquer them.</v>
      </c>
      <c r="D968" s="4" t="str">
        <f>IFERROR(__xludf.DUMMYFUNCTION("""COMPUTED_VALUE""")," ")</f>
        <v> </v>
      </c>
    </row>
    <row r="969">
      <c r="A969" s="5" t="s">
        <v>4366</v>
      </c>
      <c r="B969" s="4" t="str">
        <f>IFERROR(__xludf.DUMMYFUNCTION("SPLIT(A969,"""""")"")"),"( arctic_b0376 ")</f>
        <v>( arctic_b0376 </v>
      </c>
      <c r="C969" s="4" t="str">
        <f>IFERROR(__xludf.DUMMYFUNCTION("""COMPUTED_VALUE"""),"Thought I, and a worthy fool he proved.")</f>
        <v>Thought I, and a worthy fool he proved.</v>
      </c>
      <c r="D969" s="4" t="str">
        <f>IFERROR(__xludf.DUMMYFUNCTION("""COMPUTED_VALUE""")," ")</f>
        <v> </v>
      </c>
    </row>
    <row r="970">
      <c r="A970" s="5" t="s">
        <v>4367</v>
      </c>
      <c r="B970" s="4" t="str">
        <f>IFERROR(__xludf.DUMMYFUNCTION("SPLIT(A970,"""""")"")"),"( arctic_b0377 ")</f>
        <v>( arctic_b0377 </v>
      </c>
      <c r="C970" s="4" t="str">
        <f>IFERROR(__xludf.DUMMYFUNCTION("""COMPUTED_VALUE"""),"A scarlet loincloth completed his costume.")</f>
        <v>A scarlet loincloth completed his costume.</v>
      </c>
      <c r="D970" s="4" t="str">
        <f>IFERROR(__xludf.DUMMYFUNCTION("""COMPUTED_VALUE""")," ")</f>
        <v> </v>
      </c>
    </row>
    <row r="971">
      <c r="A971" s="5" t="s">
        <v>4368</v>
      </c>
      <c r="B971" s="4" t="str">
        <f>IFERROR(__xludf.DUMMYFUNCTION("SPLIT(A971,"""""")"")"),"( arctic_b0378 ")</f>
        <v>( arctic_b0378 </v>
      </c>
      <c r="C971" s="4" t="str">
        <f>IFERROR(__xludf.DUMMYFUNCTION("""COMPUTED_VALUE"""),"I like to speculate upon the glorious future of man.")</f>
        <v>I like to speculate upon the glorious future of man.</v>
      </c>
      <c r="D971" s="4" t="str">
        <f>IFERROR(__xludf.DUMMYFUNCTION("""COMPUTED_VALUE""")," ")</f>
        <v> </v>
      </c>
    </row>
    <row r="972">
      <c r="A972" s="5" t="s">
        <v>4369</v>
      </c>
      <c r="B972" s="4" t="str">
        <f>IFERROR(__xludf.DUMMYFUNCTION("SPLIT(A972,"""""")"")"),"( arctic_b0379 ")</f>
        <v>( arctic_b0379 </v>
      </c>
      <c r="C972" s="4" t="str">
        <f>IFERROR(__xludf.DUMMYFUNCTION("""COMPUTED_VALUE"""),"Christmas is an easy problem compared with a Polynesian giving-feast.")</f>
        <v>Christmas is an easy problem compared with a Polynesian giving-feast.</v>
      </c>
      <c r="D972" s="4" t="str">
        <f>IFERROR(__xludf.DUMMYFUNCTION("""COMPUTED_VALUE""")," ")</f>
        <v> </v>
      </c>
    </row>
    <row r="973">
      <c r="A973" s="5" t="s">
        <v>4370</v>
      </c>
      <c r="B973" s="4" t="str">
        <f>IFERROR(__xludf.DUMMYFUNCTION("SPLIT(A973,"""""")"")"),"( arctic_b0380 ")</f>
        <v>( arctic_b0380 </v>
      </c>
      <c r="C973" s="4" t="str">
        <f>IFERROR(__xludf.DUMMYFUNCTION("""COMPUTED_VALUE"""),"He had peeled off his shirt and was wildly waving it.")</f>
        <v>He had peeled off his shirt and was wildly waving it.</v>
      </c>
      <c r="D973" s="4" t="str">
        <f>IFERROR(__xludf.DUMMYFUNCTION("""COMPUTED_VALUE""")," ")</f>
        <v> </v>
      </c>
    </row>
    <row r="974">
      <c r="A974" s="5" t="s">
        <v>4371</v>
      </c>
      <c r="B974" s="4" t="str">
        <f>IFERROR(__xludf.DUMMYFUNCTION("SPLIT(A974,"""""")"")"),"( arctic_b0381 ")</f>
        <v>( arctic_b0381 </v>
      </c>
      <c r="C974" s="4" t="str">
        <f>IFERROR(__xludf.DUMMYFUNCTION("""COMPUTED_VALUE"""),"And how would we ever find ourselves.")</f>
        <v>And how would we ever find ourselves.</v>
      </c>
      <c r="D974" s="4" t="str">
        <f>IFERROR(__xludf.DUMMYFUNCTION("""COMPUTED_VALUE""")," ")</f>
        <v> </v>
      </c>
    </row>
    <row r="975">
      <c r="A975" s="5" t="s">
        <v>4372</v>
      </c>
      <c r="B975" s="4" t="str">
        <f>IFERROR(__xludf.DUMMYFUNCTION("SPLIT(A975,"""""")"")"),"( arctic_b0382 ")</f>
        <v>( arctic_b0382 </v>
      </c>
      <c r="C975" s="4" t="str">
        <f>IFERROR(__xludf.DUMMYFUNCTION("""COMPUTED_VALUE"""),"I defy any man to get a Solomon Island sore in California.")</f>
        <v>I defy any man to get a Solomon Island sore in California.</v>
      </c>
      <c r="D975" s="4" t="str">
        <f>IFERROR(__xludf.DUMMYFUNCTION("""COMPUTED_VALUE""")," ")</f>
        <v> </v>
      </c>
    </row>
    <row r="976">
      <c r="A976" s="5" t="s">
        <v>4373</v>
      </c>
      <c r="B976" s="4" t="str">
        <f>IFERROR(__xludf.DUMMYFUNCTION("SPLIT(A976,"""""")"")"),"( arctic_b0383 ")</f>
        <v>( arctic_b0383 </v>
      </c>
      <c r="C976" s="4" t="str">
        <f>IFERROR(__xludf.DUMMYFUNCTION("""COMPUTED_VALUE"""),"A bush chief had died a natural death.")</f>
        <v>A bush chief had died a natural death.</v>
      </c>
      <c r="D976" s="4" t="str">
        <f>IFERROR(__xludf.DUMMYFUNCTION("""COMPUTED_VALUE""")," ")</f>
        <v> </v>
      </c>
    </row>
    <row r="977">
      <c r="A977" s="5" t="s">
        <v>4374</v>
      </c>
      <c r="B977" s="4" t="str">
        <f>IFERROR(__xludf.DUMMYFUNCTION("SPLIT(A977,"""""")"")"),"( arctic_b0384 ")</f>
        <v>( arctic_b0384 </v>
      </c>
      <c r="C977" s="4" t="str">
        <f>IFERROR(__xludf.DUMMYFUNCTION("""COMPUTED_VALUE"""),"The skipper's and Nakata's gymnastics served as a translation without words.")</f>
        <v>The skipper's and Nakata's gymnastics served as a translation without words.</v>
      </c>
      <c r="D977" s="4" t="str">
        <f>IFERROR(__xludf.DUMMYFUNCTION("""COMPUTED_VALUE""")," ")</f>
        <v> </v>
      </c>
    </row>
    <row r="978">
      <c r="A978" s="5" t="s">
        <v>4375</v>
      </c>
      <c r="B978" s="4" t="str">
        <f>IFERROR(__xludf.DUMMYFUNCTION("SPLIT(A978,"""""")"")"),"( arctic_b0385 ")</f>
        <v>( arctic_b0385 </v>
      </c>
      <c r="C978" s="4" t="str">
        <f>IFERROR(__xludf.DUMMYFUNCTION("""COMPUTED_VALUE"""),"Last night he showed all the symptoms of coming down with pneumonia.")</f>
        <v>Last night he showed all the symptoms of coming down with pneumonia.</v>
      </c>
      <c r="D978" s="4" t="str">
        <f>IFERROR(__xludf.DUMMYFUNCTION("""COMPUTED_VALUE""")," ")</f>
        <v> </v>
      </c>
    </row>
    <row r="979">
      <c r="A979" s="5" t="s">
        <v>4376</v>
      </c>
      <c r="B979" s="4" t="str">
        <f>IFERROR(__xludf.DUMMYFUNCTION("SPLIT(A979,"""""")"")"),"( arctic_b0386 ")</f>
        <v>( arctic_b0386 </v>
      </c>
      <c r="C979" s="4" t="str">
        <f>IFERROR(__xludf.DUMMYFUNCTION("""COMPUTED_VALUE"""),"My idea was that he would have more influence over the natives.")</f>
        <v>My idea was that he would have more influence over the natives.</v>
      </c>
      <c r="D979" s="4" t="str">
        <f>IFERROR(__xludf.DUMMYFUNCTION("""COMPUTED_VALUE""")," ")</f>
        <v> </v>
      </c>
    </row>
    <row r="980">
      <c r="A980" s="5" t="s">
        <v>4377</v>
      </c>
      <c r="B980" s="4" t="str">
        <f>IFERROR(__xludf.DUMMYFUNCTION("SPLIT(A980,"""""")"")"),"( arctic_b0387 ")</f>
        <v>( arctic_b0387 </v>
      </c>
      <c r="C980" s="4" t="str">
        <f>IFERROR(__xludf.DUMMYFUNCTION("""COMPUTED_VALUE"""),"It is merely the simple superlative.")</f>
        <v>It is merely the simple superlative.</v>
      </c>
      <c r="D980" s="4" t="str">
        <f>IFERROR(__xludf.DUMMYFUNCTION("""COMPUTED_VALUE""")," ")</f>
        <v> </v>
      </c>
    </row>
    <row r="981">
      <c r="A981" s="5" t="s">
        <v>4378</v>
      </c>
      <c r="B981" s="4" t="str">
        <f>IFERROR(__xludf.DUMMYFUNCTION("SPLIT(A981,"""""")"")"),"( arctic_b0388 ")</f>
        <v>( arctic_b0388 </v>
      </c>
      <c r="C981" s="4" t="str">
        <f>IFERROR(__xludf.DUMMYFUNCTION("""COMPUTED_VALUE"""),"I made no more overtures.")</f>
        <v>I made no more overtures.</v>
      </c>
      <c r="D981" s="4" t="str">
        <f>IFERROR(__xludf.DUMMYFUNCTION("""COMPUTED_VALUE""")," ")</f>
        <v> </v>
      </c>
    </row>
    <row r="982">
      <c r="A982" s="5" t="s">
        <v>4379</v>
      </c>
      <c r="B982" s="4" t="str">
        <f>IFERROR(__xludf.DUMMYFUNCTION("SPLIT(A982,"""""")"")"),"( arctic_b0389 ")</f>
        <v>( arctic_b0389 </v>
      </c>
      <c r="C982" s="4" t="str">
        <f>IFERROR(__xludf.DUMMYFUNCTION("""COMPUTED_VALUE"""),"Among my minor afflictions, I may mention a new and mysterious one.")</f>
        <v>Among my minor afflictions, I may mention a new and mysterious one.</v>
      </c>
      <c r="D982" s="4" t="str">
        <f>IFERROR(__xludf.DUMMYFUNCTION("""COMPUTED_VALUE""")," ")</f>
        <v> </v>
      </c>
    </row>
    <row r="983">
      <c r="A983" s="5" t="s">
        <v>4380</v>
      </c>
      <c r="B983" s="4" t="str">
        <f>IFERROR(__xludf.DUMMYFUNCTION("SPLIT(A983,"""""")"")"),"( arctic_b0390 ")</f>
        <v>( arctic_b0390 </v>
      </c>
      <c r="C983" s="4" t="str">
        <f>IFERROR(__xludf.DUMMYFUNCTION("""COMPUTED_VALUE"""),"The voyage was our idea of a good time.")</f>
        <v>The voyage was our idea of a good time.</v>
      </c>
      <c r="D983" s="4" t="str">
        <f>IFERROR(__xludf.DUMMYFUNCTION("""COMPUTED_VALUE""")," ")</f>
        <v> </v>
      </c>
    </row>
    <row r="984">
      <c r="A984" s="5" t="s">
        <v>4381</v>
      </c>
      <c r="B984" s="4" t="str">
        <f>IFERROR(__xludf.DUMMYFUNCTION("SPLIT(A984,"""""")"")"),"( arctic_b0391 ")</f>
        <v>( arctic_b0391 </v>
      </c>
      <c r="C984" s="4" t="str">
        <f>IFERROR(__xludf.DUMMYFUNCTION("""COMPUTED_VALUE"""),"At sea, Tuesday, March 17, 1908.")</f>
        <v>At sea, Tuesday, March 17, 1908.</v>
      </c>
      <c r="D984" s="4" t="str">
        <f>IFERROR(__xludf.DUMMYFUNCTION("""COMPUTED_VALUE""")," ")</f>
        <v> </v>
      </c>
    </row>
    <row r="985">
      <c r="A985" s="5" t="s">
        <v>4382</v>
      </c>
      <c r="B985" s="4" t="str">
        <f>IFERROR(__xludf.DUMMYFUNCTION("SPLIT(A985,"""""")"")"),"( arctic_b0392 ")</f>
        <v>( arctic_b0392 </v>
      </c>
      <c r="C985" s="4" t="str">
        <f>IFERROR(__xludf.DUMMYFUNCTION("""COMPUTED_VALUE"""),"Yes, sir, he answered, with cheerful alacrity.")</f>
        <v>Yes, sir, he answered, with cheerful alacrity.</v>
      </c>
      <c r="D985" s="4" t="str">
        <f>IFERROR(__xludf.DUMMYFUNCTION("""COMPUTED_VALUE""")," ")</f>
        <v> </v>
      </c>
    </row>
    <row r="986">
      <c r="A986" s="5" t="s">
        <v>4383</v>
      </c>
      <c r="B986" s="4" t="str">
        <f>IFERROR(__xludf.DUMMYFUNCTION("SPLIT(A986,"""""")"")"),"( arctic_b0393 ")</f>
        <v>( arctic_b0393 </v>
      </c>
      <c r="C986" s="4" t="str">
        <f>IFERROR(__xludf.DUMMYFUNCTION("""COMPUTED_VALUE"""),"I was still weak from my prolonged immersion.")</f>
        <v>I was still weak from my prolonged immersion.</v>
      </c>
      <c r="D986" s="4" t="str">
        <f>IFERROR(__xludf.DUMMYFUNCTION("""COMPUTED_VALUE""")," ")</f>
        <v> </v>
      </c>
    </row>
    <row r="987">
      <c r="A987" s="5" t="s">
        <v>4384</v>
      </c>
      <c r="B987" s="4" t="str">
        <f>IFERROR(__xludf.DUMMYFUNCTION("SPLIT(A987,"""""")"")"),"( arctic_b0394 ")</f>
        <v>( arctic_b0394 </v>
      </c>
      <c r="C987" s="4" t="str">
        <f>IFERROR(__xludf.DUMMYFUNCTION("""COMPUTED_VALUE"""),"The boy hesitated, then mastered his temper.")</f>
        <v>The boy hesitated, then mastered his temper.</v>
      </c>
      <c r="D987" s="4" t="str">
        <f>IFERROR(__xludf.DUMMYFUNCTION("""COMPUTED_VALUE""")," ")</f>
        <v> </v>
      </c>
    </row>
    <row r="988">
      <c r="A988" s="5" t="s">
        <v>4385</v>
      </c>
      <c r="B988" s="4" t="str">
        <f>IFERROR(__xludf.DUMMYFUNCTION("SPLIT(A988,"""""")"")"),"( arctic_b0395 ")</f>
        <v>( arctic_b0395 </v>
      </c>
      <c r="C988" s="4" t="str">
        <f>IFERROR(__xludf.DUMMYFUNCTION("""COMPUTED_VALUE"""),"I was beneath the water, suffocating and drowning.")</f>
        <v>I was beneath the water, suffocating and drowning.</v>
      </c>
      <c r="D988" s="4" t="str">
        <f>IFERROR(__xludf.DUMMYFUNCTION("""COMPUTED_VALUE""")," ")</f>
        <v> </v>
      </c>
    </row>
    <row r="989">
      <c r="A989" s="5" t="s">
        <v>4386</v>
      </c>
      <c r="B989" s="4" t="str">
        <f>IFERROR(__xludf.DUMMYFUNCTION("SPLIT(A989,"""""")"")"),"( arctic_b0396 ")</f>
        <v>( arctic_b0396 </v>
      </c>
      <c r="C989" s="4" t="str">
        <f>IFERROR(__xludf.DUMMYFUNCTION("""COMPUTED_VALUE"""),"The pain from my hurt knee was agonizing.")</f>
        <v>The pain from my hurt knee was agonizing.</v>
      </c>
      <c r="D989" s="4" t="str">
        <f>IFERROR(__xludf.DUMMYFUNCTION("""COMPUTED_VALUE""")," ")</f>
        <v> </v>
      </c>
    </row>
    <row r="990">
      <c r="A990" s="5" t="s">
        <v>4387</v>
      </c>
      <c r="B990" s="4" t="str">
        <f>IFERROR(__xludf.DUMMYFUNCTION("SPLIT(A990,"""""")"")"),"( arctic_b0397 ")</f>
        <v>( arctic_b0397 </v>
      </c>
      <c r="C990" s="4" t="str">
        <f>IFERROR(__xludf.DUMMYFUNCTION("""COMPUTED_VALUE"""),"The hunters were still arguing and roaring like some semi-human amphibious breed.")</f>
        <v>The hunters were still arguing and roaring like some semi-human amphibious breed.</v>
      </c>
      <c r="D990" s="4" t="str">
        <f>IFERROR(__xludf.DUMMYFUNCTION("""COMPUTED_VALUE""")," ")</f>
        <v> </v>
      </c>
    </row>
    <row r="991">
      <c r="A991" s="5" t="s">
        <v>4388</v>
      </c>
      <c r="B991" s="4" t="str">
        <f>IFERROR(__xludf.DUMMYFUNCTION("SPLIT(A991,"""""")"")"),"( arctic_b0398 ")</f>
        <v>( arctic_b0398 </v>
      </c>
      <c r="C991" s="4" t="str">
        <f>IFERROR(__xludf.DUMMYFUNCTION("""COMPUTED_VALUE"""),"I have been robbed, sir, I amended.")</f>
        <v>I have been robbed, sir, I amended.</v>
      </c>
      <c r="D991" s="4" t="str">
        <f>IFERROR(__xludf.DUMMYFUNCTION("""COMPUTED_VALUE""")," ")</f>
        <v> </v>
      </c>
    </row>
    <row r="992">
      <c r="A992" s="5" t="s">
        <v>4389</v>
      </c>
      <c r="B992" s="4" t="str">
        <f>IFERROR(__xludf.DUMMYFUNCTION("SPLIT(A992,"""""")"")"),"( arctic_b0399 ")</f>
        <v>( arctic_b0399 </v>
      </c>
      <c r="C992" s="4" t="str">
        <f>IFERROR(__xludf.DUMMYFUNCTION("""COMPUTED_VALUE"""),"You were looking squeamish this afternoon, he began.")</f>
        <v>You were looking squeamish this afternoon, he began.</v>
      </c>
      <c r="D992" s="4" t="str">
        <f>IFERROR(__xludf.DUMMYFUNCTION("""COMPUTED_VALUE""")," ")</f>
        <v> </v>
      </c>
    </row>
    <row r="993">
      <c r="A993" s="5" t="s">
        <v>4390</v>
      </c>
      <c r="B993" s="4" t="str">
        <f>IFERROR(__xludf.DUMMYFUNCTION("SPLIT(A993,"""""")"")"),"( arctic_b0400 ")</f>
        <v>( arctic_b0400 </v>
      </c>
      <c r="C993" s="4" t="str">
        <f>IFERROR(__xludf.DUMMYFUNCTION("""COMPUTED_VALUE"""),"How could I answer the question on the spur of the moment.")</f>
        <v>How could I answer the question on the spur of the moment.</v>
      </c>
      <c r="D993" s="4" t="str">
        <f>IFERROR(__xludf.DUMMYFUNCTION("""COMPUTED_VALUE""")," ")</f>
        <v> </v>
      </c>
    </row>
    <row r="994">
      <c r="A994" s="5" t="s">
        <v>4391</v>
      </c>
      <c r="B994" s="4" t="str">
        <f>IFERROR(__xludf.DUMMYFUNCTION("SPLIT(A994,"""""")"")"),"( arctic_b0401 ")</f>
        <v>( arctic_b0401 </v>
      </c>
      <c r="C994" s="4" t="str">
        <f>IFERROR(__xludf.DUMMYFUNCTION("""COMPUTED_VALUE"""),"I learned it myself in English ships.")</f>
        <v>I learned it myself in English ships.</v>
      </c>
      <c r="D994" s="4" t="str">
        <f>IFERROR(__xludf.DUMMYFUNCTION("""COMPUTED_VALUE""")," ")</f>
        <v> </v>
      </c>
    </row>
    <row r="995">
      <c r="A995" s="5" t="s">
        <v>4392</v>
      </c>
      <c r="B995" s="4" t="str">
        <f>IFERROR(__xludf.DUMMYFUNCTION("SPLIT(A995,"""""")"")"),"( arctic_b0402 ")</f>
        <v>( arctic_b0402 </v>
      </c>
      <c r="C995" s="4" t="str">
        <f>IFERROR(__xludf.DUMMYFUNCTION("""COMPUTED_VALUE"""),"An altruistic act is an act performed for the welfare of others.")</f>
        <v>An altruistic act is an act performed for the welfare of others.</v>
      </c>
      <c r="D995" s="4" t="str">
        <f>IFERROR(__xludf.DUMMYFUNCTION("""COMPUTED_VALUE""")," ")</f>
        <v> </v>
      </c>
    </row>
    <row r="996">
      <c r="A996" s="5" t="s">
        <v>4393</v>
      </c>
      <c r="B996" s="4" t="str">
        <f>IFERROR(__xludf.DUMMYFUNCTION("SPLIT(A996,"""""")"")"),"( arctic_b0403 ")</f>
        <v>( arctic_b0403 </v>
      </c>
      <c r="C996" s="4" t="str">
        <f>IFERROR(__xludf.DUMMYFUNCTION("""COMPUTED_VALUE"""),"Knowing him, I review the old Scandinavian myths with clearer understanding.")</f>
        <v>Knowing him, I review the old Scandinavian myths with clearer understanding.</v>
      </c>
      <c r="D996" s="4" t="str">
        <f>IFERROR(__xludf.DUMMYFUNCTION("""COMPUTED_VALUE""")," ")</f>
        <v> </v>
      </c>
    </row>
    <row r="997">
      <c r="A997" s="5" t="s">
        <v>4394</v>
      </c>
      <c r="B997" s="4" t="str">
        <f>IFERROR(__xludf.DUMMYFUNCTION("SPLIT(A997,"""""")"")"),"( arctic_b0404 ")</f>
        <v>( arctic_b0404 </v>
      </c>
      <c r="C997" s="4" t="str">
        <f>IFERROR(__xludf.DUMMYFUNCTION("""COMPUTED_VALUE"""),"Yes, and no, sir, was the slow reply.")</f>
        <v>Yes, and no, sir, was the slow reply.</v>
      </c>
      <c r="D997" s="4" t="str">
        <f>IFERROR(__xludf.DUMMYFUNCTION("""COMPUTED_VALUE""")," ")</f>
        <v> </v>
      </c>
    </row>
    <row r="998">
      <c r="A998" s="5" t="s">
        <v>4395</v>
      </c>
      <c r="B998" s="4" t="str">
        <f>IFERROR(__xludf.DUMMYFUNCTION("SPLIT(A998,"""""")"")"),"( arctic_b0405 ")</f>
        <v>( arctic_b0405 </v>
      </c>
      <c r="C998" s="4" t="str">
        <f>IFERROR(__xludf.DUMMYFUNCTION("""COMPUTED_VALUE"""),"And each year something happened, and I did not go.")</f>
        <v>And each year something happened, and I did not go.</v>
      </c>
      <c r="D998" s="4" t="str">
        <f>IFERROR(__xludf.DUMMYFUNCTION("""COMPUTED_VALUE""")," ")</f>
        <v> </v>
      </c>
    </row>
    <row r="999">
      <c r="A999" s="5" t="s">
        <v>4396</v>
      </c>
      <c r="B999" s="4" t="str">
        <f>IFERROR(__xludf.DUMMYFUNCTION("SPLIT(A999,"""""")"")"),"( arctic_b0406 ")</f>
        <v>( arctic_b0406 </v>
      </c>
      <c r="C999" s="4" t="str">
        <f>IFERROR(__xludf.DUMMYFUNCTION("""COMPUTED_VALUE"""),"How in hell did he know it was you in the dark.")</f>
        <v>How in hell did he know it was you in the dark.</v>
      </c>
      <c r="D999" s="4" t="str">
        <f>IFERROR(__xludf.DUMMYFUNCTION("""COMPUTED_VALUE""")," ")</f>
        <v> </v>
      </c>
    </row>
    <row r="1000">
      <c r="A1000" s="5" t="s">
        <v>4397</v>
      </c>
      <c r="B1000" s="4" t="str">
        <f>IFERROR(__xludf.DUMMYFUNCTION("SPLIT(A1000,"""""")"")"),"( arctic_b0407 ")</f>
        <v>( arctic_b0407 </v>
      </c>
      <c r="C1000" s="4" t="str">
        <f>IFERROR(__xludf.DUMMYFUNCTION("""COMPUTED_VALUE"""),"Of course much grumbling went on, and little outbursts were continually occurring.")</f>
        <v>Of course much grumbling went on, and little outbursts were continually occurring.</v>
      </c>
      <c r="D1000" s="4" t="str">
        <f>IFERROR(__xludf.DUMMYFUNCTION("""COMPUTED_VALUE""")," ")</f>
        <v> </v>
      </c>
    </row>
    <row r="1001">
      <c r="A1001" s="5" t="s">
        <v>4398</v>
      </c>
      <c r="B1001" s="4" t="str">
        <f>IFERROR(__xludf.DUMMYFUNCTION("SPLIT(A1001,"""""")"")"),"( arctic_b0408 ")</f>
        <v>( arctic_b0408 </v>
      </c>
      <c r="C1001" s="4" t="str">
        <f>IFERROR(__xludf.DUMMYFUNCTION("""COMPUTED_VALUE"""),"You have all the advantage.")</f>
        <v>You have all the advantage.</v>
      </c>
      <c r="D1001" s="4" t="str">
        <f>IFERROR(__xludf.DUMMYFUNCTION("""COMPUTED_VALUE""")," ")</f>
        <v> </v>
      </c>
    </row>
    <row r="1002">
      <c r="A1002" s="5" t="s">
        <v>4399</v>
      </c>
      <c r="B1002" s="4" t="str">
        <f>IFERROR(__xludf.DUMMYFUNCTION("SPLIT(A1002,"""""")"")"),"( arctic_b0409 ")</f>
        <v>( arctic_b0409 </v>
      </c>
      <c r="C1002" s="4" t="str">
        <f>IFERROR(__xludf.DUMMYFUNCTION("""COMPUTED_VALUE"""),"The dirk mentioned by Wolf Larsen rested in its sheath on my hip.")</f>
        <v>The dirk mentioned by Wolf Larsen rested in its sheath on my hip.</v>
      </c>
      <c r="D1002" s="4" t="str">
        <f>IFERROR(__xludf.DUMMYFUNCTION("""COMPUTED_VALUE""")," ")</f>
        <v> </v>
      </c>
    </row>
    <row r="1003">
      <c r="A1003" s="5" t="s">
        <v>4400</v>
      </c>
      <c r="B1003" s="4" t="str">
        <f>IFERROR(__xludf.DUMMYFUNCTION("SPLIT(A1003,"""""")"")"),"( arctic_b0410 ")</f>
        <v>( arctic_b0410 </v>
      </c>
      <c r="C1003" s="4" t="str">
        <f>IFERROR(__xludf.DUMMYFUNCTION("""COMPUTED_VALUE"""),"Have you ever earned a dollar by your own labour.")</f>
        <v>Have you ever earned a dollar by your own labour.</v>
      </c>
      <c r="D1003" s="4" t="str">
        <f>IFERROR(__xludf.DUMMYFUNCTION("""COMPUTED_VALUE""")," ")</f>
        <v> </v>
      </c>
    </row>
    <row r="1004">
      <c r="A1004" s="5" t="s">
        <v>4401</v>
      </c>
      <c r="B1004" s="4" t="str">
        <f>IFERROR(__xludf.DUMMYFUNCTION("SPLIT(A1004,"""""")"")"),"( arctic_b0411 ")</f>
        <v>( arctic_b0411 </v>
      </c>
      <c r="C1004" s="4" t="str">
        <f>IFERROR(__xludf.DUMMYFUNCTION("""COMPUTED_VALUE"""),"He gave no reason, but his motive was obvious enough.")</f>
        <v>He gave no reason, but his motive was obvious enough.</v>
      </c>
      <c r="D1004" s="4" t="str">
        <f>IFERROR(__xludf.DUMMYFUNCTION("""COMPUTED_VALUE""")," ")</f>
        <v> </v>
      </c>
    </row>
    <row r="1005">
      <c r="A1005" s="5" t="s">
        <v>4402</v>
      </c>
      <c r="B1005" s="4" t="str">
        <f>IFERROR(__xludf.DUMMYFUNCTION("SPLIT(A1005,"""""")"")"),"( arctic_b0412 ")</f>
        <v>( arctic_b0412 </v>
      </c>
      <c r="C1005" s="4" t="str">
        <f>IFERROR(__xludf.DUMMYFUNCTION("""COMPUTED_VALUE"""),"Ah, it was sweet in my ears.")</f>
        <v>Ah, it was sweet in my ears.</v>
      </c>
      <c r="D1005" s="4" t="str">
        <f>IFERROR(__xludf.DUMMYFUNCTION("""COMPUTED_VALUE""")," ")</f>
        <v> </v>
      </c>
    </row>
    <row r="1006">
      <c r="A1006" s="5" t="s">
        <v>4403</v>
      </c>
      <c r="B1006" s="4" t="str">
        <f>IFERROR(__xludf.DUMMYFUNCTION("SPLIT(A1006,"""""")"")"),"( arctic_b0413 ")</f>
        <v>( arctic_b0413 </v>
      </c>
      <c r="C1006" s="4" t="str">
        <f>IFERROR(__xludf.DUMMYFUNCTION("""COMPUTED_VALUE"""),"He may desire to escape pain, or to enjoy pleasure.")</f>
        <v>He may desire to escape pain, or to enjoy pleasure.</v>
      </c>
      <c r="D1006" s="4" t="str">
        <f>IFERROR(__xludf.DUMMYFUNCTION("""COMPUTED_VALUE""")," ")</f>
        <v> </v>
      </c>
    </row>
    <row r="1007">
      <c r="A1007" s="5" t="s">
        <v>4404</v>
      </c>
      <c r="B1007" s="4" t="str">
        <f>IFERROR(__xludf.DUMMYFUNCTION("SPLIT(A1007,"""""")"")"),"( arctic_b0414 ")</f>
        <v>( arctic_b0414 </v>
      </c>
      <c r="C1007" s="4" t="str">
        <f>IFERROR(__xludf.DUMMYFUNCTION("""COMPUTED_VALUE"""),"It was impossible to hoist sail and claw off that shore.")</f>
        <v>It was impossible to hoist sail and claw off that shore.</v>
      </c>
      <c r="D1007" s="4" t="str">
        <f>IFERROR(__xludf.DUMMYFUNCTION("""COMPUTED_VALUE""")," ")</f>
        <v> </v>
      </c>
    </row>
    <row r="1008">
      <c r="A1008" s="5" t="s">
        <v>4405</v>
      </c>
      <c r="B1008" s="4" t="str">
        <f>IFERROR(__xludf.DUMMYFUNCTION("SPLIT(A1008,"""""")"")"),"( arctic_b0415 ")</f>
        <v>( arctic_b0415 </v>
      </c>
      <c r="C1008" s="4" t="str">
        <f>IFERROR(__xludf.DUMMYFUNCTION("""COMPUTED_VALUE"""),"There was nothing for us but the wide raw ocean.")</f>
        <v>There was nothing for us but the wide raw ocean.</v>
      </c>
      <c r="D1008" s="4" t="str">
        <f>IFERROR(__xludf.DUMMYFUNCTION("""COMPUTED_VALUE""")," ")</f>
        <v> </v>
      </c>
    </row>
    <row r="1009">
      <c r="A1009" s="5" t="s">
        <v>4406</v>
      </c>
      <c r="B1009" s="4" t="str">
        <f>IFERROR(__xludf.DUMMYFUNCTION("SPLIT(A1009,"""""")"")"),"( arctic_b0416 ")</f>
        <v>( arctic_b0416 </v>
      </c>
      <c r="C1009" s="4" t="str">
        <f>IFERROR(__xludf.DUMMYFUNCTION("""COMPUTED_VALUE"""),"I arose obediently and went down the beach.")</f>
        <v>I arose obediently and went down the beach.</v>
      </c>
      <c r="D1009" s="4" t="str">
        <f>IFERROR(__xludf.DUMMYFUNCTION("""COMPUTED_VALUE""")," ")</f>
        <v> </v>
      </c>
    </row>
    <row r="1010">
      <c r="A1010" s="5" t="s">
        <v>4407</v>
      </c>
      <c r="B1010" s="4" t="str">
        <f>IFERROR(__xludf.DUMMYFUNCTION("SPLIT(A1010,"""""")"")"),"( arctic_b0417 ")</f>
        <v>( arctic_b0417 </v>
      </c>
      <c r="C1010" s="4" t="str">
        <f>IFERROR(__xludf.DUMMYFUNCTION("""COMPUTED_VALUE"""),"The next thing to watch out for is bed sores.")</f>
        <v>The next thing to watch out for is bed sores.</v>
      </c>
      <c r="D1010" s="4" t="str">
        <f>IFERROR(__xludf.DUMMYFUNCTION("""COMPUTED_VALUE""")," ")</f>
        <v> </v>
      </c>
    </row>
    <row r="1011">
      <c r="A1011" s="5" t="s">
        <v>4408</v>
      </c>
      <c r="B1011" s="4" t="str">
        <f>IFERROR(__xludf.DUMMYFUNCTION("SPLIT(A1011,"""""")"")"),"( arctic_b0418 ")</f>
        <v>( arctic_b0418 </v>
      </c>
      <c r="C1011" s="4" t="str">
        <f>IFERROR(__xludf.DUMMYFUNCTION("""COMPUTED_VALUE"""),"At that moment I got the impression that she was willowy.")</f>
        <v>At that moment I got the impression that she was willowy.</v>
      </c>
      <c r="D1011" s="4" t="str">
        <f>IFERROR(__xludf.DUMMYFUNCTION("""COMPUTED_VALUE""")," ")</f>
        <v> </v>
      </c>
    </row>
    <row r="1012">
      <c r="A1012" s="5" t="s">
        <v>4409</v>
      </c>
      <c r="B1012" s="4" t="str">
        <f>IFERROR(__xludf.DUMMYFUNCTION("SPLIT(A1012,"""""")"")"),"( arctic_b0419 ")</f>
        <v>( arctic_b0419 </v>
      </c>
      <c r="C1012" s="4" t="str">
        <f>IFERROR(__xludf.DUMMYFUNCTION("""COMPUTED_VALUE"""),"Your father's fifth command, he nodded.")</f>
        <v>Your father's fifth command, he nodded.</v>
      </c>
      <c r="D1012" s="4" t="str">
        <f>IFERROR(__xludf.DUMMYFUNCTION("""COMPUTED_VALUE""")," ")</f>
        <v> </v>
      </c>
    </row>
    <row r="1013">
      <c r="A1013" s="5" t="s">
        <v>4410</v>
      </c>
      <c r="B1013" s="4" t="str">
        <f>IFERROR(__xludf.DUMMYFUNCTION("SPLIT(A1013,"""""")"")"),"( arctic_b0420 ")</f>
        <v>( arctic_b0420 </v>
      </c>
      <c r="C1013" s="4" t="str">
        <f>IFERROR(__xludf.DUMMYFUNCTION("""COMPUTED_VALUE"""),"On occasion, on this traverse, the Cape Verde Islands are raised.")</f>
        <v>On occasion, on this traverse, the Cape Verde Islands are raised.</v>
      </c>
      <c r="D1013" s="4" t="str">
        <f>IFERROR(__xludf.DUMMYFUNCTION("""COMPUTED_VALUE""")," ")</f>
        <v> </v>
      </c>
    </row>
    <row r="1014">
      <c r="A1014" s="5" t="s">
        <v>4411</v>
      </c>
      <c r="B1014" s="4" t="str">
        <f>IFERROR(__xludf.DUMMYFUNCTION("SPLIT(A1014,"""""")"")"),"( arctic_b0421 ")</f>
        <v>( arctic_b0421 </v>
      </c>
      <c r="C1014" s="4" t="str">
        <f>IFERROR(__xludf.DUMMYFUNCTION("""COMPUTED_VALUE"""),"She is essentially the life-giving, life-conserving female of the species.")</f>
        <v>She is essentially the life-giving, life-conserving female of the species.</v>
      </c>
      <c r="D1014" s="4" t="str">
        <f>IFERROR(__xludf.DUMMYFUNCTION("""COMPUTED_VALUE""")," ")</f>
        <v> </v>
      </c>
    </row>
    <row r="1015">
      <c r="A1015" s="5" t="s">
        <v>4412</v>
      </c>
      <c r="B1015" s="4" t="str">
        <f>IFERROR(__xludf.DUMMYFUNCTION("SPLIT(A1015,"""""")"")"),"( arctic_b0422 ")</f>
        <v>( arctic_b0422 </v>
      </c>
      <c r="C1015" s="4" t="str">
        <f>IFERROR(__xludf.DUMMYFUNCTION("""COMPUTED_VALUE"""),"This was when the explosion occurred.")</f>
        <v>This was when the explosion occurred.</v>
      </c>
      <c r="D1015" s="4" t="str">
        <f>IFERROR(__xludf.DUMMYFUNCTION("""COMPUTED_VALUE""")," ")</f>
        <v> </v>
      </c>
    </row>
    <row r="1016">
      <c r="A1016" s="5" t="s">
        <v>4413</v>
      </c>
      <c r="B1016" s="4" t="str">
        <f>IFERROR(__xludf.DUMMYFUNCTION("SPLIT(A1016,"""""")"")"),"( arctic_b0423 ")</f>
        <v>( arctic_b0423 </v>
      </c>
      <c r="C1016" s="4" t="str">
        <f>IFERROR(__xludf.DUMMYFUNCTION("""COMPUTED_VALUE"""),"Also, at regular intervals, he would mutter.")</f>
        <v>Also, at regular intervals, he would mutter.</v>
      </c>
      <c r="D1016" s="4" t="str">
        <f>IFERROR(__xludf.DUMMYFUNCTION("""COMPUTED_VALUE""")," ")</f>
        <v> </v>
      </c>
    </row>
    <row r="1017">
      <c r="A1017" s="5" t="s">
        <v>4414</v>
      </c>
      <c r="B1017" s="4" t="str">
        <f>IFERROR(__xludf.DUMMYFUNCTION("SPLIT(A1017,"""""")"")"),"( arctic_b0424 ")</f>
        <v>( arctic_b0424 </v>
      </c>
      <c r="C1017" s="4" t="str">
        <f>IFERROR(__xludf.DUMMYFUNCTION("""COMPUTED_VALUE"""),"It is a very tenable hypothesis, and will bear looking into.")</f>
        <v>It is a very tenable hypothesis, and will bear looking into.</v>
      </c>
      <c r="D1017" s="4" t="str">
        <f>IFERROR(__xludf.DUMMYFUNCTION("""COMPUTED_VALUE""")," ")</f>
        <v> </v>
      </c>
    </row>
    <row r="1018">
      <c r="A1018" s="5" t="s">
        <v>4415</v>
      </c>
      <c r="B1018" s="4" t="str">
        <f>IFERROR(__xludf.DUMMYFUNCTION("SPLIT(A1018,"""""")"")"),"( arctic_b0425 ")</f>
        <v>( arctic_b0425 </v>
      </c>
      <c r="C1018" s="4" t="str">
        <f>IFERROR(__xludf.DUMMYFUNCTION("""COMPUTED_VALUE"""),"There were orange-green, gold-green, and a copper-green.")</f>
        <v>There were orange-green, gold-green, and a copper-green.</v>
      </c>
      <c r="D1018" s="4" t="str">
        <f>IFERROR(__xludf.DUMMYFUNCTION("""COMPUTED_VALUE""")," ")</f>
        <v> </v>
      </c>
    </row>
    <row r="1019">
      <c r="A1019" s="5" t="s">
        <v>4416</v>
      </c>
      <c r="B1019" s="4" t="str">
        <f>IFERROR(__xludf.DUMMYFUNCTION("SPLIT(A1019,"""""")"")"),"( arctic_b0426 ")</f>
        <v>( arctic_b0426 </v>
      </c>
      <c r="C1019" s="4" t="str">
        <f>IFERROR(__xludf.DUMMYFUNCTION("""COMPUTED_VALUE"""),"The Gabriel voice of the Samurai rang out.")</f>
        <v>The Gabriel voice of the Samurai rang out.</v>
      </c>
      <c r="D1019" s="4" t="str">
        <f>IFERROR(__xludf.DUMMYFUNCTION("""COMPUTED_VALUE""")," ")</f>
        <v> </v>
      </c>
    </row>
    <row r="1020">
      <c r="A1020" s="5" t="s">
        <v>4417</v>
      </c>
      <c r="B1020" s="4" t="str">
        <f>IFERROR(__xludf.DUMMYFUNCTION("SPLIT(A1020,"""""")"")"),"( arctic_b0427 ")</f>
        <v>( arctic_b0427 </v>
      </c>
      <c r="C1020" s="4" t="str">
        <f>IFERROR(__xludf.DUMMYFUNCTION("""COMPUTED_VALUE"""),"The sunsets grow more bizarre and spectacular off this coast of the Argentine.")</f>
        <v>The sunsets grow more bizarre and spectacular off this coast of the Argentine.</v>
      </c>
      <c r="D1020" s="4" t="str">
        <f>IFERROR(__xludf.DUMMYFUNCTION("""COMPUTED_VALUE""")," ")</f>
        <v> </v>
      </c>
    </row>
    <row r="1021">
      <c r="A1021" s="5" t="s">
        <v>4418</v>
      </c>
      <c r="B1021" s="4" t="str">
        <f>IFERROR(__xludf.DUMMYFUNCTION("SPLIT(A1021,"""""")"")"),"( arctic_b0428 ")</f>
        <v>( arctic_b0428 </v>
      </c>
      <c r="C1021" s="4" t="str">
        <f>IFERROR(__xludf.DUMMYFUNCTION("""COMPUTED_VALUE"""),"The history of our westward-faring race is written in it.")</f>
        <v>The history of our westward-faring race is written in it.</v>
      </c>
      <c r="D1021" s="4" t="str">
        <f>IFERROR(__xludf.DUMMYFUNCTION("""COMPUTED_VALUE""")," ")</f>
        <v> </v>
      </c>
    </row>
    <row r="1022">
      <c r="A1022" s="5" t="s">
        <v>4419</v>
      </c>
      <c r="B1022" s="4" t="str">
        <f>IFERROR(__xludf.DUMMYFUNCTION("SPLIT(A1022,"""""")"")"),"( arctic_b0429 ")</f>
        <v>( arctic_b0429 </v>
      </c>
      <c r="C1022" s="4" t="str">
        <f>IFERROR(__xludf.DUMMYFUNCTION("""COMPUTED_VALUE"""),"And the Eurasian Chinese-Englishman bowed himself away.")</f>
        <v>And the Eurasian Chinese-Englishman bowed himself away.</v>
      </c>
      <c r="D1022" s="4" t="str">
        <f>IFERROR(__xludf.DUMMYFUNCTION("""COMPUTED_VALUE""")," ")</f>
        <v> </v>
      </c>
    </row>
    <row r="1023">
      <c r="A1023" s="5" t="s">
        <v>4420</v>
      </c>
      <c r="B1023" s="4" t="str">
        <f>IFERROR(__xludf.DUMMYFUNCTION("SPLIT(A1023,"""""")"")"),"( arctic_b0430 ")</f>
        <v>( arctic_b0430 </v>
      </c>
      <c r="C1023" s="4" t="str">
        <f>IFERROR(__xludf.DUMMYFUNCTION("""COMPUTED_VALUE"""),"They were babbling and chattering all together.")</f>
        <v>They were babbling and chattering all together.</v>
      </c>
      <c r="D1023" s="4" t="str">
        <f>IFERROR(__xludf.DUMMYFUNCTION("""COMPUTED_VALUE""")," ")</f>
        <v> </v>
      </c>
    </row>
    <row r="1024">
      <c r="A1024" s="5" t="s">
        <v>4421</v>
      </c>
      <c r="B1024" s="4" t="str">
        <f>IFERROR(__xludf.DUMMYFUNCTION("SPLIT(A1024,"""""")"")"),"( arctic_b0431 ")</f>
        <v>( arctic_b0431 </v>
      </c>
      <c r="C1024" s="4" t="str">
        <f>IFERROR(__xludf.DUMMYFUNCTION("""COMPUTED_VALUE"""),"Too much, he told me, with ominous rolling head.")</f>
        <v>Too much, he told me, with ominous rolling head.</v>
      </c>
      <c r="D1024" s="4" t="str">
        <f>IFERROR(__xludf.DUMMYFUNCTION("""COMPUTED_VALUE""")," ")</f>
        <v> </v>
      </c>
    </row>
    <row r="1025">
      <c r="A1025" s="5" t="s">
        <v>4422</v>
      </c>
      <c r="B1025" s="4" t="str">
        <f>IFERROR(__xludf.DUMMYFUNCTION("SPLIT(A1025,"""""")"")"),"( arctic_b0432 ")</f>
        <v>( arctic_b0432 </v>
      </c>
      <c r="C1025" s="4" t="str">
        <f>IFERROR(__xludf.DUMMYFUNCTION("""COMPUTED_VALUE"""),"He is a candidate, rising from the serf class to our class.")</f>
        <v>He is a candidate, rising from the serf class to our class.</v>
      </c>
      <c r="D1025" s="4" t="str">
        <f>IFERROR(__xludf.DUMMYFUNCTION("""COMPUTED_VALUE""")," ")</f>
        <v> </v>
      </c>
    </row>
    <row r="1026">
      <c r="A1026" s="5" t="s">
        <v>4423</v>
      </c>
      <c r="B1026" s="4" t="str">
        <f>IFERROR(__xludf.DUMMYFUNCTION("SPLIT(A1026,"""""")"")"),"( arctic_b0433 ")</f>
        <v>( arctic_b0433 </v>
      </c>
      <c r="C1026" s="4" t="str">
        <f>IFERROR(__xludf.DUMMYFUNCTION("""COMPUTED_VALUE"""),"We are cooking on the coal stove and on the oil burners.")</f>
        <v>We are cooking on the coal stove and on the oil burners.</v>
      </c>
      <c r="D1026" s="4" t="str">
        <f>IFERROR(__xludf.DUMMYFUNCTION("""COMPUTED_VALUE""")," ")</f>
        <v> </v>
      </c>
    </row>
    <row r="1027">
      <c r="A1027" s="5" t="s">
        <v>4424</v>
      </c>
      <c r="B1027" s="4" t="str">
        <f>IFERROR(__xludf.DUMMYFUNCTION("SPLIT(A1027,"""""")"")"),"( arctic_b0434 ")</f>
        <v>( arctic_b0434 </v>
      </c>
      <c r="C1027" s="4" t="str">
        <f>IFERROR(__xludf.DUMMYFUNCTION("""COMPUTED_VALUE"""),"The steward has just tendered me a respectful bit of advice.")</f>
        <v>The steward has just tendered me a respectful bit of advice.</v>
      </c>
      <c r="D1027" s="4" t="str">
        <f>IFERROR(__xludf.DUMMYFUNCTION("""COMPUTED_VALUE""")," ")</f>
        <v> </v>
      </c>
    </row>
    <row r="1028">
      <c r="A1028" s="5" t="s">
        <v>4425</v>
      </c>
      <c r="B1028" s="4" t="str">
        <f>IFERROR(__xludf.DUMMYFUNCTION("SPLIT(A1028,"""""")"")"),"( arctic_b0435 ")</f>
        <v>( arctic_b0435 </v>
      </c>
      <c r="C1028" s="4" t="str">
        <f>IFERROR(__xludf.DUMMYFUNCTION("""COMPUTED_VALUE"""),"Well, did they eat.")</f>
        <v>Well, did they eat.</v>
      </c>
      <c r="D1028" s="4" t="str">
        <f>IFERROR(__xludf.DUMMYFUNCTION("""COMPUTED_VALUE""")," ")</f>
        <v> </v>
      </c>
    </row>
    <row r="1029">
      <c r="A1029" s="5" t="s">
        <v>4426</v>
      </c>
      <c r="B1029" s="4" t="str">
        <f>IFERROR(__xludf.DUMMYFUNCTION("SPLIT(A1029,"""""")"")"),"( arctic_b0436 ")</f>
        <v>( arctic_b0436 </v>
      </c>
      <c r="C1029" s="4" t="str">
        <f>IFERROR(__xludf.DUMMYFUNCTION("""COMPUTED_VALUE"""),"Famine had been my great ally.")</f>
        <v>Famine had been my great ally.</v>
      </c>
      <c r="D1029" s="4" t="str">
        <f>IFERROR(__xludf.DUMMYFUNCTION("""COMPUTED_VALUE""")," ")</f>
        <v> </v>
      </c>
    </row>
    <row r="1030">
      <c r="A1030" s="5" t="s">
        <v>4427</v>
      </c>
      <c r="B1030" s="4" t="str">
        <f>IFERROR(__xludf.DUMMYFUNCTION("SPLIT(A1030,"""""")"")"),"( arctic_b0437 ")</f>
        <v>( arctic_b0437 </v>
      </c>
      <c r="C1030" s="4" t="str">
        <f>IFERROR(__xludf.DUMMYFUNCTION("""COMPUTED_VALUE"""),"Nowhere in the North is the soil so prolific.")</f>
        <v>Nowhere in the North is the soil so prolific.</v>
      </c>
      <c r="D1030" s="4" t="str">
        <f>IFERROR(__xludf.DUMMYFUNCTION("""COMPUTED_VALUE""")," ")</f>
        <v> </v>
      </c>
    </row>
    <row r="1031">
      <c r="A1031" s="5" t="s">
        <v>4428</v>
      </c>
      <c r="B1031" s="4" t="str">
        <f>IFERROR(__xludf.DUMMYFUNCTION("SPLIT(A1031,"""""")"")"),"( arctic_b0438 ")</f>
        <v>( arctic_b0438 </v>
      </c>
      <c r="C1031" s="4" t="str">
        <f>IFERROR(__xludf.DUMMYFUNCTION("""COMPUTED_VALUE"""),"They ran the canoe in and climbed the high earth bank.")</f>
        <v>They ran the canoe in and climbed the high earth bank.</v>
      </c>
      <c r="D1031" s="4" t="str">
        <f>IFERROR(__xludf.DUMMYFUNCTION("""COMPUTED_VALUE""")," ")</f>
        <v> </v>
      </c>
    </row>
    <row r="1032">
      <c r="A1032" s="5" t="s">
        <v>4429</v>
      </c>
      <c r="B1032" s="4" t="str">
        <f>IFERROR(__xludf.DUMMYFUNCTION("SPLIT(A1032,"""""")"")"),"( arctic_b0439 ")</f>
        <v>( arctic_b0439 </v>
      </c>
      <c r="C1032" s="4" t="str">
        <f>IFERROR(__xludf.DUMMYFUNCTION("""COMPUTED_VALUE"""),"The land exchanged its austere robes for the garb of a smiling wanton.")</f>
        <v>The land exchanged its austere robes for the garb of a smiling wanton.</v>
      </c>
      <c r="D1032" s="4" t="str">
        <f>IFERROR(__xludf.DUMMYFUNCTION("""COMPUTED_VALUE""")," ")</f>
        <v> </v>
      </c>
    </row>
    <row r="1033">
      <c r="A1033" s="5" t="s">
        <v>4430</v>
      </c>
      <c r="B1033" s="4" t="str">
        <f>IFERROR(__xludf.DUMMYFUNCTION("SPLIT(A1033,"""""")"")"),"( arctic_b0440 ")</f>
        <v>( arctic_b0440 </v>
      </c>
      <c r="C1033" s="4" t="str">
        <f>IFERROR(__xludf.DUMMYFUNCTION("""COMPUTED_VALUE"""),"There were stir and bustle, new faces, and fresh facts.")</f>
        <v>There were stir and bustle, new faces, and fresh facts.</v>
      </c>
      <c r="D1033" s="4" t="str">
        <f>IFERROR(__xludf.DUMMYFUNCTION("""COMPUTED_VALUE""")," ")</f>
        <v> </v>
      </c>
    </row>
    <row r="1034">
      <c r="A1034" s="5" t="s">
        <v>4431</v>
      </c>
      <c r="B1034" s="4" t="str">
        <f>IFERROR(__xludf.DUMMYFUNCTION("SPLIT(A1034,"""""")"")"),"( arctic_b0441 ")</f>
        <v>( arctic_b0441 </v>
      </c>
      <c r="C1034" s="4" t="str">
        <f>IFERROR(__xludf.DUMMYFUNCTION("""COMPUTED_VALUE"""),"And there was Ethel Baird, whom also you must remember.")</f>
        <v>And there was Ethel Baird, whom also you must remember.</v>
      </c>
      <c r="D1034" s="4" t="str">
        <f>IFERROR(__xludf.DUMMYFUNCTION("""COMPUTED_VALUE""")," ")</f>
        <v> </v>
      </c>
    </row>
    <row r="1035">
      <c r="A1035" s="5" t="s">
        <v>4432</v>
      </c>
      <c r="B1035" s="4" t="str">
        <f>IFERROR(__xludf.DUMMYFUNCTION("SPLIT(A1035,"""""")"")"),"( arctic_b0442 ")</f>
        <v>( arctic_b0442 </v>
      </c>
      <c r="C1035" s="4" t="str">
        <f>IFERROR(__xludf.DUMMYFUNCTION("""COMPUTED_VALUE"""),"He had become a man very early in life.")</f>
        <v>He had become a man very early in life.</v>
      </c>
      <c r="D1035" s="4" t="str">
        <f>IFERROR(__xludf.DUMMYFUNCTION("""COMPUTED_VALUE""")," ")</f>
        <v> </v>
      </c>
    </row>
    <row r="1036">
      <c r="A1036" s="5" t="s">
        <v>4433</v>
      </c>
      <c r="B1036" s="4" t="str">
        <f>IFERROR(__xludf.DUMMYFUNCTION("SPLIT(A1036,"""""")"")"),"( arctic_b0443 ")</f>
        <v>( arctic_b0443 </v>
      </c>
      <c r="C1036" s="4" t="str">
        <f>IFERROR(__xludf.DUMMYFUNCTION("""COMPUTED_VALUE"""),"I did not think you would be so early.")</f>
        <v>I did not think you would be so early.</v>
      </c>
      <c r="D1036" s="4" t="str">
        <f>IFERROR(__xludf.DUMMYFUNCTION("""COMPUTED_VALUE""")," ")</f>
        <v> </v>
      </c>
    </row>
    <row r="1037">
      <c r="A1037" s="5" t="s">
        <v>4434</v>
      </c>
      <c r="B1037" s="4" t="str">
        <f>IFERROR(__xludf.DUMMYFUNCTION("SPLIT(A1037,"""""")"")"),"( arctic_b0444 ")</f>
        <v>( arctic_b0444 </v>
      </c>
      <c r="C1037" s="4" t="str">
        <f>IFERROR(__xludf.DUMMYFUNCTION("""COMPUTED_VALUE"""),"He did not know what went on in the minds of his superiors.")</f>
        <v>He did not know what went on in the minds of his superiors.</v>
      </c>
      <c r="D1037" s="4" t="str">
        <f>IFERROR(__xludf.DUMMYFUNCTION("""COMPUTED_VALUE""")," ")</f>
        <v> </v>
      </c>
    </row>
    <row r="1038">
      <c r="A1038" s="5" t="s">
        <v>4435</v>
      </c>
      <c r="B1038" s="4" t="str">
        <f>IFERROR(__xludf.DUMMYFUNCTION("SPLIT(A1038,"""""")"")"),"( arctic_b0445 ")</f>
        <v>( arctic_b0445 </v>
      </c>
      <c r="C1038" s="4" t="str">
        <f>IFERROR(__xludf.DUMMYFUNCTION("""COMPUTED_VALUE"""),"Mops, sir, eagerly answered the sailor at the wheel.")</f>
        <v>Mops, sir, eagerly answered the sailor at the wheel.</v>
      </c>
      <c r="D1038" s="4" t="str">
        <f>IFERROR(__xludf.DUMMYFUNCTION("""COMPUTED_VALUE""")," ")</f>
        <v> </v>
      </c>
    </row>
    <row r="1039">
      <c r="A1039" s="5" t="s">
        <v>4436</v>
      </c>
      <c r="B1039" s="4" t="str">
        <f>IFERROR(__xludf.DUMMYFUNCTION("SPLIT(A1039,"""""")"")"),"( arctic_b0446 ")</f>
        <v>( arctic_b0446 </v>
      </c>
      <c r="C1039" s="4" t="str">
        <f>IFERROR(__xludf.DUMMYFUNCTION("""COMPUTED_VALUE"""),"Some one had thrust a large sheath-knife into his hand.")</f>
        <v>Some one had thrust a large sheath-knife into his hand.</v>
      </c>
      <c r="D1039" s="4" t="str">
        <f>IFERROR(__xludf.DUMMYFUNCTION("""COMPUTED_VALUE""")," ")</f>
        <v> </v>
      </c>
    </row>
    <row r="1040">
      <c r="A1040" s="5" t="s">
        <v>4437</v>
      </c>
      <c r="B1040" s="4" t="str">
        <f>IFERROR(__xludf.DUMMYFUNCTION("SPLIT(A1040,"""""")"")"),"( arctic_b0447 ")</f>
        <v>( arctic_b0447 </v>
      </c>
      <c r="C1040" s="4" t="str">
        <f>IFERROR(__xludf.DUMMYFUNCTION("""COMPUTED_VALUE"""),"O'Brien emitted a shriek that sank swiftly to a gurgling sob.")</f>
        <v>O'Brien emitted a shriek that sank swiftly to a gurgling sob.</v>
      </c>
      <c r="D1040" s="4" t="str">
        <f>IFERROR(__xludf.DUMMYFUNCTION("""COMPUTED_VALUE""")," ")</f>
        <v> </v>
      </c>
    </row>
    <row r="1041">
      <c r="A1041" s="5" t="s">
        <v>4438</v>
      </c>
      <c r="B1041" s="4" t="str">
        <f>IFERROR(__xludf.DUMMYFUNCTION("SPLIT(A1041,"""""")"")"),"( arctic_b0448 ")</f>
        <v>( arctic_b0448 </v>
      </c>
      <c r="C1041" s="4" t="str">
        <f>IFERROR(__xludf.DUMMYFUNCTION("""COMPUTED_VALUE"""),"Sandel would never become a world champion.")</f>
        <v>Sandel would never become a world champion.</v>
      </c>
      <c r="D1041" s="4" t="str">
        <f>IFERROR(__xludf.DUMMYFUNCTION("""COMPUTED_VALUE""")," ")</f>
        <v> </v>
      </c>
    </row>
    <row r="1042">
      <c r="A1042" s="5" t="s">
        <v>4439</v>
      </c>
      <c r="B1042" s="4" t="str">
        <f>IFERROR(__xludf.DUMMYFUNCTION("SPLIT(A1042,"""""")"")"),"( arctic_b0449 ")</f>
        <v>( arctic_b0449 </v>
      </c>
      <c r="C1042" s="4" t="str">
        <f>IFERROR(__xludf.DUMMYFUNCTION("""COMPUTED_VALUE"""),"Also, she wouldn't walk.")</f>
        <v>Also, she wouldn't walk.</v>
      </c>
      <c r="D1042" s="4" t="str">
        <f>IFERROR(__xludf.DUMMYFUNCTION("""COMPUTED_VALUE""")," ")</f>
        <v> </v>
      </c>
    </row>
    <row r="1043">
      <c r="A1043" s="5" t="s">
        <v>4440</v>
      </c>
      <c r="B1043" s="4" t="str">
        <f>IFERROR(__xludf.DUMMYFUNCTION("SPLIT(A1043,"""""")"")"),"( arctic_b0450 ")</f>
        <v>( arctic_b0450 </v>
      </c>
      <c r="C1043" s="4" t="str">
        <f>IFERROR(__xludf.DUMMYFUNCTION("""COMPUTED_VALUE"""),"To my dearest and always appreciated friend, I submit myself.")</f>
        <v>To my dearest and always appreciated friend, I submit myself.</v>
      </c>
      <c r="D1043" s="4" t="str">
        <f>IFERROR(__xludf.DUMMYFUNCTION("""COMPUTED_VALUE""")," ")</f>
        <v> </v>
      </c>
    </row>
    <row r="1044">
      <c r="A1044" s="5" t="s">
        <v>4441</v>
      </c>
      <c r="B1044" s="4" t="str">
        <f>IFERROR(__xludf.DUMMYFUNCTION("SPLIT(A1044,"""""")"")"),"( arctic_b0451 ")</f>
        <v>( arctic_b0451 </v>
      </c>
      <c r="C1044" s="4" t="str">
        <f>IFERROR(__xludf.DUMMYFUNCTION("""COMPUTED_VALUE"""),"You used to joyride like the very devil.")</f>
        <v>You used to joyride like the very devil.</v>
      </c>
      <c r="D1044" s="4" t="str">
        <f>IFERROR(__xludf.DUMMYFUNCTION("""COMPUTED_VALUE""")," ")</f>
        <v> </v>
      </c>
    </row>
    <row r="1045">
      <c r="A1045" s="5" t="s">
        <v>4442</v>
      </c>
      <c r="B1045" s="4" t="str">
        <f>IFERROR(__xludf.DUMMYFUNCTION("SPLIT(A1045,"""""")"")"),"( arctic_b0452 ")</f>
        <v>( arctic_b0452 </v>
      </c>
      <c r="C1045" s="4" t="str">
        <f>IFERROR(__xludf.DUMMYFUNCTION("""COMPUTED_VALUE"""),"They saw each other for the first time in Boston.")</f>
        <v>They saw each other for the first time in Boston.</v>
      </c>
      <c r="D1045" s="4" t="str">
        <f>IFERROR(__xludf.DUMMYFUNCTION("""COMPUTED_VALUE""")," ")</f>
        <v> </v>
      </c>
    </row>
    <row r="1046">
      <c r="A1046" s="5" t="s">
        <v>4443</v>
      </c>
      <c r="B1046" s="4" t="str">
        <f>IFERROR(__xludf.DUMMYFUNCTION("SPLIT(A1046,"""""")"")"),"( arctic_b0453 ")</f>
        <v>( arctic_b0453 </v>
      </c>
      <c r="C1046" s="4" t="str">
        <f>IFERROR(__xludf.DUMMYFUNCTION("""COMPUTED_VALUE"""),"Isaac Ford, the austere soldier of the Lord, the old hypocrite.")</f>
        <v>Isaac Ford, the austere soldier of the Lord, the old hypocrite.</v>
      </c>
      <c r="D1046" s="4" t="str">
        <f>IFERROR(__xludf.DUMMYFUNCTION("""COMPUTED_VALUE""")," ")</f>
        <v> </v>
      </c>
    </row>
    <row r="1047">
      <c r="A1047" s="5" t="s">
        <v>4444</v>
      </c>
      <c r="B1047" s="4" t="str">
        <f>IFERROR(__xludf.DUMMYFUNCTION("SPLIT(A1047,"""""")"")"),"( arctic_b0454 ")</f>
        <v>( arctic_b0454 </v>
      </c>
      <c r="C1047" s="4" t="str">
        <f>IFERROR(__xludf.DUMMYFUNCTION("""COMPUTED_VALUE"""),"Eighteen, he added.")</f>
        <v>Eighteen, he added.</v>
      </c>
      <c r="D1047" s="4" t="str">
        <f>IFERROR(__xludf.DUMMYFUNCTION("""COMPUTED_VALUE""")," ")</f>
        <v> </v>
      </c>
    </row>
    <row r="1048">
      <c r="A1048" s="5" t="s">
        <v>4445</v>
      </c>
      <c r="B1048" s="4" t="str">
        <f>IFERROR(__xludf.DUMMYFUNCTION("SPLIT(A1048,"""""")"")"),"( arctic_b0455 ")</f>
        <v>( arctic_b0455 </v>
      </c>
      <c r="C1048" s="4" t="str">
        <f>IFERROR(__xludf.DUMMYFUNCTION("""COMPUTED_VALUE"""),"His reward should have been peace and repose.")</f>
        <v>His reward should have been peace and repose.</v>
      </c>
      <c r="D1048" s="4" t="str">
        <f>IFERROR(__xludf.DUMMYFUNCTION("""COMPUTED_VALUE""")," ")</f>
        <v> </v>
      </c>
    </row>
    <row r="1049">
      <c r="A1049" s="5" t="s">
        <v>4446</v>
      </c>
      <c r="B1049" s="4" t="str">
        <f>IFERROR(__xludf.DUMMYFUNCTION("SPLIT(A1049,"""""")"")"),"( arctic_b0456 ")</f>
        <v>( arctic_b0456 </v>
      </c>
      <c r="C1049" s="4" t="str">
        <f>IFERROR(__xludf.DUMMYFUNCTION("""COMPUTED_VALUE"""),"He was an amphibian and a mountaineer.")</f>
        <v>He was an amphibian and a mountaineer.</v>
      </c>
      <c r="D1049" s="4" t="str">
        <f>IFERROR(__xludf.DUMMYFUNCTION("""COMPUTED_VALUE""")," ")</f>
        <v> </v>
      </c>
    </row>
    <row r="1050">
      <c r="A1050" s="5" t="s">
        <v>4447</v>
      </c>
      <c r="B1050" s="4" t="str">
        <f>IFERROR(__xludf.DUMMYFUNCTION("SPLIT(A1050,"""""")"")"),"( arctic_b0457 ")</f>
        <v>( arctic_b0457 </v>
      </c>
      <c r="C1050" s="4" t="str">
        <f>IFERROR(__xludf.DUMMYFUNCTION("""COMPUTED_VALUE"""),"It was sanctification and salvation.")</f>
        <v>It was sanctification and salvation.</v>
      </c>
      <c r="D1050" s="4" t="str">
        <f>IFERROR(__xludf.DUMMYFUNCTION("""COMPUTED_VALUE""")," ")</f>
        <v> </v>
      </c>
    </row>
    <row r="1051">
      <c r="A1051" s="5" t="s">
        <v>4448</v>
      </c>
      <c r="B1051" s="4" t="str">
        <f>IFERROR(__xludf.DUMMYFUNCTION("SPLIT(A1051,"""""")"")"),"( arctic_b0458 ")</f>
        <v>( arctic_b0458 </v>
      </c>
      <c r="C1051" s="4" t="str">
        <f>IFERROR(__xludf.DUMMYFUNCTION("""COMPUTED_VALUE"""),"The history of the eighteenth century is written, Ernest prompted.")</f>
        <v>The history of the eighteenth century is written, Ernest prompted.</v>
      </c>
      <c r="D1051" s="4" t="str">
        <f>IFERROR(__xludf.DUMMYFUNCTION("""COMPUTED_VALUE""")," ")</f>
        <v> </v>
      </c>
    </row>
    <row r="1052">
      <c r="A1052" s="5" t="s">
        <v>4449</v>
      </c>
      <c r="B1052" s="4" t="str">
        <f>IFERROR(__xludf.DUMMYFUNCTION("SPLIT(A1052,"""""")"")"),"( arctic_b0459 ")</f>
        <v>( arctic_b0459 </v>
      </c>
      <c r="C1052" s="4" t="str">
        <f>IFERROR(__xludf.DUMMYFUNCTION("""COMPUTED_VALUE"""),"They are not biologists nor sociologists.")</f>
        <v>They are not biologists nor sociologists.</v>
      </c>
      <c r="D1052" s="4" t="str">
        <f>IFERROR(__xludf.DUMMYFUNCTION("""COMPUTED_VALUE""")," ")</f>
        <v> </v>
      </c>
    </row>
    <row r="1053">
      <c r="A1053" s="5" t="s">
        <v>4450</v>
      </c>
      <c r="B1053" s="4" t="str">
        <f>IFERROR(__xludf.DUMMYFUNCTION("SPLIT(A1053,"""""")"")"),"( arctic_b0460 ")</f>
        <v>( arctic_b0460 </v>
      </c>
      <c r="C1053" s="4" t="str">
        <f>IFERROR(__xludf.DUMMYFUNCTION("""COMPUTED_VALUE"""),"The more his opponents grew excited, the more Ernest deliberately excited them.")</f>
        <v>The more his opponents grew excited, the more Ernest deliberately excited them.</v>
      </c>
      <c r="D1053" s="4" t="str">
        <f>IFERROR(__xludf.DUMMYFUNCTION("""COMPUTED_VALUE""")," ")</f>
        <v> </v>
      </c>
    </row>
    <row r="1054">
      <c r="A1054" s="5" t="s">
        <v>4451</v>
      </c>
      <c r="B1054" s="4" t="str">
        <f>IFERROR(__xludf.DUMMYFUNCTION("SPLIT(A1054,"""""")"")"),"( arctic_b0461 ")</f>
        <v>( arctic_b0461 </v>
      </c>
      <c r="C1054" s="4" t="str">
        <f>IFERROR(__xludf.DUMMYFUNCTION("""COMPUTED_VALUE"""),"By virtue of that power we shall remain in power.")</f>
        <v>By virtue of that power we shall remain in power.</v>
      </c>
      <c r="D1054" s="4" t="str">
        <f>IFERROR(__xludf.DUMMYFUNCTION("""COMPUTED_VALUE""")," ")</f>
        <v> </v>
      </c>
    </row>
    <row r="1055">
      <c r="A1055" s="5" t="s">
        <v>4452</v>
      </c>
      <c r="B1055" s="4" t="str">
        <f>IFERROR(__xludf.DUMMYFUNCTION("SPLIT(A1055,"""""")"")"),"( arctic_b0462 ")</f>
        <v>( arctic_b0462 </v>
      </c>
      <c r="C1055" s="4" t="str">
        <f>IFERROR(__xludf.DUMMYFUNCTION("""COMPUTED_VALUE"""),"One guess will do, Ernest retorted.")</f>
        <v>One guess will do, Ernest retorted.</v>
      </c>
      <c r="D1055" s="4" t="str">
        <f>IFERROR(__xludf.DUMMYFUNCTION("""COMPUTED_VALUE""")," ")</f>
        <v> </v>
      </c>
    </row>
    <row r="1056">
      <c r="A1056" s="5" t="s">
        <v>4453</v>
      </c>
      <c r="B1056" s="4" t="str">
        <f>IFERROR(__xludf.DUMMYFUNCTION("SPLIT(A1056,"""""")"")"),"( arctic_b0463 ")</f>
        <v>( arctic_b0463 </v>
      </c>
      <c r="C1056" s="4" t="str">
        <f>IFERROR(__xludf.DUMMYFUNCTION("""COMPUTED_VALUE"""),"Take my advice and accept the vacation.")</f>
        <v>Take my advice and accept the vacation.</v>
      </c>
      <c r="D1056" s="4" t="str">
        <f>IFERROR(__xludf.DUMMYFUNCTION("""COMPUTED_VALUE""")," ")</f>
        <v> </v>
      </c>
    </row>
    <row r="1057">
      <c r="A1057" s="5" t="s">
        <v>4454</v>
      </c>
      <c r="B1057" s="4" t="str">
        <f>IFERROR(__xludf.DUMMYFUNCTION("SPLIT(A1057,"""""")"")"),"( arctic_b0464 ")</f>
        <v>( arctic_b0464 </v>
      </c>
      <c r="C1057" s="4" t="str">
        <f>IFERROR(__xludf.DUMMYFUNCTION("""COMPUTED_VALUE"""),"I could not agree with Ernest.")</f>
        <v>I could not agree with Ernest.</v>
      </c>
      <c r="D1057" s="4" t="str">
        <f>IFERROR(__xludf.DUMMYFUNCTION("""COMPUTED_VALUE""")," ")</f>
        <v> </v>
      </c>
    </row>
    <row r="1058">
      <c r="A1058" s="5" t="s">
        <v>4455</v>
      </c>
      <c r="B1058" s="4" t="str">
        <f>IFERROR(__xludf.DUMMYFUNCTION("SPLIT(A1058,"""""")"")"),"( arctic_b0465 ")</f>
        <v>( arctic_b0465 </v>
      </c>
      <c r="C1058" s="4" t="str">
        <f>IFERROR(__xludf.DUMMYFUNCTION("""COMPUTED_VALUE"""),"But such divergence of opinion would constitute no menace to society.")</f>
        <v>But such divergence of opinion would constitute no menace to society.</v>
      </c>
      <c r="D1058" s="4" t="str">
        <f>IFERROR(__xludf.DUMMYFUNCTION("""COMPUTED_VALUE""")," ")</f>
        <v> </v>
      </c>
    </row>
    <row r="1059">
      <c r="A1059" s="5" t="s">
        <v>4456</v>
      </c>
      <c r="B1059" s="4" t="str">
        <f>IFERROR(__xludf.DUMMYFUNCTION("SPLIT(A1059,"""""")"")"),"( arctic_b0466 ")</f>
        <v>( arctic_b0466 </v>
      </c>
      <c r="C1059" s="4" t="str">
        <f>IFERROR(__xludf.DUMMYFUNCTION("""COMPUTED_VALUE"""),"It is dog eat dog, and you ate them up.")</f>
        <v>It is dog eat dog, and you ate them up.</v>
      </c>
      <c r="D1059" s="4" t="str">
        <f>IFERROR(__xludf.DUMMYFUNCTION("""COMPUTED_VALUE""")," ")</f>
        <v> </v>
      </c>
    </row>
    <row r="1060">
      <c r="A1060" s="5" t="s">
        <v>4457</v>
      </c>
      <c r="B1060" s="4" t="str">
        <f>IFERROR(__xludf.DUMMYFUNCTION("SPLIT(A1060,"""""")"")"),"( arctic_b0467 ")</f>
        <v>( arctic_b0467 </v>
      </c>
      <c r="C1060" s="4" t="str">
        <f>IFERROR(__xludf.DUMMYFUNCTION("""COMPUTED_VALUE"""),"Let us run them for ourselves.")</f>
        <v>Let us run them for ourselves.</v>
      </c>
      <c r="D1060" s="4" t="str">
        <f>IFERROR(__xludf.DUMMYFUNCTION("""COMPUTED_VALUE""")," ")</f>
        <v> </v>
      </c>
    </row>
    <row r="1061">
      <c r="A1061" s="5" t="s">
        <v>4458</v>
      </c>
      <c r="B1061" s="4" t="str">
        <f>IFERROR(__xludf.DUMMYFUNCTION("SPLIT(A1061,"""""")"")"),"( arctic_b0468 ")</f>
        <v>( arctic_b0468 </v>
      </c>
      <c r="C1061" s="4" t="str">
        <f>IFERROR(__xludf.DUMMYFUNCTION("""COMPUTED_VALUE"""),"It was introduced by Representative Dick of Ohio.")</f>
        <v>It was introduced by Representative Dick of Ohio.</v>
      </c>
      <c r="D1061" s="4" t="str">
        <f>IFERROR(__xludf.DUMMYFUNCTION("""COMPUTED_VALUE""")," ")</f>
        <v> </v>
      </c>
    </row>
    <row r="1062">
      <c r="A1062" s="5" t="s">
        <v>4459</v>
      </c>
      <c r="B1062" s="4" t="str">
        <f>IFERROR(__xludf.DUMMYFUNCTION("SPLIT(A1062,"""""")"")"),"( arctic_b0469 ")</f>
        <v>( arctic_b0469 </v>
      </c>
      <c r="C1062" s="4" t="str">
        <f>IFERROR(__xludf.DUMMYFUNCTION("""COMPUTED_VALUE"""),"Very few people knew of the existence of this law.")</f>
        <v>Very few people knew of the existence of this law.</v>
      </c>
      <c r="D1062" s="4" t="str">
        <f>IFERROR(__xludf.DUMMYFUNCTION("""COMPUTED_VALUE""")," ")</f>
        <v> </v>
      </c>
    </row>
    <row r="1063">
      <c r="A1063" s="5" t="s">
        <v>4460</v>
      </c>
      <c r="B1063" s="4" t="str">
        <f>IFERROR(__xludf.DUMMYFUNCTION("SPLIT(A1063,"""""")"")"),"( arctic_b0470 ")</f>
        <v>( arctic_b0470 </v>
      </c>
      <c r="C1063" s="4" t="str">
        <f>IFERROR(__xludf.DUMMYFUNCTION("""COMPUTED_VALUE"""),"The very thing, Ernest agreed.")</f>
        <v>The very thing, Ernest agreed.</v>
      </c>
      <c r="D1063" s="4" t="str">
        <f>IFERROR(__xludf.DUMMYFUNCTION("""COMPUTED_VALUE""")," ")</f>
        <v> </v>
      </c>
    </row>
    <row r="1064">
      <c r="A1064" s="5" t="s">
        <v>4461</v>
      </c>
      <c r="B1064" s="4" t="str">
        <f>IFERROR(__xludf.DUMMYFUNCTION("SPLIT(A1064,"""""")"")"),"( arctic_b0471 ")</f>
        <v>( arctic_b0471 </v>
      </c>
      <c r="C1064" s="4" t="str">
        <f>IFERROR(__xludf.DUMMYFUNCTION("""COMPUTED_VALUE"""),"Also a fellow Senator, Chauncey Depew, said.")</f>
        <v>Also a fellow Senator, Chauncey Depew, said.</v>
      </c>
      <c r="D1064" s="4" t="str">
        <f>IFERROR(__xludf.DUMMYFUNCTION("""COMPUTED_VALUE""")," ")</f>
        <v> </v>
      </c>
    </row>
    <row r="1065">
      <c r="A1065" s="5" t="s">
        <v>4462</v>
      </c>
      <c r="B1065" s="4" t="str">
        <f>IFERROR(__xludf.DUMMYFUNCTION("SPLIT(A1065,"""""")"")"),"( arctic_b0472 ")</f>
        <v>( arctic_b0472 </v>
      </c>
      <c r="C1065" s="4" t="str">
        <f>IFERROR(__xludf.DUMMYFUNCTION("""COMPUTED_VALUE"""),"Ernest saw in the affair the most sinister import.")</f>
        <v>Ernest saw in the affair the most sinister import.</v>
      </c>
      <c r="D1065" s="4" t="str">
        <f>IFERROR(__xludf.DUMMYFUNCTION("""COMPUTED_VALUE""")," ")</f>
        <v> </v>
      </c>
    </row>
    <row r="1066">
      <c r="A1066" s="5" t="s">
        <v>4463</v>
      </c>
      <c r="B1066" s="4" t="str">
        <f>IFERROR(__xludf.DUMMYFUNCTION("SPLIT(A1066,"""""")"")"),"( arctic_b0473 ")</f>
        <v>( arctic_b0473 </v>
      </c>
      <c r="C1066" s="4" t="str">
        <f>IFERROR(__xludf.DUMMYFUNCTION("""COMPUTED_VALUE"""),"Then there was the campaign.")</f>
        <v>Then there was the campaign.</v>
      </c>
      <c r="D1066" s="4" t="str">
        <f>IFERROR(__xludf.DUMMYFUNCTION("""COMPUTED_VALUE""")," ")</f>
        <v> </v>
      </c>
    </row>
    <row r="1067">
      <c r="A1067" s="5" t="s">
        <v>4464</v>
      </c>
      <c r="B1067" s="4" t="str">
        <f>IFERROR(__xludf.DUMMYFUNCTION("SPLIT(A1067,"""""")"")"),"( arctic_b0474 ")</f>
        <v>( arctic_b0474 </v>
      </c>
      <c r="C1067" s="4" t="str">
        <f>IFERROR(__xludf.DUMMYFUNCTION("""COMPUTED_VALUE"""),"He was manifestly distressed by my coming.")</f>
        <v>He was manifestly distressed by my coming.</v>
      </c>
      <c r="D1067" s="4" t="str">
        <f>IFERROR(__xludf.DUMMYFUNCTION("""COMPUTED_VALUE""")," ")</f>
        <v> </v>
      </c>
    </row>
    <row r="1068">
      <c r="A1068" s="5" t="s">
        <v>4465</v>
      </c>
      <c r="B1068" s="4" t="str">
        <f>IFERROR(__xludf.DUMMYFUNCTION("SPLIT(A1068,"""""")"")"),"( arctic_b0475 ")</f>
        <v>( arctic_b0475 </v>
      </c>
      <c r="C1068" s="4" t="str">
        <f>IFERROR(__xludf.DUMMYFUNCTION("""COMPUTED_VALUE"""),"Not a wheel moved in his empire.")</f>
        <v>Not a wheel moved in his empire.</v>
      </c>
      <c r="D1068" s="4" t="str">
        <f>IFERROR(__xludf.DUMMYFUNCTION("""COMPUTED_VALUE""")," ")</f>
        <v> </v>
      </c>
    </row>
    <row r="1069">
      <c r="A1069" s="5" t="s">
        <v>4466</v>
      </c>
      <c r="B1069" s="4" t="str">
        <f>IFERROR(__xludf.DUMMYFUNCTION("SPLIT(A1069,"""""")"")"),"( arctic_b0476 ")</f>
        <v>( arctic_b0476 </v>
      </c>
      <c r="C1069" s="4" t="str">
        <f>IFERROR(__xludf.DUMMYFUNCTION("""COMPUTED_VALUE"""),"The reorganization of these countries took the form of revolution.")</f>
        <v>The reorganization of these countries took the form of revolution.</v>
      </c>
      <c r="D1069" s="4" t="str">
        <f>IFERROR(__xludf.DUMMYFUNCTION("""COMPUTED_VALUE""")," ")</f>
        <v> </v>
      </c>
    </row>
    <row r="1070">
      <c r="A1070" s="5" t="s">
        <v>4467</v>
      </c>
      <c r="B1070" s="4" t="str">
        <f>IFERROR(__xludf.DUMMYFUNCTION("SPLIT(A1070,"""""")"")"),"( arctic_b0477 ")</f>
        <v>( arctic_b0477 </v>
      </c>
      <c r="C1070" s="4" t="str">
        <f>IFERROR(__xludf.DUMMYFUNCTION("""COMPUTED_VALUE"""),"You're going in for grab sharing.")</f>
        <v>You're going in for grab sharing.</v>
      </c>
      <c r="D1070" s="4" t="str">
        <f>IFERROR(__xludf.DUMMYFUNCTION("""COMPUTED_VALUE""")," ")</f>
        <v> </v>
      </c>
    </row>
    <row r="1071">
      <c r="A1071" s="5" t="s">
        <v>4468</v>
      </c>
      <c r="B1071" s="4" t="str">
        <f>IFERROR(__xludf.DUMMYFUNCTION("SPLIT(A1071,"""""")"")"),"( arctic_b0478 ")</f>
        <v>( arctic_b0478 </v>
      </c>
      <c r="C1071" s="4" t="str">
        <f>IFERROR(__xludf.DUMMYFUNCTION("""COMPUTED_VALUE"""),"The Oligarchy will encourage such ambition and the consequent competition.")</f>
        <v>The Oligarchy will encourage such ambition and the consequent competition.</v>
      </c>
      <c r="D1071" s="4" t="str">
        <f>IFERROR(__xludf.DUMMYFUNCTION("""COMPUTED_VALUE""")," ")</f>
        <v> </v>
      </c>
    </row>
    <row r="1072">
      <c r="A1072" s="5" t="s">
        <v>4469</v>
      </c>
      <c r="B1072" s="4" t="str">
        <f>IFERROR(__xludf.DUMMYFUNCTION("SPLIT(A1072,"""""")"")"),"( arctic_b0479 ")</f>
        <v>( arctic_b0479 </v>
      </c>
      <c r="C1072" s="4" t="str">
        <f>IFERROR(__xludf.DUMMYFUNCTION("""COMPUTED_VALUE"""),"Violation of this law was made a high misdemeanor and punished accordingly.")</f>
        <v>Violation of this law was made a high misdemeanor and punished accordingly.</v>
      </c>
      <c r="D1072" s="4" t="str">
        <f>IFERROR(__xludf.DUMMYFUNCTION("""COMPUTED_VALUE""")," ")</f>
        <v> </v>
      </c>
    </row>
    <row r="1073">
      <c r="A1073" s="5" t="s">
        <v>4470</v>
      </c>
      <c r="B1073" s="4" t="str">
        <f>IFERROR(__xludf.DUMMYFUNCTION("SPLIT(A1073,"""""")"")"),"( arctic_b0480 ")</f>
        <v>( arctic_b0480 </v>
      </c>
      <c r="C1073" s="4" t="str">
        <f>IFERROR(__xludf.DUMMYFUNCTION("""COMPUTED_VALUE"""),"Without discussion, it was the agents provocateurs who caused the Peasant Revolt.")</f>
        <v>Without discussion, it was the agents provocateurs who caused the Peasant Revolt.</v>
      </c>
      <c r="D1073" s="4" t="str">
        <f>IFERROR(__xludf.DUMMYFUNCTION("""COMPUTED_VALUE""")," ")</f>
        <v> </v>
      </c>
    </row>
    <row r="1074">
      <c r="A1074" s="5" t="s">
        <v>4471</v>
      </c>
      <c r="B1074" s="4" t="str">
        <f>IFERROR(__xludf.DUMMYFUNCTION("SPLIT(A1074,"""""")"")"),"( arctic_b0481 ")</f>
        <v>( arctic_b0481 </v>
      </c>
      <c r="C1074" s="4" t="str">
        <f>IFERROR(__xludf.DUMMYFUNCTION("""COMPUTED_VALUE"""),"The task we set ourselves was threefold.")</f>
        <v>The task we set ourselves was threefold.</v>
      </c>
      <c r="D1074" s="4" t="str">
        <f>IFERROR(__xludf.DUMMYFUNCTION("""COMPUTED_VALUE""")," ")</f>
        <v> </v>
      </c>
    </row>
    <row r="1075">
      <c r="A1075" s="5" t="s">
        <v>4472</v>
      </c>
      <c r="B1075" s="4" t="str">
        <f>IFERROR(__xludf.DUMMYFUNCTION("SPLIT(A1075,"""""")"")"),"( arctic_b0482 ")</f>
        <v>( arctic_b0482 </v>
      </c>
      <c r="C1075" s="4" t="str">
        <f>IFERROR(__xludf.DUMMYFUNCTION("""COMPUTED_VALUE"""),"Many other similar disconcerting omissions will be noticed in the Manuscript.")</f>
        <v>Many other similar disconcerting omissions will be noticed in the Manuscript.</v>
      </c>
      <c r="D1075" s="4" t="str">
        <f>IFERROR(__xludf.DUMMYFUNCTION("""COMPUTED_VALUE""")," ")</f>
        <v> </v>
      </c>
    </row>
    <row r="1076">
      <c r="A1076" s="5" t="s">
        <v>4473</v>
      </c>
      <c r="B1076" s="4" t="str">
        <f>IFERROR(__xludf.DUMMYFUNCTION("SPLIT(A1076,"""""")"")"),"( arctic_b0483 ")</f>
        <v>( arctic_b0483 </v>
      </c>
      <c r="C1076" s="4" t="str">
        <f>IFERROR(__xludf.DUMMYFUNCTION("""COMPUTED_VALUE"""),"The flower of the artistic and intellectual world were revolutionists.")</f>
        <v>The flower of the artistic and intellectual world were revolutionists.</v>
      </c>
      <c r="D1076" s="4" t="str">
        <f>IFERROR(__xludf.DUMMYFUNCTION("""COMPUTED_VALUE""")," ")</f>
        <v> </v>
      </c>
    </row>
    <row r="1077">
      <c r="A1077" s="5" t="s">
        <v>4474</v>
      </c>
      <c r="B1077" s="4" t="str">
        <f>IFERROR(__xludf.DUMMYFUNCTION("SPLIT(A1077,"""""")"")"),"( arctic_b0484 ")</f>
        <v>( arctic_b0484 </v>
      </c>
      <c r="C1077" s="4" t="str">
        <f>IFERROR(__xludf.DUMMYFUNCTION("""COMPUTED_VALUE"""),"This the Iron Heel foresaw and laid its schemes accordingly.")</f>
        <v>This the Iron Heel foresaw and laid its schemes accordingly.</v>
      </c>
      <c r="D1077" s="4" t="str">
        <f>IFERROR(__xludf.DUMMYFUNCTION("""COMPUTED_VALUE""")," ")</f>
        <v> </v>
      </c>
    </row>
    <row r="1078">
      <c r="A1078" s="5" t="s">
        <v>4475</v>
      </c>
      <c r="B1078" s="4" t="str">
        <f>IFERROR(__xludf.DUMMYFUNCTION("SPLIT(A1078,"""""")"")"),"( arctic_b0485 ")</f>
        <v>( arctic_b0485 </v>
      </c>
      <c r="C1078" s="4" t="str">
        <f>IFERROR(__xludf.DUMMYFUNCTION("""COMPUTED_VALUE"""),"The mob came on, but it could not advance.")</f>
        <v>The mob came on, but it could not advance.</v>
      </c>
      <c r="D1078" s="4" t="str">
        <f>IFERROR(__xludf.DUMMYFUNCTION("""COMPUTED_VALUE""")," ")</f>
        <v> </v>
      </c>
    </row>
    <row r="1079">
      <c r="A1079" s="5" t="s">
        <v>4476</v>
      </c>
      <c r="B1079" s="4" t="str">
        <f>IFERROR(__xludf.DUMMYFUNCTION("SPLIT(A1079,"""""")"")"),"( arctic_b0486 ")</f>
        <v>( arctic_b0486 </v>
      </c>
      <c r="C1079" s="4" t="str">
        <f>IFERROR(__xludf.DUMMYFUNCTION("""COMPUTED_VALUE"""),"But why continue the tirade, for tirade it was.")</f>
        <v>But why continue the tirade, for tirade it was.</v>
      </c>
      <c r="D1079" s="4" t="str">
        <f>IFERROR(__xludf.DUMMYFUNCTION("""COMPUTED_VALUE""")," ")</f>
        <v> </v>
      </c>
    </row>
    <row r="1080">
      <c r="A1080" s="5" t="s">
        <v>4477</v>
      </c>
      <c r="B1080" s="4" t="str">
        <f>IFERROR(__xludf.DUMMYFUNCTION("SPLIT(A1080,"""""")"")"),"( arctic_b0487 ")</f>
        <v>( arctic_b0487 </v>
      </c>
      <c r="C1080" s="4" t="str">
        <f>IFERROR(__xludf.DUMMYFUNCTION("""COMPUTED_VALUE"""),"After all superfluous flesh is gone what is left is stringy and resistant.")</f>
        <v>After all superfluous flesh is gone what is left is stringy and resistant.</v>
      </c>
      <c r="D1080" s="4" t="str">
        <f>IFERROR(__xludf.DUMMYFUNCTION("""COMPUTED_VALUE""")," ")</f>
        <v> </v>
      </c>
    </row>
    <row r="1081">
      <c r="A1081" s="5" t="s">
        <v>4478</v>
      </c>
      <c r="B1081" s="4" t="str">
        <f>IFERROR(__xludf.DUMMYFUNCTION("SPLIT(A1081,"""""")"")"),"( arctic_b0488 ")</f>
        <v>( arctic_b0488 </v>
      </c>
      <c r="C1081" s="4" t="str">
        <f>IFERROR(__xludf.DUMMYFUNCTION("""COMPUTED_VALUE"""),"Beyond refusing to sell us food, they left us to ourselves.")</f>
        <v>Beyond refusing to sell us food, they left us to ourselves.</v>
      </c>
      <c r="D1081" s="4" t="str">
        <f>IFERROR(__xludf.DUMMYFUNCTION("""COMPUTED_VALUE""")," ")</f>
        <v> </v>
      </c>
    </row>
    <row r="1082">
      <c r="A1082" s="5" t="s">
        <v>4479</v>
      </c>
      <c r="B1082" s="4" t="str">
        <f>IFERROR(__xludf.DUMMYFUNCTION("SPLIT(A1082,"""""")"")"),"( arctic_b0489 ")</f>
        <v>( arctic_b0489 </v>
      </c>
      <c r="C1082" s="4" t="str">
        <f>IFERROR(__xludf.DUMMYFUNCTION("""COMPUTED_VALUE"""),"He was a merry monarch, especially so for an Asiatic.")</f>
        <v>He was a merry monarch, especially so for an Asiatic.</v>
      </c>
      <c r="D1082" s="4" t="str">
        <f>IFERROR(__xludf.DUMMYFUNCTION("""COMPUTED_VALUE""")," ")</f>
        <v> </v>
      </c>
    </row>
    <row r="1083">
      <c r="A1083" s="5" t="s">
        <v>4480</v>
      </c>
      <c r="B1083" s="4" t="str">
        <f>IFERROR(__xludf.DUMMYFUNCTION("SPLIT(A1083,"""""")"")"),"( arctic_b0490 ")</f>
        <v>( arctic_b0490 </v>
      </c>
      <c r="C1083" s="4" t="str">
        <f>IFERROR(__xludf.DUMMYFUNCTION("""COMPUTED_VALUE"""),"What an excited whispering and conferring took place.")</f>
        <v>What an excited whispering and conferring took place.</v>
      </c>
      <c r="D1083" s="4" t="str">
        <f>IFERROR(__xludf.DUMMYFUNCTION("""COMPUTED_VALUE""")," ")</f>
        <v> </v>
      </c>
    </row>
    <row r="1084">
      <c r="A1084" s="5" t="s">
        <v>4481</v>
      </c>
      <c r="B1084" s="4" t="str">
        <f>IFERROR(__xludf.DUMMYFUNCTION("SPLIT(A1084,"""""")"")"),"( arctic_b0491 ")</f>
        <v>( arctic_b0491 </v>
      </c>
      <c r="C1084" s="4" t="str">
        <f>IFERROR(__xludf.DUMMYFUNCTION("""COMPUTED_VALUE"""),"Jacob Brinker, who was his roadmate, brought the news.")</f>
        <v>Jacob Brinker, who was his roadmate, brought the news.</v>
      </c>
      <c r="D1084" s="4" t="str">
        <f>IFERROR(__xludf.DUMMYFUNCTION("""COMPUTED_VALUE""")," ")</f>
        <v> </v>
      </c>
    </row>
    <row r="1085">
      <c r="A1085" s="5" t="s">
        <v>4482</v>
      </c>
      <c r="B1085" s="4" t="str">
        <f>IFERROR(__xludf.DUMMYFUNCTION("SPLIT(A1085,"""""")"")"),"( arctic_b0492 ")</f>
        <v>( arctic_b0492 </v>
      </c>
      <c r="C1085" s="4" t="str">
        <f>IFERROR(__xludf.DUMMYFUNCTION("""COMPUTED_VALUE"""),"Thus he turned the tenets and jargon of psychology back on me.")</f>
        <v>Thus he turned the tenets and jargon of psychology back on me.</v>
      </c>
      <c r="D1085" s="4" t="str">
        <f>IFERROR(__xludf.DUMMYFUNCTION("""COMPUTED_VALUE""")," ")</f>
        <v> </v>
      </c>
    </row>
    <row r="1086">
      <c r="A1086" s="5" t="s">
        <v>4483</v>
      </c>
      <c r="B1086" s="4" t="str">
        <f>IFERROR(__xludf.DUMMYFUNCTION("SPLIT(A1086,"""""")"")"),"( arctic_b0493 ")</f>
        <v>( arctic_b0493 </v>
      </c>
      <c r="C1086" s="4" t="str">
        <f>IFERROR(__xludf.DUMMYFUNCTION("""COMPUTED_VALUE"""),"You yellow giant thing of the frost.")</f>
        <v>You yellow giant thing of the frost.</v>
      </c>
      <c r="D1086" s="4" t="str">
        <f>IFERROR(__xludf.DUMMYFUNCTION("""COMPUTED_VALUE""")," ")</f>
        <v> </v>
      </c>
    </row>
    <row r="1087">
      <c r="A1087" s="5" t="s">
        <v>4484</v>
      </c>
      <c r="B1087" s="4" t="str">
        <f>IFERROR(__xludf.DUMMYFUNCTION("SPLIT(A1087,"""""")"")"),"( arctic_b0494 ")</f>
        <v>( arctic_b0494 </v>
      </c>
      <c r="C1087" s="4" t="str">
        <f>IFERROR(__xludf.DUMMYFUNCTION("""COMPUTED_VALUE"""),"Never so strange a prophet came up to Jerusalem.")</f>
        <v>Never so strange a prophet came up to Jerusalem.</v>
      </c>
      <c r="D1087" s="4" t="str">
        <f>IFERROR(__xludf.DUMMYFUNCTION("""COMPUTED_VALUE""")," ")</f>
        <v> </v>
      </c>
    </row>
    <row r="1088">
      <c r="A1088" s="5" t="s">
        <v>4485</v>
      </c>
      <c r="B1088" s="4" t="str">
        <f>IFERROR(__xludf.DUMMYFUNCTION("SPLIT(A1088,"""""")"")"),"( arctic_b0495 ")</f>
        <v>( arctic_b0495 </v>
      </c>
      <c r="C1088" s="4" t="str">
        <f>IFERROR(__xludf.DUMMYFUNCTION("""COMPUTED_VALUE"""),"We who have endured so much surely can endure a little more.")</f>
        <v>We who have endured so much surely can endure a little more.</v>
      </c>
      <c r="D1088" s="4" t="str">
        <f>IFERROR(__xludf.DUMMYFUNCTION("""COMPUTED_VALUE""")," ")</f>
        <v> </v>
      </c>
    </row>
    <row r="1089">
      <c r="A1089" s="5" t="s">
        <v>4486</v>
      </c>
      <c r="B1089" s="4" t="str">
        <f>IFERROR(__xludf.DUMMYFUNCTION("SPLIT(A1089,"""""")"")"),"( arctic_b0496 ")</f>
        <v>( arctic_b0496 </v>
      </c>
      <c r="C1089" s="4" t="str">
        <f>IFERROR(__xludf.DUMMYFUNCTION("""COMPUTED_VALUE"""),"I have seen myself that one man contemplated by Pascal's philosophic eye.")</f>
        <v>I have seen myself that one man contemplated by Pascal's philosophic eye.</v>
      </c>
      <c r="D1089" s="4" t="str">
        <f>IFERROR(__xludf.DUMMYFUNCTION("""COMPUTED_VALUE""")," ")</f>
        <v> </v>
      </c>
    </row>
    <row r="1090">
      <c r="A1090" s="5" t="s">
        <v>4487</v>
      </c>
      <c r="B1090" s="4" t="str">
        <f>IFERROR(__xludf.DUMMYFUNCTION("SPLIT(A1090,"""""")"")"),"( arctic_b0497 ")</f>
        <v>( arctic_b0497 </v>
      </c>
      <c r="C1090" s="4" t="str">
        <f>IFERROR(__xludf.DUMMYFUNCTION("""COMPUTED_VALUE"""),"One great drawback to farming in California is our long dry summer.")</f>
        <v>One great drawback to farming in California is our long dry summer.</v>
      </c>
      <c r="D1090" s="4" t="str">
        <f>IFERROR(__xludf.DUMMYFUNCTION("""COMPUTED_VALUE""")," ")</f>
        <v> </v>
      </c>
    </row>
    <row r="1091">
      <c r="A1091" s="5" t="s">
        <v>4488</v>
      </c>
      <c r="B1091" s="4" t="str">
        <f>IFERROR(__xludf.DUMMYFUNCTION("SPLIT(A1091,"""""")"")"),"( arctic_b0498 ")</f>
        <v>( arctic_b0498 </v>
      </c>
      <c r="C1091" s="4" t="str">
        <f>IFERROR(__xludf.DUMMYFUNCTION("""COMPUTED_VALUE"""),"I remembered the red wine of the Italian rancho, and shuddered inwardly.")</f>
        <v>I remembered the red wine of the Italian rancho, and shuddered inwardly.</v>
      </c>
      <c r="D1091" s="4" t="str">
        <f>IFERROR(__xludf.DUMMYFUNCTION("""COMPUTED_VALUE""")," ")</f>
        <v> </v>
      </c>
    </row>
    <row r="1092">
      <c r="A1092" s="5" t="s">
        <v>4489</v>
      </c>
      <c r="B1092" s="4" t="str">
        <f>IFERROR(__xludf.DUMMYFUNCTION("SPLIT(A1092,"""""")"")"),"( arctic_b0499 ")</f>
        <v>( arctic_b0499 </v>
      </c>
      <c r="C1092" s="4" t="str">
        <f>IFERROR(__xludf.DUMMYFUNCTION("""COMPUTED_VALUE"""),"I said, and dismissed the matter as not worth thinking about.")</f>
        <v>I said, and dismissed the matter as not worth thinking about.</v>
      </c>
      <c r="D1092" s="4" t="str">
        <f>IFERROR(__xludf.DUMMYFUNCTION("""COMPUTED_VALUE""")," ")</f>
        <v> </v>
      </c>
    </row>
    <row r="1093">
      <c r="A1093" s="5" t="s">
        <v>4490</v>
      </c>
      <c r="B1093" s="4" t="str">
        <f>IFERROR(__xludf.DUMMYFUNCTION("SPLIT(A1093,"""""")"")"),"( arctic_b0500 ")</f>
        <v>( arctic_b0500 </v>
      </c>
      <c r="C1093" s="4" t="str">
        <f>IFERROR(__xludf.DUMMYFUNCTION("""COMPUTED_VALUE"""),"Then came my boy code.")</f>
        <v>Then came my boy code.</v>
      </c>
      <c r="D1093" s="4" t="str">
        <f>IFERROR(__xludf.DUMMYFUNCTION("""COMPUTED_VALUE""")," ")</f>
        <v> </v>
      </c>
    </row>
    <row r="1094">
      <c r="A1094" s="5" t="s">
        <v>4491</v>
      </c>
      <c r="B1094" s="4" t="str">
        <f>IFERROR(__xludf.DUMMYFUNCTION("SPLIT(A1094,"""""")"")"),"( arctic_b0501 ")</f>
        <v>( arctic_b0501 </v>
      </c>
      <c r="C1094" s="4" t="str">
        <f>IFERROR(__xludf.DUMMYFUNCTION("""COMPUTED_VALUE"""),"And wherever I ranged, the way lay along alcohol-drenched roads.")</f>
        <v>And wherever I ranged, the way lay along alcohol-drenched roads.</v>
      </c>
      <c r="D1094" s="4" t="str">
        <f>IFERROR(__xludf.DUMMYFUNCTION("""COMPUTED_VALUE""")," ")</f>
        <v> </v>
      </c>
    </row>
    <row r="1095">
      <c r="A1095" s="5" t="s">
        <v>4492</v>
      </c>
      <c r="B1095" s="4" t="str">
        <f>IFERROR(__xludf.DUMMYFUNCTION("SPLIT(A1095,"""""")"")"),"( arctic_b0502 ")</f>
        <v>( arctic_b0502 </v>
      </c>
      <c r="C1095" s="4" t="str">
        <f>IFERROR(__xludf.DUMMYFUNCTION("""COMPUTED_VALUE"""),"And as we hurried up town, Joe Goose explained.")</f>
        <v>And as we hurried up town, Joe Goose explained.</v>
      </c>
      <c r="D1095" s="4" t="str">
        <f>IFERROR(__xludf.DUMMYFUNCTION("""COMPUTED_VALUE""")," ")</f>
        <v> </v>
      </c>
    </row>
    <row r="1096">
      <c r="A1096" s="5" t="s">
        <v>4493</v>
      </c>
      <c r="B1096" s="4" t="str">
        <f>IFERROR(__xludf.DUMMYFUNCTION("SPLIT(A1096,"""""")"")"),"( arctic_b0503 ")</f>
        <v>( arctic_b0503 </v>
      </c>
      <c r="C1096" s="4" t="str">
        <f>IFERROR(__xludf.DUMMYFUNCTION("""COMPUTED_VALUE"""),"The scents of strange vegetation blew off the tropic land.")</f>
        <v>The scents of strange vegetation blew off the tropic land.</v>
      </c>
      <c r="D1096" s="4" t="str">
        <f>IFERROR(__xludf.DUMMYFUNCTION("""COMPUTED_VALUE""")," ")</f>
        <v> </v>
      </c>
    </row>
    <row r="1097">
      <c r="A1097" s="5" t="s">
        <v>4494</v>
      </c>
      <c r="B1097" s="4" t="str">
        <f>IFERROR(__xludf.DUMMYFUNCTION("SPLIT(A1097,"""""")"")"),"( arctic_b0504 ")</f>
        <v>( arctic_b0504 </v>
      </c>
      <c r="C1097" s="4" t="str">
        <f>IFERROR(__xludf.DUMMYFUNCTION("""COMPUTED_VALUE"""),"The life there was healthful and athletic, but too juvenile.")</f>
        <v>The life there was healthful and athletic, but too juvenile.</v>
      </c>
      <c r="D1097" s="4" t="str">
        <f>IFERROR(__xludf.DUMMYFUNCTION("""COMPUTED_VALUE""")," ")</f>
        <v> </v>
      </c>
    </row>
    <row r="1098">
      <c r="A1098" s="5" t="s">
        <v>4495</v>
      </c>
      <c r="B1098" s="4" t="str">
        <f>IFERROR(__xludf.DUMMYFUNCTION("SPLIT(A1098,"""""")"")"),"( arctic_b0505 ")</f>
        <v>( arctic_b0505 </v>
      </c>
      <c r="C1098" s="4" t="str">
        <f>IFERROR(__xludf.DUMMYFUNCTION("""COMPUTED_VALUE"""),"How valiantly I went at it that first day.")</f>
        <v>How valiantly I went at it that first day.</v>
      </c>
      <c r="D1098" s="4" t="str">
        <f>IFERROR(__xludf.DUMMYFUNCTION("""COMPUTED_VALUE""")," ")</f>
        <v> </v>
      </c>
    </row>
    <row r="1099">
      <c r="A1099" s="5" t="s">
        <v>4496</v>
      </c>
      <c r="B1099" s="4" t="str">
        <f>IFERROR(__xludf.DUMMYFUNCTION("SPLIT(A1099,"""""")"")"),"( arctic_b0506 ")</f>
        <v>( arctic_b0506 </v>
      </c>
      <c r="C1099" s="4" t="str">
        <f>IFERROR(__xludf.DUMMYFUNCTION("""COMPUTED_VALUE"""),"It would help to tide me along until I got steady employment.")</f>
        <v>It would help to tide me along until I got steady employment.</v>
      </c>
      <c r="D1099" s="4" t="str">
        <f>IFERROR(__xludf.DUMMYFUNCTION("""COMPUTED_VALUE""")," ")</f>
        <v> </v>
      </c>
    </row>
    <row r="1100">
      <c r="A1100" s="5" t="s">
        <v>4497</v>
      </c>
      <c r="B1100" s="4" t="str">
        <f>IFERROR(__xludf.DUMMYFUNCTION("SPLIT(A1100,"""""")"")"),"( arctic_b0507 ")</f>
        <v>( arctic_b0507 </v>
      </c>
      <c r="C1100" s="4" t="str">
        <f>IFERROR(__xludf.DUMMYFUNCTION("""COMPUTED_VALUE"""),"Did I possess too much vitality.")</f>
        <v>Did I possess too much vitality.</v>
      </c>
      <c r="D1100" s="4" t="str">
        <f>IFERROR(__xludf.DUMMYFUNCTION("""COMPUTED_VALUE""")," ")</f>
        <v> </v>
      </c>
    </row>
    <row r="1101">
      <c r="A1101" s="5" t="s">
        <v>4498</v>
      </c>
      <c r="B1101" s="4" t="str">
        <f>IFERROR(__xludf.DUMMYFUNCTION("SPLIT(A1101,"""""")"")"),"( arctic_b0508 ")</f>
        <v>( arctic_b0508 </v>
      </c>
      <c r="C1101" s="4" t="str">
        <f>IFERROR(__xludf.DUMMYFUNCTION("""COMPUTED_VALUE"""),"In his anxiety and solicitude and love they did not count.")</f>
        <v>In his anxiety and solicitude and love they did not count.</v>
      </c>
      <c r="D1101" s="4" t="str">
        <f>IFERROR(__xludf.DUMMYFUNCTION("""COMPUTED_VALUE""")," ")</f>
        <v> </v>
      </c>
    </row>
    <row r="1102">
      <c r="A1102" s="5" t="s">
        <v>4499</v>
      </c>
      <c r="B1102" s="4" t="str">
        <f>IFERROR(__xludf.DUMMYFUNCTION("SPLIT(A1102,"""""")"")"),"( arctic_b0509 ")</f>
        <v>( arctic_b0509 </v>
      </c>
      <c r="C1102" s="4" t="str">
        <f>IFERROR(__xludf.DUMMYFUNCTION("""COMPUTED_VALUE"""),"He had fulfilled his duty and paid properly.")</f>
        <v>He had fulfilled his duty and paid properly.</v>
      </c>
      <c r="D1102" s="4" t="str">
        <f>IFERROR(__xludf.DUMMYFUNCTION("""COMPUTED_VALUE""")," ")</f>
        <v> </v>
      </c>
    </row>
    <row r="1103">
      <c r="A1103" s="5" t="s">
        <v>4500</v>
      </c>
      <c r="B1103" s="4" t="str">
        <f>IFERROR(__xludf.DUMMYFUNCTION("SPLIT(A1103,"""""")"")"),"( arctic_b0510 ")</f>
        <v>( arctic_b0510 </v>
      </c>
      <c r="C1103" s="4" t="str">
        <f>IFERROR(__xludf.DUMMYFUNCTION("""COMPUTED_VALUE"""),"He knew what taboos he was violating.")</f>
        <v>He knew what taboos he was violating.</v>
      </c>
      <c r="D1103" s="4" t="str">
        <f>IFERROR(__xludf.DUMMYFUNCTION("""COMPUTED_VALUE""")," ")</f>
        <v> </v>
      </c>
    </row>
    <row r="1104">
      <c r="A1104" s="5" t="s">
        <v>4501</v>
      </c>
      <c r="B1104" s="4" t="str">
        <f>IFERROR(__xludf.DUMMYFUNCTION("SPLIT(A1104,"""""")"")"),"( arctic_b0511 ")</f>
        <v>( arctic_b0511 </v>
      </c>
      <c r="C1104" s="4" t="str">
        <f>IFERROR(__xludf.DUMMYFUNCTION("""COMPUTED_VALUE"""),"Do you value your hide.")</f>
        <v>Do you value your hide.</v>
      </c>
      <c r="D1104" s="4" t="str">
        <f>IFERROR(__xludf.DUMMYFUNCTION("""COMPUTED_VALUE""")," ")</f>
        <v> </v>
      </c>
    </row>
    <row r="1105">
      <c r="A1105" s="5" t="s">
        <v>4502</v>
      </c>
      <c r="B1105" s="4" t="str">
        <f>IFERROR(__xludf.DUMMYFUNCTION("SPLIT(A1105,"""""")"")"),"( arctic_b0512 ")</f>
        <v>( arctic_b0512 </v>
      </c>
      <c r="C1105" s="4" t="str">
        <f>IFERROR(__xludf.DUMMYFUNCTION("""COMPUTED_VALUE"""),"You should have seen them when they heard me spitting Chinook.")</f>
        <v>You should have seen them when they heard me spitting Chinook.</v>
      </c>
      <c r="D1105" s="4" t="str">
        <f>IFERROR(__xludf.DUMMYFUNCTION("""COMPUTED_VALUE""")," ")</f>
        <v> </v>
      </c>
    </row>
    <row r="1106">
      <c r="A1106" s="5" t="s">
        <v>4503</v>
      </c>
      <c r="B1106" s="4" t="str">
        <f>IFERROR(__xludf.DUMMYFUNCTION("SPLIT(A1106,"""""")"")"),"( arctic_b0513 ")</f>
        <v>( arctic_b0513 </v>
      </c>
      <c r="C1106" s="4" t="str">
        <f>IFERROR(__xludf.DUMMYFUNCTION("""COMPUTED_VALUE"""),"He plodded on for half an hour, when the hallucination arose again.")</f>
        <v>He plodded on for half an hour, when the hallucination arose again.</v>
      </c>
      <c r="D1106" s="4" t="str">
        <f>IFERROR(__xludf.DUMMYFUNCTION("""COMPUTED_VALUE""")," ")</f>
        <v> </v>
      </c>
    </row>
    <row r="1107">
      <c r="A1107" s="5" t="s">
        <v>4504</v>
      </c>
      <c r="B1107" s="4" t="str">
        <f>IFERROR(__xludf.DUMMYFUNCTION("SPLIT(A1107,"""""")"")"),"( arctic_b0514 ")</f>
        <v>( arctic_b0514 </v>
      </c>
      <c r="C1107" s="4" t="str">
        <f>IFERROR(__xludf.DUMMYFUNCTION("""COMPUTED_VALUE"""),"Tomorrow or next day it might he gone.")</f>
        <v>Tomorrow or next day it might he gone.</v>
      </c>
      <c r="D1107" s="4" t="str">
        <f>IFERROR(__xludf.DUMMYFUNCTION("""COMPUTED_VALUE""")," ")</f>
        <v> </v>
      </c>
    </row>
    <row r="1108">
      <c r="A1108" s="5" t="s">
        <v>4505</v>
      </c>
      <c r="B1108" s="4" t="str">
        <f>IFERROR(__xludf.DUMMYFUNCTION("SPLIT(A1108,"""""")"")"),"( arctic_b0515 ")</f>
        <v>( arctic_b0515 </v>
      </c>
      <c r="C1108" s="4" t="str">
        <f>IFERROR(__xludf.DUMMYFUNCTION("""COMPUTED_VALUE"""),"But already he had composed himself.")</f>
        <v>But already he had composed himself.</v>
      </c>
      <c r="D1108" s="4" t="str">
        <f>IFERROR(__xludf.DUMMYFUNCTION("""COMPUTED_VALUE""")," ")</f>
        <v> </v>
      </c>
    </row>
    <row r="1109">
      <c r="A1109" s="5" t="s">
        <v>4506</v>
      </c>
      <c r="B1109" s="4" t="str">
        <f>IFERROR(__xludf.DUMMYFUNCTION("SPLIT(A1109,"""""")"")"),"( arctic_b0516 ")</f>
        <v>( arctic_b0516 </v>
      </c>
      <c r="C1109" s="4" t="str">
        <f>IFERROR(__xludf.DUMMYFUNCTION("""COMPUTED_VALUE"""),"Zilla relaxed her sour mouth long enough to sigh her satisfaction.")</f>
        <v>Zilla relaxed her sour mouth long enough to sigh her satisfaction.</v>
      </c>
      <c r="D1109" s="4" t="str">
        <f>IFERROR(__xludf.DUMMYFUNCTION("""COMPUTED_VALUE""")," ")</f>
        <v> </v>
      </c>
    </row>
    <row r="1110">
      <c r="A1110" s="5" t="s">
        <v>4507</v>
      </c>
      <c r="B1110" s="4" t="str">
        <f>IFERROR(__xludf.DUMMYFUNCTION("SPLIT(A1110,"""""")"")"),"( arctic_b0517 ")</f>
        <v>( arctic_b0517 </v>
      </c>
      <c r="C1110" s="4" t="str">
        <f>IFERROR(__xludf.DUMMYFUNCTION("""COMPUTED_VALUE"""),"Eggshell is not good to eat.")</f>
        <v>Eggshell is not good to eat.</v>
      </c>
      <c r="D1110" s="4" t="str">
        <f>IFERROR(__xludf.DUMMYFUNCTION("""COMPUTED_VALUE""")," ")</f>
        <v> </v>
      </c>
    </row>
    <row r="1111">
      <c r="A1111" s="5" t="s">
        <v>4508</v>
      </c>
      <c r="B1111" s="4" t="str">
        <f>IFERROR(__xludf.DUMMYFUNCTION("SPLIT(A1111,"""""")"")"),"( arctic_b0518 ")</f>
        <v>( arctic_b0518 </v>
      </c>
      <c r="C1111" s="4" t="str">
        <f>IFERROR(__xludf.DUMMYFUNCTION("""COMPUTED_VALUE"""),"But there was also talk of witchcraft in the village.")</f>
        <v>But there was also talk of witchcraft in the village.</v>
      </c>
      <c r="D1111" s="4" t="str">
        <f>IFERROR(__xludf.DUMMYFUNCTION("""COMPUTED_VALUE""")," ")</f>
        <v> </v>
      </c>
    </row>
    <row r="1112">
      <c r="A1112" s="5" t="s">
        <v>4509</v>
      </c>
      <c r="B1112" s="4" t="str">
        <f>IFERROR(__xludf.DUMMYFUNCTION("SPLIT(A1112,"""""")"")"),"( arctic_b0519 ")</f>
        <v>( arctic_b0519 </v>
      </c>
      <c r="C1112" s="4" t="str">
        <f>IFERROR(__xludf.DUMMYFUNCTION("""COMPUTED_VALUE"""),"Yea, I will tell thee.")</f>
        <v>Yea, I will tell thee.</v>
      </c>
      <c r="D1112" s="4" t="str">
        <f>IFERROR(__xludf.DUMMYFUNCTION("""COMPUTED_VALUE""")," ")</f>
        <v> </v>
      </c>
    </row>
    <row r="1113">
      <c r="A1113" s="5" t="s">
        <v>4510</v>
      </c>
      <c r="B1113" s="4" t="str">
        <f>IFERROR(__xludf.DUMMYFUNCTION("SPLIT(A1113,"""""")"")"),"( arctic_b0520 ")</f>
        <v>( arctic_b0520 </v>
      </c>
      <c r="C1113" s="4" t="str">
        <f>IFERROR(__xludf.DUMMYFUNCTION("""COMPUTED_VALUE"""),"Hans hurled himself upon the prostrate man, striking madly with his fists.")</f>
        <v>Hans hurled himself upon the prostrate man, striking madly with his fists.</v>
      </c>
      <c r="D1113" s="4" t="str">
        <f>IFERROR(__xludf.DUMMYFUNCTION("""COMPUTED_VALUE""")," ")</f>
        <v> </v>
      </c>
    </row>
    <row r="1114">
      <c r="A1114" s="5" t="s">
        <v>4511</v>
      </c>
      <c r="B1114" s="4" t="str">
        <f>IFERROR(__xludf.DUMMYFUNCTION("SPLIT(A1114,"""""")"")"),"( arctic_b0521 ")</f>
        <v>( arctic_b0521 </v>
      </c>
      <c r="C1114" s="4" t="str">
        <f>IFERROR(__xludf.DUMMYFUNCTION("""COMPUTED_VALUE"""),"And he thought of Oona, and of her words.")</f>
        <v>And he thought of Oona, and of her words.</v>
      </c>
      <c r="D1114" s="4" t="str">
        <f>IFERROR(__xludf.DUMMYFUNCTION("""COMPUTED_VALUE""")," ")</f>
        <v> </v>
      </c>
    </row>
    <row r="1115">
      <c r="A1115" s="5" t="s">
        <v>4512</v>
      </c>
      <c r="B1115" s="4" t="str">
        <f>IFERROR(__xludf.DUMMYFUNCTION("SPLIT(A1115,"""""")"")"),"( arctic_b0522 ")</f>
        <v>( arctic_b0522 </v>
      </c>
      <c r="C1115" s="4" t="str">
        <f>IFERROR(__xludf.DUMMYFUNCTION("""COMPUTED_VALUE"""),"Nor would it thaw out his hands and feet.")</f>
        <v>Nor would it thaw out his hands and feet.</v>
      </c>
      <c r="D1115" s="4" t="str">
        <f>IFERROR(__xludf.DUMMYFUNCTION("""COMPUTED_VALUE""")," ")</f>
        <v> </v>
      </c>
    </row>
    <row r="1116">
      <c r="A1116" s="5" t="s">
        <v>4513</v>
      </c>
      <c r="B1116" s="4" t="str">
        <f>IFERROR(__xludf.DUMMYFUNCTION("SPLIT(A1116,"""""")"")"),"( arctic_b0523 ")</f>
        <v>( arctic_b0523 </v>
      </c>
      <c r="C1116" s="4" t="str">
        <f>IFERROR(__xludf.DUMMYFUNCTION("""COMPUTED_VALUE"""),"The Russian music player, the Count, was her obedient slave.")</f>
        <v>The Russian music player, the Count, was her obedient slave.</v>
      </c>
      <c r="D1116" s="4" t="str">
        <f>IFERROR(__xludf.DUMMYFUNCTION("""COMPUTED_VALUE""")," ")</f>
        <v> </v>
      </c>
    </row>
    <row r="1117">
      <c r="A1117" s="5" t="s">
        <v>4514</v>
      </c>
      <c r="B1117" s="4" t="str">
        <f>IFERROR(__xludf.DUMMYFUNCTION("SPLIT(A1117,"""""")"")"),"( arctic_b0524 ")</f>
        <v>( arctic_b0524 </v>
      </c>
      <c r="C1117" s="4" t="str">
        <f>IFERROR(__xludf.DUMMYFUNCTION("""COMPUTED_VALUE"""),"So far as flags were concerned, they were beyond all jurisdiction.")</f>
        <v>So far as flags were concerned, they were beyond all jurisdiction.</v>
      </c>
      <c r="D1117" s="4" t="str">
        <f>IFERROR(__xludf.DUMMYFUNCTION("""COMPUTED_VALUE""")," ")</f>
        <v> </v>
      </c>
    </row>
    <row r="1118">
      <c r="A1118" s="5" t="s">
        <v>4515</v>
      </c>
      <c r="B1118" s="4" t="str">
        <f>IFERROR(__xludf.DUMMYFUNCTION("SPLIT(A1118,"""""")"")"),"( arctic_b0525 ")</f>
        <v>( arctic_b0525 </v>
      </c>
      <c r="C1118" s="4" t="str">
        <f>IFERROR(__xludf.DUMMYFUNCTION("""COMPUTED_VALUE"""),"New idea, he volunteered, brand new idea.")</f>
        <v>New idea, he volunteered, brand new idea.</v>
      </c>
      <c r="D1118" s="4" t="str">
        <f>IFERROR(__xludf.DUMMYFUNCTION("""COMPUTED_VALUE""")," ")</f>
        <v> </v>
      </c>
    </row>
    <row r="1119">
      <c r="A1119" s="5" t="s">
        <v>4516</v>
      </c>
      <c r="B1119" s="4" t="str">
        <f>IFERROR(__xludf.DUMMYFUNCTION("SPLIT(A1119,"""""")"")"),"( arctic_b0526 ")</f>
        <v>( arctic_b0526 </v>
      </c>
      <c r="C1119" s="4" t="str">
        <f>IFERROR(__xludf.DUMMYFUNCTION("""COMPUTED_VALUE"""),"Thirty pounds, said the captain with finality.")</f>
        <v>Thirty pounds, said the captain with finality.</v>
      </c>
      <c r="D1119" s="4" t="str">
        <f>IFERROR(__xludf.DUMMYFUNCTION("""COMPUTED_VALUE""")," ")</f>
        <v> </v>
      </c>
    </row>
    <row r="1120">
      <c r="A1120" s="5" t="s">
        <v>4517</v>
      </c>
      <c r="B1120" s="4" t="str">
        <f>IFERROR(__xludf.DUMMYFUNCTION("SPLIT(A1120,"""""")"")"),"( arctic_b0527 ")</f>
        <v>( arctic_b0527 </v>
      </c>
      <c r="C1120" s="4" t="str">
        <f>IFERROR(__xludf.DUMMYFUNCTION("""COMPUTED_VALUE"""),"The very idea of it was preposterous.")</f>
        <v>The very idea of it was preposterous.</v>
      </c>
      <c r="D1120" s="4" t="str">
        <f>IFERROR(__xludf.DUMMYFUNCTION("""COMPUTED_VALUE""")," ")</f>
        <v> </v>
      </c>
    </row>
    <row r="1121">
      <c r="A1121" s="5" t="s">
        <v>4518</v>
      </c>
      <c r="B1121" s="4" t="str">
        <f>IFERROR(__xludf.DUMMYFUNCTION("SPLIT(A1121,"""""")"")"),"( arctic_b0528 ")</f>
        <v>( arctic_b0528 </v>
      </c>
      <c r="C1121" s="4" t="str">
        <f>IFERROR(__xludf.DUMMYFUNCTION("""COMPUTED_VALUE"""),"Captain Doane's orders were swiftly obeyed.")</f>
        <v>Captain Doane's orders were swiftly obeyed.</v>
      </c>
      <c r="D1121" s="4" t="str">
        <f>IFERROR(__xludf.DUMMYFUNCTION("""COMPUTED_VALUE""")," ")</f>
        <v> </v>
      </c>
    </row>
    <row r="1122">
      <c r="A1122" s="5" t="s">
        <v>4519</v>
      </c>
      <c r="B1122" s="4" t="str">
        <f>IFERROR(__xludf.DUMMYFUNCTION("SPLIT(A1122,"""""")"")"),"( arctic_b0529 ")</f>
        <v>( arctic_b0529 </v>
      </c>
      <c r="C1122" s="4" t="str">
        <f>IFERROR(__xludf.DUMMYFUNCTION("""COMPUTED_VALUE"""),"Come on, Del Mar challenged.")</f>
        <v>Come on, Del Mar challenged.</v>
      </c>
      <c r="D1122" s="4" t="str">
        <f>IFERROR(__xludf.DUMMYFUNCTION("""COMPUTED_VALUE""")," ")</f>
        <v> </v>
      </c>
    </row>
    <row r="1123">
      <c r="A1123" s="5" t="s">
        <v>4520</v>
      </c>
      <c r="B1123" s="4" t="str">
        <f>IFERROR(__xludf.DUMMYFUNCTION("SPLIT(A1123,"""""")"")"),"( arctic_b0530 ")</f>
        <v>( arctic_b0530 </v>
      </c>
      <c r="C1123" s="4" t="str">
        <f>IFERROR(__xludf.DUMMYFUNCTION("""COMPUTED_VALUE"""),"He had a big chimpanzee that was a winner.")</f>
        <v>He had a big chimpanzee that was a winner.</v>
      </c>
      <c r="D1123" s="4" t="str">
        <f>IFERROR(__xludf.DUMMYFUNCTION("""COMPUTED_VALUE""")," ")</f>
        <v> </v>
      </c>
    </row>
    <row r="1124">
      <c r="A1124" s="5" t="s">
        <v>4521</v>
      </c>
      <c r="B1124" s="4" t="str">
        <f>IFERROR(__xludf.DUMMYFUNCTION("SPLIT(A1124,"""""")"")"),"( arctic_b0531 ")</f>
        <v>( arctic_b0531 </v>
      </c>
      <c r="C1124" s="4" t="str">
        <f>IFERROR(__xludf.DUMMYFUNCTION("""COMPUTED_VALUE"""),"I am sure it must have been some adventure.")</f>
        <v>I am sure it must have been some adventure.</v>
      </c>
      <c r="D1124" s="4" t="str">
        <f>IFERROR(__xludf.DUMMYFUNCTION("""COMPUTED_VALUE""")," ")</f>
        <v> </v>
      </c>
    </row>
    <row r="1125">
      <c r="A1125" s="5" t="s">
        <v>4522</v>
      </c>
      <c r="B1125" s="4" t="str">
        <f>IFERROR(__xludf.DUMMYFUNCTION("SPLIT(A1125,"""""")"")"),"( arctic_b0532 ")</f>
        <v>( arctic_b0532 </v>
      </c>
      <c r="C1125" s="4" t="str">
        <f>IFERROR(__xludf.DUMMYFUNCTION("""COMPUTED_VALUE"""),"That Longfellow chap most likely had written countless books of poetry.")</f>
        <v>That Longfellow chap most likely had written countless books of poetry.</v>
      </c>
      <c r="D1125" s="4" t="str">
        <f>IFERROR(__xludf.DUMMYFUNCTION("""COMPUTED_VALUE""")," ")</f>
        <v> </v>
      </c>
    </row>
    <row r="1126">
      <c r="A1126" s="5" t="s">
        <v>4523</v>
      </c>
      <c r="B1126" s="4" t="str">
        <f>IFERROR(__xludf.DUMMYFUNCTION("SPLIT(A1126,"""""")"")"),"( arctic_b0533 ")</f>
        <v>( arctic_b0533 </v>
      </c>
      <c r="C1126" s="4" t="str">
        <f>IFERROR(__xludf.DUMMYFUNCTION("""COMPUTED_VALUE"""),"His abnormal power of vision made abstractions take on concrete form.")</f>
        <v>His abnormal power of vision made abstractions take on concrete form.</v>
      </c>
      <c r="D1126" s="4" t="str">
        <f>IFERROR(__xludf.DUMMYFUNCTION("""COMPUTED_VALUE""")," ")</f>
        <v> </v>
      </c>
    </row>
    <row r="1127">
      <c r="A1127" s="5" t="s">
        <v>4524</v>
      </c>
      <c r="B1127" s="4" t="str">
        <f>IFERROR(__xludf.DUMMYFUNCTION("SPLIT(A1127,"""""")"")"),"( arctic_b0534 ")</f>
        <v>( arctic_b0534 </v>
      </c>
      <c r="C1127" s="4" t="str">
        <f>IFERROR(__xludf.DUMMYFUNCTION("""COMPUTED_VALUE"""),"I'll tell you, the librarian said with a brightening face.")</f>
        <v>I'll tell you, the librarian said with a brightening face.</v>
      </c>
      <c r="D1127" s="4" t="str">
        <f>IFERROR(__xludf.DUMMYFUNCTION("""COMPUTED_VALUE""")," ")</f>
        <v> </v>
      </c>
    </row>
    <row r="1128">
      <c r="A1128" s="5" t="s">
        <v>4525</v>
      </c>
      <c r="B1128" s="4" t="str">
        <f>IFERROR(__xludf.DUMMYFUNCTION("SPLIT(A1128,"""""")"")"),"( arctic_b0535 ")</f>
        <v>( arctic_b0535 </v>
      </c>
      <c r="C1128" s="4" t="str">
        <f>IFERROR(__xludf.DUMMYFUNCTION("""COMPUTED_VALUE"""),"He read his fragments aloud.")</f>
        <v>He read his fragments aloud.</v>
      </c>
      <c r="D1128" s="4" t="str">
        <f>IFERROR(__xludf.DUMMYFUNCTION("""COMPUTED_VALUE""")," ")</f>
        <v> </v>
      </c>
    </row>
    <row r="1129">
      <c r="A1129" s="5" t="s">
        <v>4526</v>
      </c>
      <c r="B1129" s="4" t="str">
        <f>IFERROR(__xludf.DUMMYFUNCTION("SPLIT(A1129,"""""")"")"),"( arctic_b0536 ")</f>
        <v>( arctic_b0536 </v>
      </c>
      <c r="C1129" s="4" t="str">
        <f>IFERROR(__xludf.DUMMYFUNCTION("""COMPUTED_VALUE"""),"Typhoid -- did I tell you.")</f>
        <v>Typhoid -- did I tell you.</v>
      </c>
      <c r="D1129" s="4" t="str">
        <f>IFERROR(__xludf.DUMMYFUNCTION("""COMPUTED_VALUE""")," ")</f>
        <v> </v>
      </c>
    </row>
    <row r="1130">
      <c r="A1130" s="5" t="s">
        <v>4527</v>
      </c>
      <c r="B1130" s="4" t="str">
        <f>IFERROR(__xludf.DUMMYFUNCTION("SPLIT(A1130,"""""")"")"),"( arctic_b0537 ")</f>
        <v>( arctic_b0537 </v>
      </c>
      <c r="C1130" s="4" t="str">
        <f>IFERROR(__xludf.DUMMYFUNCTION("""COMPUTED_VALUE"""),"But she had become an automaton.")</f>
        <v>But she had become an automaton.</v>
      </c>
      <c r="D1130" s="4" t="str">
        <f>IFERROR(__xludf.DUMMYFUNCTION("""COMPUTED_VALUE""")," ")</f>
        <v> </v>
      </c>
    </row>
    <row r="1131">
      <c r="A1131" s="5" t="s">
        <v>4528</v>
      </c>
      <c r="B1131" s="4" t="str">
        <f>IFERROR(__xludf.DUMMYFUNCTION("SPLIT(A1131,"""""")"")"),"( arctic_b0538 ")</f>
        <v>( arctic_b0538 </v>
      </c>
      <c r="C1131" s="4" t="str">
        <f>IFERROR(__xludf.DUMMYFUNCTION("""COMPUTED_VALUE"""),"At the best, they were necessary accessories.")</f>
        <v>At the best, they were necessary accessories.</v>
      </c>
      <c r="D1131" s="4" t="str">
        <f>IFERROR(__xludf.DUMMYFUNCTION("""COMPUTED_VALUE""")," ")</f>
        <v> </v>
      </c>
    </row>
    <row r="1132">
      <c r="A1132" s="5" t="s">
        <v>4529</v>
      </c>
      <c r="B1132" s="4" t="str">
        <f>IFERROR(__xludf.DUMMYFUNCTION("SPLIT(A1132,"""""")"")"),"( arctic_b0539 ")</f>
        <v>( arctic_b0539 </v>
      </c>
      <c r="C1132" s="4" t="str">
        <f>IFERROR(__xludf.DUMMYFUNCTION("""COMPUTED_VALUE"""),"You were making them talk shop, Ruth charged him.")</f>
        <v>You were making them talk shop, Ruth charged him.</v>
      </c>
      <c r="D1132" s="4" t="str">
        <f>IFERROR(__xludf.DUMMYFUNCTION("""COMPUTED_VALUE""")," ")</f>
        <v> </v>
      </c>
    </row>
  </sheetData>
  <drawing r:id="rId1"/>
</worksheet>
</file>