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genshin_mat_tracker\src\"/>
    </mc:Choice>
  </mc:AlternateContent>
  <xr:revisionPtr revIDLastSave="0" documentId="8_{395A23E2-DD4A-4601-A303-6ECCA973DA97}" xr6:coauthVersionLast="46" xr6:coauthVersionMax="46" xr10:uidLastSave="{00000000-0000-0000-0000-000000000000}"/>
  <bookViews>
    <workbookView xWindow="2652" yWindow="2280" windowWidth="23040" windowHeight="12204" tabRatio="763" activeTab="1" xr2:uid="{FC16DD85-43A6-46C1-899B-E2AA5AC3D239}"/>
  </bookViews>
  <sheets>
    <sheet name="Sayu" sheetId="11" r:id="rId1"/>
    <sheet name="Progression" sheetId="5" r:id="rId2"/>
    <sheet name="Requirement Tables" sheetId="1" r:id="rId3"/>
    <sheet name="Required Materials" sheetId="7" r:id="rId4"/>
    <sheet name="Baal" sheetId="12" r:id="rId5"/>
    <sheet name="Progression (2)" sheetId="13" r:id="rId6"/>
    <sheet name="Requirement Tables (2)" sheetId="14" r:id="rId7"/>
    <sheet name="Required Materials (2)" sheetId="15" r:id="rId8"/>
    <sheet name="Character Development Items" sheetId="4" state="hidden" r:id="rId9"/>
    <sheet name="Materials" sheetId="6" state="hidden" r:id="rId10"/>
    <sheet name="Wishs" sheetId="3" state="hidden" r:id="rId11"/>
    <sheet name="Constants &amp; Conversions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5" l="1"/>
  <c r="A21" i="5"/>
  <c r="A16" i="5"/>
  <c r="I44" i="1"/>
  <c r="J22" i="5" s="1"/>
  <c r="H44" i="1"/>
  <c r="I22" i="5" s="1"/>
  <c r="G44" i="1"/>
  <c r="H22" i="5" s="1"/>
  <c r="E44" i="1"/>
  <c r="G22" i="5" s="1"/>
  <c r="C44" i="1"/>
  <c r="D22" i="5" s="1"/>
  <c r="I32" i="1"/>
  <c r="J17" i="5" s="1"/>
  <c r="H32" i="1"/>
  <c r="I17" i="5" s="1"/>
  <c r="G32" i="1"/>
  <c r="H17" i="5" s="1"/>
  <c r="E32" i="1"/>
  <c r="G17" i="5" s="1"/>
  <c r="C32" i="1"/>
  <c r="D17" i="5" s="1"/>
  <c r="J22" i="13"/>
  <c r="I22" i="13"/>
  <c r="H22" i="13"/>
  <c r="G22" i="13"/>
  <c r="F22" i="13"/>
  <c r="E22" i="13"/>
  <c r="D22" i="13"/>
  <c r="C22" i="13"/>
  <c r="B22" i="13"/>
  <c r="A21" i="13"/>
  <c r="A16" i="13"/>
  <c r="I44" i="14"/>
  <c r="H44" i="14"/>
  <c r="G44" i="14"/>
  <c r="E44" i="14"/>
  <c r="C44" i="14"/>
  <c r="I32" i="14"/>
  <c r="J17" i="13" s="1"/>
  <c r="H32" i="14"/>
  <c r="I17" i="13" s="1"/>
  <c r="G32" i="14"/>
  <c r="H17" i="13" s="1"/>
  <c r="E32" i="14"/>
  <c r="G17" i="13" s="1"/>
  <c r="C32" i="14"/>
  <c r="D17" i="13" s="1"/>
  <c r="A11" i="13"/>
  <c r="K2" i="13"/>
  <c r="J2" i="13"/>
  <c r="I2" i="13"/>
  <c r="H2" i="13"/>
  <c r="G2" i="13"/>
  <c r="G4" i="13" s="1"/>
  <c r="F2" i="13"/>
  <c r="F4" i="13" s="1"/>
  <c r="E2" i="13"/>
  <c r="D2" i="13"/>
  <c r="C2" i="13"/>
  <c r="C4" i="13" s="1"/>
  <c r="B2" i="13"/>
  <c r="C20" i="14"/>
  <c r="C12" i="13" s="1"/>
  <c r="I13" i="13"/>
  <c r="H13" i="13"/>
  <c r="K3" i="13"/>
  <c r="J3" i="13"/>
  <c r="I3" i="13"/>
  <c r="H3" i="13"/>
  <c r="G3" i="13"/>
  <c r="F3" i="13"/>
  <c r="E3" i="13"/>
  <c r="D3" i="13"/>
  <c r="C3" i="13"/>
  <c r="A12" i="15"/>
  <c r="A11" i="15"/>
  <c r="A10" i="15"/>
  <c r="A19" i="15"/>
  <c r="A18" i="15"/>
  <c r="A17" i="15"/>
  <c r="A16" i="15"/>
  <c r="A15" i="15"/>
  <c r="A14" i="15"/>
  <c r="A13" i="15"/>
  <c r="A9" i="15"/>
  <c r="A8" i="15"/>
  <c r="A7" i="15"/>
  <c r="C54" i="14"/>
  <c r="C7" i="13" s="1"/>
  <c r="B54" i="14"/>
  <c r="B7" i="13" s="1"/>
  <c r="I20" i="14"/>
  <c r="H20" i="14"/>
  <c r="G20" i="14"/>
  <c r="E20" i="14"/>
  <c r="G12" i="13" s="1"/>
  <c r="H8" i="14"/>
  <c r="G8" i="14"/>
  <c r="F8" i="14"/>
  <c r="D8" i="14"/>
  <c r="C8" i="14"/>
  <c r="A6" i="13"/>
  <c r="H4" i="13"/>
  <c r="A1" i="13"/>
  <c r="A16" i="7"/>
  <c r="A14" i="7"/>
  <c r="A19" i="7"/>
  <c r="A18" i="7"/>
  <c r="A17" i="7"/>
  <c r="A13" i="7"/>
  <c r="A12" i="7"/>
  <c r="A11" i="7"/>
  <c r="A10" i="7"/>
  <c r="A9" i="7"/>
  <c r="A8" i="7"/>
  <c r="A7" i="7"/>
  <c r="A15" i="7"/>
  <c r="A6" i="5"/>
  <c r="A1" i="5"/>
  <c r="G3" i="5"/>
  <c r="B8" i="3"/>
  <c r="I20" i="1"/>
  <c r="B17" i="13" l="1"/>
  <c r="C17" i="13"/>
  <c r="E17" i="13"/>
  <c r="F17" i="13"/>
  <c r="D12" i="13"/>
  <c r="E46" i="14"/>
  <c r="E22" i="5"/>
  <c r="B22" i="5"/>
  <c r="C22" i="5"/>
  <c r="F22" i="5"/>
  <c r="B17" i="5"/>
  <c r="C17" i="5"/>
  <c r="E17" i="5"/>
  <c r="F17" i="5"/>
  <c r="B12" i="13"/>
  <c r="I4" i="13"/>
  <c r="J12" i="13"/>
  <c r="E12" i="13"/>
  <c r="I12" i="13"/>
  <c r="F12" i="13"/>
  <c r="H12" i="13"/>
  <c r="E13" i="13"/>
  <c r="F13" i="13"/>
  <c r="G13" i="13"/>
  <c r="K4" i="13"/>
  <c r="J4" i="13"/>
  <c r="E4" i="13"/>
  <c r="D4" i="13"/>
  <c r="J12" i="5"/>
  <c r="H20" i="1"/>
  <c r="G20" i="1"/>
  <c r="E20" i="1"/>
  <c r="C20" i="1"/>
  <c r="D12" i="5" l="1"/>
  <c r="H12" i="5"/>
  <c r="G12" i="5"/>
  <c r="F12" i="5"/>
  <c r="E12" i="5"/>
  <c r="I12" i="5"/>
  <c r="I13" i="5"/>
  <c r="H13" i="5"/>
  <c r="D13" i="5"/>
  <c r="C13" i="5"/>
  <c r="B13" i="5"/>
  <c r="K3" i="5"/>
  <c r="J3" i="5"/>
  <c r="I3" i="5"/>
  <c r="H3" i="5"/>
  <c r="F3" i="5"/>
  <c r="E3" i="5"/>
  <c r="D3" i="5"/>
  <c r="C3" i="5"/>
  <c r="B3" i="5"/>
  <c r="F18" i="13" l="1"/>
  <c r="F23" i="13" s="1"/>
  <c r="F24" i="13" s="1"/>
  <c r="F14" i="13"/>
  <c r="I14" i="13"/>
  <c r="I18" i="13"/>
  <c r="I23" i="13" s="1"/>
  <c r="I24" i="13" s="1"/>
  <c r="G14" i="13"/>
  <c r="G18" i="13"/>
  <c r="G23" i="13" s="1"/>
  <c r="G24" i="13" s="1"/>
  <c r="E18" i="13"/>
  <c r="E23" i="13" s="1"/>
  <c r="E24" i="13" s="1"/>
  <c r="E14" i="13"/>
  <c r="H14" i="13"/>
  <c r="H18" i="13"/>
  <c r="H23" i="13" s="1"/>
  <c r="H24" i="13" s="1"/>
  <c r="D18" i="5"/>
  <c r="D23" i="5" s="1"/>
  <c r="D7" i="15" s="1"/>
  <c r="I18" i="5"/>
  <c r="I23" i="5" s="1"/>
  <c r="I24" i="5" s="1"/>
  <c r="H18" i="5"/>
  <c r="H23" i="5" s="1"/>
  <c r="H24" i="5" s="1"/>
  <c r="I14" i="5"/>
  <c r="D14" i="5"/>
  <c r="B12" i="5"/>
  <c r="C12" i="5"/>
  <c r="G8" i="1"/>
  <c r="H2" i="5" s="1"/>
  <c r="H4" i="5" s="1"/>
  <c r="F8" i="1"/>
  <c r="G2" i="5" s="1"/>
  <c r="D8" i="1"/>
  <c r="H8" i="1"/>
  <c r="G19" i="13" l="1"/>
  <c r="I19" i="13"/>
  <c r="H19" i="13"/>
  <c r="F19" i="13"/>
  <c r="E19" i="13"/>
  <c r="D24" i="5"/>
  <c r="D13" i="13"/>
  <c r="J2" i="5"/>
  <c r="I2" i="5"/>
  <c r="K2" i="5"/>
  <c r="F2" i="5"/>
  <c r="F4" i="5" s="1"/>
  <c r="E2" i="5"/>
  <c r="E4" i="5" s="1"/>
  <c r="D2" i="5"/>
  <c r="D4" i="5" s="1"/>
  <c r="C2" i="5"/>
  <c r="C4" i="5" s="1"/>
  <c r="D19" i="5"/>
  <c r="I19" i="5"/>
  <c r="H19" i="5"/>
  <c r="B14" i="5"/>
  <c r="B18" i="5"/>
  <c r="C14" i="5"/>
  <c r="C18" i="5"/>
  <c r="C3" i="2"/>
  <c r="C5" i="2"/>
  <c r="D14" i="13" l="1"/>
  <c r="D18" i="13"/>
  <c r="K4" i="5"/>
  <c r="G13" i="5"/>
  <c r="E13" i="5"/>
  <c r="I4" i="5"/>
  <c r="F13" i="5"/>
  <c r="J4" i="5"/>
  <c r="B23" i="5"/>
  <c r="B19" i="5"/>
  <c r="C23" i="5"/>
  <c r="C19" i="5"/>
  <c r="C7" i="2"/>
  <c r="E4" i="4"/>
  <c r="E3" i="4"/>
  <c r="E2" i="4"/>
  <c r="C14" i="3"/>
  <c r="B14" i="3"/>
  <c r="B24" i="5" l="1"/>
  <c r="D9" i="15"/>
  <c r="B13" i="13" s="1"/>
  <c r="C24" i="5"/>
  <c r="D8" i="15"/>
  <c r="C13" i="13" s="1"/>
  <c r="D23" i="13"/>
  <c r="D24" i="13" s="1"/>
  <c r="D19" i="13"/>
  <c r="B8" i="5"/>
  <c r="F18" i="5"/>
  <c r="F14" i="5"/>
  <c r="E14" i="5"/>
  <c r="E18" i="5"/>
  <c r="G14" i="5"/>
  <c r="G18" i="5"/>
  <c r="A4" i="3"/>
  <c r="B4" i="3" s="1"/>
  <c r="C20" i="3"/>
  <c r="B20" i="3"/>
  <c r="C8" i="3"/>
  <c r="C54" i="1"/>
  <c r="C7" i="5" s="1"/>
  <c r="B54" i="1"/>
  <c r="B7" i="5" s="1"/>
  <c r="B9" i="5" s="1"/>
  <c r="H14" i="5"/>
  <c r="C8" i="1"/>
  <c r="B2" i="5" s="1"/>
  <c r="D2" i="15" l="1"/>
  <c r="B8" i="13" s="1"/>
  <c r="B9" i="13" s="1"/>
  <c r="B18" i="13"/>
  <c r="B14" i="13"/>
  <c r="C14" i="13"/>
  <c r="C18" i="13"/>
  <c r="G23" i="5"/>
  <c r="G24" i="5" s="1"/>
  <c r="G19" i="5"/>
  <c r="E23" i="5"/>
  <c r="E24" i="5" s="1"/>
  <c r="E19" i="5"/>
  <c r="C8" i="5"/>
  <c r="J13" i="5" s="1"/>
  <c r="B4" i="5"/>
  <c r="F23" i="5"/>
  <c r="F24" i="5" s="1"/>
  <c r="F19" i="5"/>
  <c r="B9" i="3"/>
  <c r="B10" i="3" s="1"/>
  <c r="B15" i="3"/>
  <c r="B16" i="3" s="1"/>
  <c r="C4" i="3"/>
  <c r="B21" i="3" s="1"/>
  <c r="B22" i="3" s="1"/>
  <c r="G4" i="5"/>
  <c r="B19" i="13" l="1"/>
  <c r="B23" i="13"/>
  <c r="B24" i="13" s="1"/>
  <c r="C23" i="13"/>
  <c r="C24" i="13" s="1"/>
  <c r="C19" i="13"/>
  <c r="J18" i="5"/>
  <c r="J14" i="5"/>
  <c r="C9" i="5"/>
  <c r="J19" i="5" l="1"/>
  <c r="J23" i="5"/>
  <c r="D5" i="15" s="1"/>
  <c r="J24" i="5" l="1"/>
  <c r="B3" i="13"/>
  <c r="C8" i="13" l="1"/>
  <c r="B4" i="13"/>
  <c r="J13" i="13" l="1"/>
  <c r="C9" i="13"/>
  <c r="J18" i="13" l="1"/>
  <c r="J14" i="13"/>
  <c r="J23" i="13" l="1"/>
  <c r="J24" i="13" s="1"/>
  <c r="J19" i="13"/>
</calcChain>
</file>

<file path=xl/sharedStrings.xml><?xml version="1.0" encoding="utf-8"?>
<sst xmlns="http://schemas.openxmlformats.org/spreadsheetml/2006/main" count="1176" uniqueCount="319">
  <si>
    <t>Mora</t>
  </si>
  <si>
    <t>Gems</t>
  </si>
  <si>
    <t>Boss Speciality</t>
  </si>
  <si>
    <t>Local Specialty</t>
  </si>
  <si>
    <t>Constants</t>
  </si>
  <si>
    <t>WA</t>
  </si>
  <si>
    <t>AE</t>
  </si>
  <si>
    <t>HW</t>
  </si>
  <si>
    <t>Total:</t>
  </si>
  <si>
    <t>Book</t>
  </si>
  <si>
    <t>Phase 2</t>
  </si>
  <si>
    <t>Phase 3</t>
  </si>
  <si>
    <t>Phase 4</t>
  </si>
  <si>
    <t>Phase 5</t>
  </si>
  <si>
    <t>Phase 6</t>
  </si>
  <si>
    <t>5 * Pity</t>
  </si>
  <si>
    <t>4 * Pity</t>
  </si>
  <si>
    <t>Total</t>
  </si>
  <si>
    <t>Till</t>
  </si>
  <si>
    <t>Local Speciality</t>
  </si>
  <si>
    <t>Sliver</t>
  </si>
  <si>
    <t>Fragment</t>
  </si>
  <si>
    <t>Chunk</t>
  </si>
  <si>
    <t>Gemstone</t>
  </si>
  <si>
    <t>Missing</t>
  </si>
  <si>
    <t>Total HW</t>
  </si>
  <si>
    <t>Roll</t>
  </si>
  <si>
    <t>Primogems</t>
  </si>
  <si>
    <t>Rolls</t>
  </si>
  <si>
    <t>Intertwined Fate</t>
  </si>
  <si>
    <t>Acquaint Fate</t>
  </si>
  <si>
    <t>Total AQ Rolls</t>
  </si>
  <si>
    <t>Total IT Rolls</t>
  </si>
  <si>
    <t>Current Roll</t>
  </si>
  <si>
    <t>*</t>
  </si>
  <si>
    <t>* *</t>
  </si>
  <si>
    <t>* * *</t>
  </si>
  <si>
    <t>Slime Condensate</t>
  </si>
  <si>
    <t>Slime Secretions</t>
  </si>
  <si>
    <t>Slime Concentrate</t>
  </si>
  <si>
    <t>Character Level Up</t>
  </si>
  <si>
    <t>Slimes</t>
  </si>
  <si>
    <t>Rarity</t>
  </si>
  <si>
    <t>Type of Material</t>
  </si>
  <si>
    <t>Material</t>
  </si>
  <si>
    <t>Damaged Mask</t>
  </si>
  <si>
    <t>Hilichurls</t>
  </si>
  <si>
    <t>Stained Mask</t>
  </si>
  <si>
    <t>Ominous Mask</t>
  </si>
  <si>
    <t>Divining Scroll</t>
  </si>
  <si>
    <t>Sealed Scroll</t>
  </si>
  <si>
    <t>Forbidden Curse Scroll</t>
  </si>
  <si>
    <t>Samachurls</t>
  </si>
  <si>
    <t>Firm Arrowhead</t>
  </si>
  <si>
    <t>Sharp Arrowhead</t>
  </si>
  <si>
    <t>Weathered Arrowhead</t>
  </si>
  <si>
    <t>Heavy Horn</t>
  </si>
  <si>
    <t>Black Bronze Horn</t>
  </si>
  <si>
    <t>Black Crystal Horn</t>
  </si>
  <si>
    <t>Ranged Hilichurls</t>
  </si>
  <si>
    <t>Large Hilichurls</t>
  </si>
  <si>
    <t>* * * *</t>
  </si>
  <si>
    <t>Dead Ley Line Branch</t>
  </si>
  <si>
    <t>Dead Ley Line Leaves</t>
  </si>
  <si>
    <t>Ley Line Sprout</t>
  </si>
  <si>
    <t>Abyss Mages</t>
  </si>
  <si>
    <t>Chaos Device</t>
  </si>
  <si>
    <t>Chaos Circuit</t>
  </si>
  <si>
    <t>Chaos Core</t>
  </si>
  <si>
    <t>Amount of Material</t>
  </si>
  <si>
    <t>Ruin Guards/Hunters</t>
  </si>
  <si>
    <t>Mist Grass Pollen</t>
  </si>
  <si>
    <t>Mist Grass</t>
  </si>
  <si>
    <t>Mist Grass Wick</t>
  </si>
  <si>
    <t>Electro Cicin Mages</t>
  </si>
  <si>
    <t>Hunter's Sacrificial Knife</t>
  </si>
  <si>
    <t>Agent's Sacrificial Knife</t>
  </si>
  <si>
    <t>Inspector's Sacrifical Knife</t>
  </si>
  <si>
    <t>Agents</t>
  </si>
  <si>
    <t>Recruit's Insignia</t>
  </si>
  <si>
    <t>Sergeant's Insignia</t>
  </si>
  <si>
    <t>Lieutenant's Insignia</t>
  </si>
  <si>
    <t>Fatuis</t>
  </si>
  <si>
    <t>Treasure Hoarder Insignia</t>
  </si>
  <si>
    <t>Silver Raven Insignia</t>
  </si>
  <si>
    <t>Golden Raven Insignia</t>
  </si>
  <si>
    <t>Treasure Hoarders</t>
  </si>
  <si>
    <t>Whopperflower Nectar</t>
  </si>
  <si>
    <t>Shimmering Nectar</t>
  </si>
  <si>
    <t>Energy Nectar</t>
  </si>
  <si>
    <t>Whopperflowers</t>
  </si>
  <si>
    <t>Fragile Bone Shard</t>
  </si>
  <si>
    <t>Sturdy Bone Shard</t>
  </si>
  <si>
    <t>Fossilized Bone Shard</t>
  </si>
  <si>
    <t>Geovishap Hatchlings</t>
  </si>
  <si>
    <t>Wanderer's Advice</t>
  </si>
  <si>
    <t>Hero's Wit</t>
  </si>
  <si>
    <t>Adventurer's Experience</t>
  </si>
  <si>
    <t>Source</t>
  </si>
  <si>
    <t>Leylines</t>
  </si>
  <si>
    <t>Character EXP</t>
  </si>
  <si>
    <t>Teachings of "Freedom"</t>
  </si>
  <si>
    <t>Guide to "Freedom"</t>
  </si>
  <si>
    <t>Philosophies of "Freedom"</t>
  </si>
  <si>
    <t>Teachings of "Resistance"</t>
  </si>
  <si>
    <t>Guide to "Resistance"</t>
  </si>
  <si>
    <t>Philosophies of "Resistance"</t>
  </si>
  <si>
    <t>Teachings of "Ballad"</t>
  </si>
  <si>
    <t>Guide to "Ballad"</t>
  </si>
  <si>
    <t>Philosophies of "Ballad"</t>
  </si>
  <si>
    <t>Teachings of "Prosperity"</t>
  </si>
  <si>
    <t>Guide to "Prosperity"</t>
  </si>
  <si>
    <t>Philosophies of "Prosperity"</t>
  </si>
  <si>
    <t>Teachings of "Diligence"</t>
  </si>
  <si>
    <t>Guide to "Diligence"</t>
  </si>
  <si>
    <t>Philosophies of "Diligence"</t>
  </si>
  <si>
    <t>Teachings of "Gold"</t>
  </si>
  <si>
    <t>Guide to "Gold"</t>
  </si>
  <si>
    <t>Philosophies of "Gold"</t>
  </si>
  <si>
    <t>Talent Level Up</t>
  </si>
  <si>
    <t>Tile of Decarabian's Tower</t>
  </si>
  <si>
    <t>Debris of Decarabian's City</t>
  </si>
  <si>
    <t>Fragment of Decarabian's Epic</t>
  </si>
  <si>
    <t>Scattered Piece of Decarabian's Dream</t>
  </si>
  <si>
    <t>Luminous Sands from Guyun</t>
  </si>
  <si>
    <t>Lustrous Stone from Guyun</t>
  </si>
  <si>
    <t>Relic from Guyun</t>
  </si>
  <si>
    <t>Divine Body from Guyun</t>
  </si>
  <si>
    <t>Domains (Monday/Thursday)</t>
  </si>
  <si>
    <t>Weapon Ascension</t>
  </si>
  <si>
    <t>Boreal Wolf's Milk Tooth</t>
  </si>
  <si>
    <t>Boreal Wolf's Cracked Tooth</t>
  </si>
  <si>
    <t>Boreal Wolf's Broken Fang</t>
  </si>
  <si>
    <t>Boreal Wolf's Nostalgia</t>
  </si>
  <si>
    <t>Mist Veiled Lead Elixir</t>
  </si>
  <si>
    <t>Mist Veiled Mercury Elixir</t>
  </si>
  <si>
    <t>Mist Veiled Gold Elixir</t>
  </si>
  <si>
    <t>Mist Veiled Primo Elixir</t>
  </si>
  <si>
    <t>Domains (Tuesday/Friday)</t>
  </si>
  <si>
    <t>Domains (Wednesday/Saturday)</t>
  </si>
  <si>
    <t>Fetters of the Dandelion Gladiator</t>
  </si>
  <si>
    <t>Chains of the Dandelion Gladiator</t>
  </si>
  <si>
    <t>Shackles of the Dandelion Gladiator</t>
  </si>
  <si>
    <t>Dream of the Dandelion Gladiator</t>
  </si>
  <si>
    <t>Grain of Aerosiderite</t>
  </si>
  <si>
    <t>Piece of Aerosiderite</t>
  </si>
  <si>
    <t>Bit of Aerosiderite</t>
  </si>
  <si>
    <t>Chunk of Aerosiderite</t>
  </si>
  <si>
    <t>* * * * *</t>
  </si>
  <si>
    <t>Agnidus Agate Sliver</t>
  </si>
  <si>
    <t>Agnidus Agate Fragment</t>
  </si>
  <si>
    <t>Agnidus Agate Chunk</t>
  </si>
  <si>
    <t>Agnidus Agate Gemstone</t>
  </si>
  <si>
    <t>Varunada Lazurite Sliver</t>
  </si>
  <si>
    <t>Varunada Lazurite Fragment</t>
  </si>
  <si>
    <t>Varunada Lazurite Chunk</t>
  </si>
  <si>
    <t>Varunada Lazurite Gemstone</t>
  </si>
  <si>
    <t>Vajrada Amethyst Sliver</t>
  </si>
  <si>
    <t>Vajrada Amethyst Fragment</t>
  </si>
  <si>
    <t>Vajrada Amethyst Chunk</t>
  </si>
  <si>
    <t>Vajrada Amethyst Gemstone</t>
  </si>
  <si>
    <t>Vayuda Turquoise Sliver</t>
  </si>
  <si>
    <t>Vayuda Turquoise Fragment</t>
  </si>
  <si>
    <t>Vayuda Turquoise Chunk</t>
  </si>
  <si>
    <t>Vayuda Turquoise Gemstone</t>
  </si>
  <si>
    <t>Shivada Jade Sliver</t>
  </si>
  <si>
    <t>Shivada Jade Fragment</t>
  </si>
  <si>
    <t>Shivada Jade Chunk</t>
  </si>
  <si>
    <t>Shivada Jade Gemstone</t>
  </si>
  <si>
    <t>Prithiva Topaz Sliver</t>
  </si>
  <si>
    <t>Prithiva Topaz Fragment</t>
  </si>
  <si>
    <t>Prithiva Topaz Chunk</t>
  </si>
  <si>
    <t>Prithiva Topaz Gemstone</t>
  </si>
  <si>
    <t>Pyro Regisvines</t>
  </si>
  <si>
    <t>Oceanids</t>
  </si>
  <si>
    <t>Electro Hypostases</t>
  </si>
  <si>
    <t>Anemo Hypostases</t>
  </si>
  <si>
    <t>Cryo Regisvines</t>
  </si>
  <si>
    <t>Geo Hypostases</t>
  </si>
  <si>
    <t>Everflame Seed</t>
  </si>
  <si>
    <t>Cleansing Heart</t>
  </si>
  <si>
    <t>Lightning Prism</t>
  </si>
  <si>
    <t>Hurricane Seed</t>
  </si>
  <si>
    <t>Hoarfrost Core</t>
  </si>
  <si>
    <t>Basalt Pillar</t>
  </si>
  <si>
    <t>Dvalin's Plume</t>
  </si>
  <si>
    <t>Dvalin's Claw</t>
  </si>
  <si>
    <t>Dvalin's Sigh</t>
  </si>
  <si>
    <t>Weekly Boss</t>
  </si>
  <si>
    <t>Tail of Boreas</t>
  </si>
  <si>
    <t>Ring of Boreas</t>
  </si>
  <si>
    <t>Spirit Locket of Boreas</t>
  </si>
  <si>
    <t>Tusk of Monoceros Caeli</t>
  </si>
  <si>
    <t>Shard of a Foul Legacy</t>
  </si>
  <si>
    <t>Shadow of the Warrior</t>
  </si>
  <si>
    <t>Character Event</t>
  </si>
  <si>
    <t>Standard</t>
  </si>
  <si>
    <t>Weapon Event</t>
  </si>
  <si>
    <t>Cor Lapis</t>
  </si>
  <si>
    <t xml:space="preserve">Boss Speciality </t>
  </si>
  <si>
    <t>Needed</t>
  </si>
  <si>
    <t>Have</t>
  </si>
  <si>
    <t xml:space="preserve">* * * </t>
  </si>
  <si>
    <t>Common Rarity</t>
  </si>
  <si>
    <t>Gem Rarity</t>
  </si>
  <si>
    <t>Calla Lily</t>
  </si>
  <si>
    <t>Wolfhook</t>
  </si>
  <si>
    <t>Valberry</t>
  </si>
  <si>
    <t>Cecilia</t>
  </si>
  <si>
    <t>Windwheel Aster</t>
  </si>
  <si>
    <t>Jueyun Chili</t>
  </si>
  <si>
    <t>Noctilucous Jade</t>
  </si>
  <si>
    <t>Silk Flower</t>
  </si>
  <si>
    <t>Glaze Lily</t>
  </si>
  <si>
    <t>Qingxin</t>
  </si>
  <si>
    <t>Starconch</t>
  </si>
  <si>
    <t>Small Lamp Grass</t>
  </si>
  <si>
    <t>Dandelion Seed</t>
  </si>
  <si>
    <t>AppSample</t>
  </si>
  <si>
    <t>MapGenie</t>
  </si>
  <si>
    <t>Interactive Maps</t>
  </si>
  <si>
    <t>Crown of Sagehood</t>
  </si>
  <si>
    <t>Limited-Duration Event Reward</t>
  </si>
  <si>
    <t>Crown</t>
  </si>
  <si>
    <t>Common Material</t>
  </si>
  <si>
    <t>Required Level</t>
  </si>
  <si>
    <t>Ascension Level</t>
  </si>
  <si>
    <t>Talent Level</t>
  </si>
  <si>
    <t>Required Ascension</t>
  </si>
  <si>
    <t>Level</t>
  </si>
  <si>
    <t>Type</t>
  </si>
  <si>
    <t>Amount</t>
  </si>
  <si>
    <t>Name</t>
  </si>
  <si>
    <t>Boss Specialty</t>
  </si>
  <si>
    <t>Talents</t>
  </si>
  <si>
    <t xml:space="preserve">* * * * * </t>
  </si>
  <si>
    <t>Character EXP Material</t>
  </si>
  <si>
    <t>Currency</t>
  </si>
  <si>
    <t>EXP Conversions</t>
  </si>
  <si>
    <t>WA -&gt; HW</t>
  </si>
  <si>
    <t>AE -&gt; HW</t>
  </si>
  <si>
    <t>Book Rarity</t>
  </si>
  <si>
    <t xml:space="preserve">* * * * </t>
  </si>
  <si>
    <t>Common Mat [***]</t>
  </si>
  <si>
    <t>Common Mat [*]</t>
  </si>
  <si>
    <t>Common Mat [**]</t>
  </si>
  <si>
    <t>Book [**]</t>
  </si>
  <si>
    <t>Book [***]</t>
  </si>
  <si>
    <t>Book [****]</t>
  </si>
  <si>
    <t>Potential Roll</t>
  </si>
  <si>
    <t>Potentiall Till</t>
  </si>
  <si>
    <t>None</t>
  </si>
  <si>
    <t>Potential Till</t>
  </si>
  <si>
    <t>Juevnile Jade</t>
  </si>
  <si>
    <t>Agnidus Agate</t>
  </si>
  <si>
    <t>Talent Type</t>
  </si>
  <si>
    <t>Common Material Type</t>
  </si>
  <si>
    <t>Boss Speciality (World)</t>
  </si>
  <si>
    <t>Boss Specialty (Elite)</t>
  </si>
  <si>
    <t>Crystal Type</t>
  </si>
  <si>
    <t>Nectar</t>
  </si>
  <si>
    <t>Anemo</t>
  </si>
  <si>
    <t>Geo</t>
  </si>
  <si>
    <t>Pyro</t>
  </si>
  <si>
    <t>Cryo</t>
  </si>
  <si>
    <t>Hydro</t>
  </si>
  <si>
    <t>Electro</t>
  </si>
  <si>
    <t>Varunada Lazurite</t>
  </si>
  <si>
    <t>Vajrada Amethyst</t>
  </si>
  <si>
    <t>Vayuda Turquoise</t>
  </si>
  <si>
    <t>Shivada Jade</t>
  </si>
  <si>
    <t>Prithiva Topaz</t>
  </si>
  <si>
    <t>Input</t>
  </si>
  <si>
    <t>Output</t>
  </si>
  <si>
    <t>Primo</t>
  </si>
  <si>
    <t>Claw</t>
  </si>
  <si>
    <t>Sigh</t>
  </si>
  <si>
    <t>Plume</t>
  </si>
  <si>
    <t>Tail</t>
  </si>
  <si>
    <t>Ring</t>
  </si>
  <si>
    <t>Locket</t>
  </si>
  <si>
    <t>Tusk</t>
  </si>
  <si>
    <t>Shard</t>
  </si>
  <si>
    <t>Shadow</t>
  </si>
  <si>
    <t>Slime</t>
  </si>
  <si>
    <t>Chaos</t>
  </si>
  <si>
    <t>Mask</t>
  </si>
  <si>
    <t>Scroll</t>
  </si>
  <si>
    <t>Arrowhead</t>
  </si>
  <si>
    <t>Horn</t>
  </si>
  <si>
    <t>Ley Line</t>
  </si>
  <si>
    <t>Knife</t>
  </si>
  <si>
    <t>F Insignia</t>
  </si>
  <si>
    <t>TH Insignia</t>
  </si>
  <si>
    <t>Bone Shard</t>
  </si>
  <si>
    <t>Cryo Cube</t>
  </si>
  <si>
    <t>Crystalline Bloom</t>
  </si>
  <si>
    <t>Branch</t>
  </si>
  <si>
    <t>Scale</t>
  </si>
  <si>
    <t>Bloodjade Branch</t>
  </si>
  <si>
    <t>Gilded Scale</t>
  </si>
  <si>
    <t>Dragon Lord's Crown</t>
  </si>
  <si>
    <t>Kenki</t>
  </si>
  <si>
    <t>Marionette Core</t>
  </si>
  <si>
    <t>Crystal Marrow</t>
  </si>
  <si>
    <t>Light</t>
  </si>
  <si>
    <t>Handguard</t>
  </si>
  <si>
    <t>Old Handguard</t>
  </si>
  <si>
    <t>Kageuchi Handguard</t>
  </si>
  <si>
    <t>Famed Handguard</t>
  </si>
  <si>
    <t>Flower</t>
  </si>
  <si>
    <t>"Fire Flower"</t>
  </si>
  <si>
    <t>Pyro Cube</t>
  </si>
  <si>
    <t>Smoldering Pearl</t>
  </si>
  <si>
    <t>Mecha Cube</t>
  </si>
  <si>
    <t>Perpetual Heart</t>
  </si>
  <si>
    <t>E Oceanid</t>
  </si>
  <si>
    <t>Storm Beads</t>
  </si>
  <si>
    <t>Tenkumo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</si>
</sst>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Arial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FFFFFF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FA7D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Verdana"/>
      <family val="2"/>
    </font>
    <font>
      <sz val="10"/>
      <color rgb="FF9C57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gradientFill degree="90">
        <stop position="0">
          <color rgb="FFFF66FF"/>
        </stop>
        <stop position="1">
          <color rgb="FF00B0F0"/>
        </stop>
      </gradient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12" fillId="10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9" fillId="2" borderId="1" xfId="1" applyFont="1" applyAlignment="1"/>
    <xf numFmtId="1" fontId="9" fillId="2" borderId="1" xfId="1" applyNumberFormat="1" applyFont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8" fillId="5" borderId="0" xfId="0" applyFont="1" applyFill="1"/>
    <xf numFmtId="0" fontId="7" fillId="0" borderId="0" xfId="0" applyFont="1"/>
    <xf numFmtId="0" fontId="8" fillId="4" borderId="0" xfId="0" applyFont="1" applyFill="1"/>
    <xf numFmtId="0" fontId="8" fillId="3" borderId="0" xfId="0" applyFont="1" applyFill="1"/>
    <xf numFmtId="0" fontId="3" fillId="0" borderId="0" xfId="0" applyFont="1" applyAlignment="1">
      <alignment horizontal="right"/>
    </xf>
    <xf numFmtId="0" fontId="4" fillId="0" borderId="0" xfId="0" applyFont="1"/>
    <xf numFmtId="0" fontId="4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0" fillId="0" borderId="0" xfId="0" applyAlignment="1">
      <alignment horizontal="center"/>
    </xf>
    <xf numFmtId="0" fontId="10" fillId="0" borderId="0" xfId="0" applyFont="1" applyAlignment="1"/>
    <xf numFmtId="0" fontId="0" fillId="0" borderId="0" xfId="0" applyFont="1" applyAlignment="1">
      <alignment horizontal="left"/>
    </xf>
    <xf numFmtId="0" fontId="8" fillId="9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8" fillId="5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7" fillId="0" borderId="0" xfId="0" applyFont="1" applyBorder="1"/>
    <xf numFmtId="0" fontId="8" fillId="3" borderId="0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7" fillId="0" borderId="3" xfId="0" applyFont="1" applyBorder="1"/>
    <xf numFmtId="0" fontId="7" fillId="0" borderId="7" xfId="0" applyFont="1" applyBorder="1"/>
    <xf numFmtId="0" fontId="8" fillId="3" borderId="6" xfId="0" applyFont="1" applyFill="1" applyBorder="1" applyAlignment="1">
      <alignment horizontal="center"/>
    </xf>
    <xf numFmtId="0" fontId="3" fillId="0" borderId="0" xfId="0" applyFont="1" applyAlignment="1"/>
    <xf numFmtId="0" fontId="7" fillId="0" borderId="0" xfId="0" applyFont="1" applyAlignment="1">
      <alignment horizontal="right"/>
    </xf>
    <xf numFmtId="0" fontId="14" fillId="0" borderId="0" xfId="4" applyFont="1"/>
    <xf numFmtId="0" fontId="11" fillId="0" borderId="0" xfId="0" applyFont="1"/>
    <xf numFmtId="0" fontId="3" fillId="6" borderId="0" xfId="0" applyFont="1" applyFill="1" applyAlignment="1"/>
    <xf numFmtId="1" fontId="3" fillId="0" borderId="0" xfId="0" applyNumberFormat="1" applyFont="1" applyAlignment="1"/>
    <xf numFmtId="0" fontId="6" fillId="0" borderId="0" xfId="0" applyFont="1" applyAlignment="1"/>
    <xf numFmtId="0" fontId="9" fillId="2" borderId="1" xfId="1" applyFont="1" applyAlignment="1">
      <alignment horizontal="right"/>
    </xf>
    <xf numFmtId="0" fontId="15" fillId="10" borderId="0" xfId="3" applyFont="1"/>
    <xf numFmtId="0" fontId="7" fillId="0" borderId="0" xfId="0" applyFont="1" applyAlignment="1">
      <alignment horizontal="center"/>
    </xf>
    <xf numFmtId="0" fontId="0" fillId="11" borderId="0" xfId="0" applyFont="1" applyFill="1"/>
    <xf numFmtId="1" fontId="7" fillId="0" borderId="0" xfId="0" applyNumberFormat="1" applyFont="1" applyAlignment="1">
      <alignment horizontal="right"/>
    </xf>
    <xf numFmtId="0" fontId="0" fillId="0" borderId="0" xfId="0" applyAlignment="1">
      <alignment horizontal="right"/>
    </xf>
  </cellXfs>
  <cellStyles count="5">
    <cellStyle name="Calculation" xfId="1" builtinId="22"/>
    <cellStyle name="Hyperlink" xfId="4" builtinId="8"/>
    <cellStyle name="Neutral" xfId="3" builtinId="28"/>
    <cellStyle name="Normal" xfId="0" builtinId="0"/>
    <cellStyle name="Normal 2" xfId="2" xr:uid="{077DAAC7-FD78-41B9-9142-47543036B5EC}"/>
  </cellStyles>
  <dxfs count="1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rgb="FF7F7F7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805CA3-2E2C-4CD5-A069-AE102D629F8D}" name="Table15" displayName="Table15" ref="A1:I7" totalsRowShown="0" headerRowDxfId="119" dataDxfId="118">
  <autoFilter ref="A1:I7" xr:uid="{BAD66145-2973-4A7A-8E6D-B3833B723786}">
    <filterColumn colId="0">
      <filters>
        <filter val="1"/>
        <filter val="2"/>
        <filter val="3"/>
        <filter val="4"/>
        <filter val="5"/>
      </filters>
    </filterColumn>
  </autoFilter>
  <sortState xmlns:xlrd2="http://schemas.microsoft.com/office/spreadsheetml/2017/richdata2" ref="A2:G7">
    <sortCondition ref="A1:A7"/>
  </sortState>
  <tableColumns count="9">
    <tableColumn id="1" xr3:uid="{F5354169-26EB-426E-8CDC-AB52F868A1FD}" name="Ascension Level" dataDxfId="117"/>
    <tableColumn id="2" xr3:uid="{BD4A2897-C484-4943-8D42-AE4552CAA3EC}" name="Required Level" dataDxfId="116"/>
    <tableColumn id="3" xr3:uid="{85C7E05B-02FE-468B-8C8D-4AA9CA944AFD}" name="Mora" dataDxfId="115"/>
    <tableColumn id="4" xr3:uid="{174505A7-E673-4E59-B372-436C8763B32A}" name="Gems" dataDxfId="114"/>
    <tableColumn id="5" xr3:uid="{5C20D10C-C7AD-4352-A2C4-41916F963853}" name="Gem Rarity" dataDxfId="113"/>
    <tableColumn id="6" xr3:uid="{56A25A62-6AAA-4991-BBE8-89861B497725}" name="Boss Speciality" dataDxfId="112"/>
    <tableColumn id="7" xr3:uid="{7A373FFA-B4E0-42C3-A9CC-429968656DB7}" name="Local Specialty" dataDxfId="111"/>
    <tableColumn id="8" xr3:uid="{1CA1EDF0-CEDB-4869-AB92-911DB1C9673D}" name="Common Material" dataDxfId="110"/>
    <tableColumn id="9" xr3:uid="{FB9AC4B6-23AD-4629-BCF7-3A892DD4B35A}" name="Common Rarity" dataDxfId="10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07C294C-CADC-4663-A38A-F0438748176D}" name="Talent3.2" displayName="Talent3.2" ref="A34:I43" totalsRowShown="0" headerRowDxfId="30" tableBorderDxfId="29">
  <autoFilter ref="A34:I43" xr:uid="{E07C294C-CADC-4663-A38A-F0438748176D}">
    <filterColumn colId="0">
      <filters>
        <filter val="2"/>
        <filter val="3"/>
        <filter val="4"/>
        <filter val="5"/>
        <filter val="6"/>
        <filter val="7"/>
        <filter val="8"/>
      </filters>
    </filterColumn>
  </autoFilter>
  <tableColumns count="9">
    <tableColumn id="1" xr3:uid="{21CF031B-3997-4038-B530-8AD3954463D0}" name="Talent Level" dataDxfId="28"/>
    <tableColumn id="2" xr3:uid="{E934998C-FEB0-4236-93B2-2CE871C1E7B2}" name="Required Ascension" dataDxfId="27"/>
    <tableColumn id="3" xr3:uid="{A7C076ED-DA4F-4FB6-B4CA-A8979785ED06}" name="Book" dataDxfId="26"/>
    <tableColumn id="4" xr3:uid="{A97F7E5C-1833-43D8-8F99-B2F0C0F92A04}" name="Book Rarity" dataDxfId="25"/>
    <tableColumn id="5" xr3:uid="{C748E556-F60E-4C9B-8A98-7DAE6D25D088}" name="Common Material" dataDxfId="24"/>
    <tableColumn id="6" xr3:uid="{C8DF7E92-E797-46F9-BAAD-819F72E6331C}" name="Common Rarity" dataDxfId="23"/>
    <tableColumn id="7" xr3:uid="{A72829EC-FB9A-456D-93F8-C89D51F25685}" name="Boss Speciality" dataDxfId="22"/>
    <tableColumn id="8" xr3:uid="{D1307AF8-0AF7-4E60-B676-56D89CC83C55}" name="Crown" dataDxfId="21"/>
    <tableColumn id="9" xr3:uid="{1923F970-5C42-419D-BB43-DC131A147A1B}" name="Mora" dataDxfId="20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DC32FB-439C-42F4-A1D0-091A80D20F41}" name="Table12" displayName="Table12" ref="A1:E125" totalsRowShown="0" headerRowDxfId="19" dataDxfId="18">
  <autoFilter ref="A1:E125" xr:uid="{AA2AD18C-2382-43A6-9761-02B274C8AC5D}"/>
  <tableColumns count="5">
    <tableColumn id="1" xr3:uid="{7871F78F-BCF4-4EE9-B8B9-9CA9123AB95B}" name="Rarity" dataDxfId="17"/>
    <tableColumn id="2" xr3:uid="{2AE519D0-83A0-419E-BF38-FF5CDBCD4C47}" name="Material" dataDxfId="16"/>
    <tableColumn id="3" xr3:uid="{11FEA272-C8E6-4C53-8997-22E87107A5CF}" name="Source" dataDxfId="15"/>
    <tableColumn id="4" xr3:uid="{3874BA30-1A7E-4046-B359-E7771ECAC60F}" name="Type of Material" dataDxfId="14"/>
    <tableColumn id="5" xr3:uid="{AD02BAD3-A08B-4C5B-965B-CF9090E0B45E}" name="Amount of Material" dataDxfId="13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074ABC-4F00-455E-9E93-CC0A946692C5}" name="Table2" displayName="Table2" ref="A1:B15" totalsRowShown="0" headerRowDxfId="12" dataDxfId="11">
  <autoFilter ref="A1:B15" xr:uid="{6FD46052-62BC-4839-9C0E-FF4CB0A1D68A}"/>
  <tableColumns count="2">
    <tableColumn id="1" xr3:uid="{82200AAD-1C56-4574-833A-9588E4CB749D}" name="Valberry" dataDxfId="10"/>
    <tableColumn id="2" xr3:uid="{A186459D-60E8-4D61-8F3B-98D1CEA6FD55}" name="Amount of Material" dataDxfId="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B0BB34-48EB-4F8F-9B2D-5FBE2D0B2B3B}" name="Table7" displayName="Table7" ref="A6:C11" totalsRowShown="0" dataDxfId="8">
  <autoFilter ref="A6:C11" xr:uid="{A0F9058E-E57D-447B-B590-6558C5B373AE}">
    <filterColumn colId="0">
      <filters>
        <filter val="Current Roll"/>
        <filter val="Potential Roll"/>
        <filter val="Potentiall Till"/>
        <filter val="Till"/>
      </filters>
    </filterColumn>
  </autoFilter>
  <tableColumns count="3">
    <tableColumn id="1" xr3:uid="{B4F87D8D-35C1-4E63-8069-963E46363028}" name="Character Event" dataDxfId="7"/>
    <tableColumn id="2" xr3:uid="{035E51BC-6824-4D26-AF96-63176E8D168E}" name="5 * Pity" dataDxfId="6"/>
    <tableColumn id="3" xr3:uid="{52D930DA-C193-4DD7-B670-3BF48AE4F4F4}" name="4 * Pity" dataDxfId="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78D9C2-16D8-4CF3-A3C6-BBDD78C492B5}" name="Table8" displayName="Table8" ref="A18:C23" totalsRowShown="0" dataDxfId="4">
  <autoFilter ref="A18:C23" xr:uid="{6D78A443-5876-4340-8EAE-D79F4207FDD9}">
    <filterColumn colId="0">
      <filters>
        <filter val="Current Roll"/>
        <filter val="Potential Roll"/>
        <filter val="Potential Till"/>
        <filter val="Till"/>
      </filters>
    </filterColumn>
  </autoFilter>
  <tableColumns count="3">
    <tableColumn id="1" xr3:uid="{DCE038F8-6823-4F4B-8728-5763598AA1C6}" name="Standard" dataDxfId="3"/>
    <tableColumn id="2" xr3:uid="{EB669B48-F151-49CA-A1BE-EB089561623C}" name="5 * Pity" dataDxfId="2"/>
    <tableColumn id="3" xr3:uid="{401A6DA9-E146-43BD-97F7-C5C3C20BA980}" name="4 * Pity" dataDxfId="1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74B43-A438-46E7-9A76-C632AA6DD24C}" name="Table1" displayName="Table1" ref="A12:C17" totalsRowShown="0" headerRowDxfId="0">
  <autoFilter ref="A12:C17" xr:uid="{37EC4122-6599-4692-A7D8-B275AD8186FC}">
    <filterColumn colId="0">
      <filters>
        <filter val="Current Roll"/>
        <filter val="Potential Roll"/>
        <filter val="Potential Till"/>
        <filter val="Till"/>
      </filters>
    </filterColumn>
  </autoFilter>
  <tableColumns count="3">
    <tableColumn id="1" xr3:uid="{9F1D43D6-6E9E-4DEC-AD35-9B571F2EC247}" name="Weapon Event"/>
    <tableColumn id="2" xr3:uid="{C5343106-6546-4343-88E4-B5A8762875BB}" name="5 * Pity"/>
    <tableColumn id="3" xr3:uid="{899E39E3-D127-4515-9B91-D9CA29B69701}" name="4 * P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92A73C-B798-443D-8A70-5AE4965C7F37}" name="Talent1.1" displayName="Talent1.1" ref="A10:I19" totalsRowShown="0" headerRowDxfId="108" tableBorderDxfId="107">
  <autoFilter ref="A10:I19" xr:uid="{DBED5344-6099-4676-BD1B-1791FF1B74CF}">
    <filterColumn colId="0">
      <filters>
        <filter val="2"/>
        <filter val="3"/>
        <filter val="4"/>
        <filter val="5"/>
        <filter val="6"/>
      </filters>
    </filterColumn>
  </autoFilter>
  <tableColumns count="9">
    <tableColumn id="1" xr3:uid="{1039A129-A295-4EEE-A6BD-DBBF04474F68}" name="Talent Level" dataDxfId="106"/>
    <tableColumn id="2" xr3:uid="{0E59FF02-29C9-41B7-A638-B4F33D81718C}" name="Required Ascension" dataDxfId="105"/>
    <tableColumn id="3" xr3:uid="{DC6C93A4-73DF-40D0-89EA-D07EEA6178BB}" name="Book" dataDxfId="104"/>
    <tableColumn id="4" xr3:uid="{CB297740-0615-4F1E-9B76-B6C5D7B11697}" name="Book Rarity" dataDxfId="103"/>
    <tableColumn id="5" xr3:uid="{3E415E56-572B-4F6C-A23D-FEA7FE317C4C}" name="Common Material" dataDxfId="102"/>
    <tableColumn id="6" xr3:uid="{ADB38395-57CD-483F-A352-290FD36AF808}" name="Common Rarity" dataDxfId="101"/>
    <tableColumn id="7" xr3:uid="{D7CE2FD0-2885-4E29-8456-3B00173AAC80}" name="Boss Speciality" dataDxfId="100"/>
    <tableColumn id="8" xr3:uid="{E96837CD-9870-4164-921E-82CA75C17C2F}" name="Crown" dataDxfId="99"/>
    <tableColumn id="9" xr3:uid="{3B2D6621-E502-440C-B4D4-91D0922D2EB0}" name="Mora" dataDxfId="9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E3D183C-3F25-46CC-AAE2-38441745B664}" name="Table37" displayName="Table37" ref="A46:C53" totalsRowShown="0">
  <autoFilter ref="A46:C53" xr:uid="{579DBA81-672D-46E4-9A4B-9C4654CC51D0}">
    <filterColumn colId="0">
      <filters>
        <filter val="20"/>
        <filter val="40"/>
        <filter val="50"/>
        <filter val="60"/>
        <filter val="70"/>
        <filter val="80"/>
      </filters>
    </filterColumn>
  </autoFilter>
  <tableColumns count="3">
    <tableColumn id="1" xr3:uid="{BCC77396-BFE8-49B8-B326-7B402222B477}" name="Level" dataDxfId="97"/>
    <tableColumn id="2" xr3:uid="{2940E68E-AA74-44D6-B642-1BD20BD8FF12}" name="Hero's Wit" dataDxfId="96"/>
    <tableColumn id="3" xr3:uid="{74756243-02FF-45F6-8748-8B8054905FC9}" name="Mora" dataDxfId="9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8E351A-2ACD-4F32-83D1-B4113D4C501F}" name="Talent2.1" displayName="Talent2.1" ref="A22:I31" totalsRowShown="0" headerRowDxfId="94" tableBorderDxfId="93">
  <autoFilter ref="A22:I31" xr:uid="{738E351A-2ACD-4F32-83D1-B4113D4C501F}">
    <filterColumn colId="0">
      <filters>
        <filter val="2"/>
        <filter val="3"/>
        <filter val="4"/>
        <filter val="5"/>
        <filter val="6"/>
        <filter val="7"/>
        <filter val="8"/>
      </filters>
    </filterColumn>
  </autoFilter>
  <tableColumns count="9">
    <tableColumn id="1" xr3:uid="{0A3C7D1C-C20C-4513-B4CA-38F6E8040E34}" name="Talent Level" dataDxfId="92"/>
    <tableColumn id="2" xr3:uid="{7B1AAB36-71E4-453B-8665-6CCD4207FB33}" name="Required Ascension" dataDxfId="91"/>
    <tableColumn id="3" xr3:uid="{DE1B3B01-0039-4C7F-AD9E-13E6832A617E}" name="Book" dataDxfId="90"/>
    <tableColumn id="4" xr3:uid="{A2A7D115-FA38-4B63-ADCD-651A717717AA}" name="Book Rarity" dataDxfId="89"/>
    <tableColumn id="5" xr3:uid="{B25966DD-8226-4B26-A9CF-57CEBC8DAAA6}" name="Common Material" dataDxfId="88"/>
    <tableColumn id="6" xr3:uid="{D22ED1AC-28F5-46CE-AC60-C976B2063A94}" name="Common Rarity" dataDxfId="87"/>
    <tableColumn id="7" xr3:uid="{220F2CA7-D9A5-458B-A4E6-926B5264D726}" name="Boss Speciality" dataDxfId="86"/>
    <tableColumn id="8" xr3:uid="{E6FDAB32-B81E-4BDB-AE93-C8AE7F5DF762}" name="Crown" dataDxfId="85"/>
    <tableColumn id="9" xr3:uid="{C0CFF91A-8C34-4810-B463-1CCCE36B47FE}" name="Mora" dataDxfId="8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7DD07CD-4295-44B3-9513-F4DFBFB1F831}" name="Talent3.1" displayName="Talent3.1" ref="A34:I43" totalsRowShown="0" headerRowDxfId="83" tableBorderDxfId="82">
  <autoFilter ref="A34:I43" xr:uid="{17DD07CD-4295-44B3-9513-F4DFBFB1F831}">
    <filterColumn colId="0">
      <filters>
        <filter val="2"/>
        <filter val="3"/>
        <filter val="4"/>
        <filter val="5"/>
        <filter val="6"/>
        <filter val="7"/>
        <filter val="8"/>
      </filters>
    </filterColumn>
  </autoFilter>
  <tableColumns count="9">
    <tableColumn id="1" xr3:uid="{7F4B7318-85E2-4258-B9DA-5F6304F5376E}" name="Talent Level" dataDxfId="81"/>
    <tableColumn id="2" xr3:uid="{66691B1F-AD07-42B2-8CAF-2735409BA8B9}" name="Required Ascension" dataDxfId="80"/>
    <tableColumn id="3" xr3:uid="{70DFD48C-CF50-4CC3-A08F-6C363225002C}" name="Book" dataDxfId="79"/>
    <tableColumn id="4" xr3:uid="{5E5DBF2D-5792-44E4-B75C-A7A5A65DFD72}" name="Book Rarity" dataDxfId="78"/>
    <tableColumn id="5" xr3:uid="{07610DAE-FBEE-4B48-BDD5-7E2A35540FA6}" name="Common Material" dataDxfId="77"/>
    <tableColumn id="6" xr3:uid="{FA8B7F46-A8AA-47BE-8385-9B858D198472}" name="Common Rarity" dataDxfId="76"/>
    <tableColumn id="7" xr3:uid="{3139DAF4-2489-4DD8-93C1-6432E91CAF05}" name="Boss Speciality" dataDxfId="75"/>
    <tableColumn id="8" xr3:uid="{B5B4B315-A461-4C77-BFF2-816973DB1C3C}" name="Crown" dataDxfId="74"/>
    <tableColumn id="9" xr3:uid="{62AAB30D-EF64-4EF0-82BC-D4305573D21E}" name="Mora" dataDxfId="7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12DEF1-36A4-42A4-818F-66F5344AFE63}" name="Table154" displayName="Table154" ref="A1:I7" totalsRowShown="0" headerRowDxfId="66" dataDxfId="65">
  <autoFilter ref="A1:I7" xr:uid="{BAD66145-2973-4A7A-8E6D-B3833B723786}">
    <filterColumn colId="0">
      <filters>
        <filter val="1"/>
        <filter val="2"/>
        <filter val="3"/>
        <filter val="4"/>
        <filter val="5"/>
      </filters>
    </filterColumn>
  </autoFilter>
  <sortState xmlns:xlrd2="http://schemas.microsoft.com/office/spreadsheetml/2017/richdata2" ref="A2:G7">
    <sortCondition ref="A1:A7"/>
  </sortState>
  <tableColumns count="9">
    <tableColumn id="1" xr3:uid="{80EBAC9F-7C9C-4349-8369-EE0BB555E59A}" name="Ascension Level" dataDxfId="64"/>
    <tableColumn id="2" xr3:uid="{3E16CED4-8BBE-4B75-BA8E-EE378C8733CE}" name="Required Level" dataDxfId="63"/>
    <tableColumn id="3" xr3:uid="{B2D36F22-4B99-4B03-A751-1B0C30BE592C}" name="Mora" dataDxfId="62"/>
    <tableColumn id="4" xr3:uid="{EFB8864F-2176-4EC2-9C1A-6B5589F60315}" name="Gems" dataDxfId="61"/>
    <tableColumn id="5" xr3:uid="{647F42D2-302F-4B07-8411-DE2D13BC0F55}" name="Gem Rarity" dataDxfId="60"/>
    <tableColumn id="6" xr3:uid="{A34389D0-9F31-43D8-BC22-05009247FD54}" name="Boss Speciality" dataDxfId="59"/>
    <tableColumn id="7" xr3:uid="{813325E2-CC55-4768-A190-3F71EAD2CC14}" name="Local Specialty" dataDxfId="58"/>
    <tableColumn id="8" xr3:uid="{F041CC3B-D9DA-4FCD-99CF-339A618D9C61}" name="Common Material" dataDxfId="57"/>
    <tableColumn id="9" xr3:uid="{B08464BD-F503-4DB2-AC18-592D71F67F3E}" name="Common Rarity" dataDxfId="5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078AD7-EA7A-460C-A04A-4B90E8DD592E}" name="Talent1.2" displayName="Talent1.2" ref="A10:I19" totalsRowShown="0" headerRowDxfId="55" tableBorderDxfId="54">
  <autoFilter ref="A10:I19" xr:uid="{DBED5344-6099-4676-BD1B-1791FF1B74CF}">
    <filterColumn colId="0">
      <filters>
        <filter val="2"/>
        <filter val="3"/>
        <filter val="4"/>
        <filter val="5"/>
        <filter val="6"/>
      </filters>
    </filterColumn>
  </autoFilter>
  <tableColumns count="9">
    <tableColumn id="1" xr3:uid="{5418CC10-6829-437E-AB21-19CBCAA4E50E}" name="Talent Level" dataDxfId="53"/>
    <tableColumn id="2" xr3:uid="{1BF5E753-4EDE-4538-BC91-3C784C55C892}" name="Required Ascension" dataDxfId="52"/>
    <tableColumn id="3" xr3:uid="{D406A6E9-4604-4A83-B536-D4E7273D81BC}" name="Book" dataDxfId="51"/>
    <tableColumn id="4" xr3:uid="{F6E0632D-61C9-4A29-9424-022A7202C8C8}" name="Book Rarity" dataDxfId="50"/>
    <tableColumn id="5" xr3:uid="{98FE4A58-C772-493B-9FF2-BAD0A4EEF7EC}" name="Common Material" dataDxfId="49"/>
    <tableColumn id="6" xr3:uid="{D8703685-09BF-4A46-AA4B-05C6AAE31778}" name="Common Rarity" dataDxfId="48"/>
    <tableColumn id="7" xr3:uid="{F1089FB1-E2EE-4C87-94F0-3F75DB04008F}" name="Boss Speciality" dataDxfId="47"/>
    <tableColumn id="8" xr3:uid="{8FF3B3C8-6267-4BCB-9529-ACDD9D685AA7}" name="Crown" dataDxfId="46"/>
    <tableColumn id="9" xr3:uid="{4A9FFE63-85C4-4017-80A7-A3DA17A83A58}" name="Mora" dataDxfId="45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090AA4-9BBB-46DC-8069-6DA375B6E5DE}" name="Table3711" displayName="Table3711" ref="A46:C53" totalsRowShown="0">
  <autoFilter ref="A46:C53" xr:uid="{579DBA81-672D-46E4-9A4B-9C4654CC51D0}">
    <filterColumn colId="0">
      <filters>
        <filter val="20"/>
        <filter val="40"/>
        <filter val="50"/>
        <filter val="60"/>
        <filter val="70"/>
        <filter val="80"/>
      </filters>
    </filterColumn>
  </autoFilter>
  <tableColumns count="3">
    <tableColumn id="1" xr3:uid="{3403CEB9-CF0D-4D9B-A60F-921804F390CB}" name="Level" dataDxfId="44"/>
    <tableColumn id="2" xr3:uid="{73E907E2-519C-4179-8D67-675EADF0DA05}" name="Hero's Wit" dataDxfId="43"/>
    <tableColumn id="3" xr3:uid="{B948F735-400E-4B24-88EA-E0E7C5533FC8}" name="Mora" dataDxfId="4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E62A87-E9B4-42C8-94FA-FF227B9F0A8D}" name="Talent2.2" displayName="Talent2.2" ref="A22:I31" totalsRowShown="0" headerRowDxfId="41" tableBorderDxfId="40">
  <autoFilter ref="A22:I31" xr:uid="{AEE62A87-E9B4-42C8-94FA-FF227B9F0A8D}">
    <filterColumn colId="0">
      <filters>
        <filter val="2"/>
        <filter val="3"/>
        <filter val="4"/>
        <filter val="5"/>
        <filter val="6"/>
      </filters>
    </filterColumn>
  </autoFilter>
  <tableColumns count="9">
    <tableColumn id="1" xr3:uid="{4AE1E93E-0B7F-45AD-BE49-F8F9DFF543B2}" name="Talent Level" dataDxfId="39"/>
    <tableColumn id="2" xr3:uid="{5D385F3A-40DC-4D6C-9898-59E844059F97}" name="Required Ascension" dataDxfId="38"/>
    <tableColumn id="3" xr3:uid="{699B271E-3052-472D-8CD1-43ABA2278AE6}" name="Book" dataDxfId="37"/>
    <tableColumn id="4" xr3:uid="{4304879E-B460-4859-B729-BEB28EFA0C8E}" name="Book Rarity" dataDxfId="36"/>
    <tableColumn id="5" xr3:uid="{C5B6F082-CD6D-489F-AA28-4F7BB7116DF4}" name="Common Material" dataDxfId="35"/>
    <tableColumn id="6" xr3:uid="{F606F417-DAA9-49F7-B0F8-DE2A31966805}" name="Common Rarity" dataDxfId="34"/>
    <tableColumn id="7" xr3:uid="{D54E8689-0CE3-40F2-B765-2247AD72C80E}" name="Boss Speciality" dataDxfId="33"/>
    <tableColumn id="8" xr3:uid="{699BF9FB-D65F-4345-8864-DC8BBCB69547}" name="Crown" dataDxfId="32"/>
    <tableColumn id="9" xr3:uid="{019A975B-DBB7-4E32-9DC7-88887BB24724}" name="Mora" dataDxfId="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apgenie.io/genshin-impact/maps/teyvat" TargetMode="External"/><Relationship Id="rId1" Type="http://schemas.openxmlformats.org/officeDocument/2006/relationships/hyperlink" Target="https://genshin-impact-map.appsample.com/" TargetMode="External"/><Relationship Id="rId4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3EE3-4D51-4005-B968-1C8FA2C6AC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EEDE-8EFB-483D-A4E6-432C4D36F1D4}">
  <sheetPr codeName="Sheet5"/>
  <dimension ref="A1:D15"/>
  <sheetViews>
    <sheetView workbookViewId="0"/>
  </sheetViews>
  <sheetFormatPr defaultColWidth="23.44140625" defaultRowHeight="14.4" x14ac:dyDescent="0.3"/>
  <sheetData>
    <row r="1" spans="1:4" x14ac:dyDescent="0.3">
      <c r="A1" s="10" t="s">
        <v>207</v>
      </c>
      <c r="B1" s="10" t="s">
        <v>69</v>
      </c>
      <c r="D1" s="45" t="s">
        <v>220</v>
      </c>
    </row>
    <row r="2" spans="1:4" x14ac:dyDescent="0.3">
      <c r="A2" s="10" t="s">
        <v>205</v>
      </c>
      <c r="B2" s="10">
        <v>120</v>
      </c>
      <c r="D2" s="44" t="s">
        <v>218</v>
      </c>
    </row>
    <row r="3" spans="1:4" x14ac:dyDescent="0.3">
      <c r="A3" s="10" t="s">
        <v>206</v>
      </c>
      <c r="B3" s="10">
        <v>41</v>
      </c>
      <c r="D3" s="44" t="s">
        <v>219</v>
      </c>
    </row>
    <row r="4" spans="1:4" x14ac:dyDescent="0.3">
      <c r="A4" s="10" t="s">
        <v>207</v>
      </c>
      <c r="B4" s="10">
        <v>38</v>
      </c>
    </row>
    <row r="5" spans="1:4" x14ac:dyDescent="0.3">
      <c r="A5" s="10" t="s">
        <v>208</v>
      </c>
      <c r="B5" s="10">
        <v>65</v>
      </c>
    </row>
    <row r="6" spans="1:4" x14ac:dyDescent="0.3">
      <c r="A6" s="10" t="s">
        <v>209</v>
      </c>
      <c r="B6" s="10">
        <v>68</v>
      </c>
    </row>
    <row r="7" spans="1:4" x14ac:dyDescent="0.3">
      <c r="A7" s="10" t="s">
        <v>210</v>
      </c>
      <c r="B7" s="10">
        <v>87</v>
      </c>
    </row>
    <row r="8" spans="1:4" x14ac:dyDescent="0.3">
      <c r="A8" s="10" t="s">
        <v>211</v>
      </c>
      <c r="B8" s="10">
        <v>102</v>
      </c>
    </row>
    <row r="9" spans="1:4" x14ac:dyDescent="0.3">
      <c r="A9" s="10" t="s">
        <v>212</v>
      </c>
      <c r="B9" s="10">
        <v>60</v>
      </c>
    </row>
    <row r="10" spans="1:4" x14ac:dyDescent="0.3">
      <c r="A10" s="10" t="s">
        <v>213</v>
      </c>
      <c r="B10" s="10">
        <v>59</v>
      </c>
    </row>
    <row r="11" spans="1:4" x14ac:dyDescent="0.3">
      <c r="A11" s="10" t="s">
        <v>214</v>
      </c>
      <c r="B11" s="10">
        <v>111</v>
      </c>
    </row>
    <row r="12" spans="1:4" x14ac:dyDescent="0.3">
      <c r="A12" s="10" t="s">
        <v>215</v>
      </c>
      <c r="B12" s="10">
        <v>128</v>
      </c>
    </row>
    <row r="13" spans="1:4" x14ac:dyDescent="0.3">
      <c r="A13" s="10" t="s">
        <v>216</v>
      </c>
      <c r="B13" s="10">
        <v>57</v>
      </c>
    </row>
    <row r="14" spans="1:4" x14ac:dyDescent="0.3">
      <c r="A14" s="10" t="s">
        <v>217</v>
      </c>
      <c r="B14" s="10">
        <v>45</v>
      </c>
    </row>
    <row r="15" spans="1:4" x14ac:dyDescent="0.3">
      <c r="A15" s="10" t="s">
        <v>198</v>
      </c>
      <c r="B15" s="10">
        <v>121</v>
      </c>
    </row>
  </sheetData>
  <hyperlinks>
    <hyperlink ref="D2" r:id="rId1" location="/" xr:uid="{6BECF208-E6EA-4A0B-A2FE-D24F8EEC2036}"/>
    <hyperlink ref="D3" r:id="rId2" xr:uid="{035C9D7F-779D-4A8C-BF84-F637E9E43C94}"/>
  </hyperlinks>
  <pageMargins left="0.7" right="0.7" top="0.75" bottom="0.75" header="0.3" footer="0.3"/>
  <pageSetup orientation="portrait" horizontalDpi="4294967293" verticalDpi="4294967293"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9848-DBF7-44E1-AF9A-E9FD301CB6EF}">
  <sheetPr codeName="Sheet6"/>
  <dimension ref="A1:C23"/>
  <sheetViews>
    <sheetView workbookViewId="0">
      <selection activeCell="E18" sqref="E18"/>
    </sheetView>
  </sheetViews>
  <sheetFormatPr defaultColWidth="21.44140625" defaultRowHeight="14.4" x14ac:dyDescent="0.3"/>
  <sheetData>
    <row r="1" spans="1:3" x14ac:dyDescent="0.3">
      <c r="A1" s="16" t="s">
        <v>27</v>
      </c>
      <c r="B1" s="16" t="s">
        <v>29</v>
      </c>
      <c r="C1" s="17" t="s">
        <v>30</v>
      </c>
    </row>
    <row r="2" spans="1:3" x14ac:dyDescent="0.3">
      <c r="A2" s="1">
        <v>13350</v>
      </c>
      <c r="B2" s="1">
        <v>4</v>
      </c>
      <c r="C2" s="1">
        <v>0</v>
      </c>
    </row>
    <row r="3" spans="1:3" x14ac:dyDescent="0.3">
      <c r="A3" s="14" t="s">
        <v>28</v>
      </c>
      <c r="B3" s="14" t="s">
        <v>32</v>
      </c>
      <c r="C3" s="14" t="s">
        <v>31</v>
      </c>
    </row>
    <row r="4" spans="1:3" x14ac:dyDescent="0.3">
      <c r="A4" s="1">
        <f>QUOTIENT(A2,'Constants &amp; Conversions'!A9)</f>
        <v>83</v>
      </c>
      <c r="B4" s="1">
        <f>SUM(A4+B2)</f>
        <v>87</v>
      </c>
      <c r="C4" s="1">
        <f>SUM(A4+C2)</f>
        <v>83</v>
      </c>
    </row>
    <row r="6" spans="1:3" x14ac:dyDescent="0.3">
      <c r="A6" s="14" t="s">
        <v>195</v>
      </c>
      <c r="B6" s="15" t="s">
        <v>15</v>
      </c>
      <c r="C6" s="12" t="s">
        <v>16</v>
      </c>
    </row>
    <row r="7" spans="1:3" x14ac:dyDescent="0.3">
      <c r="A7" s="1" t="s">
        <v>33</v>
      </c>
      <c r="B7" s="1">
        <v>39</v>
      </c>
      <c r="C7" s="1">
        <v>0</v>
      </c>
    </row>
    <row r="8" spans="1:3" x14ac:dyDescent="0.3">
      <c r="A8" s="1" t="s">
        <v>18</v>
      </c>
      <c r="B8" s="1">
        <f>B11-B7</f>
        <v>51</v>
      </c>
      <c r="C8" s="1">
        <f>C11-C7</f>
        <v>10</v>
      </c>
    </row>
    <row r="9" spans="1:3" x14ac:dyDescent="0.3">
      <c r="A9" s="1" t="s">
        <v>249</v>
      </c>
      <c r="B9" s="1">
        <f>B7+B4</f>
        <v>126</v>
      </c>
      <c r="C9" s="13" t="s">
        <v>251</v>
      </c>
    </row>
    <row r="10" spans="1:3" x14ac:dyDescent="0.3">
      <c r="A10" s="1" t="s">
        <v>250</v>
      </c>
      <c r="B10" s="1" t="str">
        <f>IF(B11-B9 &lt;= 0, "None", B11-B9)</f>
        <v>None</v>
      </c>
      <c r="C10" s="13" t="s">
        <v>251</v>
      </c>
    </row>
    <row r="11" spans="1:3" hidden="1" x14ac:dyDescent="0.3">
      <c r="A11" s="1" t="s">
        <v>17</v>
      </c>
      <c r="B11" s="1">
        <v>90</v>
      </c>
      <c r="C11" s="1">
        <v>10</v>
      </c>
    </row>
    <row r="12" spans="1:3" x14ac:dyDescent="0.3">
      <c r="A12" s="1" t="s">
        <v>197</v>
      </c>
      <c r="B12" s="15" t="s">
        <v>15</v>
      </c>
      <c r="C12" s="12" t="s">
        <v>16</v>
      </c>
    </row>
    <row r="13" spans="1:3" x14ac:dyDescent="0.3">
      <c r="A13" t="s">
        <v>33</v>
      </c>
      <c r="B13">
        <v>44</v>
      </c>
      <c r="C13">
        <v>0</v>
      </c>
    </row>
    <row r="14" spans="1:3" x14ac:dyDescent="0.3">
      <c r="A14" t="s">
        <v>18</v>
      </c>
      <c r="B14">
        <f>B17-B13</f>
        <v>36</v>
      </c>
      <c r="C14">
        <f>C17-C13</f>
        <v>10</v>
      </c>
    </row>
    <row r="15" spans="1:3" x14ac:dyDescent="0.3">
      <c r="A15" t="s">
        <v>249</v>
      </c>
      <c r="B15">
        <f>B13+B4</f>
        <v>131</v>
      </c>
      <c r="C15" s="54" t="s">
        <v>251</v>
      </c>
    </row>
    <row r="16" spans="1:3" x14ac:dyDescent="0.3">
      <c r="A16" t="s">
        <v>252</v>
      </c>
      <c r="B16" t="str">
        <f>IF(B17-B15 &lt;= 0, "None", B17-B15)</f>
        <v>None</v>
      </c>
      <c r="C16" s="54" t="s">
        <v>251</v>
      </c>
    </row>
    <row r="17" spans="1:3" hidden="1" x14ac:dyDescent="0.3">
      <c r="A17" s="52" t="s">
        <v>17</v>
      </c>
      <c r="B17" s="52">
        <v>80</v>
      </c>
      <c r="C17" s="52">
        <v>10</v>
      </c>
    </row>
    <row r="18" spans="1:3" x14ac:dyDescent="0.3">
      <c r="A18" s="14" t="s">
        <v>196</v>
      </c>
      <c r="B18" s="15" t="s">
        <v>15</v>
      </c>
      <c r="C18" s="12" t="s">
        <v>16</v>
      </c>
    </row>
    <row r="19" spans="1:3" x14ac:dyDescent="0.3">
      <c r="A19" s="1" t="s">
        <v>33</v>
      </c>
      <c r="B19" s="1">
        <v>15</v>
      </c>
      <c r="C19" s="1">
        <v>0</v>
      </c>
    </row>
    <row r="20" spans="1:3" x14ac:dyDescent="0.3">
      <c r="A20" s="1" t="s">
        <v>18</v>
      </c>
      <c r="B20" s="1">
        <f>B23-B19</f>
        <v>75</v>
      </c>
      <c r="C20" s="1">
        <f>C23-C19</f>
        <v>10</v>
      </c>
    </row>
    <row r="21" spans="1:3" x14ac:dyDescent="0.3">
      <c r="A21" s="1" t="s">
        <v>249</v>
      </c>
      <c r="B21" s="1">
        <f>B19+C4</f>
        <v>98</v>
      </c>
      <c r="C21" s="13" t="s">
        <v>251</v>
      </c>
    </row>
    <row r="22" spans="1:3" x14ac:dyDescent="0.3">
      <c r="A22" t="s">
        <v>252</v>
      </c>
      <c r="B22" s="54" t="str">
        <f>IF(B23-B21 &lt;= 0, "None", B23-B21)</f>
        <v>None</v>
      </c>
      <c r="C22" s="54" t="s">
        <v>251</v>
      </c>
    </row>
    <row r="23" spans="1:3" hidden="1" x14ac:dyDescent="0.3">
      <c r="A23" s="1" t="s">
        <v>17</v>
      </c>
      <c r="B23" s="1">
        <v>90</v>
      </c>
      <c r="C23" s="1">
        <v>10</v>
      </c>
    </row>
  </sheetData>
  <pageMargins left="0.7" right="0.7" top="0.75" bottom="0.75" header="0.3" footer="0.3"/>
  <pageSetup orientation="portrait" horizontalDpi="4294967293" verticalDpi="4294967293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08E6-15F4-430A-B70B-6D8B286B6458}">
  <sheetPr codeName="Sheet7"/>
  <dimension ref="A1:I40"/>
  <sheetViews>
    <sheetView workbookViewId="0">
      <selection activeCell="C18" sqref="C18"/>
    </sheetView>
  </sheetViews>
  <sheetFormatPr defaultColWidth="29.44140625" defaultRowHeight="14.4" x14ac:dyDescent="0.3"/>
  <sheetData>
    <row r="1" spans="1:7" x14ac:dyDescent="0.3">
      <c r="A1" s="4" t="s">
        <v>4</v>
      </c>
      <c r="C1" s="4" t="s">
        <v>238</v>
      </c>
      <c r="E1" s="45" t="s">
        <v>272</v>
      </c>
      <c r="F1" s="45" t="s">
        <v>273</v>
      </c>
    </row>
    <row r="2" spans="1:7" x14ac:dyDescent="0.3">
      <c r="A2" s="9" t="s">
        <v>5</v>
      </c>
      <c r="C2" s="12" t="s">
        <v>239</v>
      </c>
      <c r="E2" s="10" t="s">
        <v>261</v>
      </c>
      <c r="F2" s="10" t="s">
        <v>269</v>
      </c>
      <c r="G2" t="s">
        <v>182</v>
      </c>
    </row>
    <row r="3" spans="1:7" x14ac:dyDescent="0.3">
      <c r="A3" s="1">
        <v>1000</v>
      </c>
      <c r="C3" s="1">
        <f>QUOTIENT(PRODUCT('Required Materials'!D4,A3),A7)</f>
        <v>4</v>
      </c>
      <c r="E3" s="10" t="s">
        <v>262</v>
      </c>
      <c r="F3" s="10" t="s">
        <v>271</v>
      </c>
      <c r="G3" t="s">
        <v>184</v>
      </c>
    </row>
    <row r="4" spans="1:7" x14ac:dyDescent="0.3">
      <c r="A4" s="11" t="s">
        <v>6</v>
      </c>
      <c r="C4" s="12" t="s">
        <v>240</v>
      </c>
      <c r="E4" s="10" t="s">
        <v>266</v>
      </c>
      <c r="F4" s="10" t="s">
        <v>268</v>
      </c>
      <c r="G4" t="s">
        <v>181</v>
      </c>
    </row>
    <row r="5" spans="1:7" x14ac:dyDescent="0.3">
      <c r="A5" s="1">
        <v>5000</v>
      </c>
      <c r="C5" s="1">
        <f>QUOTIENT(PRODUCT('Required Materials'!D3,A5),A7)</f>
        <v>509</v>
      </c>
      <c r="E5" s="10" t="s">
        <v>263</v>
      </c>
      <c r="F5" s="10" t="s">
        <v>254</v>
      </c>
      <c r="G5" t="s">
        <v>179</v>
      </c>
    </row>
    <row r="6" spans="1:7" x14ac:dyDescent="0.3">
      <c r="A6" s="12" t="s">
        <v>7</v>
      </c>
      <c r="C6" s="12" t="s">
        <v>25</v>
      </c>
      <c r="E6" s="10" t="s">
        <v>264</v>
      </c>
      <c r="F6" s="10" t="s">
        <v>270</v>
      </c>
      <c r="G6" t="s">
        <v>183</v>
      </c>
    </row>
    <row r="7" spans="1:7" x14ac:dyDescent="0.3">
      <c r="A7" s="7">
        <v>20000</v>
      </c>
      <c r="C7" s="1">
        <f>SUM(C3,C5,'Required Materials'!D2)</f>
        <v>1976</v>
      </c>
      <c r="E7" s="10" t="s">
        <v>265</v>
      </c>
      <c r="F7" s="10" t="s">
        <v>267</v>
      </c>
      <c r="G7" t="s">
        <v>180</v>
      </c>
    </row>
    <row r="8" spans="1:7" x14ac:dyDescent="0.3">
      <c r="A8" s="16" t="s">
        <v>26</v>
      </c>
      <c r="E8" s="10" t="s">
        <v>274</v>
      </c>
      <c r="G8" t="s">
        <v>253</v>
      </c>
    </row>
    <row r="9" spans="1:7" x14ac:dyDescent="0.3">
      <c r="A9" s="10">
        <v>160</v>
      </c>
      <c r="E9" s="10" t="s">
        <v>295</v>
      </c>
      <c r="G9" t="s">
        <v>296</v>
      </c>
    </row>
    <row r="10" spans="1:7" x14ac:dyDescent="0.3">
      <c r="A10" s="10"/>
      <c r="B10" s="10"/>
      <c r="E10" s="10" t="s">
        <v>312</v>
      </c>
      <c r="G10" t="s">
        <v>313</v>
      </c>
    </row>
    <row r="11" spans="1:7" x14ac:dyDescent="0.3">
      <c r="E11" s="10" t="s">
        <v>314</v>
      </c>
      <c r="G11" t="s">
        <v>315</v>
      </c>
    </row>
    <row r="12" spans="1:7" x14ac:dyDescent="0.3">
      <c r="E12" s="10" t="s">
        <v>302</v>
      </c>
      <c r="G12" t="s">
        <v>303</v>
      </c>
    </row>
    <row r="13" spans="1:7" x14ac:dyDescent="0.3">
      <c r="E13" s="10" t="s">
        <v>316</v>
      </c>
      <c r="G13" t="s">
        <v>317</v>
      </c>
    </row>
    <row r="14" spans="1:7" x14ac:dyDescent="0.3">
      <c r="E14" s="10" t="s">
        <v>275</v>
      </c>
      <c r="F14" s="10" t="s">
        <v>186</v>
      </c>
    </row>
    <row r="15" spans="1:7" x14ac:dyDescent="0.3">
      <c r="E15" s="10" t="s">
        <v>276</v>
      </c>
      <c r="F15" s="10" t="s">
        <v>187</v>
      </c>
    </row>
    <row r="16" spans="1:7" x14ac:dyDescent="0.3">
      <c r="E16" s="10" t="s">
        <v>277</v>
      </c>
      <c r="F16" s="10" t="s">
        <v>185</v>
      </c>
    </row>
    <row r="17" spans="2:9" x14ac:dyDescent="0.3">
      <c r="D17" s="14"/>
      <c r="E17" s="10" t="s">
        <v>278</v>
      </c>
      <c r="F17" s="10" t="s">
        <v>189</v>
      </c>
      <c r="I17" s="14"/>
    </row>
    <row r="18" spans="2:9" x14ac:dyDescent="0.3">
      <c r="E18" s="10" t="s">
        <v>279</v>
      </c>
      <c r="F18" s="10" t="s">
        <v>190</v>
      </c>
    </row>
    <row r="19" spans="2:9" x14ac:dyDescent="0.3">
      <c r="B19" s="14"/>
      <c r="C19" s="14"/>
      <c r="D19" s="14"/>
      <c r="E19" s="10" t="s">
        <v>280</v>
      </c>
      <c r="F19" s="10" t="s">
        <v>191</v>
      </c>
      <c r="I19" s="14"/>
    </row>
    <row r="20" spans="2:9" x14ac:dyDescent="0.3">
      <c r="B20" s="14"/>
      <c r="C20" s="14"/>
      <c r="D20" s="1"/>
      <c r="E20" s="10" t="s">
        <v>281</v>
      </c>
      <c r="F20" s="10" t="s">
        <v>192</v>
      </c>
      <c r="I20" s="1"/>
    </row>
    <row r="21" spans="2:9" x14ac:dyDescent="0.3">
      <c r="E21" s="10" t="s">
        <v>282</v>
      </c>
      <c r="F21" s="10" t="s">
        <v>193</v>
      </c>
    </row>
    <row r="22" spans="2:9" x14ac:dyDescent="0.3">
      <c r="E22" s="10" t="s">
        <v>283</v>
      </c>
      <c r="F22" s="10" t="s">
        <v>194</v>
      </c>
    </row>
    <row r="23" spans="2:9" x14ac:dyDescent="0.3">
      <c r="E23" s="10" t="s">
        <v>297</v>
      </c>
      <c r="F23" s="10" t="s">
        <v>299</v>
      </c>
    </row>
    <row r="24" spans="2:9" x14ac:dyDescent="0.3">
      <c r="E24" s="10" t="s">
        <v>298</v>
      </c>
      <c r="F24" s="10" t="s">
        <v>300</v>
      </c>
    </row>
    <row r="25" spans="2:9" x14ac:dyDescent="0.3">
      <c r="E25" s="10" t="s">
        <v>223</v>
      </c>
      <c r="F25" s="10" t="s">
        <v>301</v>
      </c>
    </row>
    <row r="26" spans="2:9" x14ac:dyDescent="0.3">
      <c r="E26" s="10" t="s">
        <v>310</v>
      </c>
      <c r="F26" s="10" t="s">
        <v>311</v>
      </c>
    </row>
    <row r="27" spans="2:9" x14ac:dyDescent="0.3">
      <c r="E27" s="10" t="s">
        <v>284</v>
      </c>
      <c r="F27" s="10" t="s">
        <v>37</v>
      </c>
      <c r="G27" s="10" t="s">
        <v>38</v>
      </c>
      <c r="H27" s="10" t="s">
        <v>39</v>
      </c>
    </row>
    <row r="28" spans="2:9" x14ac:dyDescent="0.3">
      <c r="E28" s="10" t="s">
        <v>286</v>
      </c>
      <c r="F28" s="10" t="s">
        <v>45</v>
      </c>
      <c r="G28" s="10" t="s">
        <v>47</v>
      </c>
      <c r="H28" s="10" t="s">
        <v>48</v>
      </c>
    </row>
    <row r="29" spans="2:9" x14ac:dyDescent="0.3">
      <c r="E29" s="10" t="s">
        <v>287</v>
      </c>
      <c r="F29" s="10" t="s">
        <v>49</v>
      </c>
      <c r="G29" s="10" t="s">
        <v>50</v>
      </c>
      <c r="H29" s="10" t="s">
        <v>51</v>
      </c>
    </row>
    <row r="30" spans="2:9" x14ac:dyDescent="0.3">
      <c r="E30" s="10" t="s">
        <v>288</v>
      </c>
      <c r="F30" s="10" t="s">
        <v>53</v>
      </c>
      <c r="G30" s="10" t="s">
        <v>54</v>
      </c>
      <c r="H30" s="10" t="s">
        <v>55</v>
      </c>
    </row>
    <row r="31" spans="2:9" x14ac:dyDescent="0.3">
      <c r="E31" s="10" t="s">
        <v>289</v>
      </c>
      <c r="F31" s="10" t="s">
        <v>56</v>
      </c>
      <c r="G31" s="10" t="s">
        <v>57</v>
      </c>
      <c r="H31" s="10" t="s">
        <v>58</v>
      </c>
    </row>
    <row r="32" spans="2:9" x14ac:dyDescent="0.3">
      <c r="E32" s="10" t="s">
        <v>290</v>
      </c>
      <c r="F32" s="10" t="s">
        <v>62</v>
      </c>
      <c r="G32" s="10" t="s">
        <v>63</v>
      </c>
      <c r="H32" s="10" t="s">
        <v>64</v>
      </c>
    </row>
    <row r="33" spans="5:8" x14ac:dyDescent="0.3">
      <c r="E33" s="10" t="s">
        <v>285</v>
      </c>
      <c r="F33" s="10" t="s">
        <v>66</v>
      </c>
      <c r="G33" s="10" t="s">
        <v>67</v>
      </c>
      <c r="H33" s="10" t="s">
        <v>68</v>
      </c>
    </row>
    <row r="34" spans="5:8" x14ac:dyDescent="0.3">
      <c r="E34" s="10" t="s">
        <v>72</v>
      </c>
      <c r="F34" s="10" t="s">
        <v>71</v>
      </c>
      <c r="G34" s="10" t="s">
        <v>72</v>
      </c>
      <c r="H34" s="10" t="s">
        <v>73</v>
      </c>
    </row>
    <row r="35" spans="5:8" x14ac:dyDescent="0.3">
      <c r="E35" s="10" t="s">
        <v>291</v>
      </c>
      <c r="F35" s="10" t="s">
        <v>75</v>
      </c>
      <c r="G35" s="10" t="s">
        <v>76</v>
      </c>
      <c r="H35" s="10" t="s">
        <v>77</v>
      </c>
    </row>
    <row r="36" spans="5:8" x14ac:dyDescent="0.3">
      <c r="E36" s="10" t="s">
        <v>292</v>
      </c>
      <c r="F36" s="10" t="s">
        <v>79</v>
      </c>
      <c r="G36" s="10" t="s">
        <v>80</v>
      </c>
      <c r="H36" s="10" t="s">
        <v>81</v>
      </c>
    </row>
    <row r="37" spans="5:8" x14ac:dyDescent="0.3">
      <c r="E37" s="10" t="s">
        <v>293</v>
      </c>
      <c r="F37" s="10" t="s">
        <v>83</v>
      </c>
      <c r="G37" s="10" t="s">
        <v>84</v>
      </c>
      <c r="H37" s="10" t="s">
        <v>85</v>
      </c>
    </row>
    <row r="38" spans="5:8" x14ac:dyDescent="0.3">
      <c r="E38" s="10" t="s">
        <v>260</v>
      </c>
      <c r="F38" s="10" t="s">
        <v>87</v>
      </c>
      <c r="G38" s="10" t="s">
        <v>88</v>
      </c>
      <c r="H38" s="10" t="s">
        <v>89</v>
      </c>
    </row>
    <row r="39" spans="5:8" x14ac:dyDescent="0.3">
      <c r="E39" s="10" t="s">
        <v>294</v>
      </c>
      <c r="F39" s="10" t="s">
        <v>91</v>
      </c>
      <c r="G39" s="10" t="s">
        <v>92</v>
      </c>
      <c r="H39" s="10" t="s">
        <v>93</v>
      </c>
    </row>
    <row r="40" spans="5:8" x14ac:dyDescent="0.3">
      <c r="E40" s="10" t="s">
        <v>306</v>
      </c>
      <c r="F40" s="10" t="s">
        <v>307</v>
      </c>
      <c r="G40" s="10" t="s">
        <v>308</v>
      </c>
      <c r="H40" s="10" t="s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A2C6-1F14-48B7-B5E3-B1A40DDE9700}">
  <sheetPr codeName="Sheet1"/>
  <dimension ref="A1:K24"/>
  <sheetViews>
    <sheetView tabSelected="1" workbookViewId="0"/>
  </sheetViews>
  <sheetFormatPr defaultColWidth="21.44140625" defaultRowHeight="14.4" x14ac:dyDescent="0.3"/>
  <sheetData>
    <row r="1" spans="1:11" x14ac:dyDescent="0.3">
      <c r="A1" s="14" t="str">
        <f>_xlfn.CONCAT("Ascension Table", " [",SUBTOTAL(4,Table15[Ascension Level]),"]")</f>
        <v>Ascension Table [5]</v>
      </c>
      <c r="B1" s="14" t="s">
        <v>0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199</v>
      </c>
      <c r="H1" s="14" t="s">
        <v>19</v>
      </c>
      <c r="I1" s="14" t="s">
        <v>244</v>
      </c>
      <c r="J1" s="14" t="s">
        <v>245</v>
      </c>
      <c r="K1" s="14" t="s">
        <v>243</v>
      </c>
    </row>
    <row r="2" spans="1:11" x14ac:dyDescent="0.3">
      <c r="A2" s="14" t="s">
        <v>200</v>
      </c>
      <c r="B2" s="43">
        <f>'Requirement Tables'!C8</f>
        <v>300000</v>
      </c>
      <c r="C2" s="43" t="str">
        <f>MID('Requirement Tables'!D8,1,1)</f>
        <v>1</v>
      </c>
      <c r="D2" s="43" t="str">
        <f>MID('Requirement Tables'!D8,5,1)</f>
        <v>9</v>
      </c>
      <c r="E2" s="43" t="str">
        <f>MID('Requirement Tables'!D8,9,1)</f>
        <v>9</v>
      </c>
      <c r="F2" s="43" t="str">
        <f>MID('Requirement Tables'!D8,13,1)</f>
        <v>0</v>
      </c>
      <c r="G2" s="43">
        <f>'Requirement Tables'!F8</f>
        <v>26</v>
      </c>
      <c r="H2" s="43">
        <f>'Requirement Tables'!G8</f>
        <v>108</v>
      </c>
      <c r="I2" s="43" t="str">
        <f>MID('Requirement Tables'!H8,1,1)</f>
        <v>3</v>
      </c>
      <c r="J2" s="43" t="str">
        <f>MID('Requirement Tables'!H8,5,2)</f>
        <v>27</v>
      </c>
      <c r="K2" s="43" t="str">
        <f>MID('Requirement Tables'!H8,12,2)</f>
        <v>30</v>
      </c>
    </row>
    <row r="3" spans="1:11" x14ac:dyDescent="0.3">
      <c r="A3" s="14" t="s">
        <v>201</v>
      </c>
      <c r="B3" s="43">
        <f>'Required Materials'!D5</f>
        <v>24395359</v>
      </c>
      <c r="C3" s="43">
        <f>'Required Materials'!D19</f>
        <v>142</v>
      </c>
      <c r="D3" s="43">
        <f>'Required Materials'!D18</f>
        <v>36</v>
      </c>
      <c r="E3" s="43">
        <f>'Required Materials'!D17</f>
        <v>9</v>
      </c>
      <c r="F3" s="43">
        <f>'Required Materials'!D16</f>
        <v>0</v>
      </c>
      <c r="G3" s="43">
        <f>'Required Materials'!D14</f>
        <v>28</v>
      </c>
      <c r="H3" s="43">
        <f>'Required Materials'!D15</f>
        <v>168</v>
      </c>
      <c r="I3" s="43">
        <f>'Required Materials'!D12</f>
        <v>1036</v>
      </c>
      <c r="J3" s="43">
        <f>'Required Materials'!D11</f>
        <v>103</v>
      </c>
      <c r="K3" s="43">
        <f>'Required Materials'!D10</f>
        <v>48</v>
      </c>
    </row>
    <row r="4" spans="1:11" x14ac:dyDescent="0.3">
      <c r="A4" s="14" t="s">
        <v>24</v>
      </c>
      <c r="B4" s="43" t="str">
        <f t="shared" ref="B4:K4" si="0">IF(B2-B3 &lt;= 0, "None",B2-B3)</f>
        <v>None</v>
      </c>
      <c r="C4" s="43" t="str">
        <f t="shared" si="0"/>
        <v>None</v>
      </c>
      <c r="D4" s="43" t="str">
        <f t="shared" si="0"/>
        <v>None</v>
      </c>
      <c r="E4" s="43" t="str">
        <f t="shared" si="0"/>
        <v>None</v>
      </c>
      <c r="F4" s="43" t="str">
        <f t="shared" si="0"/>
        <v>None</v>
      </c>
      <c r="G4" s="43" t="str">
        <f t="shared" si="0"/>
        <v>None</v>
      </c>
      <c r="H4" s="43" t="str">
        <f t="shared" si="0"/>
        <v>None</v>
      </c>
      <c r="I4" s="43" t="str">
        <f t="shared" si="0"/>
        <v>None</v>
      </c>
      <c r="J4" s="43" t="str">
        <f t="shared" si="0"/>
        <v>None</v>
      </c>
      <c r="K4" s="43" t="str">
        <f t="shared" si="0"/>
        <v>None</v>
      </c>
    </row>
    <row r="6" spans="1:11" x14ac:dyDescent="0.3">
      <c r="A6" s="14" t="str">
        <f>_xlfn.CONCAT("Level Table"," [",  SUBTOTAL(4,Table37[Level]),"]")</f>
        <v>Level Table [80]</v>
      </c>
      <c r="B6" s="14" t="s">
        <v>96</v>
      </c>
      <c r="C6" s="14" t="s">
        <v>0</v>
      </c>
    </row>
    <row r="7" spans="1:11" x14ac:dyDescent="0.3">
      <c r="A7" s="14" t="s">
        <v>200</v>
      </c>
      <c r="B7" s="43">
        <f>'Requirement Tables'!B54</f>
        <v>243</v>
      </c>
      <c r="C7" s="43">
        <f>'Requirement Tables'!C54</f>
        <v>987400</v>
      </c>
    </row>
    <row r="8" spans="1:11" x14ac:dyDescent="0.3">
      <c r="A8" s="14" t="s">
        <v>201</v>
      </c>
      <c r="B8" s="43">
        <f>'Constants &amp; Conversions'!C7</f>
        <v>1976</v>
      </c>
      <c r="C8" s="43">
        <f>B3-B2</f>
        <v>24095359</v>
      </c>
    </row>
    <row r="9" spans="1:11" x14ac:dyDescent="0.3">
      <c r="A9" s="14" t="s">
        <v>24</v>
      </c>
      <c r="B9" s="43" t="str">
        <f>IF(B7-B8 &lt;= 0, "None",B7-B8)</f>
        <v>None</v>
      </c>
      <c r="C9" s="43" t="str">
        <f>IF(C7-C8 &lt;= 0, "None",C7-C8)</f>
        <v>None</v>
      </c>
    </row>
    <row r="11" spans="1:11" x14ac:dyDescent="0.3">
      <c r="A11" s="14" t="str">
        <f>_xlfn.CONCAT("Talent Table 1", " [", SUBTOTAL(4,Talent1.1[Talent Level]), "]")</f>
        <v>Talent Table 1 [6]</v>
      </c>
      <c r="B11" s="14" t="s">
        <v>246</v>
      </c>
      <c r="C11" s="14" t="s">
        <v>247</v>
      </c>
      <c r="D11" s="14" t="s">
        <v>248</v>
      </c>
      <c r="E11" s="14" t="s">
        <v>244</v>
      </c>
      <c r="F11" s="14" t="s">
        <v>245</v>
      </c>
      <c r="G11" s="14" t="s">
        <v>243</v>
      </c>
      <c r="H11" s="14" t="s">
        <v>2</v>
      </c>
      <c r="I11" s="14" t="s">
        <v>223</v>
      </c>
      <c r="J11" s="14" t="s">
        <v>0</v>
      </c>
    </row>
    <row r="12" spans="1:11" x14ac:dyDescent="0.3">
      <c r="A12" s="14" t="s">
        <v>200</v>
      </c>
      <c r="B12" s="43" t="str">
        <f>MID('Requirement Tables'!C20,1,1)</f>
        <v>3</v>
      </c>
      <c r="C12" s="43" t="str">
        <f>MID('Requirement Tables'!C20,7,2)</f>
        <v>21</v>
      </c>
      <c r="D12" s="43" t="str">
        <f>TRIM(MID('Requirement Tables'!C20,16,2))</f>
        <v>0</v>
      </c>
      <c r="E12" s="43" t="str">
        <f>MID('Requirement Tables'!E20,1,1)</f>
        <v>6</v>
      </c>
      <c r="F12" s="43" t="str">
        <f>MID('Requirement Tables'!E20,5,2)</f>
        <v>22</v>
      </c>
      <c r="G12" s="43" t="str">
        <f>TRIM(MID('Requirement Tables'!E20,12,2))</f>
        <v>0</v>
      </c>
      <c r="H12" s="43">
        <f>'Requirement Tables'!G20</f>
        <v>0</v>
      </c>
      <c r="I12" s="43">
        <f>'Requirement Tables'!H20</f>
        <v>0</v>
      </c>
      <c r="J12" s="53">
        <f>'Requirement Tables'!I20</f>
        <v>122500</v>
      </c>
    </row>
    <row r="13" spans="1:11" x14ac:dyDescent="0.3">
      <c r="A13" s="14" t="s">
        <v>201</v>
      </c>
      <c r="B13" s="43">
        <f>'Required Materials'!D9</f>
        <v>58</v>
      </c>
      <c r="C13" s="43">
        <f>'Required Materials'!D8</f>
        <v>153</v>
      </c>
      <c r="D13" s="43">
        <f>'Required Materials'!D7</f>
        <v>31</v>
      </c>
      <c r="E13" s="43">
        <f>I3-I2</f>
        <v>1033</v>
      </c>
      <c r="F13" s="43">
        <f>J3-J2</f>
        <v>76</v>
      </c>
      <c r="G13" s="43">
        <f>K3-K2</f>
        <v>18</v>
      </c>
      <c r="H13" s="43">
        <f>'Required Materials'!D13</f>
        <v>10</v>
      </c>
      <c r="I13" s="43">
        <f>'Required Materials'!D6</f>
        <v>6</v>
      </c>
      <c r="J13" s="43">
        <f>C8-C7</f>
        <v>23107959</v>
      </c>
    </row>
    <row r="14" spans="1:11" x14ac:dyDescent="0.3">
      <c r="A14" s="14" t="s">
        <v>24</v>
      </c>
      <c r="B14" s="43" t="str">
        <f t="shared" ref="B14:J14" si="1">IF(B12-B13 &lt;= 0, "None", B12-B13)</f>
        <v>None</v>
      </c>
      <c r="C14" s="43" t="str">
        <f t="shared" si="1"/>
        <v>None</v>
      </c>
      <c r="D14" s="43" t="str">
        <f t="shared" si="1"/>
        <v>None</v>
      </c>
      <c r="E14" s="43" t="str">
        <f t="shared" si="1"/>
        <v>None</v>
      </c>
      <c r="F14" s="43" t="str">
        <f t="shared" si="1"/>
        <v>None</v>
      </c>
      <c r="G14" s="43" t="str">
        <f t="shared" si="1"/>
        <v>None</v>
      </c>
      <c r="H14" s="43" t="str">
        <f t="shared" si="1"/>
        <v>None</v>
      </c>
      <c r="I14" s="43" t="str">
        <f t="shared" si="1"/>
        <v>None</v>
      </c>
      <c r="J14" s="43" t="str">
        <f t="shared" si="1"/>
        <v>None</v>
      </c>
    </row>
    <row r="16" spans="1:11" x14ac:dyDescent="0.3">
      <c r="A16" s="14" t="str">
        <f>_xlfn.CONCAT("Talent Table 2", " [", SUBTOTAL(4,Talent2.1[Talent Level]), "]")</f>
        <v>Talent Table 2 [8]</v>
      </c>
      <c r="B16" s="14" t="s">
        <v>246</v>
      </c>
      <c r="C16" s="14" t="s">
        <v>247</v>
      </c>
      <c r="D16" s="14" t="s">
        <v>248</v>
      </c>
      <c r="E16" s="14" t="s">
        <v>244</v>
      </c>
      <c r="F16" s="14" t="s">
        <v>245</v>
      </c>
      <c r="G16" s="14" t="s">
        <v>243</v>
      </c>
      <c r="H16" s="14" t="s">
        <v>2</v>
      </c>
      <c r="I16" s="14" t="s">
        <v>223</v>
      </c>
      <c r="J16" s="14" t="s">
        <v>0</v>
      </c>
    </row>
    <row r="17" spans="1:10" x14ac:dyDescent="0.3">
      <c r="A17" s="14" t="s">
        <v>200</v>
      </c>
      <c r="B17" s="43" t="str">
        <f>MID('Requirement Tables'!C32,1,1)</f>
        <v>3</v>
      </c>
      <c r="C17" s="43" t="str">
        <f>MID('Requirement Tables'!C32,7,2)</f>
        <v>21</v>
      </c>
      <c r="D17" s="43" t="str">
        <f>TRIM(MID('Requirement Tables'!C32,16,2))</f>
        <v>10</v>
      </c>
      <c r="E17" s="43" t="str">
        <f>MID('Requirement Tables'!E32,1,1)</f>
        <v>6</v>
      </c>
      <c r="F17" s="43" t="str">
        <f>MID('Requirement Tables'!E32,5,2)</f>
        <v>22</v>
      </c>
      <c r="G17" s="43" t="str">
        <f>TRIM(MID('Requirement Tables'!E32,12,2))</f>
        <v>10</v>
      </c>
      <c r="H17" s="43">
        <f>'Requirement Tables'!G32</f>
        <v>2</v>
      </c>
      <c r="I17" s="43">
        <f>'Requirement Tables'!H32</f>
        <v>0</v>
      </c>
      <c r="J17" s="53">
        <f>'Requirement Tables'!I32</f>
        <v>502500</v>
      </c>
    </row>
    <row r="18" spans="1:10" x14ac:dyDescent="0.3">
      <c r="A18" s="14" t="s">
        <v>201</v>
      </c>
      <c r="B18" s="43">
        <f t="shared" ref="B18:J18" si="2">B13-B12</f>
        <v>55</v>
      </c>
      <c r="C18" s="43">
        <f t="shared" si="2"/>
        <v>132</v>
      </c>
      <c r="D18" s="43">
        <f t="shared" si="2"/>
        <v>31</v>
      </c>
      <c r="E18" s="43">
        <f t="shared" si="2"/>
        <v>1027</v>
      </c>
      <c r="F18" s="43">
        <f>F13-F12</f>
        <v>54</v>
      </c>
      <c r="G18" s="43">
        <f t="shared" si="2"/>
        <v>18</v>
      </c>
      <c r="H18" s="43">
        <f t="shared" si="2"/>
        <v>10</v>
      </c>
      <c r="I18" s="43">
        <f t="shared" si="2"/>
        <v>6</v>
      </c>
      <c r="J18" s="53">
        <f t="shared" si="2"/>
        <v>22985459</v>
      </c>
    </row>
    <row r="19" spans="1:10" x14ac:dyDescent="0.3">
      <c r="A19" s="14" t="s">
        <v>24</v>
      </c>
      <c r="B19" s="43" t="str">
        <f>IF(B17-B18 &lt;= 0, "None", B17-B18)</f>
        <v>None</v>
      </c>
      <c r="C19" s="43" t="str">
        <f t="shared" ref="C19:J19" si="3">IF(C17-C18 &lt;= 0, "None", C17-C18)</f>
        <v>None</v>
      </c>
      <c r="D19" s="43" t="str">
        <f t="shared" si="3"/>
        <v>None</v>
      </c>
      <c r="E19" s="43" t="str">
        <f t="shared" si="3"/>
        <v>None</v>
      </c>
      <c r="F19" s="43" t="str">
        <f t="shared" si="3"/>
        <v>None</v>
      </c>
      <c r="G19" s="43" t="str">
        <f t="shared" si="3"/>
        <v>None</v>
      </c>
      <c r="H19" s="43" t="str">
        <f t="shared" si="3"/>
        <v>None</v>
      </c>
      <c r="I19" s="43" t="str">
        <f t="shared" si="3"/>
        <v>None</v>
      </c>
      <c r="J19" s="43" t="str">
        <f t="shared" si="3"/>
        <v>None</v>
      </c>
    </row>
    <row r="21" spans="1:10" x14ac:dyDescent="0.3">
      <c r="A21" s="14" t="str">
        <f>_xlfn.CONCAT("Talent Table 3", " [", SUBTOTAL(4,Talent3.1[Talent Level]), "]")</f>
        <v>Talent Table 3 [8]</v>
      </c>
      <c r="B21" s="14" t="s">
        <v>246</v>
      </c>
      <c r="C21" s="14" t="s">
        <v>247</v>
      </c>
      <c r="D21" s="14" t="s">
        <v>248</v>
      </c>
      <c r="E21" s="14" t="s">
        <v>244</v>
      </c>
      <c r="F21" s="14" t="s">
        <v>245</v>
      </c>
      <c r="G21" s="14" t="s">
        <v>243</v>
      </c>
      <c r="H21" s="14" t="s">
        <v>2</v>
      </c>
      <c r="I21" s="14" t="s">
        <v>223</v>
      </c>
      <c r="J21" s="14" t="s">
        <v>0</v>
      </c>
    </row>
    <row r="22" spans="1:10" x14ac:dyDescent="0.3">
      <c r="A22" s="14" t="s">
        <v>200</v>
      </c>
      <c r="B22" s="43" t="str">
        <f>MID('Requirement Tables'!C44,1,1)</f>
        <v>3</v>
      </c>
      <c r="C22" s="43" t="str">
        <f>MID('Requirement Tables'!C44,7,2)</f>
        <v>21</v>
      </c>
      <c r="D22" s="43" t="str">
        <f>TRIM(MID('Requirement Tables'!C44,16,2))</f>
        <v>10</v>
      </c>
      <c r="E22" s="43" t="str">
        <f>MID('Requirement Tables'!E44,1,1)</f>
        <v>6</v>
      </c>
      <c r="F22" s="43" t="str">
        <f>MID('Requirement Tables'!E44,5,2)</f>
        <v>22</v>
      </c>
      <c r="G22" s="43" t="str">
        <f>TRIM(MID('Requirement Tables'!E44,12,2))</f>
        <v>10</v>
      </c>
      <c r="H22" s="43">
        <f>'Requirement Tables'!G44</f>
        <v>2</v>
      </c>
      <c r="I22" s="43">
        <f>'Requirement Tables'!H44</f>
        <v>0</v>
      </c>
      <c r="J22" s="53">
        <f>'Requirement Tables'!I44</f>
        <v>502500</v>
      </c>
    </row>
    <row r="23" spans="1:10" x14ac:dyDescent="0.3">
      <c r="A23" s="14" t="s">
        <v>201</v>
      </c>
      <c r="B23" s="43">
        <f t="shared" ref="B23:J23" si="4">B18-B17</f>
        <v>52</v>
      </c>
      <c r="C23" s="43">
        <f t="shared" si="4"/>
        <v>111</v>
      </c>
      <c r="D23" s="43">
        <f t="shared" si="4"/>
        <v>21</v>
      </c>
      <c r="E23" s="43">
        <f t="shared" si="4"/>
        <v>1021</v>
      </c>
      <c r="F23" s="43">
        <f t="shared" si="4"/>
        <v>32</v>
      </c>
      <c r="G23" s="43">
        <f t="shared" si="4"/>
        <v>8</v>
      </c>
      <c r="H23" s="43">
        <f t="shared" si="4"/>
        <v>8</v>
      </c>
      <c r="I23" s="43">
        <f t="shared" si="4"/>
        <v>6</v>
      </c>
      <c r="J23" s="53">
        <f t="shared" si="4"/>
        <v>22482959</v>
      </c>
    </row>
    <row r="24" spans="1:10" x14ac:dyDescent="0.3">
      <c r="A24" s="14" t="s">
        <v>24</v>
      </c>
      <c r="B24" s="43" t="str">
        <f>IF(B22-B23 &lt;= 0, "None", B22-B23)</f>
        <v>None</v>
      </c>
      <c r="C24" s="43" t="str">
        <f t="shared" ref="C24:J24" si="5">IF(C22-C23 &lt;= 0, "None", C22-C23)</f>
        <v>None</v>
      </c>
      <c r="D24" s="43" t="str">
        <f t="shared" si="5"/>
        <v>None</v>
      </c>
      <c r="E24" s="43" t="str">
        <f t="shared" si="5"/>
        <v>None</v>
      </c>
      <c r="F24" s="43" t="str">
        <f t="shared" si="5"/>
        <v>None</v>
      </c>
      <c r="G24" s="43">
        <f t="shared" si="5"/>
        <v>2</v>
      </c>
      <c r="H24" s="43" t="str">
        <f t="shared" si="5"/>
        <v>None</v>
      </c>
      <c r="I24" s="43" t="str">
        <f t="shared" si="5"/>
        <v>None</v>
      </c>
      <c r="J24" s="43" t="str">
        <f t="shared" si="5"/>
        <v>None</v>
      </c>
    </row>
  </sheetData>
  <conditionalFormatting sqref="B4:K4 B9:C9 B14:J14">
    <cfRule type="cellIs" dxfId="125" priority="5" operator="equal">
      <formula>"None"</formula>
    </cfRule>
    <cfRule type="cellIs" dxfId="124" priority="6" operator="greaterThan">
      <formula>0</formula>
    </cfRule>
  </conditionalFormatting>
  <conditionalFormatting sqref="B19:J19">
    <cfRule type="cellIs" dxfId="123" priority="3" operator="equal">
      <formula>"None"</formula>
    </cfRule>
    <cfRule type="cellIs" dxfId="122" priority="4" operator="greaterThan">
      <formula>0</formula>
    </cfRule>
  </conditionalFormatting>
  <conditionalFormatting sqref="B24:J24">
    <cfRule type="cellIs" dxfId="121" priority="1" operator="equal">
      <formula>"None"</formula>
    </cfRule>
    <cfRule type="cellIs" dxfId="12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F53A-509A-449D-83EB-B07AE7A8A0D1}">
  <sheetPr codeName="Sheet2"/>
  <dimension ref="A1:O54"/>
  <sheetViews>
    <sheetView workbookViewId="0">
      <selection activeCell="A10" sqref="A10:I20"/>
    </sheetView>
  </sheetViews>
  <sheetFormatPr defaultColWidth="25.44140625" defaultRowHeight="12.75" customHeight="1" x14ac:dyDescent="0.2"/>
  <cols>
    <col min="1" max="16384" width="25.44140625" style="1"/>
  </cols>
  <sheetData>
    <row r="1" spans="1:15" ht="12.75" customHeight="1" x14ac:dyDescent="0.2">
      <c r="A1" s="1" t="s">
        <v>226</v>
      </c>
      <c r="B1" s="1" t="s">
        <v>225</v>
      </c>
      <c r="C1" s="15" t="s">
        <v>0</v>
      </c>
      <c r="D1" s="1" t="s">
        <v>1</v>
      </c>
      <c r="E1" s="1" t="s">
        <v>204</v>
      </c>
      <c r="F1" s="1" t="s">
        <v>2</v>
      </c>
      <c r="G1" s="1" t="s">
        <v>3</v>
      </c>
      <c r="H1" s="42" t="s">
        <v>224</v>
      </c>
      <c r="I1" s="42" t="s">
        <v>203</v>
      </c>
      <c r="O1" s="5"/>
    </row>
    <row r="2" spans="1:15" ht="12.75" customHeight="1" x14ac:dyDescent="0.2">
      <c r="A2" s="6">
        <v>1</v>
      </c>
      <c r="B2" s="1">
        <v>20</v>
      </c>
      <c r="C2" s="7">
        <v>20000</v>
      </c>
      <c r="D2" s="6">
        <v>1</v>
      </c>
      <c r="E2" s="8" t="s">
        <v>35</v>
      </c>
      <c r="F2" s="1">
        <v>0</v>
      </c>
      <c r="G2" s="1">
        <v>3</v>
      </c>
      <c r="H2" s="13">
        <v>3</v>
      </c>
      <c r="I2" s="8" t="s">
        <v>34</v>
      </c>
      <c r="O2" s="10"/>
    </row>
    <row r="3" spans="1:15" ht="12.75" customHeight="1" x14ac:dyDescent="0.2">
      <c r="A3" s="1">
        <v>2</v>
      </c>
      <c r="B3" s="1">
        <v>40</v>
      </c>
      <c r="C3" s="7">
        <v>40000</v>
      </c>
      <c r="D3" s="1">
        <v>3</v>
      </c>
      <c r="E3" s="8" t="s">
        <v>36</v>
      </c>
      <c r="F3" s="1">
        <v>2</v>
      </c>
      <c r="G3" s="1">
        <v>10</v>
      </c>
      <c r="H3" s="13">
        <v>15</v>
      </c>
      <c r="I3" s="8" t="s">
        <v>35</v>
      </c>
    </row>
    <row r="4" spans="1:15" ht="12.75" customHeight="1" x14ac:dyDescent="0.2">
      <c r="A4" s="1">
        <v>3</v>
      </c>
      <c r="B4" s="1">
        <v>50</v>
      </c>
      <c r="C4" s="7">
        <v>60000</v>
      </c>
      <c r="D4" s="1">
        <v>6</v>
      </c>
      <c r="E4" s="8" t="s">
        <v>36</v>
      </c>
      <c r="F4" s="1">
        <v>4</v>
      </c>
      <c r="G4" s="1">
        <v>20</v>
      </c>
      <c r="H4" s="13">
        <v>12</v>
      </c>
      <c r="I4" s="8" t="s">
        <v>35</v>
      </c>
    </row>
    <row r="5" spans="1:15" ht="12.75" customHeight="1" x14ac:dyDescent="0.2">
      <c r="A5" s="6">
        <v>4</v>
      </c>
      <c r="B5" s="1">
        <v>60</v>
      </c>
      <c r="C5" s="7">
        <v>80000</v>
      </c>
      <c r="D5" s="6">
        <v>3</v>
      </c>
      <c r="E5" s="8" t="s">
        <v>61</v>
      </c>
      <c r="F5" s="1">
        <v>8</v>
      </c>
      <c r="G5" s="1">
        <v>30</v>
      </c>
      <c r="H5" s="13">
        <v>18</v>
      </c>
      <c r="I5" s="8" t="s">
        <v>36</v>
      </c>
      <c r="J5" s="10"/>
      <c r="N5" s="10"/>
    </row>
    <row r="6" spans="1:15" ht="12.75" customHeight="1" x14ac:dyDescent="0.2">
      <c r="A6" s="6">
        <v>5</v>
      </c>
      <c r="B6" s="1">
        <v>70</v>
      </c>
      <c r="C6" s="7">
        <v>100000</v>
      </c>
      <c r="D6" s="6">
        <v>6</v>
      </c>
      <c r="E6" s="8" t="s">
        <v>61</v>
      </c>
      <c r="F6" s="1">
        <v>12</v>
      </c>
      <c r="G6" s="1">
        <v>45</v>
      </c>
      <c r="H6" s="13">
        <v>12</v>
      </c>
      <c r="I6" s="8" t="s">
        <v>36</v>
      </c>
      <c r="J6" s="10"/>
    </row>
    <row r="7" spans="1:15" ht="12.75" hidden="1" customHeight="1" x14ac:dyDescent="0.2">
      <c r="A7" s="6">
        <v>6</v>
      </c>
      <c r="B7" s="1">
        <v>80</v>
      </c>
      <c r="C7" s="7">
        <v>120000</v>
      </c>
      <c r="D7" s="6">
        <v>6</v>
      </c>
      <c r="E7" s="8" t="s">
        <v>148</v>
      </c>
      <c r="F7" s="1">
        <v>20</v>
      </c>
      <c r="G7" s="1">
        <v>60</v>
      </c>
      <c r="H7" s="13">
        <v>24</v>
      </c>
      <c r="I7" s="8" t="s">
        <v>202</v>
      </c>
      <c r="J7" s="10"/>
    </row>
    <row r="8" spans="1:15" ht="12.75" customHeight="1" x14ac:dyDescent="0.2">
      <c r="A8" s="2" t="s">
        <v>8</v>
      </c>
      <c r="B8" s="2"/>
      <c r="C8" s="3">
        <f>SUBTOTAL(9,Table15[Mora])</f>
        <v>300000</v>
      </c>
      <c r="D8" s="49" t="str">
        <f>_xlfn.CONCAT(SUBTOTAL(9,D2)," S ",SUBTOTAL(9,D3:D4), " F ", SUBTOTAL(9,D5:D6), " C ", SUBTOTAL(9,D7), " G")</f>
        <v>1 S 9 F 9 C 0 G</v>
      </c>
      <c r="E8" s="2"/>
      <c r="F8" s="2">
        <f>SUBTOTAL(9,Table15[Boss Speciality])</f>
        <v>26</v>
      </c>
      <c r="G8" s="2">
        <f>SUBTOTAL(9,Table15[Local Specialty])</f>
        <v>108</v>
      </c>
      <c r="H8" s="49" t="str">
        <f>_xlfn.CONCAT(SUBTOTAL(9,H2), " * ", SUBTOTAL(9,H3:H4), " * * ", SUBTOTAL(9,H5:H7)," * * *")</f>
        <v>3 * 27 * * 30 * * *</v>
      </c>
      <c r="I8" s="2"/>
      <c r="J8" s="10"/>
    </row>
    <row r="9" spans="1:15" ht="12.75" customHeight="1" x14ac:dyDescent="0.2">
      <c r="G9" s="10"/>
      <c r="H9" s="10"/>
      <c r="J9" s="10"/>
      <c r="K9" s="10"/>
      <c r="L9" s="10"/>
      <c r="M9" s="10"/>
    </row>
    <row r="10" spans="1:15" ht="12.75" customHeight="1" x14ac:dyDescent="0.2">
      <c r="A10" s="1" t="s">
        <v>227</v>
      </c>
      <c r="B10" s="1" t="s">
        <v>228</v>
      </c>
      <c r="C10" s="1" t="s">
        <v>9</v>
      </c>
      <c r="D10" s="1" t="s">
        <v>241</v>
      </c>
      <c r="E10" s="6" t="s">
        <v>224</v>
      </c>
      <c r="F10" s="1" t="s">
        <v>203</v>
      </c>
      <c r="G10" s="1" t="s">
        <v>2</v>
      </c>
      <c r="H10" s="1" t="s">
        <v>223</v>
      </c>
      <c r="I10" s="46" t="s">
        <v>0</v>
      </c>
      <c r="J10" s="10"/>
      <c r="K10" s="10"/>
      <c r="L10" s="10"/>
      <c r="M10" s="10"/>
    </row>
    <row r="11" spans="1:15" ht="12.75" customHeight="1" x14ac:dyDescent="0.2">
      <c r="A11" s="1">
        <v>2</v>
      </c>
      <c r="B11" s="1" t="s">
        <v>10</v>
      </c>
      <c r="C11" s="42">
        <v>3</v>
      </c>
      <c r="D11" s="8" t="s">
        <v>35</v>
      </c>
      <c r="E11" s="48">
        <v>6</v>
      </c>
      <c r="F11" s="8" t="s">
        <v>34</v>
      </c>
      <c r="G11" s="1">
        <v>0</v>
      </c>
      <c r="H11" s="1">
        <v>0</v>
      </c>
      <c r="I11" s="47">
        <v>12500</v>
      </c>
      <c r="J11" s="10"/>
      <c r="K11" s="10"/>
      <c r="L11" s="10"/>
      <c r="M11" s="10"/>
      <c r="N11" s="10"/>
    </row>
    <row r="12" spans="1:15" ht="12.75" customHeight="1" x14ac:dyDescent="0.2">
      <c r="A12" s="1">
        <v>3</v>
      </c>
      <c r="B12" s="1" t="s">
        <v>11</v>
      </c>
      <c r="C12" s="42">
        <v>2</v>
      </c>
      <c r="D12" s="8" t="s">
        <v>36</v>
      </c>
      <c r="E12" s="48">
        <v>3</v>
      </c>
      <c r="F12" s="8" t="s">
        <v>35</v>
      </c>
      <c r="G12" s="1">
        <v>0</v>
      </c>
      <c r="H12" s="1">
        <v>0</v>
      </c>
      <c r="I12" s="47">
        <v>17500</v>
      </c>
      <c r="J12" s="10"/>
      <c r="K12" s="10"/>
      <c r="L12" s="10"/>
      <c r="M12" s="10"/>
      <c r="N12" s="10"/>
    </row>
    <row r="13" spans="1:15" ht="12.75" customHeight="1" x14ac:dyDescent="0.2">
      <c r="A13" s="1">
        <v>4</v>
      </c>
      <c r="B13" s="1" t="s">
        <v>11</v>
      </c>
      <c r="C13" s="42">
        <v>4</v>
      </c>
      <c r="D13" s="8" t="s">
        <v>36</v>
      </c>
      <c r="E13" s="48">
        <v>4</v>
      </c>
      <c r="F13" s="8" t="s">
        <v>35</v>
      </c>
      <c r="G13" s="1">
        <v>0</v>
      </c>
      <c r="H13" s="1">
        <v>0</v>
      </c>
      <c r="I13" s="47">
        <v>25000</v>
      </c>
    </row>
    <row r="14" spans="1:15" ht="12.75" customHeight="1" x14ac:dyDescent="0.2">
      <c r="A14" s="1">
        <v>5</v>
      </c>
      <c r="B14" s="1" t="s">
        <v>12</v>
      </c>
      <c r="C14" s="42">
        <v>6</v>
      </c>
      <c r="D14" s="8" t="s">
        <v>36</v>
      </c>
      <c r="E14" s="42">
        <v>6</v>
      </c>
      <c r="F14" s="8" t="s">
        <v>35</v>
      </c>
      <c r="G14" s="1">
        <v>0</v>
      </c>
      <c r="H14" s="1">
        <v>0</v>
      </c>
      <c r="I14" s="47">
        <v>30000</v>
      </c>
    </row>
    <row r="15" spans="1:15" ht="12.75" customHeight="1" x14ac:dyDescent="0.2">
      <c r="A15" s="1">
        <v>6</v>
      </c>
      <c r="B15" s="1" t="s">
        <v>12</v>
      </c>
      <c r="C15" s="42">
        <v>9</v>
      </c>
      <c r="D15" s="8" t="s">
        <v>36</v>
      </c>
      <c r="E15" s="42">
        <v>9</v>
      </c>
      <c r="F15" s="8" t="s">
        <v>35</v>
      </c>
      <c r="G15" s="1">
        <v>0</v>
      </c>
      <c r="H15" s="1">
        <v>0</v>
      </c>
      <c r="I15" s="47">
        <v>37500</v>
      </c>
    </row>
    <row r="16" spans="1:15" ht="12.75" hidden="1" customHeight="1" x14ac:dyDescent="0.2">
      <c r="A16" s="1">
        <v>7</v>
      </c>
      <c r="B16" s="1" t="s">
        <v>13</v>
      </c>
      <c r="C16" s="42">
        <v>4</v>
      </c>
      <c r="D16" s="8" t="s">
        <v>242</v>
      </c>
      <c r="E16" s="42">
        <v>4</v>
      </c>
      <c r="F16" s="8" t="s">
        <v>36</v>
      </c>
      <c r="G16" s="1">
        <v>1</v>
      </c>
      <c r="H16" s="1">
        <v>0</v>
      </c>
      <c r="I16" s="47">
        <v>120000</v>
      </c>
    </row>
    <row r="17" spans="1:10" ht="12.75" hidden="1" customHeight="1" x14ac:dyDescent="0.2">
      <c r="A17" s="1">
        <v>8</v>
      </c>
      <c r="B17" s="1" t="s">
        <v>13</v>
      </c>
      <c r="C17" s="42">
        <v>6</v>
      </c>
      <c r="D17" s="8" t="s">
        <v>242</v>
      </c>
      <c r="E17" s="42">
        <v>6</v>
      </c>
      <c r="F17" s="8" t="s">
        <v>36</v>
      </c>
      <c r="G17" s="1">
        <v>1</v>
      </c>
      <c r="H17" s="1">
        <v>0</v>
      </c>
      <c r="I17" s="47">
        <v>260000</v>
      </c>
    </row>
    <row r="18" spans="1:10" ht="12.75" hidden="1" customHeight="1" x14ac:dyDescent="0.2">
      <c r="A18" s="1">
        <v>9</v>
      </c>
      <c r="B18" s="1" t="s">
        <v>14</v>
      </c>
      <c r="C18" s="42">
        <v>12</v>
      </c>
      <c r="D18" s="8" t="s">
        <v>61</v>
      </c>
      <c r="E18" s="42">
        <v>9</v>
      </c>
      <c r="F18" s="8" t="s">
        <v>36</v>
      </c>
      <c r="G18" s="13">
        <v>2</v>
      </c>
      <c r="H18" s="1">
        <v>0</v>
      </c>
      <c r="I18" s="42">
        <v>450000</v>
      </c>
    </row>
    <row r="19" spans="1:10" ht="12.75" hidden="1" customHeight="1" x14ac:dyDescent="0.2">
      <c r="A19" s="42">
        <v>10</v>
      </c>
      <c r="B19" s="42" t="s">
        <v>14</v>
      </c>
      <c r="C19" s="42">
        <v>16</v>
      </c>
      <c r="D19" s="8" t="s">
        <v>61</v>
      </c>
      <c r="E19" s="42">
        <v>12</v>
      </c>
      <c r="F19" s="8" t="s">
        <v>36</v>
      </c>
      <c r="G19" s="42">
        <v>2</v>
      </c>
      <c r="H19" s="1">
        <v>1</v>
      </c>
      <c r="I19" s="47">
        <v>700000</v>
      </c>
    </row>
    <row r="20" spans="1:10" ht="12.75" customHeight="1" x14ac:dyDescent="0.2">
      <c r="A20" s="2" t="s">
        <v>8</v>
      </c>
      <c r="B20" s="2"/>
      <c r="C20" s="49" t="str">
        <f>_xlfn.CONCAT(SUBTOTAL(9,C11)," * * ",SUBTOTAL(9,C12:C15)," * * * ",SUBTOTAL(9,C16:C19)," * * * *")</f>
        <v>3 * * 21 * * * 0 * * * *</v>
      </c>
      <c r="D20" s="2"/>
      <c r="E20" s="49" t="str">
        <f>_xlfn.CONCAT(SUBTOTAL(9,E11)," * ",SUBTOTAL(9,E12:E15)," * * ",SUBTOTAL(9,E16:E19)," * * *")</f>
        <v>6 * 22 * * 0 * * *</v>
      </c>
      <c r="F20" s="2"/>
      <c r="G20" s="2">
        <f>SUBTOTAL(9,Talent1.1[Boss Speciality])</f>
        <v>0</v>
      </c>
      <c r="H20" s="2">
        <f>SUBTOTAL(9,Talent1.1[Crown])</f>
        <v>0</v>
      </c>
      <c r="I20" s="3">
        <f>SUBTOTAL(9,Talent1.1[Mora])</f>
        <v>122500</v>
      </c>
    </row>
    <row r="21" spans="1:10" ht="12.75" customHeight="1" x14ac:dyDescent="0.2">
      <c r="D21" s="10"/>
    </row>
    <row r="22" spans="1:10" ht="12.75" customHeight="1" x14ac:dyDescent="0.2">
      <c r="A22" s="1" t="s">
        <v>227</v>
      </c>
      <c r="B22" s="1" t="s">
        <v>228</v>
      </c>
      <c r="C22" s="1" t="s">
        <v>9</v>
      </c>
      <c r="D22" s="1" t="s">
        <v>241</v>
      </c>
      <c r="E22" s="6" t="s">
        <v>224</v>
      </c>
      <c r="F22" s="1" t="s">
        <v>203</v>
      </c>
      <c r="G22" s="1" t="s">
        <v>2</v>
      </c>
      <c r="H22" s="1" t="s">
        <v>223</v>
      </c>
      <c r="I22" s="46" t="s">
        <v>0</v>
      </c>
    </row>
    <row r="23" spans="1:10" ht="12.75" customHeight="1" x14ac:dyDescent="0.2">
      <c r="A23" s="1">
        <v>2</v>
      </c>
      <c r="B23" s="1" t="s">
        <v>10</v>
      </c>
      <c r="C23" s="42">
        <v>3</v>
      </c>
      <c r="D23" s="8" t="s">
        <v>35</v>
      </c>
      <c r="E23" s="48">
        <v>6</v>
      </c>
      <c r="F23" s="8" t="s">
        <v>34</v>
      </c>
      <c r="G23" s="1">
        <v>0</v>
      </c>
      <c r="H23" s="1">
        <v>0</v>
      </c>
      <c r="I23" s="47">
        <v>12500</v>
      </c>
      <c r="J23" s="7"/>
    </row>
    <row r="24" spans="1:10" ht="12.75" customHeight="1" x14ac:dyDescent="0.2">
      <c r="A24" s="1">
        <v>3</v>
      </c>
      <c r="B24" s="1" t="s">
        <v>11</v>
      </c>
      <c r="C24" s="42">
        <v>2</v>
      </c>
      <c r="D24" s="8" t="s">
        <v>36</v>
      </c>
      <c r="E24" s="48">
        <v>3</v>
      </c>
      <c r="F24" s="8" t="s">
        <v>35</v>
      </c>
      <c r="G24" s="1">
        <v>0</v>
      </c>
      <c r="H24" s="1">
        <v>0</v>
      </c>
      <c r="I24" s="47">
        <v>17500</v>
      </c>
    </row>
    <row r="25" spans="1:10" ht="12.75" customHeight="1" x14ac:dyDescent="0.2">
      <c r="A25" s="1">
        <v>4</v>
      </c>
      <c r="B25" s="1" t="s">
        <v>11</v>
      </c>
      <c r="C25" s="42">
        <v>4</v>
      </c>
      <c r="D25" s="8" t="s">
        <v>36</v>
      </c>
      <c r="E25" s="48">
        <v>4</v>
      </c>
      <c r="F25" s="8" t="s">
        <v>35</v>
      </c>
      <c r="G25" s="1">
        <v>0</v>
      </c>
      <c r="H25" s="1">
        <v>0</v>
      </c>
      <c r="I25" s="47">
        <v>25000</v>
      </c>
    </row>
    <row r="26" spans="1:10" ht="12.75" customHeight="1" x14ac:dyDescent="0.2">
      <c r="A26" s="1">
        <v>5</v>
      </c>
      <c r="B26" s="1" t="s">
        <v>12</v>
      </c>
      <c r="C26" s="42">
        <v>6</v>
      </c>
      <c r="D26" s="8" t="s">
        <v>36</v>
      </c>
      <c r="E26" s="42">
        <v>6</v>
      </c>
      <c r="F26" s="8" t="s">
        <v>35</v>
      </c>
      <c r="G26" s="1">
        <v>0</v>
      </c>
      <c r="H26" s="1">
        <v>0</v>
      </c>
      <c r="I26" s="47">
        <v>30000</v>
      </c>
    </row>
    <row r="27" spans="1:10" ht="12.75" customHeight="1" x14ac:dyDescent="0.2">
      <c r="A27" s="1">
        <v>6</v>
      </c>
      <c r="B27" s="1" t="s">
        <v>12</v>
      </c>
      <c r="C27" s="42">
        <v>9</v>
      </c>
      <c r="D27" s="8" t="s">
        <v>36</v>
      </c>
      <c r="E27" s="42">
        <v>9</v>
      </c>
      <c r="F27" s="8" t="s">
        <v>35</v>
      </c>
      <c r="G27" s="1">
        <v>0</v>
      </c>
      <c r="H27" s="1">
        <v>0</v>
      </c>
      <c r="I27" s="47">
        <v>37500</v>
      </c>
    </row>
    <row r="28" spans="1:10" ht="12.75" customHeight="1" x14ac:dyDescent="0.2">
      <c r="A28" s="1">
        <v>7</v>
      </c>
      <c r="B28" s="1" t="s">
        <v>13</v>
      </c>
      <c r="C28" s="42">
        <v>4</v>
      </c>
      <c r="D28" s="8" t="s">
        <v>242</v>
      </c>
      <c r="E28" s="42">
        <v>4</v>
      </c>
      <c r="F28" s="8" t="s">
        <v>36</v>
      </c>
      <c r="G28" s="1">
        <v>1</v>
      </c>
      <c r="H28" s="1">
        <v>0</v>
      </c>
      <c r="I28" s="47">
        <v>120000</v>
      </c>
    </row>
    <row r="29" spans="1:10" ht="12.75" customHeight="1" x14ac:dyDescent="0.2">
      <c r="A29" s="1">
        <v>8</v>
      </c>
      <c r="B29" s="1" t="s">
        <v>13</v>
      </c>
      <c r="C29" s="42">
        <v>6</v>
      </c>
      <c r="D29" s="8" t="s">
        <v>242</v>
      </c>
      <c r="E29" s="42">
        <v>6</v>
      </c>
      <c r="F29" s="8" t="s">
        <v>36</v>
      </c>
      <c r="G29" s="1">
        <v>1</v>
      </c>
      <c r="H29" s="1">
        <v>0</v>
      </c>
      <c r="I29" s="47">
        <v>260000</v>
      </c>
    </row>
    <row r="30" spans="1:10" ht="12.75" hidden="1" customHeight="1" x14ac:dyDescent="0.2">
      <c r="A30" s="1">
        <v>9</v>
      </c>
      <c r="B30" s="1" t="s">
        <v>14</v>
      </c>
      <c r="C30" s="42">
        <v>12</v>
      </c>
      <c r="D30" s="8" t="s">
        <v>61</v>
      </c>
      <c r="E30" s="42">
        <v>9</v>
      </c>
      <c r="F30" s="8" t="s">
        <v>36</v>
      </c>
      <c r="G30" s="13">
        <v>2</v>
      </c>
      <c r="H30" s="1">
        <v>0</v>
      </c>
      <c r="I30" s="42">
        <v>450000</v>
      </c>
    </row>
    <row r="31" spans="1:10" ht="12.75" hidden="1" customHeight="1" x14ac:dyDescent="0.2">
      <c r="A31" s="42">
        <v>10</v>
      </c>
      <c r="B31" s="42" t="s">
        <v>14</v>
      </c>
      <c r="C31" s="42">
        <v>16</v>
      </c>
      <c r="D31" s="8" t="s">
        <v>61</v>
      </c>
      <c r="E31" s="42">
        <v>12</v>
      </c>
      <c r="F31" s="8" t="s">
        <v>36</v>
      </c>
      <c r="G31" s="42">
        <v>2</v>
      </c>
      <c r="H31" s="1">
        <v>1</v>
      </c>
      <c r="I31" s="47">
        <v>700000</v>
      </c>
    </row>
    <row r="32" spans="1:10" ht="12.75" customHeight="1" x14ac:dyDescent="0.2">
      <c r="A32" s="2" t="s">
        <v>8</v>
      </c>
      <c r="B32" s="2"/>
      <c r="C32" s="49" t="str">
        <f>_xlfn.CONCAT(SUBTOTAL(9,C23)," * * ",SUBTOTAL(9,C24:C27)," * * * ",SUBTOTAL(9,C28:C31)," * * * *")</f>
        <v>3 * * 21 * * * 10 * * * *</v>
      </c>
      <c r="D32" s="2"/>
      <c r="E32" s="49" t="str">
        <f>_xlfn.CONCAT(SUBTOTAL(9,E23)," * ",SUBTOTAL(9,E24:E27)," * * ",SUBTOTAL(9,E28:E31)," * * *")</f>
        <v>6 * 22 * * 10 * * *</v>
      </c>
      <c r="F32" s="2"/>
      <c r="G32" s="2">
        <f>SUBTOTAL(9,Talent2.1[Boss Speciality])</f>
        <v>2</v>
      </c>
      <c r="H32" s="2">
        <f>SUBTOTAL(9,Talent2.1[Crown])</f>
        <v>0</v>
      </c>
      <c r="I32" s="3">
        <f>SUBTOTAL(9,Talent2.1[Mora])</f>
        <v>502500</v>
      </c>
    </row>
    <row r="33" spans="1:10" ht="12.75" customHeight="1" x14ac:dyDescent="0.2">
      <c r="J33" s="14"/>
    </row>
    <row r="34" spans="1:10" ht="12.75" customHeight="1" x14ac:dyDescent="0.2">
      <c r="A34" s="1" t="s">
        <v>227</v>
      </c>
      <c r="B34" s="1" t="s">
        <v>228</v>
      </c>
      <c r="C34" s="1" t="s">
        <v>9</v>
      </c>
      <c r="D34" s="1" t="s">
        <v>241</v>
      </c>
      <c r="E34" s="6" t="s">
        <v>224</v>
      </c>
      <c r="F34" s="1" t="s">
        <v>203</v>
      </c>
      <c r="G34" s="1" t="s">
        <v>2</v>
      </c>
      <c r="H34" s="1" t="s">
        <v>223</v>
      </c>
      <c r="I34" s="46" t="s">
        <v>0</v>
      </c>
      <c r="J34" s="8"/>
    </row>
    <row r="35" spans="1:10" ht="12.75" customHeight="1" x14ac:dyDescent="0.2">
      <c r="A35" s="1">
        <v>2</v>
      </c>
      <c r="B35" s="1" t="s">
        <v>10</v>
      </c>
      <c r="C35" s="42">
        <v>3</v>
      </c>
      <c r="D35" s="8" t="s">
        <v>35</v>
      </c>
      <c r="E35" s="48">
        <v>6</v>
      </c>
      <c r="F35" s="8" t="s">
        <v>34</v>
      </c>
      <c r="G35" s="1">
        <v>0</v>
      </c>
      <c r="H35" s="1">
        <v>0</v>
      </c>
      <c r="I35" s="47">
        <v>12500</v>
      </c>
      <c r="J35" s="8"/>
    </row>
    <row r="36" spans="1:10" ht="12.75" customHeight="1" x14ac:dyDescent="0.2">
      <c r="A36" s="1">
        <v>3</v>
      </c>
      <c r="B36" s="1" t="s">
        <v>11</v>
      </c>
      <c r="C36" s="42">
        <v>2</v>
      </c>
      <c r="D36" s="8" t="s">
        <v>36</v>
      </c>
      <c r="E36" s="48">
        <v>3</v>
      </c>
      <c r="F36" s="8" t="s">
        <v>35</v>
      </c>
      <c r="G36" s="1">
        <v>0</v>
      </c>
      <c r="H36" s="1">
        <v>0</v>
      </c>
      <c r="I36" s="47">
        <v>17500</v>
      </c>
      <c r="J36" s="8"/>
    </row>
    <row r="37" spans="1:10" ht="12.75" customHeight="1" x14ac:dyDescent="0.2">
      <c r="A37" s="1">
        <v>4</v>
      </c>
      <c r="B37" s="1" t="s">
        <v>11</v>
      </c>
      <c r="C37" s="42">
        <v>4</v>
      </c>
      <c r="D37" s="8" t="s">
        <v>36</v>
      </c>
      <c r="E37" s="48">
        <v>4</v>
      </c>
      <c r="F37" s="8" t="s">
        <v>35</v>
      </c>
      <c r="G37" s="1">
        <v>0</v>
      </c>
      <c r="H37" s="1">
        <v>0</v>
      </c>
      <c r="I37" s="47">
        <v>25000</v>
      </c>
    </row>
    <row r="38" spans="1:10" ht="12.75" customHeight="1" x14ac:dyDescent="0.2">
      <c r="A38" s="1">
        <v>5</v>
      </c>
      <c r="B38" s="1" t="s">
        <v>12</v>
      </c>
      <c r="C38" s="42">
        <v>6</v>
      </c>
      <c r="D38" s="8" t="s">
        <v>36</v>
      </c>
      <c r="E38" s="42">
        <v>6</v>
      </c>
      <c r="F38" s="8" t="s">
        <v>35</v>
      </c>
      <c r="G38" s="1">
        <v>0</v>
      </c>
      <c r="H38" s="1">
        <v>0</v>
      </c>
      <c r="I38" s="47">
        <v>30000</v>
      </c>
    </row>
    <row r="39" spans="1:10" ht="12.75" customHeight="1" x14ac:dyDescent="0.2">
      <c r="A39" s="1">
        <v>6</v>
      </c>
      <c r="B39" s="1" t="s">
        <v>12</v>
      </c>
      <c r="C39" s="42">
        <v>9</v>
      </c>
      <c r="D39" s="8" t="s">
        <v>36</v>
      </c>
      <c r="E39" s="42">
        <v>9</v>
      </c>
      <c r="F39" s="8" t="s">
        <v>35</v>
      </c>
      <c r="G39" s="1">
        <v>0</v>
      </c>
      <c r="H39" s="1">
        <v>0</v>
      </c>
      <c r="I39" s="47">
        <v>37500</v>
      </c>
    </row>
    <row r="40" spans="1:10" ht="12.75" customHeight="1" x14ac:dyDescent="0.2">
      <c r="A40" s="1">
        <v>7</v>
      </c>
      <c r="B40" s="1" t="s">
        <v>13</v>
      </c>
      <c r="C40" s="42">
        <v>4</v>
      </c>
      <c r="D40" s="8" t="s">
        <v>242</v>
      </c>
      <c r="E40" s="42">
        <v>4</v>
      </c>
      <c r="F40" s="8" t="s">
        <v>36</v>
      </c>
      <c r="G40" s="1">
        <v>1</v>
      </c>
      <c r="H40" s="1">
        <v>0</v>
      </c>
      <c r="I40" s="47">
        <v>120000</v>
      </c>
    </row>
    <row r="41" spans="1:10" ht="12.75" customHeight="1" x14ac:dyDescent="0.2">
      <c r="A41" s="1">
        <v>8</v>
      </c>
      <c r="B41" s="1" t="s">
        <v>13</v>
      </c>
      <c r="C41" s="42">
        <v>6</v>
      </c>
      <c r="D41" s="8" t="s">
        <v>242</v>
      </c>
      <c r="E41" s="42">
        <v>6</v>
      </c>
      <c r="F41" s="8" t="s">
        <v>36</v>
      </c>
      <c r="G41" s="1">
        <v>1</v>
      </c>
      <c r="H41" s="1">
        <v>0</v>
      </c>
      <c r="I41" s="47">
        <v>260000</v>
      </c>
    </row>
    <row r="42" spans="1:10" ht="12.75" hidden="1" customHeight="1" x14ac:dyDescent="0.2">
      <c r="A42" s="1">
        <v>9</v>
      </c>
      <c r="B42" s="1" t="s">
        <v>14</v>
      </c>
      <c r="C42" s="42">
        <v>12</v>
      </c>
      <c r="D42" s="8" t="s">
        <v>61</v>
      </c>
      <c r="E42" s="42">
        <v>9</v>
      </c>
      <c r="F42" s="8" t="s">
        <v>36</v>
      </c>
      <c r="G42" s="13">
        <v>2</v>
      </c>
      <c r="H42" s="1">
        <v>0</v>
      </c>
      <c r="I42" s="42">
        <v>450000</v>
      </c>
    </row>
    <row r="43" spans="1:10" ht="12.75" hidden="1" customHeight="1" x14ac:dyDescent="0.2">
      <c r="A43" s="42">
        <v>10</v>
      </c>
      <c r="B43" s="42" t="s">
        <v>14</v>
      </c>
      <c r="C43" s="42">
        <v>16</v>
      </c>
      <c r="D43" s="8" t="s">
        <v>61</v>
      </c>
      <c r="E43" s="42">
        <v>12</v>
      </c>
      <c r="F43" s="8" t="s">
        <v>36</v>
      </c>
      <c r="G43" s="42">
        <v>2</v>
      </c>
      <c r="H43" s="1">
        <v>1</v>
      </c>
      <c r="I43" s="47">
        <v>700000</v>
      </c>
    </row>
    <row r="44" spans="1:10" ht="12.75" customHeight="1" x14ac:dyDescent="0.2">
      <c r="A44" s="2" t="s">
        <v>8</v>
      </c>
      <c r="B44" s="2"/>
      <c r="C44" s="49" t="str">
        <f>_xlfn.CONCAT(SUBTOTAL(9,C35)," * * ",SUBTOTAL(9,C36:C39)," * * * ",SUBTOTAL(9,C40:C43)," * * * *")</f>
        <v>3 * * 21 * * * 10 * * * *</v>
      </c>
      <c r="D44" s="2"/>
      <c r="E44" s="49" t="str">
        <f>_xlfn.CONCAT(SUBTOTAL(9,E35)," * ",SUBTOTAL(9,E36:E39)," * * ",SUBTOTAL(9,E40:E43)," * * *")</f>
        <v>6 * 22 * * 10 * * *</v>
      </c>
      <c r="F44" s="2"/>
      <c r="G44" s="2">
        <f>SUBTOTAL(9,Talent3.1[Boss Speciality])</f>
        <v>2</v>
      </c>
      <c r="H44" s="2">
        <f>SUBTOTAL(9,Talent3.1[Crown])</f>
        <v>0</v>
      </c>
      <c r="I44" s="3">
        <f>SUBTOTAL(9,Talent3.1[Mora])</f>
        <v>502500</v>
      </c>
    </row>
    <row r="46" spans="1:10" ht="12.75" customHeight="1" x14ac:dyDescent="0.2">
      <c r="A46" s="1" t="s">
        <v>229</v>
      </c>
      <c r="B46" s="12" t="s">
        <v>96</v>
      </c>
      <c r="C46" s="15" t="s">
        <v>0</v>
      </c>
    </row>
    <row r="47" spans="1:10" ht="12.75" customHeight="1" x14ac:dyDescent="0.2">
      <c r="A47" s="1">
        <v>20</v>
      </c>
      <c r="B47" s="1">
        <v>6</v>
      </c>
      <c r="C47" s="7">
        <v>24000</v>
      </c>
    </row>
    <row r="48" spans="1:10" ht="12.75" customHeight="1" x14ac:dyDescent="0.2">
      <c r="A48" s="1">
        <v>40</v>
      </c>
      <c r="B48" s="1">
        <v>28</v>
      </c>
      <c r="C48" s="7">
        <v>115600</v>
      </c>
    </row>
    <row r="49" spans="1:3" ht="12.75" customHeight="1" x14ac:dyDescent="0.2">
      <c r="A49" s="1">
        <v>50</v>
      </c>
      <c r="B49" s="1">
        <v>28</v>
      </c>
      <c r="C49" s="7">
        <v>115800</v>
      </c>
    </row>
    <row r="50" spans="1:3" ht="12.75" customHeight="1" x14ac:dyDescent="0.2">
      <c r="A50" s="1">
        <v>60</v>
      </c>
      <c r="B50" s="1">
        <v>42</v>
      </c>
      <c r="C50" s="7">
        <v>170800</v>
      </c>
    </row>
    <row r="51" spans="1:3" ht="12.75" customHeight="1" x14ac:dyDescent="0.2">
      <c r="A51" s="1">
        <v>70</v>
      </c>
      <c r="B51" s="1">
        <v>59</v>
      </c>
      <c r="C51" s="7">
        <v>239000</v>
      </c>
    </row>
    <row r="52" spans="1:3" ht="12.75" customHeight="1" x14ac:dyDescent="0.2">
      <c r="A52" s="1">
        <v>80</v>
      </c>
      <c r="B52" s="1">
        <v>80</v>
      </c>
      <c r="C52" s="7">
        <v>322200</v>
      </c>
    </row>
    <row r="53" spans="1:3" ht="12.75" hidden="1" customHeight="1" x14ac:dyDescent="0.2">
      <c r="A53" s="1">
        <v>90</v>
      </c>
      <c r="B53" s="1">
        <v>171</v>
      </c>
      <c r="C53" s="7">
        <v>684600</v>
      </c>
    </row>
    <row r="54" spans="1:3" ht="12.75" customHeight="1" x14ac:dyDescent="0.2">
      <c r="A54" s="2" t="s">
        <v>8</v>
      </c>
      <c r="B54" s="2">
        <f>SUBTOTAL(9,Table37[Hero''s Wit])</f>
        <v>243</v>
      </c>
      <c r="C54" s="3">
        <f>SUBTOTAL(9,Table37[Mora])</f>
        <v>987400</v>
      </c>
    </row>
  </sheetData>
  <pageMargins left="0.7" right="0.7" top="0.75" bottom="0.75" header="0.3" footer="0.3"/>
  <pageSetup orientation="portrait" horizontalDpi="4294967293" verticalDpi="4294967293" r:id="rId1"/>
  <tableParts count="5"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D2DE-6D5D-4FB8-A14F-C4807CBE5551}">
  <sheetPr codeName="Sheet3"/>
  <dimension ref="A1:F22"/>
  <sheetViews>
    <sheetView workbookViewId="0">
      <selection activeCell="D15" sqref="D15"/>
    </sheetView>
  </sheetViews>
  <sheetFormatPr defaultColWidth="27.44140625" defaultRowHeight="14.4" x14ac:dyDescent="0.3"/>
  <sheetData>
    <row r="1" spans="1:4" x14ac:dyDescent="0.3">
      <c r="A1" s="45" t="s">
        <v>232</v>
      </c>
      <c r="B1" s="45" t="s">
        <v>230</v>
      </c>
      <c r="C1" s="45" t="s">
        <v>42</v>
      </c>
      <c r="D1" s="45" t="s">
        <v>231</v>
      </c>
    </row>
    <row r="2" spans="1:4" x14ac:dyDescent="0.3">
      <c r="A2" s="12" t="s">
        <v>96</v>
      </c>
      <c r="B2" s="10" t="s">
        <v>236</v>
      </c>
      <c r="C2" s="51" t="s">
        <v>61</v>
      </c>
      <c r="D2" s="10">
        <v>1463</v>
      </c>
    </row>
    <row r="3" spans="1:4" x14ac:dyDescent="0.3">
      <c r="A3" s="11" t="s">
        <v>97</v>
      </c>
      <c r="B3" s="10" t="s">
        <v>236</v>
      </c>
      <c r="C3" s="51" t="s">
        <v>36</v>
      </c>
      <c r="D3" s="10">
        <v>2039</v>
      </c>
    </row>
    <row r="4" spans="1:4" x14ac:dyDescent="0.3">
      <c r="A4" s="9" t="s">
        <v>95</v>
      </c>
      <c r="B4" s="10" t="s">
        <v>236</v>
      </c>
      <c r="C4" s="51" t="s">
        <v>35</v>
      </c>
      <c r="D4" s="10">
        <v>97</v>
      </c>
    </row>
    <row r="5" spans="1:4" x14ac:dyDescent="0.3">
      <c r="A5" s="15" t="s">
        <v>0</v>
      </c>
      <c r="B5" s="10" t="s">
        <v>237</v>
      </c>
      <c r="C5" s="18"/>
      <c r="D5" s="7">
        <v>24395359</v>
      </c>
    </row>
    <row r="6" spans="1:4" x14ac:dyDescent="0.3">
      <c r="A6" s="50" t="s">
        <v>221</v>
      </c>
      <c r="B6" s="10" t="s">
        <v>234</v>
      </c>
      <c r="C6" s="51" t="s">
        <v>235</v>
      </c>
      <c r="D6" s="10">
        <v>6</v>
      </c>
    </row>
    <row r="7" spans="1:4" x14ac:dyDescent="0.3">
      <c r="A7" s="50" t="str">
        <f>_xlfn.CONCAT("Philosophies of ", CHAR(34),A22,CHAR(34))</f>
        <v>Philosophies of "Light"</v>
      </c>
      <c r="B7" s="10" t="s">
        <v>234</v>
      </c>
      <c r="C7" s="51" t="s">
        <v>61</v>
      </c>
      <c r="D7" s="10">
        <v>31</v>
      </c>
    </row>
    <row r="8" spans="1:4" x14ac:dyDescent="0.3">
      <c r="A8" s="50" t="str">
        <f>_xlfn.CONCAT("Guide to ", CHAR(34),A22,CHAR(34))</f>
        <v>Guide to "Light"</v>
      </c>
      <c r="B8" s="10" t="s">
        <v>234</v>
      </c>
      <c r="C8" s="51" t="s">
        <v>36</v>
      </c>
      <c r="D8" s="10">
        <v>153</v>
      </c>
    </row>
    <row r="9" spans="1:4" x14ac:dyDescent="0.3">
      <c r="A9" s="50" t="str">
        <f>_xlfn.CONCAT("Teachings of ", CHAR(34),A22,CHAR(34))</f>
        <v>Teachings of "Light"</v>
      </c>
      <c r="B9" s="10" t="s">
        <v>234</v>
      </c>
      <c r="C9" s="51" t="s">
        <v>35</v>
      </c>
      <c r="D9" s="10">
        <v>58</v>
      </c>
    </row>
    <row r="10" spans="1:4" x14ac:dyDescent="0.3">
      <c r="A10" s="50" t="str">
        <f>INDEX('Constants &amp; Conversions'!F2:H39,MATCH(B22,'Constants &amp; Conversions'!E2:E39,0),3)</f>
        <v>Energy Nectar</v>
      </c>
      <c r="B10" s="10" t="s">
        <v>224</v>
      </c>
      <c r="C10" s="51" t="s">
        <v>202</v>
      </c>
      <c r="D10" s="10">
        <v>48</v>
      </c>
    </row>
    <row r="11" spans="1:4" x14ac:dyDescent="0.3">
      <c r="A11" s="50" t="str">
        <f>INDEX('Constants &amp; Conversions'!F2:H39,MATCH(B22,'Constants &amp; Conversions'!E2:E39,0),2)</f>
        <v>Shimmering Nectar</v>
      </c>
      <c r="B11" s="10" t="s">
        <v>224</v>
      </c>
      <c r="C11" s="51" t="s">
        <v>35</v>
      </c>
      <c r="D11" s="10">
        <v>103</v>
      </c>
    </row>
    <row r="12" spans="1:4" x14ac:dyDescent="0.3">
      <c r="A12" s="50" t="str">
        <f>INDEX('Constants &amp; Conversions'!F2:H39,MATCH(B22,'Constants &amp; Conversions'!E2:E39,0),1)</f>
        <v>Whopperflower Nectar</v>
      </c>
      <c r="B12" s="10" t="s">
        <v>224</v>
      </c>
      <c r="C12" s="51" t="s">
        <v>34</v>
      </c>
      <c r="D12" s="10">
        <v>1036</v>
      </c>
    </row>
    <row r="13" spans="1:4" x14ac:dyDescent="0.3">
      <c r="A13" s="50" t="str">
        <f>INDEX('Constants &amp; Conversions'!F2:H39, MATCH(C22,'Constants &amp; Conversions'!E2:E39,0),1)</f>
        <v>Gilded Scale</v>
      </c>
      <c r="B13" s="10" t="s">
        <v>233</v>
      </c>
      <c r="C13" s="51" t="s">
        <v>148</v>
      </c>
      <c r="D13" s="10">
        <v>10</v>
      </c>
    </row>
    <row r="14" spans="1:4" x14ac:dyDescent="0.3">
      <c r="A14" s="50" t="str">
        <f>INDEX('Constants &amp; Conversions'!F2:H39, MATCH(D22,'Constants &amp; Conversions'!E2:E39,0),2)</f>
        <v>Marionette Core</v>
      </c>
      <c r="B14" s="10" t="s">
        <v>233</v>
      </c>
      <c r="C14" s="51" t="s">
        <v>61</v>
      </c>
      <c r="D14" s="10">
        <v>28</v>
      </c>
    </row>
    <row r="15" spans="1:4" x14ac:dyDescent="0.3">
      <c r="A15" s="50" t="str">
        <f>E22</f>
        <v>Crystal Marrow</v>
      </c>
      <c r="B15" s="10" t="s">
        <v>3</v>
      </c>
      <c r="C15" s="51"/>
      <c r="D15" s="10">
        <v>168</v>
      </c>
    </row>
    <row r="16" spans="1:4" x14ac:dyDescent="0.3">
      <c r="A16" s="50" t="str">
        <f>INDEX('Constants &amp; Conversions'!F2:H39, MATCH(F22,'Constants &amp; Conversions'!E2:E39, 0),1)</f>
        <v>Vayuda Turquoise</v>
      </c>
      <c r="B16" s="10" t="s">
        <v>23</v>
      </c>
      <c r="C16" s="51" t="s">
        <v>148</v>
      </c>
      <c r="D16" s="10">
        <v>0</v>
      </c>
    </row>
    <row r="17" spans="1:6" x14ac:dyDescent="0.3">
      <c r="A17" s="50" t="str">
        <f>INDEX('Constants &amp; Conversions'!F2:H39, MATCH(F22,'Constants &amp; Conversions'!E2:E39, 0),1)</f>
        <v>Vayuda Turquoise</v>
      </c>
      <c r="B17" s="10" t="s">
        <v>22</v>
      </c>
      <c r="C17" s="51" t="s">
        <v>61</v>
      </c>
      <c r="D17" s="10">
        <v>9</v>
      </c>
    </row>
    <row r="18" spans="1:6" x14ac:dyDescent="0.3">
      <c r="A18" s="50" t="str">
        <f>INDEX('Constants &amp; Conversions'!F2:H39, MATCH(F22,'Constants &amp; Conversions'!E2:E39, 0),1)</f>
        <v>Vayuda Turquoise</v>
      </c>
      <c r="B18" s="10" t="s">
        <v>21</v>
      </c>
      <c r="C18" s="51" t="s">
        <v>36</v>
      </c>
      <c r="D18" s="10">
        <v>36</v>
      </c>
    </row>
    <row r="19" spans="1:6" x14ac:dyDescent="0.3">
      <c r="A19" s="50" t="str">
        <f>INDEX('Constants &amp; Conversions'!F2:H39, MATCH(F22,'Constants &amp; Conversions'!E2:E39, 0),1)</f>
        <v>Vayuda Turquoise</v>
      </c>
      <c r="B19" s="10" t="s">
        <v>20</v>
      </c>
      <c r="C19" s="51" t="s">
        <v>35</v>
      </c>
      <c r="D19" s="10">
        <v>142</v>
      </c>
    </row>
    <row r="21" spans="1:6" x14ac:dyDescent="0.3">
      <c r="A21" s="45" t="s">
        <v>255</v>
      </c>
      <c r="B21" s="45" t="s">
        <v>256</v>
      </c>
      <c r="C21" s="45" t="s">
        <v>257</v>
      </c>
      <c r="D21" s="45" t="s">
        <v>258</v>
      </c>
      <c r="E21" s="45" t="s">
        <v>19</v>
      </c>
      <c r="F21" s="45" t="s">
        <v>259</v>
      </c>
    </row>
    <row r="22" spans="1:6" x14ac:dyDescent="0.3">
      <c r="A22" s="10" t="s">
        <v>305</v>
      </c>
      <c r="B22" s="10" t="s">
        <v>260</v>
      </c>
      <c r="C22" s="10" t="s">
        <v>298</v>
      </c>
      <c r="D22" s="10" t="s">
        <v>302</v>
      </c>
      <c r="E22" s="10" t="s">
        <v>304</v>
      </c>
      <c r="F22" s="10" t="s">
        <v>261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7693-AE05-4840-9B6E-B016B5C04F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1D5F-1DDA-45C1-AED1-371D2389A2F2}">
  <dimension ref="A1:K24"/>
  <sheetViews>
    <sheetView workbookViewId="0">
      <selection activeCell="H21" sqref="H21"/>
    </sheetView>
  </sheetViews>
  <sheetFormatPr defaultColWidth="21.44140625" defaultRowHeight="14.4" x14ac:dyDescent="0.3"/>
  <sheetData>
    <row r="1" spans="1:11" x14ac:dyDescent="0.3">
      <c r="A1" s="14" t="str">
        <f>_xlfn.CONCAT("Ascension Table", " [",SUBTOTAL(4,Table15[Ascension Level]),"]")</f>
        <v>Ascension Table [5]</v>
      </c>
      <c r="B1" s="14" t="s">
        <v>0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199</v>
      </c>
      <c r="H1" s="14" t="s">
        <v>19</v>
      </c>
      <c r="I1" s="14" t="s">
        <v>244</v>
      </c>
      <c r="J1" s="14" t="s">
        <v>245</v>
      </c>
      <c r="K1" s="14" t="s">
        <v>243</v>
      </c>
    </row>
    <row r="2" spans="1:11" x14ac:dyDescent="0.3">
      <c r="A2" s="14" t="s">
        <v>200</v>
      </c>
      <c r="B2" s="53">
        <f>'Requirement Tables (2)'!C8</f>
        <v>300000</v>
      </c>
      <c r="C2" s="43" t="str">
        <f>MID('Requirement Tables (2)'!D8,1,1)</f>
        <v>1</v>
      </c>
      <c r="D2" s="43" t="str">
        <f>MID('Requirement Tables (2)'!D8,5,1)</f>
        <v>9</v>
      </c>
      <c r="E2" s="43" t="str">
        <f>MID('Requirement Tables (2)'!D8,9,1)</f>
        <v>9</v>
      </c>
      <c r="F2" s="43" t="str">
        <f>MID('Requirement Tables (2)'!D8,13,1)</f>
        <v>0</v>
      </c>
      <c r="G2" s="43">
        <f>'Requirement Tables (2)'!F8</f>
        <v>26</v>
      </c>
      <c r="H2" s="43">
        <f>'Requirement Tables (2)'!G8</f>
        <v>108</v>
      </c>
      <c r="I2" s="43" t="str">
        <f>MID('Requirement Tables (2)'!H8,1,1)</f>
        <v>3</v>
      </c>
      <c r="J2" s="43" t="str">
        <f>MID('Requirement Tables (2)'!H8,5,2)</f>
        <v>27</v>
      </c>
      <c r="K2" s="43" t="str">
        <f>MID('Requirement Tables (2)'!H8,12,2)</f>
        <v>30</v>
      </c>
    </row>
    <row r="3" spans="1:11" x14ac:dyDescent="0.3">
      <c r="A3" s="14" t="s">
        <v>201</v>
      </c>
      <c r="B3" s="53">
        <f>'Required Materials (2)'!D5</f>
        <v>21980459</v>
      </c>
      <c r="C3" s="43">
        <f>'Required Materials (2)'!D19</f>
        <v>208</v>
      </c>
      <c r="D3" s="43">
        <f>'Required Materials (2)'!D18</f>
        <v>45</v>
      </c>
      <c r="E3" s="43">
        <f>'Required Materials (2)'!D17</f>
        <v>11</v>
      </c>
      <c r="F3" s="43">
        <f>'Required Materials (2)'!D16</f>
        <v>0</v>
      </c>
      <c r="G3" s="43">
        <f>'Required Materials (2)'!D14</f>
        <v>0</v>
      </c>
      <c r="H3" s="43">
        <f>'Required Materials (2)'!D15</f>
        <v>0</v>
      </c>
      <c r="I3" s="43">
        <f>'Required Materials (2)'!D12</f>
        <v>346</v>
      </c>
      <c r="J3" s="43">
        <f>'Required Materials (2)'!D11</f>
        <v>121</v>
      </c>
      <c r="K3" s="43">
        <f>'Required Materials (2)'!D10</f>
        <v>35</v>
      </c>
    </row>
    <row r="4" spans="1:11" x14ac:dyDescent="0.3">
      <c r="A4" s="14" t="s">
        <v>24</v>
      </c>
      <c r="B4" s="43" t="str">
        <f t="shared" ref="B4:K4" si="0">IF(B2-B3 &lt;= 0, "None",B2-B3)</f>
        <v>None</v>
      </c>
      <c r="C4" s="43" t="str">
        <f t="shared" si="0"/>
        <v>None</v>
      </c>
      <c r="D4" s="43" t="str">
        <f t="shared" si="0"/>
        <v>None</v>
      </c>
      <c r="E4" s="43" t="str">
        <f t="shared" si="0"/>
        <v>None</v>
      </c>
      <c r="F4" s="43" t="str">
        <f t="shared" si="0"/>
        <v>None</v>
      </c>
      <c r="G4" s="43">
        <f t="shared" si="0"/>
        <v>26</v>
      </c>
      <c r="H4" s="43">
        <f t="shared" si="0"/>
        <v>108</v>
      </c>
      <c r="I4" s="43" t="str">
        <f t="shared" si="0"/>
        <v>None</v>
      </c>
      <c r="J4" s="43" t="str">
        <f t="shared" si="0"/>
        <v>None</v>
      </c>
      <c r="K4" s="43" t="str">
        <f t="shared" si="0"/>
        <v>None</v>
      </c>
    </row>
    <row r="6" spans="1:11" x14ac:dyDescent="0.3">
      <c r="A6" s="14" t="str">
        <f>_xlfn.CONCAT("Level Table"," [",  SUBTOTAL(4,Table37[Level]),"]")</f>
        <v>Level Table [80]</v>
      </c>
      <c r="B6" s="14" t="s">
        <v>96</v>
      </c>
      <c r="C6" s="14" t="s">
        <v>0</v>
      </c>
    </row>
    <row r="7" spans="1:11" x14ac:dyDescent="0.3">
      <c r="A7" s="14" t="s">
        <v>200</v>
      </c>
      <c r="B7" s="43">
        <f>'Requirement Tables (2)'!B54</f>
        <v>243</v>
      </c>
      <c r="C7" s="53">
        <f>'Requirement Tables (2)'!C54</f>
        <v>987400</v>
      </c>
    </row>
    <row r="8" spans="1:11" x14ac:dyDescent="0.3">
      <c r="A8" s="14" t="s">
        <v>201</v>
      </c>
      <c r="B8" s="43">
        <f>'Required Materials (2)'!D2</f>
        <v>1733</v>
      </c>
      <c r="C8" s="43">
        <f>B3-B2</f>
        <v>21680459</v>
      </c>
    </row>
    <row r="9" spans="1:11" x14ac:dyDescent="0.3">
      <c r="A9" s="14" t="s">
        <v>24</v>
      </c>
      <c r="B9" s="43" t="str">
        <f>IF(B7-B8 &lt;= 0, "None",B7-B8)</f>
        <v>None</v>
      </c>
      <c r="C9" s="43" t="str">
        <f>IF(C7-C8 &lt;= 0, "None",C7-C8)</f>
        <v>None</v>
      </c>
    </row>
    <row r="11" spans="1:11" x14ac:dyDescent="0.3">
      <c r="A11" s="14" t="str">
        <f>_xlfn.CONCAT("Talent Table 1", " [", SUBTOTAL(4,Talent1.2[Talent Level]), "]")</f>
        <v>Talent Table 1 [6]</v>
      </c>
      <c r="B11" s="14" t="s">
        <v>246</v>
      </c>
      <c r="C11" s="14" t="s">
        <v>247</v>
      </c>
      <c r="D11" s="14" t="s">
        <v>248</v>
      </c>
      <c r="E11" s="14" t="s">
        <v>244</v>
      </c>
      <c r="F11" s="14" t="s">
        <v>245</v>
      </c>
      <c r="G11" s="14" t="s">
        <v>243</v>
      </c>
      <c r="H11" s="14" t="s">
        <v>2</v>
      </c>
      <c r="I11" s="14" t="s">
        <v>223</v>
      </c>
      <c r="J11" s="14" t="s">
        <v>0</v>
      </c>
    </row>
    <row r="12" spans="1:11" x14ac:dyDescent="0.3">
      <c r="A12" s="14" t="s">
        <v>200</v>
      </c>
      <c r="B12" s="43" t="str">
        <f>MID('Requirement Tables (2)'!C20,1,1)</f>
        <v>3</v>
      </c>
      <c r="C12" s="43" t="str">
        <f>MID('Requirement Tables (2)'!C20,7,2)</f>
        <v>21</v>
      </c>
      <c r="D12" s="43" t="str">
        <f>MID('Requirement Tables (2)'!C20,16,2)</f>
        <v xml:space="preserve">0 </v>
      </c>
      <c r="E12" s="43" t="str">
        <f>MID('Requirement Tables (2)'!E20,1,1)</f>
        <v>6</v>
      </c>
      <c r="F12" s="43" t="str">
        <f>MID('Requirement Tables (2)'!E20,5,2)</f>
        <v>22</v>
      </c>
      <c r="G12" s="43" t="str">
        <f>MID('Requirement Tables (2)'!E20,12,2)</f>
        <v xml:space="preserve">0 </v>
      </c>
      <c r="H12" s="43">
        <f>'Requirement Tables (2)'!G20</f>
        <v>0</v>
      </c>
      <c r="I12" s="43">
        <f>'Requirement Tables (2)'!H20</f>
        <v>0</v>
      </c>
      <c r="J12" s="53">
        <f>'Requirement Tables (2)'!I20</f>
        <v>122500</v>
      </c>
    </row>
    <row r="13" spans="1:11" x14ac:dyDescent="0.3">
      <c r="A13" s="14" t="s">
        <v>201</v>
      </c>
      <c r="B13" s="43">
        <f>'Required Materials (2)'!D9</f>
        <v>49</v>
      </c>
      <c r="C13" s="43">
        <f>'Required Materials (2)'!D8</f>
        <v>90</v>
      </c>
      <c r="D13" s="43">
        <f>'Required Materials (2)'!D7</f>
        <v>11</v>
      </c>
      <c r="E13" s="43">
        <f>I3-I2</f>
        <v>343</v>
      </c>
      <c r="F13" s="43">
        <f>J3-J2</f>
        <v>94</v>
      </c>
      <c r="G13" s="43">
        <f>K3-K2</f>
        <v>5</v>
      </c>
      <c r="H13" s="43">
        <f>'Required Materials (2)'!D13</f>
        <v>0</v>
      </c>
      <c r="I13" s="43">
        <f>'Required Materials (2)'!D6</f>
        <v>6</v>
      </c>
      <c r="J13" s="43">
        <f>C8-C7</f>
        <v>20693059</v>
      </c>
    </row>
    <row r="14" spans="1:11" x14ac:dyDescent="0.3">
      <c r="A14" s="14" t="s">
        <v>24</v>
      </c>
      <c r="B14" s="43" t="str">
        <f t="shared" ref="B14:J14" si="1">IF(B12-B13 &lt;= 0, "None", B12-B13)</f>
        <v>None</v>
      </c>
      <c r="C14" s="43" t="str">
        <f t="shared" si="1"/>
        <v>None</v>
      </c>
      <c r="D14" s="43" t="str">
        <f t="shared" si="1"/>
        <v>None</v>
      </c>
      <c r="E14" s="43" t="str">
        <f t="shared" si="1"/>
        <v>None</v>
      </c>
      <c r="F14" s="43" t="str">
        <f t="shared" si="1"/>
        <v>None</v>
      </c>
      <c r="G14" s="43" t="str">
        <f t="shared" si="1"/>
        <v>None</v>
      </c>
      <c r="H14" s="43" t="str">
        <f t="shared" si="1"/>
        <v>None</v>
      </c>
      <c r="I14" s="43" t="str">
        <f t="shared" si="1"/>
        <v>None</v>
      </c>
      <c r="J14" s="43" t="str">
        <f t="shared" si="1"/>
        <v>None</v>
      </c>
    </row>
    <row r="16" spans="1:11" x14ac:dyDescent="0.3">
      <c r="A16" s="14" t="str">
        <f>_xlfn.CONCAT("Talent Table 2", " [", SUBTOTAL(4,Talent2.2[Talent Level]), "]")</f>
        <v>Talent Table 2 [6]</v>
      </c>
      <c r="B16" s="14" t="s">
        <v>246</v>
      </c>
      <c r="C16" s="14" t="s">
        <v>247</v>
      </c>
      <c r="D16" s="14" t="s">
        <v>248</v>
      </c>
      <c r="E16" s="14" t="s">
        <v>244</v>
      </c>
      <c r="F16" s="14" t="s">
        <v>245</v>
      </c>
      <c r="G16" s="14" t="s">
        <v>243</v>
      </c>
      <c r="H16" s="14" t="s">
        <v>2</v>
      </c>
      <c r="I16" s="14" t="s">
        <v>223</v>
      </c>
      <c r="J16" s="14" t="s">
        <v>0</v>
      </c>
    </row>
    <row r="17" spans="1:10" x14ac:dyDescent="0.3">
      <c r="A17" s="14" t="s">
        <v>200</v>
      </c>
      <c r="B17" s="43" t="str">
        <f>MID('Requirement Tables (2)'!C32,1,1)</f>
        <v>3</v>
      </c>
      <c r="C17" s="43" t="str">
        <f>MID('Requirement Tables (2)'!C32,7,2)</f>
        <v>21</v>
      </c>
      <c r="D17" s="43" t="str">
        <f>TRIM(MID('Requirement Tables (2)'!C32,16,2))</f>
        <v>0</v>
      </c>
      <c r="E17" s="43" t="str">
        <f>MID('Requirement Tables (2)'!E32,1,1)</f>
        <v>6</v>
      </c>
      <c r="F17" s="43" t="str">
        <f>MID('Requirement Tables (2)'!E32,5,2)</f>
        <v>22</v>
      </c>
      <c r="G17" s="43" t="str">
        <f>TRIM(MID('Requirement Tables (2)'!E32,12,2))</f>
        <v>0</v>
      </c>
      <c r="H17" s="43">
        <f>'Requirement Tables (2)'!G32</f>
        <v>0</v>
      </c>
      <c r="I17" s="43">
        <f>'Requirement Tables (2)'!H32</f>
        <v>0</v>
      </c>
      <c r="J17" s="53">
        <f>'Requirement Tables (2)'!I32</f>
        <v>122500</v>
      </c>
    </row>
    <row r="18" spans="1:10" x14ac:dyDescent="0.3">
      <c r="A18" s="14" t="s">
        <v>201</v>
      </c>
      <c r="B18" s="43">
        <f t="shared" ref="B18:J18" si="2">B13-B12</f>
        <v>46</v>
      </c>
      <c r="C18" s="43">
        <f t="shared" si="2"/>
        <v>69</v>
      </c>
      <c r="D18" s="43">
        <f t="shared" si="2"/>
        <v>11</v>
      </c>
      <c r="E18" s="43">
        <f t="shared" si="2"/>
        <v>337</v>
      </c>
      <c r="F18" s="43">
        <f>F13-F12</f>
        <v>72</v>
      </c>
      <c r="G18" s="43">
        <f t="shared" si="2"/>
        <v>5</v>
      </c>
      <c r="H18" s="43">
        <f t="shared" si="2"/>
        <v>0</v>
      </c>
      <c r="I18" s="43">
        <f t="shared" si="2"/>
        <v>6</v>
      </c>
      <c r="J18" s="53">
        <f t="shared" si="2"/>
        <v>20570559</v>
      </c>
    </row>
    <row r="19" spans="1:10" x14ac:dyDescent="0.3">
      <c r="A19" s="14" t="s">
        <v>24</v>
      </c>
      <c r="B19" s="43" t="str">
        <f>IF(B17-B18 &lt;= 0, "None", B17-B18)</f>
        <v>None</v>
      </c>
      <c r="C19" s="43" t="str">
        <f t="shared" ref="C19:J19" si="3">IF(C17-C18 &lt;= 0, "None", C17-C18)</f>
        <v>None</v>
      </c>
      <c r="D19" s="43" t="str">
        <f t="shared" si="3"/>
        <v>None</v>
      </c>
      <c r="E19" s="43" t="str">
        <f t="shared" si="3"/>
        <v>None</v>
      </c>
      <c r="F19" s="43" t="str">
        <f t="shared" si="3"/>
        <v>None</v>
      </c>
      <c r="G19" s="43" t="str">
        <f t="shared" si="3"/>
        <v>None</v>
      </c>
      <c r="H19" s="43" t="str">
        <f t="shared" si="3"/>
        <v>None</v>
      </c>
      <c r="I19" s="43" t="str">
        <f t="shared" si="3"/>
        <v>None</v>
      </c>
      <c r="J19" s="43" t="str">
        <f t="shared" si="3"/>
        <v>None</v>
      </c>
    </row>
    <row r="21" spans="1:10" x14ac:dyDescent="0.3">
      <c r="A21" s="14" t="str">
        <f>_xlfn.CONCAT("Talent Table 3", " [", SUBTOTAL(4,Talent3.2[Talent Level]), "]")</f>
        <v>Talent Table 3 [8]</v>
      </c>
      <c r="B21" s="14" t="s">
        <v>246</v>
      </c>
      <c r="C21" s="14" t="s">
        <v>247</v>
      </c>
      <c r="D21" s="14" t="s">
        <v>248</v>
      </c>
      <c r="E21" s="14" t="s">
        <v>244</v>
      </c>
      <c r="F21" s="14" t="s">
        <v>245</v>
      </c>
      <c r="G21" s="14" t="s">
        <v>243</v>
      </c>
      <c r="H21" s="14" t="s">
        <v>2</v>
      </c>
      <c r="I21" s="14" t="s">
        <v>223</v>
      </c>
      <c r="J21" s="14" t="s">
        <v>0</v>
      </c>
    </row>
    <row r="22" spans="1:10" x14ac:dyDescent="0.3">
      <c r="A22" s="14" t="s">
        <v>200</v>
      </c>
      <c r="B22" s="43" t="str">
        <f>MID('Requirement Tables (2)'!C44,1,1)</f>
        <v>3</v>
      </c>
      <c r="C22" s="43" t="str">
        <f>MID('Requirement Tables (2)'!C44,7,2)</f>
        <v>21</v>
      </c>
      <c r="D22" s="43" t="str">
        <f>TRIM(MID('Requirement Tables (2)'!C44,16,2))</f>
        <v>10</v>
      </c>
      <c r="E22" s="43" t="str">
        <f>MID('Requirement Tables (2)'!E44,1,1)</f>
        <v>6</v>
      </c>
      <c r="F22" s="43" t="str">
        <f>MID('Requirement Tables (2)'!E44,5,2)</f>
        <v>22</v>
      </c>
      <c r="G22" s="43" t="str">
        <f>TRIM(MID('Requirement Tables (2)'!E44,12,2))</f>
        <v>10</v>
      </c>
      <c r="H22" s="43">
        <f>'Requirement Tables (2)'!G44</f>
        <v>2</v>
      </c>
      <c r="I22" s="43">
        <f>'Requirement Tables (2)'!H44</f>
        <v>0</v>
      </c>
      <c r="J22" s="53">
        <f>'Requirement Tables (2)'!I44</f>
        <v>502500</v>
      </c>
    </row>
    <row r="23" spans="1:10" x14ac:dyDescent="0.3">
      <c r="A23" s="14" t="s">
        <v>201</v>
      </c>
      <c r="B23" s="43">
        <f t="shared" ref="B23:J23" si="4">B18-B17</f>
        <v>43</v>
      </c>
      <c r="C23" s="43">
        <f t="shared" si="4"/>
        <v>48</v>
      </c>
      <c r="D23" s="43">
        <f t="shared" si="4"/>
        <v>11</v>
      </c>
      <c r="E23" s="43">
        <f t="shared" si="4"/>
        <v>331</v>
      </c>
      <c r="F23" s="43">
        <f t="shared" si="4"/>
        <v>50</v>
      </c>
      <c r="G23" s="43">
        <f t="shared" si="4"/>
        <v>5</v>
      </c>
      <c r="H23" s="43">
        <f t="shared" si="4"/>
        <v>0</v>
      </c>
      <c r="I23" s="43">
        <f t="shared" si="4"/>
        <v>6</v>
      </c>
      <c r="J23" s="53">
        <f t="shared" si="4"/>
        <v>20448059</v>
      </c>
    </row>
    <row r="24" spans="1:10" x14ac:dyDescent="0.3">
      <c r="A24" s="14" t="s">
        <v>24</v>
      </c>
      <c r="B24" s="43" t="str">
        <f>IF(B22-B23 &lt;= 0, "None", B22-B23)</f>
        <v>None</v>
      </c>
      <c r="C24" s="43" t="str">
        <f t="shared" ref="C24:J24" si="5">IF(C22-C23 &lt;= 0, "None", C22-C23)</f>
        <v>None</v>
      </c>
      <c r="D24" s="43" t="str">
        <f t="shared" si="5"/>
        <v>None</v>
      </c>
      <c r="E24" s="43" t="str">
        <f t="shared" si="5"/>
        <v>None</v>
      </c>
      <c r="F24" s="43" t="str">
        <f t="shared" si="5"/>
        <v>None</v>
      </c>
      <c r="G24" s="43">
        <f t="shared" si="5"/>
        <v>5</v>
      </c>
      <c r="H24" s="43">
        <f t="shared" si="5"/>
        <v>2</v>
      </c>
      <c r="I24" s="43" t="str">
        <f t="shared" si="5"/>
        <v>None</v>
      </c>
      <c r="J24" s="43" t="str">
        <f t="shared" si="5"/>
        <v>None</v>
      </c>
    </row>
  </sheetData>
  <conditionalFormatting sqref="B4:K4 B9:C9 B14:J14">
    <cfRule type="cellIs" dxfId="72" priority="5" operator="equal">
      <formula>"None"</formula>
    </cfRule>
    <cfRule type="cellIs" dxfId="71" priority="6" operator="greaterThan">
      <formula>0</formula>
    </cfRule>
  </conditionalFormatting>
  <conditionalFormatting sqref="B19:J19">
    <cfRule type="cellIs" dxfId="70" priority="3" operator="equal">
      <formula>"None"</formula>
    </cfRule>
    <cfRule type="cellIs" dxfId="69" priority="4" operator="greaterThan">
      <formula>0</formula>
    </cfRule>
  </conditionalFormatting>
  <conditionalFormatting sqref="B24:J24">
    <cfRule type="cellIs" dxfId="68" priority="1" operator="equal">
      <formula>"None"</formula>
    </cfRule>
    <cfRule type="cellIs" dxfId="67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1DA3-52E9-40DA-8CA7-2277CA7A059B}">
  <dimension ref="A1:O54"/>
  <sheetViews>
    <sheetView workbookViewId="0">
      <selection activeCell="A23" sqref="A23"/>
    </sheetView>
  </sheetViews>
  <sheetFormatPr defaultColWidth="25.44140625" defaultRowHeight="12.75" customHeight="1" x14ac:dyDescent="0.2"/>
  <cols>
    <col min="1" max="16384" width="25.44140625" style="1"/>
  </cols>
  <sheetData>
    <row r="1" spans="1:15" ht="12.75" customHeight="1" x14ac:dyDescent="0.2">
      <c r="A1" s="1" t="s">
        <v>226</v>
      </c>
      <c r="B1" s="1" t="s">
        <v>225</v>
      </c>
      <c r="C1" s="15" t="s">
        <v>0</v>
      </c>
      <c r="D1" s="1" t="s">
        <v>1</v>
      </c>
      <c r="E1" s="1" t="s">
        <v>204</v>
      </c>
      <c r="F1" s="1" t="s">
        <v>2</v>
      </c>
      <c r="G1" s="1" t="s">
        <v>3</v>
      </c>
      <c r="H1" s="42" t="s">
        <v>224</v>
      </c>
      <c r="I1" s="42" t="s">
        <v>203</v>
      </c>
      <c r="O1" s="5"/>
    </row>
    <row r="2" spans="1:15" ht="12.75" customHeight="1" x14ac:dyDescent="0.2">
      <c r="A2" s="6">
        <v>1</v>
      </c>
      <c r="B2" s="1">
        <v>20</v>
      </c>
      <c r="C2" s="7">
        <v>20000</v>
      </c>
      <c r="D2" s="6">
        <v>1</v>
      </c>
      <c r="E2" s="8" t="s">
        <v>35</v>
      </c>
      <c r="F2" s="1">
        <v>0</v>
      </c>
      <c r="G2" s="1">
        <v>3</v>
      </c>
      <c r="H2" s="13">
        <v>3</v>
      </c>
      <c r="I2" s="8" t="s">
        <v>34</v>
      </c>
      <c r="O2" s="10"/>
    </row>
    <row r="3" spans="1:15" ht="12.75" customHeight="1" x14ac:dyDescent="0.2">
      <c r="A3" s="1">
        <v>2</v>
      </c>
      <c r="B3" s="1">
        <v>40</v>
      </c>
      <c r="C3" s="7">
        <v>40000</v>
      </c>
      <c r="D3" s="1">
        <v>3</v>
      </c>
      <c r="E3" s="8" t="s">
        <v>36</v>
      </c>
      <c r="F3" s="1">
        <v>2</v>
      </c>
      <c r="G3" s="1">
        <v>10</v>
      </c>
      <c r="H3" s="13">
        <v>15</v>
      </c>
      <c r="I3" s="8" t="s">
        <v>35</v>
      </c>
    </row>
    <row r="4" spans="1:15" ht="12.75" customHeight="1" x14ac:dyDescent="0.2">
      <c r="A4" s="1">
        <v>3</v>
      </c>
      <c r="B4" s="1">
        <v>50</v>
      </c>
      <c r="C4" s="7">
        <v>60000</v>
      </c>
      <c r="D4" s="1">
        <v>6</v>
      </c>
      <c r="E4" s="8" t="s">
        <v>36</v>
      </c>
      <c r="F4" s="1">
        <v>4</v>
      </c>
      <c r="G4" s="1">
        <v>20</v>
      </c>
      <c r="H4" s="13">
        <v>12</v>
      </c>
      <c r="I4" s="8" t="s">
        <v>35</v>
      </c>
    </row>
    <row r="5" spans="1:15" ht="12.75" customHeight="1" x14ac:dyDescent="0.2">
      <c r="A5" s="6">
        <v>4</v>
      </c>
      <c r="B5" s="1">
        <v>60</v>
      </c>
      <c r="C5" s="7">
        <v>80000</v>
      </c>
      <c r="D5" s="6">
        <v>3</v>
      </c>
      <c r="E5" s="8" t="s">
        <v>61</v>
      </c>
      <c r="F5" s="1">
        <v>8</v>
      </c>
      <c r="G5" s="1">
        <v>30</v>
      </c>
      <c r="H5" s="13">
        <v>18</v>
      </c>
      <c r="I5" s="8" t="s">
        <v>36</v>
      </c>
      <c r="J5" s="10"/>
      <c r="N5" s="10"/>
    </row>
    <row r="6" spans="1:15" ht="12.75" customHeight="1" x14ac:dyDescent="0.2">
      <c r="A6" s="6">
        <v>5</v>
      </c>
      <c r="B6" s="1">
        <v>70</v>
      </c>
      <c r="C6" s="7">
        <v>100000</v>
      </c>
      <c r="D6" s="6">
        <v>6</v>
      </c>
      <c r="E6" s="8" t="s">
        <v>61</v>
      </c>
      <c r="F6" s="1">
        <v>12</v>
      </c>
      <c r="G6" s="1">
        <v>45</v>
      </c>
      <c r="H6" s="13">
        <v>12</v>
      </c>
      <c r="I6" s="8" t="s">
        <v>36</v>
      </c>
      <c r="J6" s="10"/>
    </row>
    <row r="7" spans="1:15" ht="12.75" hidden="1" customHeight="1" x14ac:dyDescent="0.2">
      <c r="A7" s="6">
        <v>6</v>
      </c>
      <c r="B7" s="1">
        <v>80</v>
      </c>
      <c r="C7" s="7">
        <v>120000</v>
      </c>
      <c r="D7" s="6">
        <v>6</v>
      </c>
      <c r="E7" s="8" t="s">
        <v>148</v>
      </c>
      <c r="F7" s="1">
        <v>20</v>
      </c>
      <c r="G7" s="1">
        <v>60</v>
      </c>
      <c r="H7" s="13">
        <v>24</v>
      </c>
      <c r="I7" s="8" t="s">
        <v>202</v>
      </c>
      <c r="J7" s="10"/>
    </row>
    <row r="8" spans="1:15" ht="12.75" customHeight="1" x14ac:dyDescent="0.2">
      <c r="A8" s="2" t="s">
        <v>8</v>
      </c>
      <c r="B8" s="2"/>
      <c r="C8" s="3">
        <f>SUBTOTAL(9,Table154[Mora])</f>
        <v>300000</v>
      </c>
      <c r="D8" s="49" t="str">
        <f>_xlfn.CONCAT(SUBTOTAL(9,D2)," S ",SUBTOTAL(9,D3:D4), " F ", SUBTOTAL(9,D5:D6), " C ", SUBTOTAL(9,D7), " G")</f>
        <v>1 S 9 F 9 C 0 G</v>
      </c>
      <c r="E8" s="2"/>
      <c r="F8" s="2">
        <f>SUBTOTAL(9,Table154[Boss Speciality])</f>
        <v>26</v>
      </c>
      <c r="G8" s="2">
        <f>SUBTOTAL(9,Table154[Local Specialty])</f>
        <v>108</v>
      </c>
      <c r="H8" s="49" t="str">
        <f>_xlfn.CONCAT(SUBTOTAL(9,H2), " * ", SUBTOTAL(9,H3:H4), " * * ", SUBTOTAL(9,H5:H7)," * * *")</f>
        <v>3 * 27 * * 30 * * *</v>
      </c>
      <c r="I8" s="2"/>
      <c r="J8" s="10"/>
    </row>
    <row r="9" spans="1:15" ht="12.75" customHeight="1" x14ac:dyDescent="0.2">
      <c r="G9" s="10"/>
      <c r="H9" s="10"/>
      <c r="J9" s="10"/>
      <c r="K9" s="10"/>
      <c r="L9" s="10"/>
      <c r="M9" s="10"/>
    </row>
    <row r="10" spans="1:15" ht="12.75" customHeight="1" x14ac:dyDescent="0.2">
      <c r="A10" s="1" t="s">
        <v>227</v>
      </c>
      <c r="B10" s="1" t="s">
        <v>228</v>
      </c>
      <c r="C10" s="1" t="s">
        <v>9</v>
      </c>
      <c r="D10" s="1" t="s">
        <v>241</v>
      </c>
      <c r="E10" s="6" t="s">
        <v>224</v>
      </c>
      <c r="F10" s="1" t="s">
        <v>203</v>
      </c>
      <c r="G10" s="1" t="s">
        <v>2</v>
      </c>
      <c r="H10" s="1" t="s">
        <v>223</v>
      </c>
      <c r="I10" s="46" t="s">
        <v>0</v>
      </c>
      <c r="J10" s="10"/>
      <c r="K10" s="10"/>
      <c r="L10" s="10"/>
      <c r="M10" s="10"/>
    </row>
    <row r="11" spans="1:15" ht="12.75" customHeight="1" x14ac:dyDescent="0.2">
      <c r="A11" s="1">
        <v>2</v>
      </c>
      <c r="B11" s="1" t="s">
        <v>10</v>
      </c>
      <c r="C11" s="42">
        <v>3</v>
      </c>
      <c r="D11" s="8" t="s">
        <v>35</v>
      </c>
      <c r="E11" s="48">
        <v>6</v>
      </c>
      <c r="F11" s="8" t="s">
        <v>34</v>
      </c>
      <c r="G11" s="1">
        <v>0</v>
      </c>
      <c r="H11" s="1">
        <v>0</v>
      </c>
      <c r="I11" s="47">
        <v>12500</v>
      </c>
      <c r="J11" s="10"/>
      <c r="K11" s="10"/>
      <c r="L11" s="10"/>
      <c r="M11" s="10"/>
      <c r="N11" s="10"/>
    </row>
    <row r="12" spans="1:15" ht="12.75" customHeight="1" x14ac:dyDescent="0.2">
      <c r="A12" s="1">
        <v>3</v>
      </c>
      <c r="B12" s="1" t="s">
        <v>11</v>
      </c>
      <c r="C12" s="42">
        <v>2</v>
      </c>
      <c r="D12" s="8" t="s">
        <v>36</v>
      </c>
      <c r="E12" s="48">
        <v>3</v>
      </c>
      <c r="F12" s="8" t="s">
        <v>35</v>
      </c>
      <c r="G12" s="1">
        <v>0</v>
      </c>
      <c r="H12" s="1">
        <v>0</v>
      </c>
      <c r="I12" s="47">
        <v>17500</v>
      </c>
      <c r="J12" s="10"/>
      <c r="K12" s="10"/>
      <c r="L12" s="10"/>
      <c r="M12" s="10"/>
      <c r="N12" s="10"/>
    </row>
    <row r="13" spans="1:15" ht="12.75" customHeight="1" x14ac:dyDescent="0.2">
      <c r="A13" s="1">
        <v>4</v>
      </c>
      <c r="B13" s="1" t="s">
        <v>11</v>
      </c>
      <c r="C13" s="42">
        <v>4</v>
      </c>
      <c r="D13" s="8" t="s">
        <v>36</v>
      </c>
      <c r="E13" s="48">
        <v>4</v>
      </c>
      <c r="F13" s="8" t="s">
        <v>35</v>
      </c>
      <c r="G13" s="1">
        <v>0</v>
      </c>
      <c r="H13" s="1">
        <v>0</v>
      </c>
      <c r="I13" s="47">
        <v>25000</v>
      </c>
    </row>
    <row r="14" spans="1:15" ht="12.75" customHeight="1" x14ac:dyDescent="0.2">
      <c r="A14" s="1">
        <v>5</v>
      </c>
      <c r="B14" s="1" t="s">
        <v>12</v>
      </c>
      <c r="C14" s="42">
        <v>6</v>
      </c>
      <c r="D14" s="8" t="s">
        <v>36</v>
      </c>
      <c r="E14" s="42">
        <v>6</v>
      </c>
      <c r="F14" s="8" t="s">
        <v>35</v>
      </c>
      <c r="G14" s="1">
        <v>0</v>
      </c>
      <c r="H14" s="1">
        <v>0</v>
      </c>
      <c r="I14" s="47">
        <v>30000</v>
      </c>
    </row>
    <row r="15" spans="1:15" ht="12.75" customHeight="1" x14ac:dyDescent="0.2">
      <c r="A15" s="1">
        <v>6</v>
      </c>
      <c r="B15" s="1" t="s">
        <v>12</v>
      </c>
      <c r="C15" s="42">
        <v>9</v>
      </c>
      <c r="D15" s="8" t="s">
        <v>36</v>
      </c>
      <c r="E15" s="42">
        <v>9</v>
      </c>
      <c r="F15" s="8" t="s">
        <v>35</v>
      </c>
      <c r="G15" s="1">
        <v>0</v>
      </c>
      <c r="H15" s="1">
        <v>0</v>
      </c>
      <c r="I15" s="47">
        <v>37500</v>
      </c>
    </row>
    <row r="16" spans="1:15" ht="12.75" hidden="1" customHeight="1" x14ac:dyDescent="0.2">
      <c r="A16" s="1">
        <v>7</v>
      </c>
      <c r="B16" s="1" t="s">
        <v>13</v>
      </c>
      <c r="C16" s="42">
        <v>4</v>
      </c>
      <c r="D16" s="8" t="s">
        <v>242</v>
      </c>
      <c r="E16" s="42">
        <v>4</v>
      </c>
      <c r="F16" s="8" t="s">
        <v>36</v>
      </c>
      <c r="G16" s="1">
        <v>1</v>
      </c>
      <c r="H16" s="1">
        <v>0</v>
      </c>
      <c r="I16" s="47">
        <v>120000</v>
      </c>
    </row>
    <row r="17" spans="1:10" ht="12.75" hidden="1" customHeight="1" x14ac:dyDescent="0.2">
      <c r="A17" s="1">
        <v>8</v>
      </c>
      <c r="B17" s="1" t="s">
        <v>13</v>
      </c>
      <c r="C17" s="42">
        <v>6</v>
      </c>
      <c r="D17" s="8" t="s">
        <v>242</v>
      </c>
      <c r="E17" s="42">
        <v>6</v>
      </c>
      <c r="F17" s="8" t="s">
        <v>36</v>
      </c>
      <c r="G17" s="1">
        <v>1</v>
      </c>
      <c r="H17" s="1">
        <v>0</v>
      </c>
      <c r="I17" s="47">
        <v>260000</v>
      </c>
    </row>
    <row r="18" spans="1:10" ht="12.75" hidden="1" customHeight="1" x14ac:dyDescent="0.2">
      <c r="A18" s="1">
        <v>9</v>
      </c>
      <c r="B18" s="1" t="s">
        <v>14</v>
      </c>
      <c r="C18" s="42">
        <v>12</v>
      </c>
      <c r="D18" s="8" t="s">
        <v>61</v>
      </c>
      <c r="E18" s="42">
        <v>9</v>
      </c>
      <c r="F18" s="8" t="s">
        <v>36</v>
      </c>
      <c r="G18" s="13">
        <v>2</v>
      </c>
      <c r="H18" s="1">
        <v>0</v>
      </c>
      <c r="I18" s="42">
        <v>450000</v>
      </c>
    </row>
    <row r="19" spans="1:10" ht="12.75" hidden="1" customHeight="1" x14ac:dyDescent="0.2">
      <c r="A19" s="42">
        <v>10</v>
      </c>
      <c r="B19" s="42" t="s">
        <v>14</v>
      </c>
      <c r="C19" s="42">
        <v>16</v>
      </c>
      <c r="D19" s="8" t="s">
        <v>61</v>
      </c>
      <c r="E19" s="42">
        <v>12</v>
      </c>
      <c r="F19" s="8" t="s">
        <v>36</v>
      </c>
      <c r="G19" s="42">
        <v>2</v>
      </c>
      <c r="H19" s="1">
        <v>1</v>
      </c>
      <c r="I19" s="47">
        <v>700000</v>
      </c>
    </row>
    <row r="20" spans="1:10" ht="12.75" customHeight="1" x14ac:dyDescent="0.2">
      <c r="A20" s="2" t="s">
        <v>8</v>
      </c>
      <c r="B20" s="2"/>
      <c r="C20" s="49" t="str">
        <f>_xlfn.CONCAT(SUBTOTAL(9,C11)," * * ",SUBTOTAL(9,C12:C15)," * * * ",SUBTOTAL(9,C16:C19)," * * * *")</f>
        <v>3 * * 21 * * * 0 * * * *</v>
      </c>
      <c r="D20" s="2"/>
      <c r="E20" s="49" t="str">
        <f>_xlfn.CONCAT(SUBTOTAL(9,E11)," * ",SUBTOTAL(9,E12:E15)," * * ",SUBTOTAL(9,E16:E19)," * * *")</f>
        <v>6 * 22 * * 0 * * *</v>
      </c>
      <c r="F20" s="2"/>
      <c r="G20" s="2">
        <f>SUBTOTAL(9,Talent1.2[Boss Speciality])</f>
        <v>0</v>
      </c>
      <c r="H20" s="2">
        <f>SUBTOTAL(9,Talent1.2[Crown])</f>
        <v>0</v>
      </c>
      <c r="I20" s="3">
        <f>SUBTOTAL(9,Talent1.2[Mora])</f>
        <v>122500</v>
      </c>
    </row>
    <row r="21" spans="1:10" ht="12.75" customHeight="1" x14ac:dyDescent="0.2">
      <c r="D21" s="10"/>
    </row>
    <row r="22" spans="1:10" ht="12.75" customHeight="1" x14ac:dyDescent="0.2">
      <c r="A22" s="1" t="s">
        <v>227</v>
      </c>
      <c r="B22" s="1" t="s">
        <v>228</v>
      </c>
      <c r="C22" s="1" t="s">
        <v>9</v>
      </c>
      <c r="D22" s="1" t="s">
        <v>241</v>
      </c>
      <c r="E22" s="6" t="s">
        <v>224</v>
      </c>
      <c r="F22" s="1" t="s">
        <v>203</v>
      </c>
      <c r="G22" s="1" t="s">
        <v>2</v>
      </c>
      <c r="H22" s="1" t="s">
        <v>223</v>
      </c>
      <c r="I22" s="46" t="s">
        <v>0</v>
      </c>
    </row>
    <row r="23" spans="1:10" ht="12.75" customHeight="1" x14ac:dyDescent="0.2">
      <c r="A23" s="1">
        <v>2</v>
      </c>
      <c r="B23" s="1" t="s">
        <v>10</v>
      </c>
      <c r="C23" s="42">
        <v>3</v>
      </c>
      <c r="D23" s="8" t="s">
        <v>35</v>
      </c>
      <c r="E23" s="48">
        <v>6</v>
      </c>
      <c r="F23" s="8" t="s">
        <v>34</v>
      </c>
      <c r="G23" s="1">
        <v>0</v>
      </c>
      <c r="H23" s="1">
        <v>0</v>
      </c>
      <c r="I23" s="47">
        <v>12500</v>
      </c>
      <c r="J23" s="7"/>
    </row>
    <row r="24" spans="1:10" ht="12.75" customHeight="1" x14ac:dyDescent="0.2">
      <c r="A24" s="1">
        <v>3</v>
      </c>
      <c r="B24" s="1" t="s">
        <v>11</v>
      </c>
      <c r="C24" s="42">
        <v>2</v>
      </c>
      <c r="D24" s="8" t="s">
        <v>36</v>
      </c>
      <c r="E24" s="48">
        <v>3</v>
      </c>
      <c r="F24" s="8" t="s">
        <v>35</v>
      </c>
      <c r="G24" s="1">
        <v>0</v>
      </c>
      <c r="H24" s="1">
        <v>0</v>
      </c>
      <c r="I24" s="47">
        <v>17500</v>
      </c>
    </row>
    <row r="25" spans="1:10" ht="12.75" customHeight="1" x14ac:dyDescent="0.2">
      <c r="A25" s="1">
        <v>4</v>
      </c>
      <c r="B25" s="1" t="s">
        <v>11</v>
      </c>
      <c r="C25" s="42">
        <v>4</v>
      </c>
      <c r="D25" s="8" t="s">
        <v>36</v>
      </c>
      <c r="E25" s="48">
        <v>4</v>
      </c>
      <c r="F25" s="8" t="s">
        <v>35</v>
      </c>
      <c r="G25" s="1">
        <v>0</v>
      </c>
      <c r="H25" s="1">
        <v>0</v>
      </c>
      <c r="I25" s="47">
        <v>25000</v>
      </c>
    </row>
    <row r="26" spans="1:10" ht="12.75" customHeight="1" x14ac:dyDescent="0.2">
      <c r="A26" s="1">
        <v>5</v>
      </c>
      <c r="B26" s="1" t="s">
        <v>12</v>
      </c>
      <c r="C26" s="42">
        <v>6</v>
      </c>
      <c r="D26" s="8" t="s">
        <v>36</v>
      </c>
      <c r="E26" s="42">
        <v>6</v>
      </c>
      <c r="F26" s="8" t="s">
        <v>35</v>
      </c>
      <c r="G26" s="1">
        <v>0</v>
      </c>
      <c r="H26" s="1">
        <v>0</v>
      </c>
      <c r="I26" s="47">
        <v>30000</v>
      </c>
    </row>
    <row r="27" spans="1:10" ht="12.75" customHeight="1" x14ac:dyDescent="0.2">
      <c r="A27" s="1">
        <v>6</v>
      </c>
      <c r="B27" s="1" t="s">
        <v>12</v>
      </c>
      <c r="C27" s="42">
        <v>9</v>
      </c>
      <c r="D27" s="8" t="s">
        <v>36</v>
      </c>
      <c r="E27" s="42">
        <v>9</v>
      </c>
      <c r="F27" s="8" t="s">
        <v>35</v>
      </c>
      <c r="G27" s="1">
        <v>0</v>
      </c>
      <c r="H27" s="1">
        <v>0</v>
      </c>
      <c r="I27" s="47">
        <v>37500</v>
      </c>
    </row>
    <row r="28" spans="1:10" ht="12.75" hidden="1" customHeight="1" x14ac:dyDescent="0.2">
      <c r="A28" s="1">
        <v>7</v>
      </c>
      <c r="B28" s="1" t="s">
        <v>13</v>
      </c>
      <c r="C28" s="42">
        <v>4</v>
      </c>
      <c r="D28" s="8" t="s">
        <v>242</v>
      </c>
      <c r="E28" s="42">
        <v>4</v>
      </c>
      <c r="F28" s="8" t="s">
        <v>36</v>
      </c>
      <c r="G28" s="1">
        <v>1</v>
      </c>
      <c r="H28" s="1">
        <v>0</v>
      </c>
      <c r="I28" s="47">
        <v>120000</v>
      </c>
    </row>
    <row r="29" spans="1:10" ht="12.75" hidden="1" customHeight="1" x14ac:dyDescent="0.2">
      <c r="A29" s="1">
        <v>8</v>
      </c>
      <c r="B29" s="1" t="s">
        <v>13</v>
      </c>
      <c r="C29" s="42">
        <v>6</v>
      </c>
      <c r="D29" s="8" t="s">
        <v>242</v>
      </c>
      <c r="E29" s="42">
        <v>6</v>
      </c>
      <c r="F29" s="8" t="s">
        <v>36</v>
      </c>
      <c r="G29" s="1">
        <v>1</v>
      </c>
      <c r="H29" s="1">
        <v>0</v>
      </c>
      <c r="I29" s="47">
        <v>260000</v>
      </c>
    </row>
    <row r="30" spans="1:10" ht="12.75" hidden="1" customHeight="1" x14ac:dyDescent="0.2">
      <c r="A30" s="1">
        <v>9</v>
      </c>
      <c r="B30" s="1" t="s">
        <v>14</v>
      </c>
      <c r="C30" s="42">
        <v>12</v>
      </c>
      <c r="D30" s="8" t="s">
        <v>61</v>
      </c>
      <c r="E30" s="42">
        <v>9</v>
      </c>
      <c r="F30" s="8" t="s">
        <v>36</v>
      </c>
      <c r="G30" s="13">
        <v>2</v>
      </c>
      <c r="H30" s="1">
        <v>0</v>
      </c>
      <c r="I30" s="42">
        <v>450000</v>
      </c>
    </row>
    <row r="31" spans="1:10" ht="12.75" hidden="1" customHeight="1" x14ac:dyDescent="0.2">
      <c r="A31" s="42">
        <v>10</v>
      </c>
      <c r="B31" s="42" t="s">
        <v>14</v>
      </c>
      <c r="C31" s="42">
        <v>16</v>
      </c>
      <c r="D31" s="8" t="s">
        <v>61</v>
      </c>
      <c r="E31" s="42">
        <v>12</v>
      </c>
      <c r="F31" s="8" t="s">
        <v>36</v>
      </c>
      <c r="G31" s="42">
        <v>2</v>
      </c>
      <c r="H31" s="1">
        <v>1</v>
      </c>
      <c r="I31" s="47">
        <v>700000</v>
      </c>
    </row>
    <row r="32" spans="1:10" ht="12.75" customHeight="1" x14ac:dyDescent="0.2">
      <c r="A32" s="2" t="s">
        <v>8</v>
      </c>
      <c r="B32" s="2"/>
      <c r="C32" s="49" t="str">
        <f>_xlfn.CONCAT(SUBTOTAL(9,C23)," * * ",SUBTOTAL(9,C24:C27)," * * * ",SUBTOTAL(9,C28:C31)," * * * *")</f>
        <v>3 * * 21 * * * 0 * * * *</v>
      </c>
      <c r="D32" s="2"/>
      <c r="E32" s="49" t="str">
        <f>_xlfn.CONCAT(SUBTOTAL(9,E23)," * ",SUBTOTAL(9,E24:E27)," * * ",SUBTOTAL(9,E28:E31)," * * *")</f>
        <v>6 * 22 * * 0 * * *</v>
      </c>
      <c r="F32" s="2"/>
      <c r="G32" s="2">
        <f>SUBTOTAL(9,Talent2.2[Boss Speciality])</f>
        <v>0</v>
      </c>
      <c r="H32" s="2">
        <f>SUBTOTAL(9,Talent2.2[Crown])</f>
        <v>0</v>
      </c>
      <c r="I32" s="3">
        <f>SUBTOTAL(9,Talent2.2[Mora])</f>
        <v>122500</v>
      </c>
    </row>
    <row r="33" spans="1:10" ht="12.75" customHeight="1" x14ac:dyDescent="0.2">
      <c r="J33" s="14"/>
    </row>
    <row r="34" spans="1:10" ht="12.75" customHeight="1" x14ac:dyDescent="0.2">
      <c r="A34" s="1" t="s">
        <v>227</v>
      </c>
      <c r="B34" s="1" t="s">
        <v>228</v>
      </c>
      <c r="C34" s="1" t="s">
        <v>9</v>
      </c>
      <c r="D34" s="1" t="s">
        <v>241</v>
      </c>
      <c r="E34" s="6" t="s">
        <v>224</v>
      </c>
      <c r="F34" s="1" t="s">
        <v>203</v>
      </c>
      <c r="G34" s="1" t="s">
        <v>2</v>
      </c>
      <c r="H34" s="1" t="s">
        <v>223</v>
      </c>
      <c r="I34" s="46" t="s">
        <v>0</v>
      </c>
      <c r="J34" s="8"/>
    </row>
    <row r="35" spans="1:10" ht="12.75" customHeight="1" x14ac:dyDescent="0.2">
      <c r="A35" s="1">
        <v>2</v>
      </c>
      <c r="B35" s="1" t="s">
        <v>10</v>
      </c>
      <c r="C35" s="42">
        <v>3</v>
      </c>
      <c r="D35" s="8" t="s">
        <v>35</v>
      </c>
      <c r="E35" s="48">
        <v>6</v>
      </c>
      <c r="F35" s="8" t="s">
        <v>34</v>
      </c>
      <c r="G35" s="1">
        <v>0</v>
      </c>
      <c r="H35" s="1">
        <v>0</v>
      </c>
      <c r="I35" s="47">
        <v>12500</v>
      </c>
      <c r="J35" s="8"/>
    </row>
    <row r="36" spans="1:10" ht="12.75" customHeight="1" x14ac:dyDescent="0.2">
      <c r="A36" s="1">
        <v>3</v>
      </c>
      <c r="B36" s="1" t="s">
        <v>11</v>
      </c>
      <c r="C36" s="42">
        <v>2</v>
      </c>
      <c r="D36" s="8" t="s">
        <v>36</v>
      </c>
      <c r="E36" s="48">
        <v>3</v>
      </c>
      <c r="F36" s="8" t="s">
        <v>35</v>
      </c>
      <c r="G36" s="1">
        <v>0</v>
      </c>
      <c r="H36" s="1">
        <v>0</v>
      </c>
      <c r="I36" s="47">
        <v>17500</v>
      </c>
      <c r="J36" s="8"/>
    </row>
    <row r="37" spans="1:10" ht="12.75" customHeight="1" x14ac:dyDescent="0.2">
      <c r="A37" s="1">
        <v>4</v>
      </c>
      <c r="B37" s="1" t="s">
        <v>11</v>
      </c>
      <c r="C37" s="42">
        <v>4</v>
      </c>
      <c r="D37" s="8" t="s">
        <v>36</v>
      </c>
      <c r="E37" s="48">
        <v>4</v>
      </c>
      <c r="F37" s="8" t="s">
        <v>35</v>
      </c>
      <c r="G37" s="1">
        <v>0</v>
      </c>
      <c r="H37" s="1">
        <v>0</v>
      </c>
      <c r="I37" s="47">
        <v>25000</v>
      </c>
    </row>
    <row r="38" spans="1:10" ht="12.75" customHeight="1" x14ac:dyDescent="0.2">
      <c r="A38" s="1">
        <v>5</v>
      </c>
      <c r="B38" s="1" t="s">
        <v>12</v>
      </c>
      <c r="C38" s="42">
        <v>6</v>
      </c>
      <c r="D38" s="8" t="s">
        <v>36</v>
      </c>
      <c r="E38" s="42">
        <v>6</v>
      </c>
      <c r="F38" s="8" t="s">
        <v>35</v>
      </c>
      <c r="G38" s="1">
        <v>0</v>
      </c>
      <c r="H38" s="1">
        <v>0</v>
      </c>
      <c r="I38" s="47">
        <v>30000</v>
      </c>
    </row>
    <row r="39" spans="1:10" ht="12.75" customHeight="1" x14ac:dyDescent="0.2">
      <c r="A39" s="1">
        <v>6</v>
      </c>
      <c r="B39" s="1" t="s">
        <v>12</v>
      </c>
      <c r="C39" s="42">
        <v>9</v>
      </c>
      <c r="D39" s="8" t="s">
        <v>36</v>
      </c>
      <c r="E39" s="42">
        <v>9</v>
      </c>
      <c r="F39" s="8" t="s">
        <v>35</v>
      </c>
      <c r="G39" s="1">
        <v>0</v>
      </c>
      <c r="H39" s="1">
        <v>0</v>
      </c>
      <c r="I39" s="47">
        <v>37500</v>
      </c>
    </row>
    <row r="40" spans="1:10" ht="12.75" customHeight="1" x14ac:dyDescent="0.2">
      <c r="A40" s="1">
        <v>7</v>
      </c>
      <c r="B40" s="1" t="s">
        <v>13</v>
      </c>
      <c r="C40" s="42">
        <v>4</v>
      </c>
      <c r="D40" s="8" t="s">
        <v>242</v>
      </c>
      <c r="E40" s="42">
        <v>4</v>
      </c>
      <c r="F40" s="8" t="s">
        <v>36</v>
      </c>
      <c r="G40" s="1">
        <v>1</v>
      </c>
      <c r="H40" s="1">
        <v>0</v>
      </c>
      <c r="I40" s="47">
        <v>120000</v>
      </c>
    </row>
    <row r="41" spans="1:10" ht="12.75" customHeight="1" x14ac:dyDescent="0.2">
      <c r="A41" s="1">
        <v>8</v>
      </c>
      <c r="B41" s="1" t="s">
        <v>13</v>
      </c>
      <c r="C41" s="42">
        <v>6</v>
      </c>
      <c r="D41" s="8" t="s">
        <v>242</v>
      </c>
      <c r="E41" s="42">
        <v>6</v>
      </c>
      <c r="F41" s="8" t="s">
        <v>36</v>
      </c>
      <c r="G41" s="1">
        <v>1</v>
      </c>
      <c r="H41" s="1">
        <v>0</v>
      </c>
      <c r="I41" s="47">
        <v>260000</v>
      </c>
    </row>
    <row r="42" spans="1:10" ht="12.75" hidden="1" customHeight="1" x14ac:dyDescent="0.2">
      <c r="A42" s="1">
        <v>9</v>
      </c>
      <c r="B42" s="1" t="s">
        <v>14</v>
      </c>
      <c r="C42" s="42">
        <v>12</v>
      </c>
      <c r="D42" s="8" t="s">
        <v>61</v>
      </c>
      <c r="E42" s="42">
        <v>9</v>
      </c>
      <c r="F42" s="8" t="s">
        <v>36</v>
      </c>
      <c r="G42" s="13">
        <v>2</v>
      </c>
      <c r="H42" s="1">
        <v>0</v>
      </c>
      <c r="I42" s="42">
        <v>450000</v>
      </c>
    </row>
    <row r="43" spans="1:10" ht="12.75" hidden="1" customHeight="1" x14ac:dyDescent="0.2">
      <c r="A43" s="42">
        <v>10</v>
      </c>
      <c r="B43" s="42" t="s">
        <v>14</v>
      </c>
      <c r="C43" s="42">
        <v>16</v>
      </c>
      <c r="D43" s="8" t="s">
        <v>61</v>
      </c>
      <c r="E43" s="42">
        <v>12</v>
      </c>
      <c r="F43" s="8" t="s">
        <v>36</v>
      </c>
      <c r="G43" s="42">
        <v>2</v>
      </c>
      <c r="H43" s="1">
        <v>1</v>
      </c>
      <c r="I43" s="47">
        <v>700000</v>
      </c>
    </row>
    <row r="44" spans="1:10" ht="12.75" customHeight="1" x14ac:dyDescent="0.2">
      <c r="A44" s="2" t="s">
        <v>8</v>
      </c>
      <c r="B44" s="2"/>
      <c r="C44" s="49" t="str">
        <f>_xlfn.CONCAT(SUBTOTAL(9,C35)," * * ",SUBTOTAL(9,C36:C39)," * * * ",SUBTOTAL(9,C40:C43)," * * * *")</f>
        <v>3 * * 21 * * * 10 * * * *</v>
      </c>
      <c r="D44" s="2"/>
      <c r="E44" s="49" t="str">
        <f>_xlfn.CONCAT(SUBTOTAL(9,E35)," * ",SUBTOTAL(9,E36:E39)," * * ",SUBTOTAL(9,E40:E43)," * * *")</f>
        <v>6 * 22 * * 10 * * *</v>
      </c>
      <c r="F44" s="2"/>
      <c r="G44" s="2">
        <f>SUBTOTAL(9,Talent3.2[Boss Speciality])</f>
        <v>2</v>
      </c>
      <c r="H44" s="2">
        <f>SUBTOTAL(9,Talent3.2[Crown])</f>
        <v>0</v>
      </c>
      <c r="I44" s="3">
        <f>SUBTOTAL(9,Talent3.2[Mora])</f>
        <v>502500</v>
      </c>
    </row>
    <row r="46" spans="1:10" ht="12.75" customHeight="1" x14ac:dyDescent="0.2">
      <c r="A46" s="1" t="s">
        <v>229</v>
      </c>
      <c r="B46" s="12" t="s">
        <v>96</v>
      </c>
      <c r="C46" s="15" t="s">
        <v>0</v>
      </c>
      <c r="E46" s="1" t="str">
        <f>MID('Requirement Tables (2)'!E20,1,1)</f>
        <v>6</v>
      </c>
    </row>
    <row r="47" spans="1:10" ht="12.75" customHeight="1" x14ac:dyDescent="0.2">
      <c r="A47" s="1">
        <v>20</v>
      </c>
      <c r="B47" s="1">
        <v>6</v>
      </c>
      <c r="C47" s="7">
        <v>24000</v>
      </c>
    </row>
    <row r="48" spans="1:10" ht="12.75" customHeight="1" x14ac:dyDescent="0.2">
      <c r="A48" s="1">
        <v>40</v>
      </c>
      <c r="B48" s="1">
        <v>28</v>
      </c>
      <c r="C48" s="7">
        <v>115600</v>
      </c>
    </row>
    <row r="49" spans="1:3" ht="12.75" customHeight="1" x14ac:dyDescent="0.2">
      <c r="A49" s="1">
        <v>50</v>
      </c>
      <c r="B49" s="1">
        <v>28</v>
      </c>
      <c r="C49" s="7">
        <v>115800</v>
      </c>
    </row>
    <row r="50" spans="1:3" ht="12.75" customHeight="1" x14ac:dyDescent="0.2">
      <c r="A50" s="1">
        <v>60</v>
      </c>
      <c r="B50" s="1">
        <v>42</v>
      </c>
      <c r="C50" s="7">
        <v>170800</v>
      </c>
    </row>
    <row r="51" spans="1:3" ht="12.75" customHeight="1" x14ac:dyDescent="0.2">
      <c r="A51" s="1">
        <v>70</v>
      </c>
      <c r="B51" s="1">
        <v>59</v>
      </c>
      <c r="C51" s="7">
        <v>239000</v>
      </c>
    </row>
    <row r="52" spans="1:3" ht="12.75" customHeight="1" x14ac:dyDescent="0.2">
      <c r="A52" s="1">
        <v>80</v>
      </c>
      <c r="B52" s="1">
        <v>80</v>
      </c>
      <c r="C52" s="7">
        <v>322200</v>
      </c>
    </row>
    <row r="53" spans="1:3" ht="12.75" hidden="1" customHeight="1" x14ac:dyDescent="0.2">
      <c r="A53" s="1">
        <v>90</v>
      </c>
      <c r="B53" s="1">
        <v>171</v>
      </c>
      <c r="C53" s="7">
        <v>684600</v>
      </c>
    </row>
    <row r="54" spans="1:3" ht="12.75" customHeight="1" x14ac:dyDescent="0.2">
      <c r="A54" s="2" t="s">
        <v>8</v>
      </c>
      <c r="B54" s="2">
        <f>SUBTOTAL(9,Table3711[Hero''s Wit])</f>
        <v>243</v>
      </c>
      <c r="C54" s="3">
        <f>SUBTOTAL(9,Table3711[Mora])</f>
        <v>987400</v>
      </c>
    </row>
  </sheetData>
  <pageMargins left="0.7" right="0.7" top="0.75" bottom="0.75" header="0.3" footer="0.3"/>
  <pageSetup orientation="portrait" horizontalDpi="4294967293" verticalDpi="4294967293"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113E-08FE-4173-8570-B4E0306419BD}">
  <dimension ref="A1:F22"/>
  <sheetViews>
    <sheetView workbookViewId="0">
      <selection activeCell="D10" sqref="D10"/>
    </sheetView>
  </sheetViews>
  <sheetFormatPr defaultColWidth="27.44140625" defaultRowHeight="14.4" x14ac:dyDescent="0.3"/>
  <sheetData>
    <row r="1" spans="1:4" x14ac:dyDescent="0.3">
      <c r="A1" s="45" t="s">
        <v>232</v>
      </c>
      <c r="B1" s="45" t="s">
        <v>230</v>
      </c>
      <c r="C1" s="45" t="s">
        <v>42</v>
      </c>
      <c r="D1" s="45" t="s">
        <v>231</v>
      </c>
    </row>
    <row r="2" spans="1:4" x14ac:dyDescent="0.3">
      <c r="A2" s="12" t="s">
        <v>96</v>
      </c>
      <c r="B2" s="10" t="s">
        <v>236</v>
      </c>
      <c r="C2" s="51" t="s">
        <v>61</v>
      </c>
      <c r="D2" s="10">
        <f>Progression!B8-Progression!B7</f>
        <v>1733</v>
      </c>
    </row>
    <row r="3" spans="1:4" x14ac:dyDescent="0.3">
      <c r="A3" s="11" t="s">
        <v>97</v>
      </c>
      <c r="B3" s="10" t="s">
        <v>236</v>
      </c>
      <c r="C3" s="51" t="s">
        <v>36</v>
      </c>
      <c r="D3" s="10"/>
    </row>
    <row r="4" spans="1:4" x14ac:dyDescent="0.3">
      <c r="A4" s="9" t="s">
        <v>95</v>
      </c>
      <c r="B4" s="10" t="s">
        <v>236</v>
      </c>
      <c r="C4" s="51" t="s">
        <v>35</v>
      </c>
      <c r="D4" s="10"/>
    </row>
    <row r="5" spans="1:4" x14ac:dyDescent="0.3">
      <c r="A5" s="15" t="s">
        <v>0</v>
      </c>
      <c r="B5" s="10" t="s">
        <v>237</v>
      </c>
      <c r="C5" s="18"/>
      <c r="D5" s="7">
        <f>Progression!J23-Progression!J22</f>
        <v>21980459</v>
      </c>
    </row>
    <row r="6" spans="1:4" x14ac:dyDescent="0.3">
      <c r="A6" s="50" t="s">
        <v>221</v>
      </c>
      <c r="B6" s="10" t="s">
        <v>234</v>
      </c>
      <c r="C6" s="51" t="s">
        <v>235</v>
      </c>
      <c r="D6" s="10">
        <v>6</v>
      </c>
    </row>
    <row r="7" spans="1:4" x14ac:dyDescent="0.3">
      <c r="A7" s="50" t="str">
        <f>_xlfn.CONCAT("Philosophies of ", CHAR(34),A22,CHAR(34))</f>
        <v>Philosophies of "Light"</v>
      </c>
      <c r="B7" s="10" t="s">
        <v>234</v>
      </c>
      <c r="C7" s="51" t="s">
        <v>61</v>
      </c>
      <c r="D7" s="10">
        <f>Progression!D23-Progression!D22</f>
        <v>11</v>
      </c>
    </row>
    <row r="8" spans="1:4" x14ac:dyDescent="0.3">
      <c r="A8" s="50" t="str">
        <f>_xlfn.CONCAT("Guide to ", CHAR(34),A22,CHAR(34))</f>
        <v>Guide to "Light"</v>
      </c>
      <c r="B8" s="10" t="s">
        <v>234</v>
      </c>
      <c r="C8" s="51" t="s">
        <v>36</v>
      </c>
      <c r="D8" s="10">
        <f>Progression!C23-Progression!C22</f>
        <v>90</v>
      </c>
    </row>
    <row r="9" spans="1:4" x14ac:dyDescent="0.3">
      <c r="A9" s="50" t="str">
        <f>_xlfn.CONCAT("Teachings of ", CHAR(34),A22,CHAR(34))</f>
        <v>Teachings of "Light"</v>
      </c>
      <c r="B9" s="10" t="s">
        <v>234</v>
      </c>
      <c r="C9" s="51" t="s">
        <v>35</v>
      </c>
      <c r="D9" s="10">
        <f>Progression!B23-Progression!B22</f>
        <v>49</v>
      </c>
    </row>
    <row r="10" spans="1:4" x14ac:dyDescent="0.3">
      <c r="A10" s="50" t="str">
        <f>INDEX('Constants &amp; Conversions'!F2:H40,MATCH(B22,'Constants &amp; Conversions'!E2:E40,0),3)</f>
        <v>Famed Handguard</v>
      </c>
      <c r="B10" s="10" t="s">
        <v>224</v>
      </c>
      <c r="C10" s="51" t="s">
        <v>202</v>
      </c>
      <c r="D10" s="10">
        <v>35</v>
      </c>
    </row>
    <row r="11" spans="1:4" x14ac:dyDescent="0.3">
      <c r="A11" s="50" t="str">
        <f>INDEX('Constants &amp; Conversions'!F2:H40,MATCH(B22,'Constants &amp; Conversions'!E2:E40,0),2)</f>
        <v>Kageuchi Handguard</v>
      </c>
      <c r="B11" s="10" t="s">
        <v>224</v>
      </c>
      <c r="C11" s="51" t="s">
        <v>35</v>
      </c>
      <c r="D11" s="10">
        <v>121</v>
      </c>
    </row>
    <row r="12" spans="1:4" x14ac:dyDescent="0.3">
      <c r="A12" s="50" t="str">
        <f>INDEX('Constants &amp; Conversions'!F2:H40,MATCH(B22,'Constants &amp; Conversions'!E2:E40,0),1)</f>
        <v>Old Handguard</v>
      </c>
      <c r="B12" s="10" t="s">
        <v>224</v>
      </c>
      <c r="C12" s="51" t="s">
        <v>34</v>
      </c>
      <c r="D12" s="10">
        <v>346</v>
      </c>
    </row>
    <row r="13" spans="1:4" x14ac:dyDescent="0.3">
      <c r="A13" s="50" t="str">
        <f>INDEX('Constants &amp; Conversions'!F2:H39, MATCH(C22,'Constants &amp; Conversions'!E2:E39,0),1)</f>
        <v>"Fire Flower"</v>
      </c>
      <c r="B13" s="10" t="s">
        <v>233</v>
      </c>
      <c r="C13" s="51" t="s">
        <v>148</v>
      </c>
      <c r="D13" s="10">
        <v>0</v>
      </c>
    </row>
    <row r="14" spans="1:4" x14ac:dyDescent="0.3">
      <c r="A14" s="50" t="str">
        <f>INDEX('Constants &amp; Conversions'!F2:H39, MATCH(D22,'Constants &amp; Conversions'!E2:E39,0),2)</f>
        <v>Storm Beads</v>
      </c>
      <c r="B14" s="10" t="s">
        <v>233</v>
      </c>
      <c r="C14" s="51" t="s">
        <v>61</v>
      </c>
      <c r="D14" s="10">
        <v>0</v>
      </c>
    </row>
    <row r="15" spans="1:4" x14ac:dyDescent="0.3">
      <c r="A15" s="50" t="str">
        <f>E22</f>
        <v>Tenkumo Fruit</v>
      </c>
      <c r="B15" s="10" t="s">
        <v>3</v>
      </c>
      <c r="C15" s="51"/>
      <c r="D15" s="10">
        <v>0</v>
      </c>
    </row>
    <row r="16" spans="1:4" x14ac:dyDescent="0.3">
      <c r="A16" s="50" t="str">
        <f>INDEX('Constants &amp; Conversions'!F2:H39, MATCH(F22,'Constants &amp; Conversions'!E2:E39, 0),1)</f>
        <v>Vajrada Amethyst</v>
      </c>
      <c r="B16" s="10" t="s">
        <v>23</v>
      </c>
      <c r="C16" s="51" t="s">
        <v>148</v>
      </c>
      <c r="D16" s="10">
        <v>0</v>
      </c>
    </row>
    <row r="17" spans="1:6" x14ac:dyDescent="0.3">
      <c r="A17" s="50" t="str">
        <f>INDEX('Constants &amp; Conversions'!F2:H39, MATCH(F22,'Constants &amp; Conversions'!E2:E39, 0),1)</f>
        <v>Vajrada Amethyst</v>
      </c>
      <c r="B17" s="10" t="s">
        <v>22</v>
      </c>
      <c r="C17" s="51" t="s">
        <v>61</v>
      </c>
      <c r="D17" s="10">
        <v>11</v>
      </c>
    </row>
    <row r="18" spans="1:6" x14ac:dyDescent="0.3">
      <c r="A18" s="50" t="str">
        <f>INDEX('Constants &amp; Conversions'!F2:H39, MATCH(F22,'Constants &amp; Conversions'!E2:E39, 0),1)</f>
        <v>Vajrada Amethyst</v>
      </c>
      <c r="B18" s="10" t="s">
        <v>21</v>
      </c>
      <c r="C18" s="51" t="s">
        <v>36</v>
      </c>
      <c r="D18" s="10">
        <v>45</v>
      </c>
    </row>
    <row r="19" spans="1:6" x14ac:dyDescent="0.3">
      <c r="A19" s="50" t="str">
        <f>INDEX('Constants &amp; Conversions'!F2:H39, MATCH(F22,'Constants &amp; Conversions'!E2:E39, 0),1)</f>
        <v>Vajrada Amethyst</v>
      </c>
      <c r="B19" s="10" t="s">
        <v>20</v>
      </c>
      <c r="C19" s="51" t="s">
        <v>35</v>
      </c>
      <c r="D19" s="10">
        <v>208</v>
      </c>
    </row>
    <row r="21" spans="1:6" x14ac:dyDescent="0.3">
      <c r="A21" s="45" t="s">
        <v>255</v>
      </c>
      <c r="B21" s="45" t="s">
        <v>256</v>
      </c>
      <c r="C21" s="45" t="s">
        <v>257</v>
      </c>
      <c r="D21" s="45" t="s">
        <v>258</v>
      </c>
      <c r="E21" s="45" t="s">
        <v>19</v>
      </c>
      <c r="F21" s="45" t="s">
        <v>259</v>
      </c>
    </row>
    <row r="22" spans="1:6" x14ac:dyDescent="0.3">
      <c r="A22" s="10" t="s">
        <v>305</v>
      </c>
      <c r="B22" s="10" t="s">
        <v>306</v>
      </c>
      <c r="C22" s="10" t="s">
        <v>310</v>
      </c>
      <c r="D22" s="10" t="s">
        <v>316</v>
      </c>
      <c r="E22" s="10" t="s">
        <v>318</v>
      </c>
      <c r="F22" s="10" t="s">
        <v>266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A20F-0AEE-497B-8834-8477896E8F6E}">
  <sheetPr codeName="Sheet4"/>
  <dimension ref="A1:G125"/>
  <sheetViews>
    <sheetView topLeftCell="A28" zoomScaleNormal="100" workbookViewId="0">
      <selection activeCell="C48" sqref="C48"/>
    </sheetView>
  </sheetViews>
  <sheetFormatPr defaultColWidth="37.44140625" defaultRowHeight="14.4" x14ac:dyDescent="0.3"/>
  <sheetData>
    <row r="1" spans="1:7" x14ac:dyDescent="0.3">
      <c r="A1" s="20" t="s">
        <v>42</v>
      </c>
      <c r="B1" s="19" t="s">
        <v>44</v>
      </c>
      <c r="C1" s="19" t="s">
        <v>98</v>
      </c>
      <c r="D1" s="19" t="s">
        <v>43</v>
      </c>
      <c r="E1" s="19" t="s">
        <v>69</v>
      </c>
      <c r="F1" s="18"/>
      <c r="G1" s="29" t="s">
        <v>148</v>
      </c>
    </row>
    <row r="2" spans="1:7" x14ac:dyDescent="0.3">
      <c r="A2" s="28" t="s">
        <v>61</v>
      </c>
      <c r="B2" s="31" t="s">
        <v>96</v>
      </c>
      <c r="C2" s="31" t="s">
        <v>99</v>
      </c>
      <c r="D2" s="31" t="s">
        <v>100</v>
      </c>
      <c r="E2" s="32">
        <f>'Required Materials'!D2</f>
        <v>1463</v>
      </c>
      <c r="F2" s="18"/>
      <c r="G2" s="28" t="s">
        <v>61</v>
      </c>
    </row>
    <row r="3" spans="1:7" x14ac:dyDescent="0.3">
      <c r="A3" s="27" t="s">
        <v>36</v>
      </c>
      <c r="B3" s="31" t="s">
        <v>97</v>
      </c>
      <c r="C3" s="31" t="s">
        <v>99</v>
      </c>
      <c r="D3" s="31" t="s">
        <v>100</v>
      </c>
      <c r="E3" s="32">
        <f>'Required Materials'!D3</f>
        <v>2039</v>
      </c>
      <c r="F3" s="18"/>
      <c r="G3" s="27" t="s">
        <v>36</v>
      </c>
    </row>
    <row r="4" spans="1:7" x14ac:dyDescent="0.3">
      <c r="A4" s="26" t="s">
        <v>35</v>
      </c>
      <c r="B4" s="31" t="s">
        <v>95</v>
      </c>
      <c r="C4" s="31" t="s">
        <v>99</v>
      </c>
      <c r="D4" s="31" t="s">
        <v>100</v>
      </c>
      <c r="E4" s="32">
        <f>'Required Materials'!D4</f>
        <v>97</v>
      </c>
      <c r="F4" s="18"/>
      <c r="G4" s="26" t="s">
        <v>35</v>
      </c>
    </row>
    <row r="5" spans="1:7" x14ac:dyDescent="0.3">
      <c r="A5" s="34" t="s">
        <v>36</v>
      </c>
      <c r="B5" s="10" t="s">
        <v>39</v>
      </c>
      <c r="C5" s="10" t="s">
        <v>41</v>
      </c>
      <c r="D5" s="10" t="s">
        <v>40</v>
      </c>
      <c r="E5" s="10">
        <v>28</v>
      </c>
      <c r="F5" s="18"/>
      <c r="G5" s="25" t="s">
        <v>34</v>
      </c>
    </row>
    <row r="6" spans="1:7" x14ac:dyDescent="0.3">
      <c r="A6" s="33" t="s">
        <v>35</v>
      </c>
      <c r="B6" s="36" t="s">
        <v>38</v>
      </c>
      <c r="C6" s="36" t="s">
        <v>41</v>
      </c>
      <c r="D6" s="36" t="s">
        <v>40</v>
      </c>
      <c r="E6" s="36">
        <v>157</v>
      </c>
    </row>
    <row r="7" spans="1:7" x14ac:dyDescent="0.3">
      <c r="A7" s="35" t="s">
        <v>34</v>
      </c>
      <c r="B7" s="10" t="s">
        <v>37</v>
      </c>
      <c r="C7" s="10" t="s">
        <v>41</v>
      </c>
      <c r="D7" s="10" t="s">
        <v>40</v>
      </c>
      <c r="E7" s="10">
        <v>903</v>
      </c>
    </row>
    <row r="8" spans="1:7" x14ac:dyDescent="0.3">
      <c r="A8" s="34" t="s">
        <v>36</v>
      </c>
      <c r="B8" s="10" t="s">
        <v>48</v>
      </c>
      <c r="C8" s="10" t="s">
        <v>46</v>
      </c>
      <c r="D8" s="10" t="s">
        <v>40</v>
      </c>
      <c r="E8" s="10">
        <v>17</v>
      </c>
    </row>
    <row r="9" spans="1:7" x14ac:dyDescent="0.3">
      <c r="A9" s="33" t="s">
        <v>35</v>
      </c>
      <c r="B9" s="36" t="s">
        <v>47</v>
      </c>
      <c r="C9" s="36" t="s">
        <v>46</v>
      </c>
      <c r="D9" s="36" t="s">
        <v>40</v>
      </c>
      <c r="E9" s="36">
        <v>80</v>
      </c>
    </row>
    <row r="10" spans="1:7" x14ac:dyDescent="0.3">
      <c r="A10" s="35" t="s">
        <v>34</v>
      </c>
      <c r="B10" s="10" t="s">
        <v>45</v>
      </c>
      <c r="C10" s="10" t="s">
        <v>46</v>
      </c>
      <c r="D10" s="10" t="s">
        <v>40</v>
      </c>
      <c r="E10" s="10">
        <v>686</v>
      </c>
    </row>
    <row r="11" spans="1:7" x14ac:dyDescent="0.3">
      <c r="A11" s="23" t="s">
        <v>36</v>
      </c>
      <c r="B11" s="10" t="s">
        <v>51</v>
      </c>
      <c r="C11" s="10" t="s">
        <v>52</v>
      </c>
      <c r="D11" s="10" t="s">
        <v>40</v>
      </c>
      <c r="E11" s="10">
        <v>9</v>
      </c>
    </row>
    <row r="12" spans="1:7" x14ac:dyDescent="0.3">
      <c r="A12" s="22" t="s">
        <v>35</v>
      </c>
      <c r="B12" s="10" t="s">
        <v>50</v>
      </c>
      <c r="C12" s="10" t="s">
        <v>52</v>
      </c>
      <c r="D12" s="10" t="s">
        <v>40</v>
      </c>
      <c r="E12" s="10">
        <v>104</v>
      </c>
    </row>
    <row r="13" spans="1:7" x14ac:dyDescent="0.3">
      <c r="A13" s="35" t="s">
        <v>34</v>
      </c>
      <c r="B13" s="10" t="s">
        <v>49</v>
      </c>
      <c r="C13" s="10" t="s">
        <v>52</v>
      </c>
      <c r="D13" s="10" t="s">
        <v>40</v>
      </c>
      <c r="E13" s="10">
        <v>556</v>
      </c>
    </row>
    <row r="14" spans="1:7" x14ac:dyDescent="0.3">
      <c r="A14" s="23" t="s">
        <v>36</v>
      </c>
      <c r="B14" s="10" t="s">
        <v>55</v>
      </c>
      <c r="C14" s="10" t="s">
        <v>59</v>
      </c>
      <c r="D14" s="10" t="s">
        <v>40</v>
      </c>
      <c r="E14" s="10">
        <v>5</v>
      </c>
    </row>
    <row r="15" spans="1:7" x14ac:dyDescent="0.3">
      <c r="A15" s="22" t="s">
        <v>35</v>
      </c>
      <c r="B15" s="10" t="s">
        <v>54</v>
      </c>
      <c r="C15" s="10" t="s">
        <v>59</v>
      </c>
      <c r="D15" s="10" t="s">
        <v>40</v>
      </c>
      <c r="E15" s="10">
        <v>43</v>
      </c>
    </row>
    <row r="16" spans="1:7" x14ac:dyDescent="0.3">
      <c r="A16" s="21" t="s">
        <v>34</v>
      </c>
      <c r="B16" s="10" t="s">
        <v>53</v>
      </c>
      <c r="C16" s="10" t="s">
        <v>59</v>
      </c>
      <c r="D16" s="10" t="s">
        <v>40</v>
      </c>
      <c r="E16" s="10">
        <v>411</v>
      </c>
    </row>
    <row r="17" spans="1:5" x14ac:dyDescent="0.3">
      <c r="A17" s="37" t="s">
        <v>61</v>
      </c>
      <c r="B17" s="10" t="s">
        <v>58</v>
      </c>
      <c r="C17" s="10" t="s">
        <v>60</v>
      </c>
      <c r="D17" s="10" t="s">
        <v>40</v>
      </c>
      <c r="E17" s="10">
        <v>5</v>
      </c>
    </row>
    <row r="18" spans="1:5" x14ac:dyDescent="0.3">
      <c r="A18" s="34" t="s">
        <v>36</v>
      </c>
      <c r="B18" s="10" t="s">
        <v>57</v>
      </c>
      <c r="C18" s="10" t="s">
        <v>60</v>
      </c>
      <c r="D18" s="10" t="s">
        <v>40</v>
      </c>
      <c r="E18" s="10">
        <v>38</v>
      </c>
    </row>
    <row r="19" spans="1:5" x14ac:dyDescent="0.3">
      <c r="A19" s="22" t="s">
        <v>35</v>
      </c>
      <c r="B19" s="10" t="s">
        <v>56</v>
      </c>
      <c r="C19" s="10" t="s">
        <v>60</v>
      </c>
      <c r="D19" s="10" t="s">
        <v>40</v>
      </c>
      <c r="E19" s="10">
        <v>441</v>
      </c>
    </row>
    <row r="20" spans="1:5" x14ac:dyDescent="0.3">
      <c r="A20" s="37" t="s">
        <v>61</v>
      </c>
      <c r="B20" s="10" t="s">
        <v>64</v>
      </c>
      <c r="C20" s="10" t="s">
        <v>65</v>
      </c>
      <c r="D20" s="10" t="s">
        <v>40</v>
      </c>
      <c r="E20" s="10">
        <v>17</v>
      </c>
    </row>
    <row r="21" spans="1:5" x14ac:dyDescent="0.3">
      <c r="A21" s="34" t="s">
        <v>36</v>
      </c>
      <c r="B21" s="10" t="s">
        <v>63</v>
      </c>
      <c r="C21" s="10" t="s">
        <v>65</v>
      </c>
      <c r="D21" s="10" t="s">
        <v>40</v>
      </c>
      <c r="E21" s="10">
        <v>58</v>
      </c>
    </row>
    <row r="22" spans="1:5" x14ac:dyDescent="0.3">
      <c r="A22" s="22" t="s">
        <v>35</v>
      </c>
      <c r="B22" s="10" t="s">
        <v>62</v>
      </c>
      <c r="C22" s="10" t="s">
        <v>65</v>
      </c>
      <c r="D22" s="10" t="s">
        <v>40</v>
      </c>
      <c r="E22" s="10">
        <v>269</v>
      </c>
    </row>
    <row r="23" spans="1:5" x14ac:dyDescent="0.3">
      <c r="A23" s="37" t="s">
        <v>61</v>
      </c>
      <c r="B23" s="10" t="s">
        <v>68</v>
      </c>
      <c r="C23" s="10" t="s">
        <v>70</v>
      </c>
      <c r="D23" s="10" t="s">
        <v>40</v>
      </c>
      <c r="E23" s="10">
        <v>1</v>
      </c>
    </row>
    <row r="24" spans="1:5" x14ac:dyDescent="0.3">
      <c r="A24" s="34" t="s">
        <v>36</v>
      </c>
      <c r="B24" s="10" t="s">
        <v>67</v>
      </c>
      <c r="C24" s="10" t="s">
        <v>70</v>
      </c>
      <c r="D24" s="10" t="s">
        <v>40</v>
      </c>
      <c r="E24" s="10">
        <v>32</v>
      </c>
    </row>
    <row r="25" spans="1:5" x14ac:dyDescent="0.3">
      <c r="A25" s="22" t="s">
        <v>35</v>
      </c>
      <c r="B25" s="10" t="s">
        <v>66</v>
      </c>
      <c r="C25" s="10" t="s">
        <v>70</v>
      </c>
      <c r="D25" s="10" t="s">
        <v>40</v>
      </c>
      <c r="E25" s="10">
        <v>219</v>
      </c>
    </row>
    <row r="26" spans="1:5" x14ac:dyDescent="0.3">
      <c r="A26" s="37" t="s">
        <v>61</v>
      </c>
      <c r="B26" s="10" t="s">
        <v>73</v>
      </c>
      <c r="C26" s="10" t="s">
        <v>74</v>
      </c>
      <c r="D26" s="10" t="s">
        <v>40</v>
      </c>
      <c r="E26" s="10">
        <v>8</v>
      </c>
    </row>
    <row r="27" spans="1:5" x14ac:dyDescent="0.3">
      <c r="A27" s="34" t="s">
        <v>36</v>
      </c>
      <c r="B27" s="10" t="s">
        <v>72</v>
      </c>
      <c r="C27" s="10" t="s">
        <v>74</v>
      </c>
      <c r="D27" s="10" t="s">
        <v>40</v>
      </c>
      <c r="E27" s="10">
        <v>68</v>
      </c>
    </row>
    <row r="28" spans="1:5" x14ac:dyDescent="0.3">
      <c r="A28" s="22" t="s">
        <v>35</v>
      </c>
      <c r="B28" s="10" t="s">
        <v>71</v>
      </c>
      <c r="C28" s="10" t="s">
        <v>74</v>
      </c>
      <c r="D28" s="10" t="s">
        <v>40</v>
      </c>
      <c r="E28" s="10">
        <v>249</v>
      </c>
    </row>
    <row r="29" spans="1:5" x14ac:dyDescent="0.3">
      <c r="A29" s="37" t="s">
        <v>61</v>
      </c>
      <c r="B29" s="10" t="s">
        <v>77</v>
      </c>
      <c r="C29" s="10" t="s">
        <v>78</v>
      </c>
      <c r="D29" s="10" t="s">
        <v>40</v>
      </c>
      <c r="E29" s="10">
        <v>7</v>
      </c>
    </row>
    <row r="30" spans="1:5" x14ac:dyDescent="0.3">
      <c r="A30" s="34" t="s">
        <v>36</v>
      </c>
      <c r="B30" s="10" t="s">
        <v>76</v>
      </c>
      <c r="C30" s="10" t="s">
        <v>78</v>
      </c>
      <c r="D30" s="10" t="s">
        <v>40</v>
      </c>
      <c r="E30" s="10">
        <v>26</v>
      </c>
    </row>
    <row r="31" spans="1:5" x14ac:dyDescent="0.3">
      <c r="A31" s="22" t="s">
        <v>35</v>
      </c>
      <c r="B31" s="10" t="s">
        <v>75</v>
      </c>
      <c r="C31" s="10" t="s">
        <v>78</v>
      </c>
      <c r="D31" s="10" t="s">
        <v>40</v>
      </c>
      <c r="E31" s="10">
        <v>162</v>
      </c>
    </row>
    <row r="32" spans="1:5" x14ac:dyDescent="0.3">
      <c r="A32" s="27" t="s">
        <v>36</v>
      </c>
      <c r="B32" s="10" t="s">
        <v>81</v>
      </c>
      <c r="C32" s="10" t="s">
        <v>82</v>
      </c>
      <c r="D32" s="10" t="s">
        <v>40</v>
      </c>
      <c r="E32" s="10">
        <v>7</v>
      </c>
    </row>
    <row r="33" spans="1:5" x14ac:dyDescent="0.3">
      <c r="A33" s="26" t="s">
        <v>35</v>
      </c>
      <c r="B33" s="10" t="s">
        <v>80</v>
      </c>
      <c r="C33" s="10" t="s">
        <v>82</v>
      </c>
      <c r="D33" s="10" t="s">
        <v>40</v>
      </c>
      <c r="E33" s="10">
        <v>115</v>
      </c>
    </row>
    <row r="34" spans="1:5" x14ac:dyDescent="0.3">
      <c r="A34" s="25" t="s">
        <v>34</v>
      </c>
      <c r="B34" s="10" t="s">
        <v>79</v>
      </c>
      <c r="C34" s="10" t="s">
        <v>82</v>
      </c>
      <c r="D34" s="10" t="s">
        <v>40</v>
      </c>
      <c r="E34" s="10">
        <v>490</v>
      </c>
    </row>
    <row r="35" spans="1:5" x14ac:dyDescent="0.3">
      <c r="A35" s="27" t="s">
        <v>36</v>
      </c>
      <c r="B35" s="10" t="s">
        <v>85</v>
      </c>
      <c r="C35" s="10" t="s">
        <v>86</v>
      </c>
      <c r="D35" s="10" t="s">
        <v>40</v>
      </c>
      <c r="E35" s="10">
        <v>33</v>
      </c>
    </row>
    <row r="36" spans="1:5" x14ac:dyDescent="0.3">
      <c r="A36" s="26" t="s">
        <v>35</v>
      </c>
      <c r="B36" s="10" t="s">
        <v>84</v>
      </c>
      <c r="C36" s="10" t="s">
        <v>86</v>
      </c>
      <c r="D36" s="10" t="s">
        <v>40</v>
      </c>
      <c r="E36" s="10">
        <v>147</v>
      </c>
    </row>
    <row r="37" spans="1:5" x14ac:dyDescent="0.3">
      <c r="A37" s="25" t="s">
        <v>34</v>
      </c>
      <c r="B37" s="10" t="s">
        <v>83</v>
      </c>
      <c r="C37" s="10" t="s">
        <v>86</v>
      </c>
      <c r="D37" s="10" t="s">
        <v>40</v>
      </c>
      <c r="E37" s="10">
        <v>632</v>
      </c>
    </row>
    <row r="38" spans="1:5" x14ac:dyDescent="0.3">
      <c r="A38" s="29" t="s">
        <v>148</v>
      </c>
      <c r="B38" s="31" t="s">
        <v>186</v>
      </c>
      <c r="C38" s="31" t="s">
        <v>188</v>
      </c>
      <c r="D38" s="31" t="s">
        <v>40</v>
      </c>
      <c r="E38" s="32">
        <v>1</v>
      </c>
    </row>
    <row r="39" spans="1:5" x14ac:dyDescent="0.3">
      <c r="A39" s="29" t="s">
        <v>148</v>
      </c>
      <c r="B39" s="31" t="s">
        <v>187</v>
      </c>
      <c r="C39" s="31" t="s">
        <v>188</v>
      </c>
      <c r="D39" s="31" t="s">
        <v>40</v>
      </c>
      <c r="E39" s="32">
        <v>4</v>
      </c>
    </row>
    <row r="40" spans="1:5" x14ac:dyDescent="0.3">
      <c r="A40" s="29" t="s">
        <v>148</v>
      </c>
      <c r="B40" s="31" t="s">
        <v>185</v>
      </c>
      <c r="C40" s="31" t="s">
        <v>188</v>
      </c>
      <c r="D40" s="31" t="s">
        <v>40</v>
      </c>
      <c r="E40" s="32">
        <v>0</v>
      </c>
    </row>
    <row r="41" spans="1:5" x14ac:dyDescent="0.3">
      <c r="A41" s="29" t="s">
        <v>148</v>
      </c>
      <c r="B41" s="31" t="s">
        <v>189</v>
      </c>
      <c r="C41" s="31" t="s">
        <v>188</v>
      </c>
      <c r="D41" s="31" t="s">
        <v>40</v>
      </c>
      <c r="E41" s="32">
        <v>2</v>
      </c>
    </row>
    <row r="42" spans="1:5" x14ac:dyDescent="0.3">
      <c r="A42" s="29" t="s">
        <v>148</v>
      </c>
      <c r="B42" s="31" t="s">
        <v>190</v>
      </c>
      <c r="C42" s="31" t="s">
        <v>188</v>
      </c>
      <c r="D42" s="31" t="s">
        <v>40</v>
      </c>
      <c r="E42" s="32">
        <v>2</v>
      </c>
    </row>
    <row r="43" spans="1:5" x14ac:dyDescent="0.3">
      <c r="A43" s="29" t="s">
        <v>148</v>
      </c>
      <c r="B43" s="31" t="s">
        <v>191</v>
      </c>
      <c r="C43" s="31" t="s">
        <v>188</v>
      </c>
      <c r="D43" s="31" t="s">
        <v>40</v>
      </c>
      <c r="E43" s="32">
        <v>1</v>
      </c>
    </row>
    <row r="44" spans="1:5" x14ac:dyDescent="0.3">
      <c r="A44" s="29" t="s">
        <v>148</v>
      </c>
      <c r="B44" s="31" t="s">
        <v>192</v>
      </c>
      <c r="C44" s="31" t="s">
        <v>188</v>
      </c>
      <c r="D44" s="31" t="s">
        <v>40</v>
      </c>
      <c r="E44" s="32">
        <v>1</v>
      </c>
    </row>
    <row r="45" spans="1:5" x14ac:dyDescent="0.3">
      <c r="A45" s="29" t="s">
        <v>148</v>
      </c>
      <c r="B45" s="31" t="s">
        <v>193</v>
      </c>
      <c r="C45" s="31" t="s">
        <v>188</v>
      </c>
      <c r="D45" s="31" t="s">
        <v>40</v>
      </c>
      <c r="E45" s="32">
        <v>2</v>
      </c>
    </row>
    <row r="46" spans="1:5" x14ac:dyDescent="0.3">
      <c r="A46" s="38" t="s">
        <v>148</v>
      </c>
      <c r="B46" s="39" t="s">
        <v>194</v>
      </c>
      <c r="C46" s="39" t="s">
        <v>188</v>
      </c>
      <c r="D46" s="39" t="s">
        <v>40</v>
      </c>
      <c r="E46" s="40">
        <v>1</v>
      </c>
    </row>
    <row r="47" spans="1:5" x14ac:dyDescent="0.3">
      <c r="A47" s="28" t="s">
        <v>61</v>
      </c>
      <c r="B47" s="31" t="s">
        <v>182</v>
      </c>
      <c r="C47" s="31" t="s">
        <v>176</v>
      </c>
      <c r="D47" s="31" t="s">
        <v>40</v>
      </c>
      <c r="E47" s="32">
        <v>1</v>
      </c>
    </row>
    <row r="48" spans="1:5" x14ac:dyDescent="0.3">
      <c r="A48" s="28" t="s">
        <v>61</v>
      </c>
      <c r="B48" s="31" t="s">
        <v>181</v>
      </c>
      <c r="C48" s="31" t="s">
        <v>175</v>
      </c>
      <c r="D48" s="31" t="s">
        <v>40</v>
      </c>
      <c r="E48" s="32">
        <v>4</v>
      </c>
    </row>
    <row r="49" spans="1:5" x14ac:dyDescent="0.3">
      <c r="A49" s="41" t="s">
        <v>61</v>
      </c>
      <c r="B49" s="39" t="s">
        <v>184</v>
      </c>
      <c r="C49" s="39" t="s">
        <v>178</v>
      </c>
      <c r="D49" s="39" t="s">
        <v>40</v>
      </c>
      <c r="E49" s="40">
        <v>17</v>
      </c>
    </row>
    <row r="50" spans="1:5" x14ac:dyDescent="0.3">
      <c r="A50" s="28" t="s">
        <v>61</v>
      </c>
      <c r="B50" s="31" t="s">
        <v>180</v>
      </c>
      <c r="C50" s="31" t="s">
        <v>174</v>
      </c>
      <c r="D50" s="31" t="s">
        <v>40</v>
      </c>
      <c r="E50" s="32">
        <v>1</v>
      </c>
    </row>
    <row r="51" spans="1:5" x14ac:dyDescent="0.3">
      <c r="A51" s="28" t="s">
        <v>61</v>
      </c>
      <c r="B51" s="31" t="s">
        <v>179</v>
      </c>
      <c r="C51" s="31" t="s">
        <v>173</v>
      </c>
      <c r="D51" s="31" t="s">
        <v>40</v>
      </c>
      <c r="E51" s="32">
        <v>0</v>
      </c>
    </row>
    <row r="52" spans="1:5" x14ac:dyDescent="0.3">
      <c r="A52" s="28" t="s">
        <v>61</v>
      </c>
      <c r="B52" s="31" t="s">
        <v>183</v>
      </c>
      <c r="C52" s="31" t="s">
        <v>177</v>
      </c>
      <c r="D52" s="31" t="s">
        <v>40</v>
      </c>
      <c r="E52" s="32">
        <v>0</v>
      </c>
    </row>
    <row r="53" spans="1:5" x14ac:dyDescent="0.3">
      <c r="A53" s="27" t="s">
        <v>36</v>
      </c>
      <c r="B53" s="10" t="s">
        <v>89</v>
      </c>
      <c r="C53" s="10" t="s">
        <v>90</v>
      </c>
      <c r="D53" s="10" t="s">
        <v>40</v>
      </c>
      <c r="E53" s="10">
        <v>7</v>
      </c>
    </row>
    <row r="54" spans="1:5" x14ac:dyDescent="0.3">
      <c r="A54" s="26" t="s">
        <v>35</v>
      </c>
      <c r="B54" s="10" t="s">
        <v>88</v>
      </c>
      <c r="C54" s="10" t="s">
        <v>90</v>
      </c>
      <c r="D54" s="10" t="s">
        <v>40</v>
      </c>
      <c r="E54" s="10">
        <v>50</v>
      </c>
    </row>
    <row r="55" spans="1:5" x14ac:dyDescent="0.3">
      <c r="A55" s="25" t="s">
        <v>34</v>
      </c>
      <c r="B55" s="10" t="s">
        <v>87</v>
      </c>
      <c r="C55" s="10" t="s">
        <v>90</v>
      </c>
      <c r="D55" s="10" t="s">
        <v>40</v>
      </c>
      <c r="E55" s="10">
        <v>529</v>
      </c>
    </row>
    <row r="56" spans="1:5" x14ac:dyDescent="0.3">
      <c r="A56" s="37" t="s">
        <v>61</v>
      </c>
      <c r="B56" s="10" t="s">
        <v>93</v>
      </c>
      <c r="C56" s="10" t="s">
        <v>94</v>
      </c>
      <c r="D56" s="10" t="s">
        <v>40</v>
      </c>
      <c r="E56" s="10">
        <v>5</v>
      </c>
    </row>
    <row r="57" spans="1:5" x14ac:dyDescent="0.3">
      <c r="A57" s="34" t="s">
        <v>36</v>
      </c>
      <c r="B57" s="10" t="s">
        <v>92</v>
      </c>
      <c r="C57" s="10" t="s">
        <v>94</v>
      </c>
      <c r="D57" s="10" t="s">
        <v>40</v>
      </c>
      <c r="E57" s="10">
        <v>38</v>
      </c>
    </row>
    <row r="58" spans="1:5" x14ac:dyDescent="0.3">
      <c r="A58" s="22" t="s">
        <v>35</v>
      </c>
      <c r="B58" s="10" t="s">
        <v>91</v>
      </c>
      <c r="C58" s="10" t="s">
        <v>94</v>
      </c>
      <c r="D58" s="10" t="s">
        <v>40</v>
      </c>
      <c r="E58" s="10">
        <v>185</v>
      </c>
    </row>
    <row r="59" spans="1:5" x14ac:dyDescent="0.3">
      <c r="A59" s="29" t="s">
        <v>148</v>
      </c>
      <c r="B59" s="31" t="s">
        <v>152</v>
      </c>
      <c r="C59" s="31" t="s">
        <v>173</v>
      </c>
      <c r="D59" s="31" t="s">
        <v>40</v>
      </c>
      <c r="E59" s="32">
        <v>0</v>
      </c>
    </row>
    <row r="60" spans="1:5" x14ac:dyDescent="0.3">
      <c r="A60" s="28" t="s">
        <v>61</v>
      </c>
      <c r="B60" s="31" t="s">
        <v>151</v>
      </c>
      <c r="C60" s="31" t="s">
        <v>173</v>
      </c>
      <c r="D60" s="31" t="s">
        <v>40</v>
      </c>
      <c r="E60" s="32">
        <v>1</v>
      </c>
    </row>
    <row r="61" spans="1:5" x14ac:dyDescent="0.3">
      <c r="A61" s="27" t="s">
        <v>36</v>
      </c>
      <c r="B61" s="31" t="s">
        <v>150</v>
      </c>
      <c r="C61" s="31" t="s">
        <v>173</v>
      </c>
      <c r="D61" s="31" t="s">
        <v>40</v>
      </c>
      <c r="E61" s="32">
        <v>0</v>
      </c>
    </row>
    <row r="62" spans="1:5" x14ac:dyDescent="0.3">
      <c r="A62" s="26" t="s">
        <v>35</v>
      </c>
      <c r="B62" s="31" t="s">
        <v>149</v>
      </c>
      <c r="C62" s="31" t="s">
        <v>173</v>
      </c>
      <c r="D62" s="31" t="s">
        <v>40</v>
      </c>
      <c r="E62" s="32">
        <v>24</v>
      </c>
    </row>
    <row r="63" spans="1:5" x14ac:dyDescent="0.3">
      <c r="A63" s="29" t="s">
        <v>148</v>
      </c>
      <c r="B63" s="31" t="s">
        <v>156</v>
      </c>
      <c r="C63" s="31" t="s">
        <v>174</v>
      </c>
      <c r="D63" s="31" t="s">
        <v>40</v>
      </c>
      <c r="E63" s="32">
        <v>0</v>
      </c>
    </row>
    <row r="64" spans="1:5" x14ac:dyDescent="0.3">
      <c r="A64" s="28" t="s">
        <v>61</v>
      </c>
      <c r="B64" s="31" t="s">
        <v>155</v>
      </c>
      <c r="C64" s="31" t="s">
        <v>174</v>
      </c>
      <c r="D64" s="31" t="s">
        <v>40</v>
      </c>
      <c r="E64" s="32">
        <v>0</v>
      </c>
    </row>
    <row r="65" spans="1:5" x14ac:dyDescent="0.3">
      <c r="A65" s="27" t="s">
        <v>36</v>
      </c>
      <c r="B65" s="31" t="s">
        <v>154</v>
      </c>
      <c r="C65" s="31" t="s">
        <v>174</v>
      </c>
      <c r="D65" s="31" t="s">
        <v>40</v>
      </c>
      <c r="E65" s="32">
        <v>7</v>
      </c>
    </row>
    <row r="66" spans="1:5" x14ac:dyDescent="0.3">
      <c r="A66" s="26" t="s">
        <v>35</v>
      </c>
      <c r="B66" s="31" t="s">
        <v>153</v>
      </c>
      <c r="C66" s="31" t="s">
        <v>174</v>
      </c>
      <c r="D66" s="31" t="s">
        <v>40</v>
      </c>
      <c r="E66" s="32">
        <v>27</v>
      </c>
    </row>
    <row r="67" spans="1:5" x14ac:dyDescent="0.3">
      <c r="A67" s="29" t="s">
        <v>148</v>
      </c>
      <c r="B67" s="31" t="s">
        <v>160</v>
      </c>
      <c r="C67" s="31" t="s">
        <v>175</v>
      </c>
      <c r="D67" s="31" t="s">
        <v>40</v>
      </c>
      <c r="E67" s="32">
        <v>0</v>
      </c>
    </row>
    <row r="68" spans="1:5" x14ac:dyDescent="0.3">
      <c r="A68" s="28" t="s">
        <v>61</v>
      </c>
      <c r="B68" s="31" t="s">
        <v>159</v>
      </c>
      <c r="C68" s="31" t="s">
        <v>175</v>
      </c>
      <c r="D68" s="31" t="s">
        <v>40</v>
      </c>
      <c r="E68" s="32">
        <v>1</v>
      </c>
    </row>
    <row r="69" spans="1:5" x14ac:dyDescent="0.3">
      <c r="A69" s="27" t="s">
        <v>36</v>
      </c>
      <c r="B69" s="31" t="s">
        <v>158</v>
      </c>
      <c r="C69" s="31" t="s">
        <v>175</v>
      </c>
      <c r="D69" s="31" t="s">
        <v>40</v>
      </c>
      <c r="E69" s="32">
        <v>11</v>
      </c>
    </row>
    <row r="70" spans="1:5" x14ac:dyDescent="0.3">
      <c r="A70" s="26" t="s">
        <v>35</v>
      </c>
      <c r="B70" s="31" t="s">
        <v>157</v>
      </c>
      <c r="C70" s="31" t="s">
        <v>175</v>
      </c>
      <c r="D70" s="31" t="s">
        <v>40</v>
      </c>
      <c r="E70" s="32">
        <v>18</v>
      </c>
    </row>
    <row r="71" spans="1:5" x14ac:dyDescent="0.3">
      <c r="A71" s="29" t="s">
        <v>148</v>
      </c>
      <c r="B71" s="31" t="s">
        <v>164</v>
      </c>
      <c r="C71" s="31" t="s">
        <v>176</v>
      </c>
      <c r="D71" s="31" t="s">
        <v>40</v>
      </c>
      <c r="E71" s="32">
        <v>0</v>
      </c>
    </row>
    <row r="72" spans="1:5" x14ac:dyDescent="0.3">
      <c r="A72" s="28" t="s">
        <v>61</v>
      </c>
      <c r="B72" s="31" t="s">
        <v>163</v>
      </c>
      <c r="C72" s="31" t="s">
        <v>176</v>
      </c>
      <c r="D72" s="31" t="s">
        <v>40</v>
      </c>
      <c r="E72" s="32">
        <v>0</v>
      </c>
    </row>
    <row r="73" spans="1:5" x14ac:dyDescent="0.3">
      <c r="A73" s="27" t="s">
        <v>36</v>
      </c>
      <c r="B73" s="31" t="s">
        <v>162</v>
      </c>
      <c r="C73" s="31" t="s">
        <v>176</v>
      </c>
      <c r="D73" s="31" t="s">
        <v>40</v>
      </c>
      <c r="E73" s="32">
        <v>10</v>
      </c>
    </row>
    <row r="74" spans="1:5" x14ac:dyDescent="0.3">
      <c r="A74" s="26" t="s">
        <v>35</v>
      </c>
      <c r="B74" s="31" t="s">
        <v>161</v>
      </c>
      <c r="C74" s="31" t="s">
        <v>176</v>
      </c>
      <c r="D74" s="31" t="s">
        <v>40</v>
      </c>
      <c r="E74" s="32">
        <v>25</v>
      </c>
    </row>
    <row r="75" spans="1:5" x14ac:dyDescent="0.3">
      <c r="A75" s="29" t="s">
        <v>148</v>
      </c>
      <c r="B75" s="31" t="s">
        <v>168</v>
      </c>
      <c r="C75" s="31" t="s">
        <v>177</v>
      </c>
      <c r="D75" s="31" t="s">
        <v>40</v>
      </c>
      <c r="E75" s="32">
        <v>0</v>
      </c>
    </row>
    <row r="76" spans="1:5" x14ac:dyDescent="0.3">
      <c r="A76" s="28" t="s">
        <v>61</v>
      </c>
      <c r="B76" s="31" t="s">
        <v>167</v>
      </c>
      <c r="C76" s="31" t="s">
        <v>177</v>
      </c>
      <c r="D76" s="31" t="s">
        <v>40</v>
      </c>
      <c r="E76" s="32">
        <v>1</v>
      </c>
    </row>
    <row r="77" spans="1:5" x14ac:dyDescent="0.3">
      <c r="A77" s="27" t="s">
        <v>36</v>
      </c>
      <c r="B77" s="31" t="s">
        <v>166</v>
      </c>
      <c r="C77" s="31" t="s">
        <v>177</v>
      </c>
      <c r="D77" s="31" t="s">
        <v>40</v>
      </c>
      <c r="E77" s="32">
        <v>10</v>
      </c>
    </row>
    <row r="78" spans="1:5" x14ac:dyDescent="0.3">
      <c r="A78" s="26" t="s">
        <v>35</v>
      </c>
      <c r="B78" s="31" t="s">
        <v>165</v>
      </c>
      <c r="C78" s="31" t="s">
        <v>177</v>
      </c>
      <c r="D78" s="31" t="s">
        <v>40</v>
      </c>
      <c r="E78" s="32">
        <v>30</v>
      </c>
    </row>
    <row r="79" spans="1:5" x14ac:dyDescent="0.3">
      <c r="A79" s="38" t="s">
        <v>148</v>
      </c>
      <c r="B79" s="39" t="s">
        <v>172</v>
      </c>
      <c r="C79" s="39" t="s">
        <v>178</v>
      </c>
      <c r="D79" s="39" t="s">
        <v>40</v>
      </c>
      <c r="E79" s="40">
        <v>0</v>
      </c>
    </row>
    <row r="80" spans="1:5" x14ac:dyDescent="0.3">
      <c r="A80" s="28" t="s">
        <v>61</v>
      </c>
      <c r="B80" s="31" t="s">
        <v>171</v>
      </c>
      <c r="C80" s="31" t="s">
        <v>178</v>
      </c>
      <c r="D80" s="31" t="s">
        <v>40</v>
      </c>
      <c r="E80" s="32">
        <v>1</v>
      </c>
    </row>
    <row r="81" spans="1:5" x14ac:dyDescent="0.3">
      <c r="A81" s="27" t="s">
        <v>36</v>
      </c>
      <c r="B81" s="31" t="s">
        <v>170</v>
      </c>
      <c r="C81" s="31" t="s">
        <v>178</v>
      </c>
      <c r="D81" s="31" t="s">
        <v>40</v>
      </c>
      <c r="E81" s="32">
        <v>15</v>
      </c>
    </row>
    <row r="82" spans="1:5" x14ac:dyDescent="0.3">
      <c r="A82" s="26" t="s">
        <v>35</v>
      </c>
      <c r="B82" s="31" t="s">
        <v>169</v>
      </c>
      <c r="C82" s="31" t="s">
        <v>178</v>
      </c>
      <c r="D82" s="31" t="s">
        <v>40</v>
      </c>
      <c r="E82" s="32">
        <v>41</v>
      </c>
    </row>
    <row r="83" spans="1:5" x14ac:dyDescent="0.3">
      <c r="A83" s="28" t="s">
        <v>61</v>
      </c>
      <c r="B83" s="10" t="s">
        <v>103</v>
      </c>
      <c r="C83" s="10" t="s">
        <v>128</v>
      </c>
      <c r="D83" s="10" t="s">
        <v>119</v>
      </c>
      <c r="E83" s="10">
        <v>4</v>
      </c>
    </row>
    <row r="84" spans="1:5" x14ac:dyDescent="0.3">
      <c r="A84" s="27" t="s">
        <v>36</v>
      </c>
      <c r="B84" s="10" t="s">
        <v>102</v>
      </c>
      <c r="C84" s="10" t="s">
        <v>128</v>
      </c>
      <c r="D84" s="10" t="s">
        <v>119</v>
      </c>
      <c r="E84" s="10">
        <v>37</v>
      </c>
    </row>
    <row r="85" spans="1:5" x14ac:dyDescent="0.3">
      <c r="A85" s="26" t="s">
        <v>35</v>
      </c>
      <c r="B85" s="10" t="s">
        <v>101</v>
      </c>
      <c r="C85" s="10" t="s">
        <v>128</v>
      </c>
      <c r="D85" s="10" t="s">
        <v>119</v>
      </c>
      <c r="E85" s="10">
        <v>29</v>
      </c>
    </row>
    <row r="86" spans="1:5" x14ac:dyDescent="0.3">
      <c r="A86" s="28" t="s">
        <v>61</v>
      </c>
      <c r="B86" s="10" t="s">
        <v>106</v>
      </c>
      <c r="C86" s="10" t="s">
        <v>138</v>
      </c>
      <c r="D86" s="10" t="s">
        <v>119</v>
      </c>
      <c r="E86" s="10">
        <v>4</v>
      </c>
    </row>
    <row r="87" spans="1:5" x14ac:dyDescent="0.3">
      <c r="A87" s="27" t="s">
        <v>36</v>
      </c>
      <c r="B87" s="10" t="s">
        <v>105</v>
      </c>
      <c r="C87" s="10" t="s">
        <v>138</v>
      </c>
      <c r="D87" s="10" t="s">
        <v>119</v>
      </c>
      <c r="E87" s="10">
        <v>18</v>
      </c>
    </row>
    <row r="88" spans="1:5" x14ac:dyDescent="0.3">
      <c r="A88" s="26" t="s">
        <v>35</v>
      </c>
      <c r="B88" s="10" t="s">
        <v>104</v>
      </c>
      <c r="C88" s="10" t="s">
        <v>138</v>
      </c>
      <c r="D88" s="10" t="s">
        <v>119</v>
      </c>
      <c r="E88" s="10">
        <v>7</v>
      </c>
    </row>
    <row r="89" spans="1:5" x14ac:dyDescent="0.3">
      <c r="A89" s="28" t="s">
        <v>61</v>
      </c>
      <c r="B89" s="10" t="s">
        <v>109</v>
      </c>
      <c r="C89" s="10" t="s">
        <v>139</v>
      </c>
      <c r="D89" s="10" t="s">
        <v>119</v>
      </c>
      <c r="E89" s="10">
        <v>0</v>
      </c>
    </row>
    <row r="90" spans="1:5" x14ac:dyDescent="0.3">
      <c r="A90" s="27" t="s">
        <v>36</v>
      </c>
      <c r="B90" s="10" t="s">
        <v>108</v>
      </c>
      <c r="C90" s="10" t="s">
        <v>139</v>
      </c>
      <c r="D90" s="10" t="s">
        <v>119</v>
      </c>
      <c r="E90" s="10">
        <v>14</v>
      </c>
    </row>
    <row r="91" spans="1:5" x14ac:dyDescent="0.3">
      <c r="A91" s="26" t="s">
        <v>35</v>
      </c>
      <c r="B91" s="10" t="s">
        <v>107</v>
      </c>
      <c r="C91" s="10" t="s">
        <v>139</v>
      </c>
      <c r="D91" s="10" t="s">
        <v>119</v>
      </c>
      <c r="E91" s="10">
        <v>34</v>
      </c>
    </row>
    <row r="92" spans="1:5" x14ac:dyDescent="0.3">
      <c r="A92" s="28" t="s">
        <v>61</v>
      </c>
      <c r="B92" s="10" t="s">
        <v>112</v>
      </c>
      <c r="C92" s="10" t="s">
        <v>128</v>
      </c>
      <c r="D92" s="10" t="s">
        <v>119</v>
      </c>
      <c r="E92" s="10">
        <v>0</v>
      </c>
    </row>
    <row r="93" spans="1:5" x14ac:dyDescent="0.3">
      <c r="A93" s="27" t="s">
        <v>36</v>
      </c>
      <c r="B93" s="10" t="s">
        <v>111</v>
      </c>
      <c r="C93" s="10" t="s">
        <v>128</v>
      </c>
      <c r="D93" s="10" t="s">
        <v>119</v>
      </c>
      <c r="E93" s="10">
        <v>23</v>
      </c>
    </row>
    <row r="94" spans="1:5" x14ac:dyDescent="0.3">
      <c r="A94" s="26" t="s">
        <v>35</v>
      </c>
      <c r="B94" s="10" t="s">
        <v>110</v>
      </c>
      <c r="C94" s="10" t="s">
        <v>128</v>
      </c>
      <c r="D94" s="10" t="s">
        <v>119</v>
      </c>
      <c r="E94" s="10">
        <v>18</v>
      </c>
    </row>
    <row r="95" spans="1:5" x14ac:dyDescent="0.3">
      <c r="A95" s="28" t="s">
        <v>61</v>
      </c>
      <c r="B95" s="10" t="s">
        <v>115</v>
      </c>
      <c r="C95" s="10" t="s">
        <v>138</v>
      </c>
      <c r="D95" s="10" t="s">
        <v>119</v>
      </c>
      <c r="E95" s="10">
        <v>5</v>
      </c>
    </row>
    <row r="96" spans="1:5" x14ac:dyDescent="0.3">
      <c r="A96" s="27" t="s">
        <v>36</v>
      </c>
      <c r="B96" s="10" t="s">
        <v>114</v>
      </c>
      <c r="C96" s="10" t="s">
        <v>138</v>
      </c>
      <c r="D96" s="10" t="s">
        <v>119</v>
      </c>
      <c r="E96" s="10">
        <v>2</v>
      </c>
    </row>
    <row r="97" spans="1:5" x14ac:dyDescent="0.3">
      <c r="A97" s="26" t="s">
        <v>35</v>
      </c>
      <c r="B97" s="10" t="s">
        <v>113</v>
      </c>
      <c r="C97" s="10" t="s">
        <v>138</v>
      </c>
      <c r="D97" s="10" t="s">
        <v>119</v>
      </c>
      <c r="E97" s="10">
        <v>25</v>
      </c>
    </row>
    <row r="98" spans="1:5" x14ac:dyDescent="0.3">
      <c r="A98" s="28" t="s">
        <v>61</v>
      </c>
      <c r="B98" s="10" t="s">
        <v>118</v>
      </c>
      <c r="C98" s="10" t="s">
        <v>139</v>
      </c>
      <c r="D98" s="10" t="s">
        <v>119</v>
      </c>
      <c r="E98" s="10">
        <v>4</v>
      </c>
    </row>
    <row r="99" spans="1:5" x14ac:dyDescent="0.3">
      <c r="A99" s="27" t="s">
        <v>36</v>
      </c>
      <c r="B99" s="10" t="s">
        <v>117</v>
      </c>
      <c r="C99" s="10" t="s">
        <v>139</v>
      </c>
      <c r="D99" s="10" t="s">
        <v>119</v>
      </c>
      <c r="E99" s="10">
        <v>34</v>
      </c>
    </row>
    <row r="100" spans="1:5" x14ac:dyDescent="0.3">
      <c r="A100" s="26" t="s">
        <v>35</v>
      </c>
      <c r="B100" s="10" t="s">
        <v>116</v>
      </c>
      <c r="C100" s="10" t="s">
        <v>139</v>
      </c>
      <c r="D100" s="10" t="s">
        <v>119</v>
      </c>
      <c r="E100" s="10">
        <v>10</v>
      </c>
    </row>
    <row r="101" spans="1:5" x14ac:dyDescent="0.3">
      <c r="A101" s="30" t="s">
        <v>148</v>
      </c>
      <c r="B101" s="10" t="s">
        <v>221</v>
      </c>
      <c r="C101" s="10" t="s">
        <v>222</v>
      </c>
      <c r="D101" s="10" t="s">
        <v>119</v>
      </c>
      <c r="E101" s="10">
        <v>1</v>
      </c>
    </row>
    <row r="102" spans="1:5" x14ac:dyDescent="0.3">
      <c r="A102" s="30" t="s">
        <v>148</v>
      </c>
      <c r="B102" s="10" t="s">
        <v>123</v>
      </c>
      <c r="C102" s="10" t="s">
        <v>128</v>
      </c>
      <c r="D102" s="10" t="s">
        <v>129</v>
      </c>
      <c r="E102" s="10">
        <v>0</v>
      </c>
    </row>
    <row r="103" spans="1:5" x14ac:dyDescent="0.3">
      <c r="A103" s="24" t="s">
        <v>61</v>
      </c>
      <c r="B103" s="10" t="s">
        <v>122</v>
      </c>
      <c r="C103" s="10" t="s">
        <v>128</v>
      </c>
      <c r="D103" s="10" t="s">
        <v>129</v>
      </c>
      <c r="E103" s="10">
        <v>0</v>
      </c>
    </row>
    <row r="104" spans="1:5" x14ac:dyDescent="0.3">
      <c r="A104" s="23" t="s">
        <v>36</v>
      </c>
      <c r="B104" s="10" t="s">
        <v>121</v>
      </c>
      <c r="C104" s="10" t="s">
        <v>128</v>
      </c>
      <c r="D104" s="10" t="s">
        <v>129</v>
      </c>
      <c r="E104" s="10">
        <v>3</v>
      </c>
    </row>
    <row r="105" spans="1:5" x14ac:dyDescent="0.3">
      <c r="A105" s="22" t="s">
        <v>35</v>
      </c>
      <c r="B105" s="10" t="s">
        <v>120</v>
      </c>
      <c r="C105" s="10" t="s">
        <v>128</v>
      </c>
      <c r="D105" s="10" t="s">
        <v>129</v>
      </c>
      <c r="E105" s="10">
        <v>7</v>
      </c>
    </row>
    <row r="106" spans="1:5" x14ac:dyDescent="0.3">
      <c r="A106" s="30" t="s">
        <v>148</v>
      </c>
      <c r="B106" s="10" t="s">
        <v>127</v>
      </c>
      <c r="C106" s="10" t="s">
        <v>128</v>
      </c>
      <c r="D106" s="10" t="s">
        <v>129</v>
      </c>
      <c r="E106" s="10">
        <v>0</v>
      </c>
    </row>
    <row r="107" spans="1:5" x14ac:dyDescent="0.3">
      <c r="A107" s="24" t="s">
        <v>61</v>
      </c>
      <c r="B107" s="10" t="s">
        <v>126</v>
      </c>
      <c r="C107" s="10" t="s">
        <v>128</v>
      </c>
      <c r="D107" s="10" t="s">
        <v>129</v>
      </c>
      <c r="E107" s="10">
        <v>0</v>
      </c>
    </row>
    <row r="108" spans="1:5" x14ac:dyDescent="0.3">
      <c r="A108" s="23" t="s">
        <v>36</v>
      </c>
      <c r="B108" s="10" t="s">
        <v>125</v>
      </c>
      <c r="C108" s="10" t="s">
        <v>128</v>
      </c>
      <c r="D108" s="10" t="s">
        <v>129</v>
      </c>
      <c r="E108" s="10">
        <v>1</v>
      </c>
    </row>
    <row r="109" spans="1:5" x14ac:dyDescent="0.3">
      <c r="A109" s="22" t="s">
        <v>35</v>
      </c>
      <c r="B109" s="10" t="s">
        <v>124</v>
      </c>
      <c r="C109" s="10" t="s">
        <v>128</v>
      </c>
      <c r="D109" s="10" t="s">
        <v>129</v>
      </c>
      <c r="E109" s="10">
        <v>1</v>
      </c>
    </row>
    <row r="110" spans="1:5" x14ac:dyDescent="0.3">
      <c r="A110" s="30" t="s">
        <v>148</v>
      </c>
      <c r="B110" s="10" t="s">
        <v>133</v>
      </c>
      <c r="C110" s="10" t="s">
        <v>138</v>
      </c>
      <c r="D110" s="10" t="s">
        <v>129</v>
      </c>
      <c r="E110" s="10">
        <v>1</v>
      </c>
    </row>
    <row r="111" spans="1:5" x14ac:dyDescent="0.3">
      <c r="A111" s="24" t="s">
        <v>61</v>
      </c>
      <c r="B111" s="10" t="s">
        <v>132</v>
      </c>
      <c r="C111" s="10" t="s">
        <v>138</v>
      </c>
      <c r="D111" s="10" t="s">
        <v>129</v>
      </c>
      <c r="E111" s="10">
        <v>0</v>
      </c>
    </row>
    <row r="112" spans="1:5" x14ac:dyDescent="0.3">
      <c r="A112" s="23" t="s">
        <v>36</v>
      </c>
      <c r="B112" s="10" t="s">
        <v>131</v>
      </c>
      <c r="C112" s="10" t="s">
        <v>138</v>
      </c>
      <c r="D112" s="10" t="s">
        <v>129</v>
      </c>
      <c r="E112" s="10">
        <v>2</v>
      </c>
    </row>
    <row r="113" spans="1:5" x14ac:dyDescent="0.3">
      <c r="A113" s="22" t="s">
        <v>35</v>
      </c>
      <c r="B113" s="10" t="s">
        <v>130</v>
      </c>
      <c r="C113" s="10" t="s">
        <v>138</v>
      </c>
      <c r="D113" s="10" t="s">
        <v>129</v>
      </c>
      <c r="E113" s="10">
        <v>7</v>
      </c>
    </row>
    <row r="114" spans="1:5" x14ac:dyDescent="0.3">
      <c r="A114" s="30" t="s">
        <v>148</v>
      </c>
      <c r="B114" s="10" t="s">
        <v>137</v>
      </c>
      <c r="C114" s="10" t="s">
        <v>138</v>
      </c>
      <c r="D114" s="10" t="s">
        <v>129</v>
      </c>
      <c r="E114" s="10">
        <v>0</v>
      </c>
    </row>
    <row r="115" spans="1:5" x14ac:dyDescent="0.3">
      <c r="A115" s="24" t="s">
        <v>61</v>
      </c>
      <c r="B115" s="10" t="s">
        <v>136</v>
      </c>
      <c r="C115" s="10" t="s">
        <v>138</v>
      </c>
      <c r="D115" s="10" t="s">
        <v>129</v>
      </c>
      <c r="E115" s="10">
        <v>0</v>
      </c>
    </row>
    <row r="116" spans="1:5" x14ac:dyDescent="0.3">
      <c r="A116" s="23" t="s">
        <v>36</v>
      </c>
      <c r="B116" s="10" t="s">
        <v>135</v>
      </c>
      <c r="C116" s="10" t="s">
        <v>138</v>
      </c>
      <c r="D116" s="10" t="s">
        <v>129</v>
      </c>
      <c r="E116" s="10">
        <v>8</v>
      </c>
    </row>
    <row r="117" spans="1:5" x14ac:dyDescent="0.3">
      <c r="A117" s="22" t="s">
        <v>35</v>
      </c>
      <c r="B117" s="10" t="s">
        <v>134</v>
      </c>
      <c r="C117" s="10" t="s">
        <v>138</v>
      </c>
      <c r="D117" s="10" t="s">
        <v>129</v>
      </c>
      <c r="E117" s="10">
        <v>14</v>
      </c>
    </row>
    <row r="118" spans="1:5" x14ac:dyDescent="0.3">
      <c r="A118" s="30" t="s">
        <v>148</v>
      </c>
      <c r="B118" s="10" t="s">
        <v>143</v>
      </c>
      <c r="C118" s="10" t="s">
        <v>139</v>
      </c>
      <c r="D118" s="10" t="s">
        <v>129</v>
      </c>
      <c r="E118" s="10">
        <v>0</v>
      </c>
    </row>
    <row r="119" spans="1:5" x14ac:dyDescent="0.3">
      <c r="A119" s="24" t="s">
        <v>61</v>
      </c>
      <c r="B119" s="10" t="s">
        <v>142</v>
      </c>
      <c r="C119" s="10" t="s">
        <v>139</v>
      </c>
      <c r="D119" s="10" t="s">
        <v>129</v>
      </c>
      <c r="E119" s="10">
        <v>1</v>
      </c>
    </row>
    <row r="120" spans="1:5" x14ac:dyDescent="0.3">
      <c r="A120" s="23" t="s">
        <v>36</v>
      </c>
      <c r="B120" s="10" t="s">
        <v>141</v>
      </c>
      <c r="C120" s="10" t="s">
        <v>139</v>
      </c>
      <c r="D120" s="10" t="s">
        <v>129</v>
      </c>
      <c r="E120" s="10">
        <v>1</v>
      </c>
    </row>
    <row r="121" spans="1:5" x14ac:dyDescent="0.3">
      <c r="A121" s="22" t="s">
        <v>35</v>
      </c>
      <c r="B121" s="10" t="s">
        <v>140</v>
      </c>
      <c r="C121" s="10" t="s">
        <v>139</v>
      </c>
      <c r="D121" s="10" t="s">
        <v>129</v>
      </c>
      <c r="E121" s="10">
        <v>1</v>
      </c>
    </row>
    <row r="122" spans="1:5" x14ac:dyDescent="0.3">
      <c r="A122" s="30" t="s">
        <v>148</v>
      </c>
      <c r="B122" s="10" t="s">
        <v>147</v>
      </c>
      <c r="C122" s="10" t="s">
        <v>139</v>
      </c>
      <c r="D122" s="10" t="s">
        <v>129</v>
      </c>
      <c r="E122" s="10">
        <v>1</v>
      </c>
    </row>
    <row r="123" spans="1:5" x14ac:dyDescent="0.3">
      <c r="A123" s="24" t="s">
        <v>61</v>
      </c>
      <c r="B123" s="10" t="s">
        <v>146</v>
      </c>
      <c r="C123" s="10" t="s">
        <v>139</v>
      </c>
      <c r="D123" s="10" t="s">
        <v>129</v>
      </c>
      <c r="E123" s="10">
        <v>3</v>
      </c>
    </row>
    <row r="124" spans="1:5" x14ac:dyDescent="0.3">
      <c r="A124" s="23" t="s">
        <v>36</v>
      </c>
      <c r="B124" s="10" t="s">
        <v>145</v>
      </c>
      <c r="C124" s="10" t="s">
        <v>139</v>
      </c>
      <c r="D124" s="10" t="s">
        <v>129</v>
      </c>
      <c r="E124" s="10">
        <v>0</v>
      </c>
    </row>
    <row r="125" spans="1:5" x14ac:dyDescent="0.3">
      <c r="A125" s="22" t="s">
        <v>35</v>
      </c>
      <c r="B125" s="10" t="s">
        <v>144</v>
      </c>
      <c r="C125" s="10" t="s">
        <v>139</v>
      </c>
      <c r="D125" s="10" t="s">
        <v>129</v>
      </c>
      <c r="E125" s="10">
        <v>1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Sayu</vt:lpstr>
      <vt:lpstr>Progression</vt:lpstr>
      <vt:lpstr>Requirement Tables</vt:lpstr>
      <vt:lpstr>Required Materials</vt:lpstr>
      <vt:lpstr>Baal</vt:lpstr>
      <vt:lpstr>Progression (2)</vt:lpstr>
      <vt:lpstr>Requirement Tables (2)</vt:lpstr>
      <vt:lpstr>Required Materials (2)</vt:lpstr>
      <vt:lpstr>Character Development Items</vt:lpstr>
      <vt:lpstr>Materials</vt:lpstr>
      <vt:lpstr>Wishs</vt:lpstr>
      <vt:lpstr>Constants &amp; 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Lewis</dc:creator>
  <cp:lastModifiedBy>Edwin Huang</cp:lastModifiedBy>
  <dcterms:created xsi:type="dcterms:W3CDTF">2020-11-07T19:38:35Z</dcterms:created>
  <dcterms:modified xsi:type="dcterms:W3CDTF">2021-08-17T04:26:15Z</dcterms:modified>
</cp:coreProperties>
</file>